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Models\"/>
    </mc:Choice>
  </mc:AlternateContent>
  <xr:revisionPtr revIDLastSave="0" documentId="13_ncr:1_{14F37050-E8F8-41C3-B69F-B3C58A931091}" xr6:coauthVersionLast="47" xr6:coauthVersionMax="47" xr10:uidLastSave="{00000000-0000-0000-0000-000000000000}"/>
  <bookViews>
    <workbookView xWindow="14490" yWindow="3285" windowWidth="21675" windowHeight="17250" xr2:uid="{2EC0F4CB-CC56-4207-8108-7C832533A8D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1" i="2" l="1"/>
  <c r="I21" i="2"/>
  <c r="H21" i="2"/>
  <c r="G21" i="2"/>
  <c r="F21" i="2"/>
  <c r="E21" i="2"/>
  <c r="D21" i="2"/>
  <c r="K21" i="2"/>
  <c r="W5" i="2"/>
  <c r="X5" i="2"/>
  <c r="Y5" i="2"/>
  <c r="Z5" i="2"/>
  <c r="AA5" i="2"/>
  <c r="AB5" i="2"/>
  <c r="AC5" i="2"/>
  <c r="V5" i="2"/>
  <c r="W8" i="2"/>
  <c r="X8" i="2" s="1"/>
  <c r="V8" i="2"/>
  <c r="W3" i="2"/>
  <c r="X3" i="2" s="1"/>
  <c r="Y3" i="2" s="1"/>
  <c r="Z3" i="2" s="1"/>
  <c r="AA3" i="2" s="1"/>
  <c r="AB3" i="2" s="1"/>
  <c r="AC3" i="2" s="1"/>
  <c r="V3" i="2"/>
  <c r="AD20" i="2"/>
  <c r="AD24" i="2"/>
  <c r="AE24" i="2"/>
  <c r="AC7" i="2"/>
  <c r="AC6" i="2"/>
  <c r="W9" i="2"/>
  <c r="V9" i="2"/>
  <c r="X13" i="2"/>
  <c r="Y13" i="2" s="1"/>
  <c r="Z13" i="2" s="1"/>
  <c r="AA13" i="2" s="1"/>
  <c r="AB13" i="2" s="1"/>
  <c r="AC13" i="2" s="1"/>
  <c r="W13" i="2"/>
  <c r="V13" i="2"/>
  <c r="W7" i="2"/>
  <c r="X7" i="2" s="1"/>
  <c r="Y7" i="2" s="1"/>
  <c r="Z7" i="2" s="1"/>
  <c r="AA7" i="2" s="1"/>
  <c r="AB7" i="2" s="1"/>
  <c r="V7" i="2"/>
  <c r="W11" i="2"/>
  <c r="X11" i="2" s="1"/>
  <c r="Y11" i="2" s="1"/>
  <c r="Z11" i="2" s="1"/>
  <c r="AA11" i="2" s="1"/>
  <c r="AB11" i="2" s="1"/>
  <c r="AC11" i="2" s="1"/>
  <c r="V11" i="2"/>
  <c r="V14" i="2"/>
  <c r="AC24" i="2"/>
  <c r="AB24" i="2"/>
  <c r="AA24" i="2"/>
  <c r="Z24" i="2"/>
  <c r="Y24" i="2"/>
  <c r="X24" i="2"/>
  <c r="W24" i="2"/>
  <c r="V24" i="2"/>
  <c r="V23" i="2"/>
  <c r="W6" i="2"/>
  <c r="X6" i="2" s="1"/>
  <c r="Y6" i="2" s="1"/>
  <c r="Z6" i="2" s="1"/>
  <c r="AA6" i="2" s="1"/>
  <c r="AB6" i="2" s="1"/>
  <c r="V6" i="2"/>
  <c r="V19" i="2"/>
  <c r="P17" i="2"/>
  <c r="L25" i="2"/>
  <c r="K25" i="2"/>
  <c r="J25" i="2"/>
  <c r="I25" i="2"/>
  <c r="H25" i="2"/>
  <c r="M25" i="2"/>
  <c r="T25" i="2"/>
  <c r="S25" i="2"/>
  <c r="R25" i="2"/>
  <c r="Q25" i="2"/>
  <c r="U25" i="2"/>
  <c r="T24" i="2"/>
  <c r="S24" i="2"/>
  <c r="R24" i="2"/>
  <c r="Q24" i="2"/>
  <c r="T23" i="2"/>
  <c r="S23" i="2"/>
  <c r="R23" i="2"/>
  <c r="Q23" i="2"/>
  <c r="S17" i="2"/>
  <c r="R17" i="2"/>
  <c r="Q17" i="2"/>
  <c r="T10" i="2"/>
  <c r="U10" i="2"/>
  <c r="U16" i="2"/>
  <c r="U12" i="2"/>
  <c r="U8" i="2"/>
  <c r="U4" i="2"/>
  <c r="T16" i="2"/>
  <c r="T14" i="2"/>
  <c r="T8" i="2"/>
  <c r="T6" i="2"/>
  <c r="T3" i="2"/>
  <c r="M3" i="2"/>
  <c r="M23" i="2" s="1"/>
  <c r="M6" i="2"/>
  <c r="M24" i="2" s="1"/>
  <c r="L6" i="2"/>
  <c r="L24" i="2" s="1"/>
  <c r="K24" i="2"/>
  <c r="J24" i="2"/>
  <c r="I24" i="2"/>
  <c r="H24" i="2"/>
  <c r="F23" i="2"/>
  <c r="G23" i="2"/>
  <c r="H23" i="2"/>
  <c r="I23" i="2"/>
  <c r="J23" i="2"/>
  <c r="M11" i="2"/>
  <c r="M13" i="2" s="1"/>
  <c r="M7" i="2"/>
  <c r="D20" i="2"/>
  <c r="E20" i="2"/>
  <c r="F20" i="2"/>
  <c r="G20" i="2"/>
  <c r="H20" i="2"/>
  <c r="I20" i="2"/>
  <c r="J20" i="2"/>
  <c r="K20" i="2"/>
  <c r="L3" i="2"/>
  <c r="L23" i="2" s="1"/>
  <c r="L11" i="2"/>
  <c r="L13" i="2" s="1"/>
  <c r="L7" i="2"/>
  <c r="D11" i="2"/>
  <c r="D13" i="2" s="1"/>
  <c r="D7" i="2"/>
  <c r="D9" i="2" s="1"/>
  <c r="D10" i="2" s="1"/>
  <c r="D23" i="2"/>
  <c r="D5" i="2"/>
  <c r="D19" i="2" s="1"/>
  <c r="H11" i="2"/>
  <c r="H13" i="2" s="1"/>
  <c r="H7" i="2"/>
  <c r="H9" i="2" s="1"/>
  <c r="H10" i="2" s="1"/>
  <c r="H5" i="2"/>
  <c r="H19" i="2" s="1"/>
  <c r="E11" i="2"/>
  <c r="E13" i="2" s="1"/>
  <c r="E23" i="2"/>
  <c r="E7" i="2"/>
  <c r="E9" i="2" s="1"/>
  <c r="E10" i="2" s="1"/>
  <c r="E5" i="2"/>
  <c r="E19" i="2" s="1"/>
  <c r="I12" i="2"/>
  <c r="T12" i="2" s="1"/>
  <c r="I11" i="2"/>
  <c r="I19" i="2"/>
  <c r="I7" i="2"/>
  <c r="I9" i="2" s="1"/>
  <c r="I10" i="2" s="1"/>
  <c r="I4" i="2"/>
  <c r="T4" i="2" s="1"/>
  <c r="K23" i="2"/>
  <c r="F11" i="2"/>
  <c r="F13" i="2" s="1"/>
  <c r="F7" i="2"/>
  <c r="F9" i="2" s="1"/>
  <c r="F10" i="2" s="1"/>
  <c r="F5" i="2"/>
  <c r="F19" i="2" s="1"/>
  <c r="J11" i="2"/>
  <c r="J13" i="2" s="1"/>
  <c r="J7" i="2"/>
  <c r="J9" i="2" s="1"/>
  <c r="J10" i="2" s="1"/>
  <c r="J5" i="2"/>
  <c r="J19" i="2" s="1"/>
  <c r="G11" i="2"/>
  <c r="G13" i="2" s="1"/>
  <c r="G7" i="2"/>
  <c r="G9" i="2" s="1"/>
  <c r="G10" i="2" s="1"/>
  <c r="G5" i="2"/>
  <c r="G19" i="2" s="1"/>
  <c r="K7" i="2"/>
  <c r="K9" i="2" s="1"/>
  <c r="K10" i="2" s="1"/>
  <c r="K11" i="2"/>
  <c r="K13" i="2" s="1"/>
  <c r="K5" i="2"/>
  <c r="K19" i="2" s="1"/>
  <c r="N7" i="1"/>
  <c r="N8" i="1" s="1"/>
  <c r="N6" i="1"/>
  <c r="N5" i="1"/>
  <c r="X9" i="2" l="1"/>
  <c r="Y8" i="2"/>
  <c r="V4" i="2"/>
  <c r="AC4" i="2"/>
  <c r="AD23" i="2"/>
  <c r="AF24" i="2"/>
  <c r="AE19" i="2"/>
  <c r="AE23" i="2"/>
  <c r="AD19" i="2"/>
  <c r="W23" i="2"/>
  <c r="W19" i="2"/>
  <c r="W14" i="2"/>
  <c r="W20" i="2" s="1"/>
  <c r="V10" i="2"/>
  <c r="V15" i="2" s="1"/>
  <c r="X23" i="2"/>
  <c r="X14" i="2"/>
  <c r="V20" i="2"/>
  <c r="X19" i="2"/>
  <c r="T11" i="2"/>
  <c r="T5" i="2"/>
  <c r="T19" i="2" s="1"/>
  <c r="L9" i="2"/>
  <c r="L10" i="2" s="1"/>
  <c r="M9" i="2"/>
  <c r="M10" i="2" s="1"/>
  <c r="U3" i="2"/>
  <c r="U6" i="2"/>
  <c r="U24" i="2" s="1"/>
  <c r="U7" i="2"/>
  <c r="U11" i="2"/>
  <c r="U13" i="2" s="1"/>
  <c r="L14" i="2"/>
  <c r="M14" i="2"/>
  <c r="T7" i="2"/>
  <c r="U9" i="2"/>
  <c r="T13" i="2"/>
  <c r="T9" i="2"/>
  <c r="T15" i="2" s="1"/>
  <c r="T17" i="2" s="1"/>
  <c r="T20" i="2"/>
  <c r="M20" i="2"/>
  <c r="M5" i="2"/>
  <c r="M19" i="2" s="1"/>
  <c r="L5" i="2"/>
  <c r="L19" i="2" s="1"/>
  <c r="D15" i="2"/>
  <c r="D17" i="2" s="1"/>
  <c r="H15" i="2"/>
  <c r="H17" i="2" s="1"/>
  <c r="E15" i="2"/>
  <c r="E17" i="2" s="1"/>
  <c r="I13" i="2"/>
  <c r="I15" i="2" s="1"/>
  <c r="I17" i="2" s="1"/>
  <c r="F15" i="2"/>
  <c r="F17" i="2" s="1"/>
  <c r="J15" i="2"/>
  <c r="J17" i="2" s="1"/>
  <c r="G15" i="2"/>
  <c r="G17" i="2" s="1"/>
  <c r="K15" i="2"/>
  <c r="K17" i="2" s="1"/>
  <c r="Y9" i="2" l="1"/>
  <c r="Z8" i="2"/>
  <c r="X4" i="2"/>
  <c r="X10" i="2" s="1"/>
  <c r="W4" i="2"/>
  <c r="W10" i="2" s="1"/>
  <c r="W15" i="2" s="1"/>
  <c r="AF19" i="2"/>
  <c r="AF23" i="2"/>
  <c r="AE20" i="2"/>
  <c r="AG24" i="2"/>
  <c r="V25" i="2"/>
  <c r="X15" i="2"/>
  <c r="X20" i="2"/>
  <c r="Y14" i="2"/>
  <c r="Y23" i="2"/>
  <c r="M15" i="2"/>
  <c r="M17" i="2" s="1"/>
  <c r="U5" i="2"/>
  <c r="U19" i="2" s="1"/>
  <c r="U23" i="2"/>
  <c r="L20" i="2"/>
  <c r="U14" i="2"/>
  <c r="U20" i="2" s="1"/>
  <c r="L15" i="2"/>
  <c r="L17" i="2" s="1"/>
  <c r="Z9" i="2" l="1"/>
  <c r="AA8" i="2"/>
  <c r="X25" i="2"/>
  <c r="Y19" i="2"/>
  <c r="Y4" i="2"/>
  <c r="Y10" i="2" s="1"/>
  <c r="W25" i="2"/>
  <c r="AH24" i="2"/>
  <c r="AF20" i="2"/>
  <c r="AG23" i="2"/>
  <c r="AG19" i="2"/>
  <c r="Z14" i="2"/>
  <c r="Z23" i="2"/>
  <c r="Y20" i="2"/>
  <c r="Y15" i="2"/>
  <c r="Y25" i="2" s="1"/>
  <c r="U15" i="2"/>
  <c r="U17" i="2" s="1"/>
  <c r="AA9" i="2" l="1"/>
  <c r="AB8" i="2"/>
  <c r="Z19" i="2"/>
  <c r="Z4" i="2"/>
  <c r="Z10" i="2" s="1"/>
  <c r="Z15" i="2" s="1"/>
  <c r="Z25" i="2" s="1"/>
  <c r="AG20" i="2"/>
  <c r="AH23" i="2"/>
  <c r="AH19" i="2"/>
  <c r="AI24" i="2"/>
  <c r="AA14" i="2"/>
  <c r="AA23" i="2"/>
  <c r="Z20" i="2"/>
  <c r="AB9" i="2" l="1"/>
  <c r="AC8" i="2"/>
  <c r="AC9" i="2" s="1"/>
  <c r="AA19" i="2"/>
  <c r="AA4" i="2"/>
  <c r="AA10" i="2" s="1"/>
  <c r="AA15" i="2" s="1"/>
  <c r="AJ24" i="2"/>
  <c r="AH20" i="2"/>
  <c r="AI23" i="2"/>
  <c r="AI19" i="2"/>
  <c r="AB14" i="2"/>
  <c r="AB23" i="2"/>
  <c r="AA20" i="2"/>
  <c r="AB19" i="2" l="1"/>
  <c r="AB4" i="2"/>
  <c r="AB10" i="2" s="1"/>
  <c r="AA25" i="2"/>
  <c r="AI20" i="2"/>
  <c r="AJ23" i="2"/>
  <c r="AJ19" i="2"/>
  <c r="AK24" i="2"/>
  <c r="AC10" i="2"/>
  <c r="AC14" i="2"/>
  <c r="AC23" i="2"/>
  <c r="AB20" i="2"/>
  <c r="AB15" i="2"/>
  <c r="AC19" i="2"/>
  <c r="AB25" i="2" l="1"/>
  <c r="AC15" i="2"/>
  <c r="AD15" i="2" s="1"/>
  <c r="AL24" i="2"/>
  <c r="AK23" i="2"/>
  <c r="AK19" i="2"/>
  <c r="AJ20" i="2"/>
  <c r="AC20" i="2"/>
  <c r="AC25" i="2" l="1"/>
  <c r="AE15" i="2"/>
  <c r="AD25" i="2"/>
  <c r="AM24" i="2"/>
  <c r="AL23" i="2"/>
  <c r="AL19" i="2"/>
  <c r="AK20" i="2"/>
  <c r="AF15" i="2" l="1"/>
  <c r="AE25" i="2"/>
  <c r="AM23" i="2"/>
  <c r="AM19" i="2"/>
  <c r="AN24" i="2"/>
  <c r="AL20" i="2"/>
  <c r="AG15" i="2" l="1"/>
  <c r="AF25" i="2"/>
  <c r="AN23" i="2"/>
  <c r="AN19" i="2"/>
  <c r="AM20" i="2"/>
  <c r="AO24" i="2"/>
  <c r="AH15" i="2" l="1"/>
  <c r="AG25" i="2"/>
  <c r="AP24" i="2"/>
  <c r="AO23" i="2"/>
  <c r="AO19" i="2"/>
  <c r="AN20" i="2"/>
  <c r="AI15" i="2" l="1"/>
  <c r="AH25" i="2"/>
  <c r="AP23" i="2"/>
  <c r="AP19" i="2"/>
  <c r="AO20" i="2"/>
  <c r="AQ24" i="2"/>
  <c r="AJ15" i="2" l="1"/>
  <c r="AI25" i="2"/>
  <c r="AR24" i="2"/>
  <c r="AQ23" i="2"/>
  <c r="AQ19" i="2"/>
  <c r="AP20" i="2"/>
  <c r="AK15" i="2" l="1"/>
  <c r="AJ25" i="2"/>
  <c r="AQ20" i="2"/>
  <c r="AR19" i="2"/>
  <c r="AR23" i="2"/>
  <c r="AS24" i="2"/>
  <c r="AL15" i="2" l="1"/>
  <c r="AK25" i="2"/>
  <c r="AT24" i="2"/>
  <c r="AS19" i="2"/>
  <c r="AS23" i="2"/>
  <c r="AR20" i="2"/>
  <c r="AM15" i="2" l="1"/>
  <c r="AL25" i="2"/>
  <c r="AS20" i="2"/>
  <c r="AT19" i="2"/>
  <c r="AT23" i="2"/>
  <c r="AU24" i="2"/>
  <c r="AN15" i="2" l="1"/>
  <c r="AM25" i="2"/>
  <c r="AT20" i="2"/>
  <c r="AV24" i="2"/>
  <c r="AU19" i="2"/>
  <c r="AU23" i="2"/>
  <c r="AO15" i="2" l="1"/>
  <c r="AN25" i="2"/>
  <c r="AW24" i="2"/>
  <c r="AU20" i="2"/>
  <c r="AV19" i="2"/>
  <c r="AV23" i="2"/>
  <c r="AP15" i="2" l="1"/>
  <c r="AO25" i="2"/>
  <c r="AW23" i="2"/>
  <c r="AW19" i="2"/>
  <c r="AX24" i="2"/>
  <c r="AV20" i="2"/>
  <c r="AQ15" i="2" l="1"/>
  <c r="AP25" i="2"/>
  <c r="AY24" i="2"/>
  <c r="AW20" i="2"/>
  <c r="AX23" i="2"/>
  <c r="AX19" i="2"/>
  <c r="AR15" i="2" l="1"/>
  <c r="AQ25" i="2"/>
  <c r="AX20" i="2"/>
  <c r="AY23" i="2"/>
  <c r="AY19" i="2"/>
  <c r="AZ24" i="2"/>
  <c r="AS15" i="2" l="1"/>
  <c r="AR25" i="2"/>
  <c r="BA24" i="2"/>
  <c r="AY20" i="2"/>
  <c r="AZ23" i="2"/>
  <c r="AZ19" i="2"/>
  <c r="AT15" i="2" l="1"/>
  <c r="AS25" i="2"/>
  <c r="AZ20" i="2"/>
  <c r="BA23" i="2"/>
  <c r="BA19" i="2"/>
  <c r="BB24" i="2"/>
  <c r="AU15" i="2" l="1"/>
  <c r="AT25" i="2"/>
  <c r="BC24" i="2"/>
  <c r="BB23" i="2"/>
  <c r="BB19" i="2"/>
  <c r="BA20" i="2"/>
  <c r="AV15" i="2" l="1"/>
  <c r="AU25" i="2"/>
  <c r="BC19" i="2"/>
  <c r="BC23" i="2"/>
  <c r="BB20" i="2"/>
  <c r="BD24" i="2"/>
  <c r="AW15" i="2" l="1"/>
  <c r="AV25" i="2"/>
  <c r="BE24" i="2"/>
  <c r="BD23" i="2"/>
  <c r="BD19" i="2"/>
  <c r="BC20" i="2"/>
  <c r="AX15" i="2" l="1"/>
  <c r="AW25" i="2"/>
  <c r="BE23" i="2"/>
  <c r="BE19" i="2"/>
  <c r="BD20" i="2"/>
  <c r="BF24" i="2"/>
  <c r="AY15" i="2" l="1"/>
  <c r="AX25" i="2"/>
  <c r="BF23" i="2"/>
  <c r="BF19" i="2"/>
  <c r="BE20" i="2"/>
  <c r="BG24" i="2"/>
  <c r="AZ15" i="2" l="1"/>
  <c r="AY25" i="2"/>
  <c r="BG23" i="2"/>
  <c r="BG19" i="2"/>
  <c r="BF20" i="2"/>
  <c r="BH24" i="2"/>
  <c r="BA15" i="2" l="1"/>
  <c r="AZ25" i="2"/>
  <c r="BI24" i="2"/>
  <c r="BH19" i="2"/>
  <c r="BH23" i="2"/>
  <c r="BG20" i="2"/>
  <c r="BB15" i="2" l="1"/>
  <c r="BA25" i="2"/>
  <c r="BH20" i="2"/>
  <c r="BI19" i="2"/>
  <c r="BI23" i="2"/>
  <c r="BJ24" i="2"/>
  <c r="BC15" i="2" l="1"/>
  <c r="BB25" i="2"/>
  <c r="BK24" i="2"/>
  <c r="BI20" i="2"/>
  <c r="BJ19" i="2"/>
  <c r="BJ23" i="2"/>
  <c r="BD15" i="2" l="1"/>
  <c r="BC25" i="2"/>
  <c r="BK19" i="2"/>
  <c r="BK23" i="2"/>
  <c r="BJ20" i="2"/>
  <c r="BL24" i="2"/>
  <c r="BE15" i="2" l="1"/>
  <c r="BD25" i="2"/>
  <c r="BM24" i="2"/>
  <c r="BK20" i="2"/>
  <c r="BL19" i="2"/>
  <c r="BL23" i="2"/>
  <c r="BF15" i="2" l="1"/>
  <c r="BE25" i="2"/>
  <c r="BL20" i="2"/>
  <c r="BM23" i="2"/>
  <c r="BM19" i="2"/>
  <c r="BN24" i="2"/>
  <c r="BG15" i="2" l="1"/>
  <c r="BF25" i="2"/>
  <c r="BO24" i="2"/>
  <c r="BM20" i="2"/>
  <c r="BN23" i="2"/>
  <c r="BN19" i="2"/>
  <c r="BH15" i="2" l="1"/>
  <c r="BG25" i="2"/>
  <c r="BN20" i="2"/>
  <c r="BO23" i="2"/>
  <c r="BO19" i="2"/>
  <c r="BP24" i="2"/>
  <c r="BI15" i="2" l="1"/>
  <c r="BH25" i="2"/>
  <c r="BQ24" i="2"/>
  <c r="BO20" i="2"/>
  <c r="BP23" i="2"/>
  <c r="BP19" i="2"/>
  <c r="BJ15" i="2" l="1"/>
  <c r="BI25" i="2"/>
  <c r="BP20" i="2"/>
  <c r="BQ23" i="2"/>
  <c r="BQ19" i="2"/>
  <c r="BR24" i="2"/>
  <c r="BK15" i="2" l="1"/>
  <c r="BJ25" i="2"/>
  <c r="BS24" i="2"/>
  <c r="BR23" i="2"/>
  <c r="BR19" i="2"/>
  <c r="BQ20" i="2"/>
  <c r="BL15" i="2" l="1"/>
  <c r="BK25" i="2"/>
  <c r="BR20" i="2"/>
  <c r="BT24" i="2"/>
  <c r="BS19" i="2"/>
  <c r="BS23" i="2"/>
  <c r="BM15" i="2" l="1"/>
  <c r="BL25" i="2"/>
  <c r="BS20" i="2"/>
  <c r="BT23" i="2"/>
  <c r="BT19" i="2"/>
  <c r="BU24" i="2"/>
  <c r="BN15" i="2" l="1"/>
  <c r="BM25" i="2"/>
  <c r="BU23" i="2"/>
  <c r="BU19" i="2"/>
  <c r="BV24" i="2"/>
  <c r="BT20" i="2"/>
  <c r="BO15" i="2" l="1"/>
  <c r="BN25" i="2"/>
  <c r="BW24" i="2"/>
  <c r="BV23" i="2"/>
  <c r="BV19" i="2"/>
  <c r="BU20" i="2"/>
  <c r="BP15" i="2" l="1"/>
  <c r="BO25" i="2"/>
  <c r="BW23" i="2"/>
  <c r="BW19" i="2"/>
  <c r="BV20" i="2"/>
  <c r="BX24" i="2"/>
  <c r="BQ15" i="2" l="1"/>
  <c r="BP25" i="2"/>
  <c r="BX19" i="2"/>
  <c r="BX23" i="2"/>
  <c r="BW20" i="2"/>
  <c r="BY24" i="2"/>
  <c r="BR15" i="2" l="1"/>
  <c r="BQ25" i="2"/>
  <c r="BZ24" i="2"/>
  <c r="BX20" i="2"/>
  <c r="BY19" i="2"/>
  <c r="BY23" i="2"/>
  <c r="BS15" i="2" l="1"/>
  <c r="BR25" i="2"/>
  <c r="BY20" i="2"/>
  <c r="BZ19" i="2"/>
  <c r="BZ23" i="2"/>
  <c r="BT15" i="2" l="1"/>
  <c r="BS25" i="2"/>
  <c r="BZ20" i="2"/>
  <c r="BU15" i="2" l="1"/>
  <c r="BT25" i="2"/>
  <c r="BV15" i="2" l="1"/>
  <c r="BU25" i="2"/>
  <c r="BW15" i="2" l="1"/>
  <c r="BV25" i="2"/>
  <c r="BX15" i="2" l="1"/>
  <c r="BW25" i="2"/>
  <c r="BY15" i="2" l="1"/>
  <c r="BX25" i="2"/>
  <c r="BZ15" i="2" l="1"/>
  <c r="BY25" i="2"/>
  <c r="CA15" i="2" l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V29" i="2" s="1"/>
  <c r="V31" i="2" s="1"/>
  <c r="BZ25" i="2"/>
</calcChain>
</file>

<file path=xl/sharedStrings.xml><?xml version="1.0" encoding="utf-8"?>
<sst xmlns="http://schemas.openxmlformats.org/spreadsheetml/2006/main" count="48" uniqueCount="47">
  <si>
    <t>Price</t>
  </si>
  <si>
    <t>Shares</t>
  </si>
  <si>
    <t>MkCap</t>
  </si>
  <si>
    <t>Cash</t>
  </si>
  <si>
    <t>Debt</t>
  </si>
  <si>
    <t>EV</t>
  </si>
  <si>
    <t>22Q1</t>
  </si>
  <si>
    <t>21Q4</t>
  </si>
  <si>
    <t>21Q3</t>
  </si>
  <si>
    <t>21Q2</t>
  </si>
  <si>
    <t>22Q2</t>
  </si>
  <si>
    <t>21Q1</t>
  </si>
  <si>
    <t>20Q4</t>
  </si>
  <si>
    <t>20Q3</t>
  </si>
  <si>
    <t>20Q2</t>
  </si>
  <si>
    <t>Revenue</t>
  </si>
  <si>
    <t>COGS</t>
  </si>
  <si>
    <t>Gross Margin</t>
  </si>
  <si>
    <t>R&amp;D</t>
  </si>
  <si>
    <t>SG&amp;A</t>
  </si>
  <si>
    <t>Amort</t>
  </si>
  <si>
    <t>Other</t>
  </si>
  <si>
    <t>Interest</t>
  </si>
  <si>
    <t>Taxes</t>
  </si>
  <si>
    <t>Net income</t>
  </si>
  <si>
    <t>Total nonop Expenses</t>
  </si>
  <si>
    <t>Total Operating Expenses</t>
  </si>
  <si>
    <t>Operating Income</t>
  </si>
  <si>
    <t>EPS</t>
  </si>
  <si>
    <t>Revenue y/y</t>
  </si>
  <si>
    <t>Gross margin</t>
  </si>
  <si>
    <t>J30</t>
  </si>
  <si>
    <t>O30</t>
  </si>
  <si>
    <t>A30</t>
  </si>
  <si>
    <t>J31</t>
  </si>
  <si>
    <t>22Q3</t>
  </si>
  <si>
    <t>22Q4</t>
  </si>
  <si>
    <t>Tax rate</t>
  </si>
  <si>
    <t>R&amp;D y/y</t>
  </si>
  <si>
    <t>Net income y/y</t>
  </si>
  <si>
    <t>NPV</t>
  </si>
  <si>
    <t>Rate</t>
  </si>
  <si>
    <t>mil</t>
  </si>
  <si>
    <t xml:space="preserve"> Share</t>
  </si>
  <si>
    <t>ADI</t>
  </si>
  <si>
    <t>Analog Devices</t>
  </si>
  <si>
    <t>Return on 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</si>
</sst>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44" fontId="0" fillId="0" borderId="0" xfId="0" applyNumberFormat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/>
    <xf numFmtId="4" fontId="1" fillId="0" borderId="0" xfId="0" applyNumberFormat="1" applyFont="1"/>
    <xf numFmtId="4" fontId="0" fillId="0" borderId="0" xfId="0" applyNumberFormat="1" applyFont="1"/>
    <xf numFmtId="4" fontId="0" fillId="0" borderId="0" xfId="0" applyNumberFormat="1"/>
    <xf numFmtId="10" fontId="0" fillId="0" borderId="0" xfId="0" applyNumberFormat="1"/>
    <xf numFmtId="10" fontId="0" fillId="0" borderId="0" xfId="0" applyNumberFormat="1" applyFont="1"/>
    <xf numFmtId="14" fontId="0" fillId="0" borderId="0" xfId="0" applyNumberFormat="1" applyFont="1"/>
    <xf numFmtId="9" fontId="0" fillId="0" borderId="0" xfId="0" applyNumberFormat="1"/>
    <xf numFmtId="9" fontId="0" fillId="0" borderId="0" xfId="0" applyNumberFormat="1" applyFont="1"/>
    <xf numFmtId="0" fontId="0" fillId="2" borderId="0" xfId="0" applyFill="1"/>
    <xf numFmtId="0" fontId="1" fillId="2" borderId="0" xfId="0" applyFont="1" applyFill="1"/>
    <xf numFmtId="4" fontId="0" fillId="2" borderId="0" xfId="0" applyNumberFormat="1" applyFill="1"/>
    <xf numFmtId="9" fontId="0" fillId="2" borderId="0" xfId="0" applyNumberFormat="1" applyFill="1"/>
    <xf numFmtId="10" fontId="0" fillId="2" borderId="0" xfId="0" applyNumberFormat="1" applyFont="1" applyFill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43961</xdr:colOff>
      <xdr:row>0</xdr:row>
      <xdr:rowOff>14655</xdr:rowOff>
    </xdr:from>
    <xdr:to>
      <xdr:col>11</xdr:col>
      <xdr:colOff>43961</xdr:colOff>
      <xdr:row>40</xdr:row>
      <xdr:rowOff>183174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B42924-0332-F737-74D4-5E53970249B3}"/>
            </a:ext>
          </a:extLst>
        </xdr:cNvPr>
        <xdr:cNvCxnSpPr/>
      </xdr:nvCxnSpPr>
      <xdr:spPr>
        <a:xfrm>
          <a:off x="7795846" y="14655"/>
          <a:ext cx="0" cy="77885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36634</xdr:colOff>
      <xdr:row>0</xdr:row>
      <xdr:rowOff>0</xdr:rowOff>
    </xdr:from>
    <xdr:to>
      <xdr:col>20</xdr:col>
      <xdr:colOff>36634</xdr:colOff>
      <xdr:row>40</xdr:row>
      <xdr:rowOff>168519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66E58E6-FC18-4903-B5DD-3549C9352C60}"/>
            </a:ext>
          </a:extLst>
        </xdr:cNvPr>
        <xdr:cNvCxnSpPr/>
      </xdr:nvCxnSpPr>
      <xdr:spPr>
        <a:xfrm>
          <a:off x="12946672" y="0"/>
          <a:ext cx="0" cy="77885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564173</xdr:colOff>
      <xdr:row>0</xdr:row>
      <xdr:rowOff>36635</xdr:rowOff>
    </xdr:from>
    <xdr:to>
      <xdr:col>18</xdr:col>
      <xdr:colOff>564173</xdr:colOff>
      <xdr:row>41</xdr:row>
      <xdr:rowOff>14654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8578FBE-1CEF-4B1A-9B8D-2B9EC268148D}"/>
            </a:ext>
          </a:extLst>
        </xdr:cNvPr>
        <xdr:cNvCxnSpPr/>
      </xdr:nvCxnSpPr>
      <xdr:spPr>
        <a:xfrm>
          <a:off x="12257942" y="36635"/>
          <a:ext cx="0" cy="77885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D50C-C6AD-42B7-B8F2-B9DA58381265}">
  <dimension ref="M1:N13"/>
  <sheetViews>
    <sheetView tabSelected="1" workbookViewId="0">
      <selection activeCell="M17" sqref="M17"/>
    </sheetView>
  </sheetViews>
  <sheetFormatPr defaultRowHeight="15" x14ac:dyDescent="0.25"/>
  <cols>
    <col min="13" max="13" width="9.7109375" bestFit="1" customWidth="1"/>
  </cols>
  <sheetData>
    <row r="1" spans="13:14" x14ac:dyDescent="0.25">
      <c r="M1" t="s">
        <v>45</v>
      </c>
    </row>
    <row r="2" spans="13:14" x14ac:dyDescent="0.25">
      <c r="M2" t="s">
        <v>44</v>
      </c>
    </row>
    <row r="3" spans="13:14" x14ac:dyDescent="0.25">
      <c r="M3" t="s">
        <v>0</v>
      </c>
      <c r="N3" s="2">
        <v>163.27000000000001</v>
      </c>
    </row>
    <row r="4" spans="13:14" x14ac:dyDescent="0.25">
      <c r="M4" t="s">
        <v>1</v>
      </c>
      <c r="N4" s="1">
        <v>519.80600000000004</v>
      </c>
    </row>
    <row r="5" spans="13:14" x14ac:dyDescent="0.25">
      <c r="M5" t="s">
        <v>2</v>
      </c>
      <c r="N5" s="1">
        <f>N3*N4</f>
        <v>84868.725620000012</v>
      </c>
    </row>
    <row r="6" spans="13:14" x14ac:dyDescent="0.25">
      <c r="M6" t="s">
        <v>3</v>
      </c>
      <c r="N6" s="1">
        <f>1737.7</f>
        <v>1737.7</v>
      </c>
    </row>
    <row r="7" spans="13:14" x14ac:dyDescent="0.25">
      <c r="M7" t="s">
        <v>4</v>
      </c>
      <c r="N7" s="1">
        <f>6253.2</f>
        <v>6253.2</v>
      </c>
    </row>
    <row r="8" spans="13:14" x14ac:dyDescent="0.25">
      <c r="M8" t="s">
        <v>5</v>
      </c>
      <c r="N8" s="1">
        <f>N5-N6+N7</f>
        <v>89384.225620000012</v>
      </c>
    </row>
    <row r="13" spans="13:14" x14ac:dyDescent="0.25">
      <c r="M13" s="20">
        <v>44766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4823-B1D5-4075-A061-9C811CDAD08D}">
  <dimension ref="B1:HG31"/>
  <sheetViews>
    <sheetView zoomScale="130" zoomScaleNormal="13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P19" sqref="P19"/>
    </sheetView>
  </sheetViews>
  <sheetFormatPr defaultRowHeight="15" x14ac:dyDescent="0.25"/>
  <cols>
    <col min="2" max="2" width="23.85546875" bestFit="1" customWidth="1"/>
    <col min="3" max="10" width="9.140625" style="5"/>
    <col min="11" max="11" width="10.28515625" style="5" bestFit="1" customWidth="1"/>
    <col min="12" max="12" width="9.140625" style="5"/>
    <col min="15" max="15" width="4.42578125" style="14" customWidth="1"/>
    <col min="22" max="22" width="12.7109375" bestFit="1" customWidth="1"/>
  </cols>
  <sheetData>
    <row r="1" spans="2:215" x14ac:dyDescent="0.25">
      <c r="H1" s="5" t="s">
        <v>34</v>
      </c>
      <c r="I1" s="5" t="s">
        <v>32</v>
      </c>
      <c r="J1" s="5" t="s">
        <v>31</v>
      </c>
      <c r="K1" s="11" t="s">
        <v>33</v>
      </c>
    </row>
    <row r="2" spans="2:215" x14ac:dyDescent="0.25">
      <c r="C2" s="5" t="s">
        <v>14</v>
      </c>
      <c r="D2" s="5" t="s">
        <v>13</v>
      </c>
      <c r="E2" s="5" t="s">
        <v>12</v>
      </c>
      <c r="F2" s="5" t="s">
        <v>11</v>
      </c>
      <c r="G2" s="5" t="s">
        <v>9</v>
      </c>
      <c r="H2" s="5" t="s">
        <v>8</v>
      </c>
      <c r="I2" s="5" t="s">
        <v>7</v>
      </c>
      <c r="J2" s="5" t="s">
        <v>6</v>
      </c>
      <c r="K2" s="5" t="s">
        <v>10</v>
      </c>
      <c r="L2" s="5" t="s">
        <v>35</v>
      </c>
      <c r="M2" s="5" t="s">
        <v>36</v>
      </c>
      <c r="P2" s="1">
        <v>17</v>
      </c>
      <c r="Q2" s="1">
        <v>18</v>
      </c>
      <c r="R2" s="1">
        <v>19</v>
      </c>
      <c r="S2" s="1">
        <v>20</v>
      </c>
      <c r="T2" s="1">
        <v>21</v>
      </c>
      <c r="U2" s="1">
        <v>22</v>
      </c>
      <c r="V2" s="1">
        <v>23</v>
      </c>
      <c r="W2" s="1">
        <v>24</v>
      </c>
      <c r="X2" s="1">
        <v>25</v>
      </c>
      <c r="Y2" s="1">
        <v>26</v>
      </c>
      <c r="Z2" s="1">
        <v>27</v>
      </c>
      <c r="AA2" s="1">
        <v>28</v>
      </c>
      <c r="AB2" s="1">
        <v>29</v>
      </c>
      <c r="AC2" s="1">
        <v>30</v>
      </c>
      <c r="AD2" s="1">
        <v>31</v>
      </c>
      <c r="AE2" s="1">
        <v>32</v>
      </c>
      <c r="AF2" s="1">
        <v>33</v>
      </c>
      <c r="AG2" s="1">
        <v>34</v>
      </c>
      <c r="AH2" s="1">
        <v>35</v>
      </c>
      <c r="AI2" s="1">
        <v>36</v>
      </c>
    </row>
    <row r="3" spans="2:215" x14ac:dyDescent="0.25">
      <c r="B3" t="s">
        <v>15</v>
      </c>
      <c r="D3" s="5">
        <v>1456</v>
      </c>
      <c r="E3" s="5">
        <v>1526.2950000000001</v>
      </c>
      <c r="F3" s="5">
        <v>1558.46</v>
      </c>
      <c r="G3" s="5">
        <v>1661.4</v>
      </c>
      <c r="H3" s="5">
        <v>1758.8530000000001</v>
      </c>
      <c r="I3" s="5">
        <v>2340</v>
      </c>
      <c r="J3" s="5">
        <v>2684.3</v>
      </c>
      <c r="K3" s="5">
        <v>2972.0639999999999</v>
      </c>
      <c r="L3" s="5">
        <f>H3*1.8</f>
        <v>3165.9354000000003</v>
      </c>
      <c r="M3" s="5">
        <f>I3*1.5</f>
        <v>3510</v>
      </c>
      <c r="P3" s="1">
        <v>5108</v>
      </c>
      <c r="Q3" s="1">
        <v>6225</v>
      </c>
      <c r="R3" s="1">
        <v>5991</v>
      </c>
      <c r="S3" s="1">
        <v>5603</v>
      </c>
      <c r="T3" s="5">
        <f>SUM(F3:I3)</f>
        <v>7318.7129999999997</v>
      </c>
      <c r="U3" s="5">
        <f>SUM(J3:M3)</f>
        <v>12332.2994</v>
      </c>
      <c r="V3" s="1">
        <f>U3*1.15</f>
        <v>14182.144309999998</v>
      </c>
      <c r="W3" s="1">
        <f t="shared" ref="W3:AC3" si="0">V3*1.15</f>
        <v>16309.465956499997</v>
      </c>
      <c r="X3" s="1">
        <f t="shared" si="0"/>
        <v>18755.885849974995</v>
      </c>
      <c r="Y3" s="1">
        <f t="shared" si="0"/>
        <v>21569.268727471241</v>
      </c>
      <c r="Z3" s="1">
        <f t="shared" si="0"/>
        <v>24804.659036591926</v>
      </c>
      <c r="AA3" s="1">
        <f t="shared" si="0"/>
        <v>28525.357892080712</v>
      </c>
      <c r="AB3" s="1">
        <f t="shared" si="0"/>
        <v>32804.161575892816</v>
      </c>
      <c r="AC3" s="1">
        <f t="shared" si="0"/>
        <v>37724.785812276736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2:215" x14ac:dyDescent="0.25">
      <c r="B4" t="s">
        <v>16</v>
      </c>
      <c r="D4" s="5">
        <v>483.55</v>
      </c>
      <c r="E4" s="5">
        <v>503.21100000000001</v>
      </c>
      <c r="F4" s="5">
        <v>513.09</v>
      </c>
      <c r="G4" s="5">
        <v>524.79999999999995</v>
      </c>
      <c r="H4" s="5">
        <v>537.70000000000005</v>
      </c>
      <c r="I4" s="5">
        <f>+I3-I5</f>
        <v>1218</v>
      </c>
      <c r="J4" s="5">
        <v>1282.3</v>
      </c>
      <c r="K4" s="5">
        <v>1027.5440000000001</v>
      </c>
      <c r="L4" s="5">
        <v>1100</v>
      </c>
      <c r="M4" s="5">
        <v>1100</v>
      </c>
      <c r="P4" s="1"/>
      <c r="Q4" s="1"/>
      <c r="R4" s="1"/>
      <c r="S4" s="1"/>
      <c r="T4" s="5">
        <f>SUM(F4:I4)</f>
        <v>2793.59</v>
      </c>
      <c r="U4" s="5">
        <f>SUM(J4:M4)</f>
        <v>4509.8440000000001</v>
      </c>
      <c r="V4" s="1">
        <f>V3-V5</f>
        <v>4963.7505084999993</v>
      </c>
      <c r="W4" s="1">
        <f t="shared" ref="W4:AC4" si="1">W3-W5</f>
        <v>5708.3130847749981</v>
      </c>
      <c r="X4" s="1">
        <f t="shared" si="1"/>
        <v>6564.560047491248</v>
      </c>
      <c r="Y4" s="1">
        <f t="shared" si="1"/>
        <v>7549.2440546149337</v>
      </c>
      <c r="Z4" s="1">
        <f t="shared" si="1"/>
        <v>8681.6306628071725</v>
      </c>
      <c r="AA4" s="1">
        <f t="shared" si="1"/>
        <v>9983.8752622282482</v>
      </c>
      <c r="AB4" s="1">
        <f t="shared" si="1"/>
        <v>11481.456551562485</v>
      </c>
      <c r="AC4" s="1">
        <f t="shared" si="1"/>
        <v>13203.675034296855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2:215" s="3" customFormat="1" x14ac:dyDescent="0.25">
      <c r="B5" s="3" t="s">
        <v>17</v>
      </c>
      <c r="C5" s="4"/>
      <c r="D5" s="4">
        <f>+D3-D4</f>
        <v>972.45</v>
      </c>
      <c r="E5" s="4">
        <f>+E3-E4</f>
        <v>1023.0840000000001</v>
      </c>
      <c r="F5" s="4">
        <f>+F3-F4</f>
        <v>1045.3699999999999</v>
      </c>
      <c r="G5" s="4">
        <f>+G3-G4</f>
        <v>1136.6000000000001</v>
      </c>
      <c r="H5" s="4">
        <f>+H3-H4</f>
        <v>1221.153</v>
      </c>
      <c r="I5" s="4">
        <v>1122</v>
      </c>
      <c r="J5" s="4">
        <f>+J3-J4</f>
        <v>1402.0000000000002</v>
      </c>
      <c r="K5" s="4">
        <f>+K3-K4</f>
        <v>1944.5199999999998</v>
      </c>
      <c r="L5" s="4">
        <f>+L3-L4</f>
        <v>2065.9354000000003</v>
      </c>
      <c r="M5" s="4">
        <f>+M3-M4</f>
        <v>2410</v>
      </c>
      <c r="O5" s="15"/>
      <c r="P5" s="4"/>
      <c r="Q5" s="4"/>
      <c r="R5" s="4"/>
      <c r="S5" s="4"/>
      <c r="T5" s="4">
        <f>+T3-T4</f>
        <v>4525.1229999999996</v>
      </c>
      <c r="U5" s="4">
        <f>+U3-U4</f>
        <v>7822.4553999999998</v>
      </c>
      <c r="V5" s="4">
        <f>V3*0.65</f>
        <v>9218.3938014999985</v>
      </c>
      <c r="W5" s="4">
        <f t="shared" ref="W5:AC5" si="2">W3*0.65</f>
        <v>10601.152871724998</v>
      </c>
      <c r="X5" s="4">
        <f t="shared" si="2"/>
        <v>12191.325802483747</v>
      </c>
      <c r="Y5" s="4">
        <f t="shared" si="2"/>
        <v>14020.024672856307</v>
      </c>
      <c r="Z5" s="4">
        <f t="shared" si="2"/>
        <v>16123.028373784753</v>
      </c>
      <c r="AA5" s="4">
        <f t="shared" si="2"/>
        <v>18541.482629852464</v>
      </c>
      <c r="AB5" s="4">
        <f t="shared" si="2"/>
        <v>21322.705024330331</v>
      </c>
      <c r="AC5" s="4">
        <f t="shared" si="2"/>
        <v>24521.11077797988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</row>
    <row r="6" spans="2:215" x14ac:dyDescent="0.25">
      <c r="B6" t="s">
        <v>18</v>
      </c>
      <c r="D6" s="5">
        <v>260.79399999999998</v>
      </c>
      <c r="E6" s="5">
        <v>280.24</v>
      </c>
      <c r="F6" s="5">
        <v>288.14999999999998</v>
      </c>
      <c r="G6" s="5">
        <v>302.2</v>
      </c>
      <c r="H6" s="5">
        <v>306.61700000000002</v>
      </c>
      <c r="I6" s="5">
        <v>399.12099999999998</v>
      </c>
      <c r="J6" s="5">
        <v>426.78</v>
      </c>
      <c r="K6" s="5">
        <v>420.9</v>
      </c>
      <c r="L6" s="5">
        <f>H6*1.4</f>
        <v>429.2638</v>
      </c>
      <c r="M6" s="5">
        <f>I6*1.2</f>
        <v>478.94519999999994</v>
      </c>
      <c r="P6" s="1"/>
      <c r="Q6" s="1"/>
      <c r="R6" s="1"/>
      <c r="S6" s="1"/>
      <c r="T6" s="5">
        <f>SUM(F6:I6)</f>
        <v>1296.0879999999997</v>
      </c>
      <c r="U6" s="5">
        <f>SUM(J6:M6)</f>
        <v>1755.8889999999999</v>
      </c>
      <c r="V6" s="1">
        <f>U6*1.2</f>
        <v>2107.0667999999996</v>
      </c>
      <c r="W6" s="1">
        <f t="shared" ref="W6:AB6" si="3">V6*1.2</f>
        <v>2528.4801599999996</v>
      </c>
      <c r="X6" s="1">
        <f t="shared" si="3"/>
        <v>3034.1761919999994</v>
      </c>
      <c r="Y6" s="1">
        <f t="shared" si="3"/>
        <v>3641.0114303999994</v>
      </c>
      <c r="Z6" s="1">
        <f t="shared" si="3"/>
        <v>4369.2137164799988</v>
      </c>
      <c r="AA6" s="1">
        <f t="shared" si="3"/>
        <v>5243.0564597759985</v>
      </c>
      <c r="AB6" s="1">
        <f t="shared" si="3"/>
        <v>6291.6677517311982</v>
      </c>
      <c r="AC6" s="1">
        <f>AB6*0.95</f>
        <v>5977.0843641446381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2:215" x14ac:dyDescent="0.25">
      <c r="B7" t="s">
        <v>19</v>
      </c>
      <c r="D7" s="5">
        <f>153.753+31.83</f>
        <v>185.58299999999997</v>
      </c>
      <c r="E7" s="5">
        <f>165.115+8.051</f>
        <v>173.166</v>
      </c>
      <c r="F7" s="5">
        <f>185.275+0.438</f>
        <v>185.71299999999999</v>
      </c>
      <c r="G7" s="5">
        <f>206.6+0.3</f>
        <v>206.9</v>
      </c>
      <c r="H7" s="5">
        <f>206.076-8.9</f>
        <v>197.17599999999999</v>
      </c>
      <c r="I7" s="5">
        <f>317.455+92.645</f>
        <v>410.09999999999997</v>
      </c>
      <c r="J7" s="5">
        <f>297.365+59.78</f>
        <v>357.14499999999998</v>
      </c>
      <c r="K7" s="5">
        <f>305.3+46.7</f>
        <v>352</v>
      </c>
      <c r="L7" s="5">
        <f>305.3+46.7</f>
        <v>352</v>
      </c>
      <c r="M7" s="5">
        <f>305.3+46.7</f>
        <v>352</v>
      </c>
      <c r="P7" s="1"/>
      <c r="Q7" s="1"/>
      <c r="R7" s="1"/>
      <c r="S7" s="1"/>
      <c r="T7" s="5">
        <f>SUM(F7:I7)</f>
        <v>999.8889999999999</v>
      </c>
      <c r="U7" s="5">
        <f>SUM(J7:M7)</f>
        <v>1413.145</v>
      </c>
      <c r="V7" s="1">
        <f>U7*1.1</f>
        <v>1554.4595000000002</v>
      </c>
      <c r="W7" s="1">
        <f t="shared" ref="W7:AB7" si="4">V7*1.1</f>
        <v>1709.9054500000004</v>
      </c>
      <c r="X7" s="1">
        <f t="shared" si="4"/>
        <v>1880.8959950000005</v>
      </c>
      <c r="Y7" s="1">
        <f t="shared" si="4"/>
        <v>2068.9855945000008</v>
      </c>
      <c r="Z7" s="1">
        <f t="shared" si="4"/>
        <v>2275.8841539500013</v>
      </c>
      <c r="AA7" s="1">
        <f t="shared" si="4"/>
        <v>2503.4725693450018</v>
      </c>
      <c r="AB7" s="1">
        <f t="shared" si="4"/>
        <v>2753.8198262795022</v>
      </c>
      <c r="AC7" s="1">
        <f>AB7*1.01</f>
        <v>2781.3580245422972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2:215" x14ac:dyDescent="0.25">
      <c r="B8" t="s">
        <v>20</v>
      </c>
      <c r="D8" s="5">
        <v>107.077</v>
      </c>
      <c r="E8" s="5">
        <v>108</v>
      </c>
      <c r="F8" s="5">
        <v>107.6</v>
      </c>
      <c r="G8" s="5">
        <v>107.8</v>
      </c>
      <c r="H8" s="5">
        <v>107.8</v>
      </c>
      <c r="I8" s="5">
        <v>213.6</v>
      </c>
      <c r="J8" s="5">
        <v>253.4</v>
      </c>
      <c r="K8" s="5">
        <v>253.5</v>
      </c>
      <c r="L8" s="5">
        <v>253.5</v>
      </c>
      <c r="M8" s="5">
        <v>253.5</v>
      </c>
      <c r="P8" s="1"/>
      <c r="Q8" s="1"/>
      <c r="R8" s="1"/>
      <c r="S8" s="1"/>
      <c r="T8" s="5">
        <f>SUM(F8:I8)</f>
        <v>536.79999999999995</v>
      </c>
      <c r="U8" s="5">
        <f>SUM(J8:M8)</f>
        <v>1013.9</v>
      </c>
      <c r="V8" s="1">
        <f>U8*1.1</f>
        <v>1115.29</v>
      </c>
      <c r="W8" s="1">
        <f t="shared" ref="W8:AC8" si="5">V8*1.1</f>
        <v>1226.819</v>
      </c>
      <c r="X8" s="1">
        <f t="shared" si="5"/>
        <v>1349.5009</v>
      </c>
      <c r="Y8" s="1">
        <f t="shared" si="5"/>
        <v>1484.45099</v>
      </c>
      <c r="Z8" s="1">
        <f t="shared" si="5"/>
        <v>1632.8960890000001</v>
      </c>
      <c r="AA8" s="1">
        <f t="shared" si="5"/>
        <v>1796.1856979000002</v>
      </c>
      <c r="AB8" s="1">
        <f t="shared" si="5"/>
        <v>1975.8042676900004</v>
      </c>
      <c r="AC8" s="1">
        <f t="shared" si="5"/>
        <v>2173.3846944590005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2:215" x14ac:dyDescent="0.25">
      <c r="B9" t="s">
        <v>26</v>
      </c>
      <c r="D9" s="5">
        <f t="shared" ref="D9:M9" si="6">SUM(D6:D8)</f>
        <v>553.45399999999995</v>
      </c>
      <c r="E9" s="5">
        <f t="shared" si="6"/>
        <v>561.40599999999995</v>
      </c>
      <c r="F9" s="5">
        <f t="shared" si="6"/>
        <v>581.46299999999997</v>
      </c>
      <c r="G9" s="5">
        <f t="shared" si="6"/>
        <v>616.9</v>
      </c>
      <c r="H9" s="5">
        <f t="shared" si="6"/>
        <v>611.59299999999996</v>
      </c>
      <c r="I9" s="5">
        <f t="shared" si="6"/>
        <v>1022.821</v>
      </c>
      <c r="J9" s="5">
        <f t="shared" si="6"/>
        <v>1037.325</v>
      </c>
      <c r="K9" s="5">
        <f t="shared" si="6"/>
        <v>1026.4000000000001</v>
      </c>
      <c r="L9" s="5">
        <f t="shared" si="6"/>
        <v>1034.7637999999999</v>
      </c>
      <c r="M9" s="5">
        <f t="shared" si="6"/>
        <v>1084.4451999999999</v>
      </c>
      <c r="P9" s="1"/>
      <c r="Q9" s="1"/>
      <c r="R9" s="1"/>
      <c r="S9" s="1"/>
      <c r="T9" s="5">
        <f>SUM(T6:T8)</f>
        <v>2832.777</v>
      </c>
      <c r="U9" s="5">
        <f>SUM(U6:U8)</f>
        <v>4182.9339999999993</v>
      </c>
      <c r="V9" s="5">
        <f>SUM(V6:V8)</f>
        <v>4776.8162999999995</v>
      </c>
      <c r="W9" s="5">
        <f t="shared" ref="W9:AC9" si="7">SUM(W6:W8)</f>
        <v>5465.2046100000007</v>
      </c>
      <c r="X9" s="5">
        <f t="shared" si="7"/>
        <v>6264.5730869999998</v>
      </c>
      <c r="Y9" s="5">
        <f t="shared" si="7"/>
        <v>7194.4480149000001</v>
      </c>
      <c r="Z9" s="5">
        <f t="shared" si="7"/>
        <v>8277.9939594299994</v>
      </c>
      <c r="AA9" s="5">
        <f t="shared" si="7"/>
        <v>9542.7147270210007</v>
      </c>
      <c r="AB9" s="5">
        <f t="shared" si="7"/>
        <v>11021.2918457007</v>
      </c>
      <c r="AC9" s="5">
        <f t="shared" si="7"/>
        <v>10931.827083145936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</row>
    <row r="10" spans="2:215" s="3" customFormat="1" x14ac:dyDescent="0.25">
      <c r="B10" s="3" t="s">
        <v>27</v>
      </c>
      <c r="C10" s="4"/>
      <c r="D10" s="4">
        <f t="shared" ref="D10:M10" si="8">+D3-D9-D4</f>
        <v>418.99600000000004</v>
      </c>
      <c r="E10" s="4">
        <f t="shared" si="8"/>
        <v>461.67800000000011</v>
      </c>
      <c r="F10" s="4">
        <f t="shared" si="8"/>
        <v>463.90700000000004</v>
      </c>
      <c r="G10" s="4">
        <f t="shared" si="8"/>
        <v>519.70000000000005</v>
      </c>
      <c r="H10" s="4">
        <f t="shared" si="8"/>
        <v>609.56000000000017</v>
      </c>
      <c r="I10" s="4">
        <f t="shared" si="8"/>
        <v>99.179000000000087</v>
      </c>
      <c r="J10" s="4">
        <f t="shared" si="8"/>
        <v>364.67500000000018</v>
      </c>
      <c r="K10" s="4">
        <f t="shared" si="8"/>
        <v>918.11999999999966</v>
      </c>
      <c r="L10" s="4">
        <f t="shared" si="8"/>
        <v>1031.1716000000006</v>
      </c>
      <c r="M10" s="4">
        <f t="shared" si="8"/>
        <v>1325.5547999999999</v>
      </c>
      <c r="O10" s="15"/>
      <c r="P10" s="4"/>
      <c r="Q10" s="4"/>
      <c r="R10" s="4"/>
      <c r="S10" s="4"/>
      <c r="T10" s="4">
        <f>+T3-T9-T4</f>
        <v>1692.3459999999995</v>
      </c>
      <c r="U10" s="4">
        <f>+U3-U9-U4</f>
        <v>3639.5214000000005</v>
      </c>
      <c r="V10" s="4">
        <f t="shared" ref="V10:AC10" si="9">+V3-V9-V4</f>
        <v>4441.5775014999981</v>
      </c>
      <c r="W10" s="4">
        <f t="shared" si="9"/>
        <v>5135.9482617249978</v>
      </c>
      <c r="X10" s="4">
        <f t="shared" si="9"/>
        <v>5926.7527154837462</v>
      </c>
      <c r="Y10" s="4">
        <f t="shared" si="9"/>
        <v>6825.576657956306</v>
      </c>
      <c r="Z10" s="4">
        <f t="shared" si="9"/>
        <v>7845.0344143547518</v>
      </c>
      <c r="AA10" s="4">
        <f t="shared" si="9"/>
        <v>8998.7679028314633</v>
      </c>
      <c r="AB10" s="4">
        <f t="shared" si="9"/>
        <v>10301.413178629631</v>
      </c>
      <c r="AC10" s="4">
        <f t="shared" si="9"/>
        <v>13589.283694833943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</row>
    <row r="11" spans="2:215" x14ac:dyDescent="0.25">
      <c r="B11" t="s">
        <v>22</v>
      </c>
      <c r="D11" s="5">
        <f>45.914-0.504</f>
        <v>45.410000000000004</v>
      </c>
      <c r="E11" s="5">
        <f>48.593-0.527</f>
        <v>48.066000000000003</v>
      </c>
      <c r="F11" s="5">
        <f>42.5-0.2</f>
        <v>42.3</v>
      </c>
      <c r="G11" s="5">
        <f>43.066-0.29</f>
        <v>42.776000000000003</v>
      </c>
      <c r="H11" s="5">
        <f>44.7-0.3</f>
        <v>44.400000000000006</v>
      </c>
      <c r="I11" s="5">
        <f>54.621-0.421</f>
        <v>54.2</v>
      </c>
      <c r="J11" s="5">
        <f>51.964-0.218</f>
        <v>51.745999999999995</v>
      </c>
      <c r="K11" s="5">
        <f>49.578-0.563</f>
        <v>49.015000000000001</v>
      </c>
      <c r="L11" s="5">
        <f>49.578-0.563</f>
        <v>49.015000000000001</v>
      </c>
      <c r="M11" s="5">
        <f>49.578-0.563</f>
        <v>49.015000000000001</v>
      </c>
      <c r="P11" s="1"/>
      <c r="Q11" s="1"/>
      <c r="R11" s="1"/>
      <c r="S11" s="1"/>
      <c r="T11" s="5">
        <f>SUM(F11:I11)</f>
        <v>183.67599999999999</v>
      </c>
      <c r="U11" s="5">
        <f>SUM(J11:M11)</f>
        <v>198.791</v>
      </c>
      <c r="V11" s="1">
        <f>U11*1.05</f>
        <v>208.73054999999999</v>
      </c>
      <c r="W11" s="1">
        <f t="shared" ref="W11:AC11" si="10">V11*1.05</f>
        <v>219.1670775</v>
      </c>
      <c r="X11" s="1">
        <f t="shared" si="10"/>
        <v>230.12543137500001</v>
      </c>
      <c r="Y11" s="1">
        <f t="shared" si="10"/>
        <v>241.63170294375001</v>
      </c>
      <c r="Z11" s="1">
        <f t="shared" si="10"/>
        <v>253.71328809093754</v>
      </c>
      <c r="AA11" s="1">
        <f t="shared" si="10"/>
        <v>266.39895249548442</v>
      </c>
      <c r="AB11" s="1">
        <f t="shared" si="10"/>
        <v>279.71890012025864</v>
      </c>
      <c r="AC11" s="1">
        <f t="shared" si="10"/>
        <v>293.70484512627161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2:215" x14ac:dyDescent="0.25">
      <c r="B12" t="s">
        <v>21</v>
      </c>
      <c r="D12" s="5">
        <v>0.68</v>
      </c>
      <c r="E12" s="5">
        <v>-3.7</v>
      </c>
      <c r="F12" s="5">
        <v>-15</v>
      </c>
      <c r="G12" s="5">
        <v>0.92900000000000005</v>
      </c>
      <c r="H12" s="5">
        <v>-6.99</v>
      </c>
      <c r="I12" s="5">
        <f>215.15-14.2</f>
        <v>200.95000000000002</v>
      </c>
      <c r="J12" s="5">
        <v>-10.544</v>
      </c>
      <c r="K12" s="5">
        <v>-10.069000000000001</v>
      </c>
      <c r="L12" s="5">
        <v>-10.069000000000001</v>
      </c>
      <c r="M12" s="5">
        <v>-10.069000000000001</v>
      </c>
      <c r="P12" s="1"/>
      <c r="Q12" s="1"/>
      <c r="R12" s="1"/>
      <c r="S12" s="1"/>
      <c r="T12" s="5">
        <f>SUM(F12:I12)</f>
        <v>179.88900000000001</v>
      </c>
      <c r="U12" s="5">
        <f>SUM(J12:M12)</f>
        <v>-40.751000000000005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2:215" s="3" customFormat="1" x14ac:dyDescent="0.25">
      <c r="B13" s="3" t="s">
        <v>25</v>
      </c>
      <c r="C13" s="4"/>
      <c r="D13" s="4">
        <f t="shared" ref="D13:M13" si="11">+D11+D12</f>
        <v>46.09</v>
      </c>
      <c r="E13" s="4">
        <f t="shared" si="11"/>
        <v>44.366</v>
      </c>
      <c r="F13" s="4">
        <f t="shared" si="11"/>
        <v>27.299999999999997</v>
      </c>
      <c r="G13" s="4">
        <f t="shared" si="11"/>
        <v>43.705000000000005</v>
      </c>
      <c r="H13" s="4">
        <f t="shared" si="11"/>
        <v>37.410000000000004</v>
      </c>
      <c r="I13" s="4">
        <f t="shared" si="11"/>
        <v>255.15000000000003</v>
      </c>
      <c r="J13" s="4">
        <f t="shared" si="11"/>
        <v>41.201999999999998</v>
      </c>
      <c r="K13" s="4">
        <f t="shared" si="11"/>
        <v>38.945999999999998</v>
      </c>
      <c r="L13" s="4">
        <f t="shared" si="11"/>
        <v>38.945999999999998</v>
      </c>
      <c r="M13" s="4">
        <f t="shared" si="11"/>
        <v>38.945999999999998</v>
      </c>
      <c r="O13" s="15"/>
      <c r="P13" s="4"/>
      <c r="Q13" s="4"/>
      <c r="R13" s="4"/>
      <c r="S13" s="4"/>
      <c r="T13" s="4">
        <f>+T11+T12</f>
        <v>363.565</v>
      </c>
      <c r="U13" s="4">
        <f>+U11+U12</f>
        <v>158.04</v>
      </c>
      <c r="V13" s="4">
        <f>200</f>
        <v>200</v>
      </c>
      <c r="W13" s="4">
        <f>V13*1.05</f>
        <v>210</v>
      </c>
      <c r="X13" s="4">
        <f t="shared" ref="X13:AC13" si="12">W13*1.05</f>
        <v>220.5</v>
      </c>
      <c r="Y13" s="4">
        <f t="shared" si="12"/>
        <v>231.52500000000001</v>
      </c>
      <c r="Z13" s="4">
        <f t="shared" si="12"/>
        <v>243.10125000000002</v>
      </c>
      <c r="AA13" s="4">
        <f t="shared" si="12"/>
        <v>255.25631250000004</v>
      </c>
      <c r="AB13" s="4">
        <f t="shared" si="12"/>
        <v>268.01912812500007</v>
      </c>
      <c r="AC13" s="4">
        <f t="shared" si="12"/>
        <v>281.4200845312501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</row>
    <row r="14" spans="2:215" x14ac:dyDescent="0.25">
      <c r="B14" t="s">
        <v>23</v>
      </c>
      <c r="D14" s="5">
        <v>10.4</v>
      </c>
      <c r="E14" s="5">
        <v>30.78</v>
      </c>
      <c r="F14" s="5">
        <v>48.1</v>
      </c>
      <c r="G14" s="5">
        <v>53.08</v>
      </c>
      <c r="H14" s="5">
        <v>68.966999999999999</v>
      </c>
      <c r="I14" s="5">
        <v>-231.85</v>
      </c>
      <c r="J14" s="5">
        <v>43.478000000000002</v>
      </c>
      <c r="K14" s="5">
        <v>95.97</v>
      </c>
      <c r="L14" s="5">
        <f>L3*0.035</f>
        <v>110.80773900000003</v>
      </c>
      <c r="M14" s="5">
        <f>M3*0.035</f>
        <v>122.85000000000001</v>
      </c>
      <c r="P14" s="1"/>
      <c r="Q14" s="1"/>
      <c r="R14" s="1"/>
      <c r="S14" s="1"/>
      <c r="T14" s="5">
        <f>SUM(F14:I14)</f>
        <v>-61.703000000000003</v>
      </c>
      <c r="U14" s="5">
        <f>SUM(J14:M14)</f>
        <v>373.10573900000003</v>
      </c>
      <c r="V14" s="1">
        <f>V3*0.035</f>
        <v>496.37505084999998</v>
      </c>
      <c r="W14" s="1">
        <f t="shared" ref="W14:AC14" si="13">W3*0.035</f>
        <v>570.83130847749999</v>
      </c>
      <c r="X14" s="1">
        <f t="shared" si="13"/>
        <v>656.45600474912487</v>
      </c>
      <c r="Y14" s="1">
        <f t="shared" si="13"/>
        <v>754.92440546149351</v>
      </c>
      <c r="Z14" s="1">
        <f t="shared" si="13"/>
        <v>868.16306628071743</v>
      </c>
      <c r="AA14" s="1">
        <f t="shared" si="13"/>
        <v>998.38752622282504</v>
      </c>
      <c r="AB14" s="1">
        <f t="shared" si="13"/>
        <v>1148.1456551562487</v>
      </c>
      <c r="AC14" s="1">
        <f t="shared" si="13"/>
        <v>1320.3675034296859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2:215" s="3" customFormat="1" x14ac:dyDescent="0.25">
      <c r="B15" s="3" t="s">
        <v>24</v>
      </c>
      <c r="C15" s="4"/>
      <c r="D15" s="4">
        <f t="shared" ref="D15:M15" si="14">-D14-D13+D10</f>
        <v>362.50600000000003</v>
      </c>
      <c r="E15" s="4">
        <f t="shared" si="14"/>
        <v>386.5320000000001</v>
      </c>
      <c r="F15" s="4">
        <f t="shared" si="14"/>
        <v>388.50700000000006</v>
      </c>
      <c r="G15" s="4">
        <f t="shared" si="14"/>
        <v>422.91500000000008</v>
      </c>
      <c r="H15" s="4">
        <f t="shared" si="14"/>
        <v>503.18300000000016</v>
      </c>
      <c r="I15" s="4">
        <f t="shared" si="14"/>
        <v>75.879000000000048</v>
      </c>
      <c r="J15" s="4">
        <f t="shared" si="14"/>
        <v>279.99500000000018</v>
      </c>
      <c r="K15" s="4">
        <f t="shared" si="14"/>
        <v>783.20399999999972</v>
      </c>
      <c r="L15" s="4">
        <f t="shared" si="14"/>
        <v>881.41786100000058</v>
      </c>
      <c r="M15" s="4">
        <f t="shared" si="14"/>
        <v>1163.7587999999998</v>
      </c>
      <c r="O15" s="15"/>
      <c r="P15" s="4">
        <v>725</v>
      </c>
      <c r="Q15" s="4">
        <v>1501</v>
      </c>
      <c r="R15" s="4">
        <v>1360</v>
      </c>
      <c r="S15" s="4">
        <v>1221</v>
      </c>
      <c r="T15" s="4">
        <f>-T14-T13+T10</f>
        <v>1390.4839999999995</v>
      </c>
      <c r="U15" s="4">
        <f>-U14-U13+U10</f>
        <v>3108.3756610000005</v>
      </c>
      <c r="V15" s="4">
        <f>-V14-V13+V10</f>
        <v>3745.2024506499984</v>
      </c>
      <c r="W15" s="4">
        <f t="shared" ref="W15:AB15" si="15">-W14-W13+W10</f>
        <v>4355.1169532474978</v>
      </c>
      <c r="X15" s="4">
        <f t="shared" si="15"/>
        <v>5049.7967107346212</v>
      </c>
      <c r="Y15" s="4">
        <f t="shared" si="15"/>
        <v>5839.1272524948126</v>
      </c>
      <c r="Z15" s="4">
        <f t="shared" si="15"/>
        <v>6733.7700980740346</v>
      </c>
      <c r="AA15" s="4">
        <f t="shared" si="15"/>
        <v>7745.1240641086388</v>
      </c>
      <c r="AB15" s="4">
        <f t="shared" si="15"/>
        <v>8885.2483953483825</v>
      </c>
      <c r="AC15" s="4">
        <f>AB15*1.09</f>
        <v>9684.9207509297376</v>
      </c>
      <c r="AD15" s="4">
        <f t="shared" ref="AD15:AI15" si="16">AC15*1.09</f>
        <v>10556.563618513415</v>
      </c>
      <c r="AE15" s="4">
        <f t="shared" si="16"/>
        <v>11506.654344179624</v>
      </c>
      <c r="AF15" s="4">
        <f t="shared" si="16"/>
        <v>12542.253235155791</v>
      </c>
      <c r="AG15" s="4">
        <f t="shared" si="16"/>
        <v>13671.056026319813</v>
      </c>
      <c r="AH15" s="4">
        <f t="shared" si="16"/>
        <v>14901.451068688597</v>
      </c>
      <c r="AI15" s="4">
        <f t="shared" si="16"/>
        <v>16242.581664870571</v>
      </c>
      <c r="AJ15" s="4">
        <f>AI15*0.98</f>
        <v>15917.730031573159</v>
      </c>
      <c r="AK15" s="4">
        <f t="shared" ref="AK15:CV15" si="17">AJ15*0.98</f>
        <v>15599.375430941696</v>
      </c>
      <c r="AL15" s="4">
        <f t="shared" si="17"/>
        <v>15287.387922322861</v>
      </c>
      <c r="AM15" s="4">
        <f t="shared" si="17"/>
        <v>14981.640163876404</v>
      </c>
      <c r="AN15" s="4">
        <f t="shared" si="17"/>
        <v>14682.007360598875</v>
      </c>
      <c r="AO15" s="4">
        <f t="shared" si="17"/>
        <v>14388.367213386897</v>
      </c>
      <c r="AP15" s="4">
        <f t="shared" si="17"/>
        <v>14100.599869119158</v>
      </c>
      <c r="AQ15" s="4">
        <f t="shared" si="17"/>
        <v>13818.587871736774</v>
      </c>
      <c r="AR15" s="4">
        <f t="shared" si="17"/>
        <v>13542.216114302038</v>
      </c>
      <c r="AS15" s="4">
        <f t="shared" si="17"/>
        <v>13271.371792015998</v>
      </c>
      <c r="AT15" s="4">
        <f t="shared" si="17"/>
        <v>13005.944356175678</v>
      </c>
      <c r="AU15" s="4">
        <f t="shared" si="17"/>
        <v>12745.825469052164</v>
      </c>
      <c r="AV15" s="4">
        <f t="shared" si="17"/>
        <v>12490.90895967112</v>
      </c>
      <c r="AW15" s="4">
        <f t="shared" si="17"/>
        <v>12241.090780477698</v>
      </c>
      <c r="AX15" s="4">
        <f t="shared" si="17"/>
        <v>11996.268964868144</v>
      </c>
      <c r="AY15" s="4">
        <f t="shared" si="17"/>
        <v>11756.343585570781</v>
      </c>
      <c r="AZ15" s="4">
        <f t="shared" si="17"/>
        <v>11521.216713859365</v>
      </c>
      <c r="BA15" s="4">
        <f t="shared" si="17"/>
        <v>11290.792379582177</v>
      </c>
      <c r="BB15" s="4">
        <f t="shared" si="17"/>
        <v>11064.976531990533</v>
      </c>
      <c r="BC15" s="4">
        <f t="shared" si="17"/>
        <v>10843.677001350721</v>
      </c>
      <c r="BD15" s="4">
        <f t="shared" si="17"/>
        <v>10626.803461323707</v>
      </c>
      <c r="BE15" s="4">
        <f t="shared" si="17"/>
        <v>10414.267392097232</v>
      </c>
      <c r="BF15" s="4">
        <f t="shared" si="17"/>
        <v>10205.982044255286</v>
      </c>
      <c r="BG15" s="4">
        <f t="shared" si="17"/>
        <v>10001.86240337018</v>
      </c>
      <c r="BH15" s="4">
        <f t="shared" si="17"/>
        <v>9801.8251553027767</v>
      </c>
      <c r="BI15" s="4">
        <f t="shared" si="17"/>
        <v>9605.7886521967212</v>
      </c>
      <c r="BJ15" s="4">
        <f t="shared" si="17"/>
        <v>9413.6728791527858</v>
      </c>
      <c r="BK15" s="4">
        <f t="shared" si="17"/>
        <v>9225.3994215697294</v>
      </c>
      <c r="BL15" s="4">
        <f t="shared" si="17"/>
        <v>9040.8914331383348</v>
      </c>
      <c r="BM15" s="4">
        <f t="shared" si="17"/>
        <v>8860.0736044755686</v>
      </c>
      <c r="BN15" s="4">
        <f t="shared" si="17"/>
        <v>8682.8721323860573</v>
      </c>
      <c r="BO15" s="4">
        <f t="shared" si="17"/>
        <v>8509.2146897383354</v>
      </c>
      <c r="BP15" s="4">
        <f t="shared" si="17"/>
        <v>8339.0303959435678</v>
      </c>
      <c r="BQ15" s="4">
        <f t="shared" si="17"/>
        <v>8172.2497880246965</v>
      </c>
      <c r="BR15" s="4">
        <f t="shared" si="17"/>
        <v>8008.8047922642027</v>
      </c>
      <c r="BS15" s="4">
        <f t="shared" si="17"/>
        <v>7848.6286964189185</v>
      </c>
      <c r="BT15" s="4">
        <f t="shared" si="17"/>
        <v>7691.6561224905399</v>
      </c>
      <c r="BU15" s="4">
        <f t="shared" si="17"/>
        <v>7537.8230000407293</v>
      </c>
      <c r="BV15" s="4">
        <f t="shared" si="17"/>
        <v>7387.0665400399148</v>
      </c>
      <c r="BW15" s="4">
        <f t="shared" si="17"/>
        <v>7239.3252092391167</v>
      </c>
      <c r="BX15" s="4">
        <f t="shared" si="17"/>
        <v>7094.5387050543341</v>
      </c>
      <c r="BY15" s="4">
        <f t="shared" si="17"/>
        <v>6952.6479309532469</v>
      </c>
      <c r="BZ15" s="4">
        <f t="shared" si="17"/>
        <v>6813.5949723341819</v>
      </c>
      <c r="CA15" s="4">
        <f t="shared" si="17"/>
        <v>6677.3230728874978</v>
      </c>
      <c r="CB15" s="4">
        <f t="shared" si="17"/>
        <v>6543.7766114297474</v>
      </c>
      <c r="CC15" s="4">
        <f t="shared" si="17"/>
        <v>6412.9010792011522</v>
      </c>
      <c r="CD15" s="4">
        <f t="shared" si="17"/>
        <v>6284.6430576171288</v>
      </c>
      <c r="CE15" s="4">
        <f t="shared" si="17"/>
        <v>6158.9501964647861</v>
      </c>
      <c r="CF15" s="4">
        <f t="shared" si="17"/>
        <v>6035.7711925354906</v>
      </c>
      <c r="CG15" s="4">
        <f t="shared" si="17"/>
        <v>5915.0557686847806</v>
      </c>
      <c r="CH15" s="4">
        <f t="shared" si="17"/>
        <v>5796.7546533110844</v>
      </c>
      <c r="CI15" s="4">
        <f t="shared" si="17"/>
        <v>5680.8195602448623</v>
      </c>
      <c r="CJ15" s="4">
        <f t="shared" si="17"/>
        <v>5567.2031690399654</v>
      </c>
      <c r="CK15" s="4">
        <f t="shared" si="17"/>
        <v>5455.8591056591658</v>
      </c>
      <c r="CL15" s="4">
        <f t="shared" si="17"/>
        <v>5346.741923545982</v>
      </c>
      <c r="CM15" s="4">
        <f t="shared" si="17"/>
        <v>5239.8070850750619</v>
      </c>
      <c r="CN15" s="4">
        <f t="shared" si="17"/>
        <v>5135.0109433735606</v>
      </c>
      <c r="CO15" s="4">
        <f t="shared" si="17"/>
        <v>5032.3107245060892</v>
      </c>
      <c r="CP15" s="4">
        <f t="shared" si="17"/>
        <v>4931.6645100159676</v>
      </c>
      <c r="CQ15" s="4">
        <f t="shared" si="17"/>
        <v>4833.031219815648</v>
      </c>
      <c r="CR15" s="4">
        <f t="shared" si="17"/>
        <v>4736.3705954193347</v>
      </c>
      <c r="CS15" s="4">
        <f t="shared" si="17"/>
        <v>4641.6431835109479</v>
      </c>
      <c r="CT15" s="4">
        <f t="shared" si="17"/>
        <v>4548.8103198407289</v>
      </c>
      <c r="CU15" s="4">
        <f t="shared" si="17"/>
        <v>4457.8341134439142</v>
      </c>
      <c r="CV15" s="4">
        <f t="shared" si="17"/>
        <v>4368.677431175036</v>
      </c>
      <c r="CW15" s="4">
        <f t="shared" ref="CW15:FH15" si="18">CV15*0.98</f>
        <v>4281.303882551535</v>
      </c>
      <c r="CX15" s="4">
        <f t="shared" si="18"/>
        <v>4195.6778049005043</v>
      </c>
      <c r="CY15" s="4">
        <f t="shared" si="18"/>
        <v>4111.764248802494</v>
      </c>
      <c r="CZ15" s="4">
        <f t="shared" si="18"/>
        <v>4029.5289638264439</v>
      </c>
      <c r="DA15" s="4">
        <f t="shared" si="18"/>
        <v>3948.9383845499151</v>
      </c>
      <c r="DB15" s="4">
        <f t="shared" si="18"/>
        <v>3869.9596168589169</v>
      </c>
      <c r="DC15" s="4">
        <f t="shared" si="18"/>
        <v>3792.5604245217387</v>
      </c>
      <c r="DD15" s="4">
        <f t="shared" si="18"/>
        <v>3716.7092160313036</v>
      </c>
      <c r="DE15" s="4">
        <f t="shared" si="18"/>
        <v>3642.3750317106774</v>
      </c>
      <c r="DF15" s="4">
        <f t="shared" si="18"/>
        <v>3569.5275310764637</v>
      </c>
      <c r="DG15" s="4">
        <f t="shared" si="18"/>
        <v>3498.1369804549345</v>
      </c>
      <c r="DH15" s="4">
        <f t="shared" si="18"/>
        <v>3428.1742408458358</v>
      </c>
      <c r="DI15" s="4">
        <f t="shared" si="18"/>
        <v>3359.6107560289192</v>
      </c>
      <c r="DJ15" s="4">
        <f t="shared" si="18"/>
        <v>3292.4185409083407</v>
      </c>
      <c r="DK15" s="4">
        <f t="shared" si="18"/>
        <v>3226.5701700901736</v>
      </c>
      <c r="DL15" s="4">
        <f t="shared" si="18"/>
        <v>3162.0387666883703</v>
      </c>
      <c r="DM15" s="4">
        <f t="shared" si="18"/>
        <v>3098.7979913546028</v>
      </c>
      <c r="DN15" s="4">
        <f t="shared" si="18"/>
        <v>3036.8220315275107</v>
      </c>
      <c r="DO15" s="4">
        <f t="shared" si="18"/>
        <v>2976.0855908969606</v>
      </c>
      <c r="DP15" s="4">
        <f t="shared" si="18"/>
        <v>2916.5638790790213</v>
      </c>
      <c r="DQ15" s="4">
        <f t="shared" si="18"/>
        <v>2858.232601497441</v>
      </c>
      <c r="DR15" s="4">
        <f t="shared" si="18"/>
        <v>2801.0679494674923</v>
      </c>
      <c r="DS15" s="4">
        <f t="shared" si="18"/>
        <v>2745.0465904781422</v>
      </c>
      <c r="DT15" s="4">
        <f t="shared" si="18"/>
        <v>2690.1456586685795</v>
      </c>
      <c r="DU15" s="4">
        <f t="shared" si="18"/>
        <v>2636.342745495208</v>
      </c>
      <c r="DV15" s="4">
        <f t="shared" si="18"/>
        <v>2583.6158905853035</v>
      </c>
      <c r="DW15" s="4">
        <f t="shared" si="18"/>
        <v>2531.9435727735972</v>
      </c>
      <c r="DX15" s="4">
        <f t="shared" si="18"/>
        <v>2481.3047013181254</v>
      </c>
      <c r="DY15" s="4">
        <f t="shared" si="18"/>
        <v>2431.678607291763</v>
      </c>
      <c r="DZ15" s="4">
        <f t="shared" si="18"/>
        <v>2383.0450351459276</v>
      </c>
      <c r="EA15" s="4">
        <f t="shared" si="18"/>
        <v>2335.3841344430089</v>
      </c>
      <c r="EB15" s="4">
        <f t="shared" si="18"/>
        <v>2288.6764517541487</v>
      </c>
      <c r="EC15" s="4">
        <f t="shared" si="18"/>
        <v>2242.9029227190658</v>
      </c>
      <c r="ED15" s="4">
        <f t="shared" si="18"/>
        <v>2198.0448642646843</v>
      </c>
      <c r="EE15" s="4">
        <f t="shared" si="18"/>
        <v>2154.0839669793904</v>
      </c>
      <c r="EF15" s="4">
        <f t="shared" si="18"/>
        <v>2111.0022876398025</v>
      </c>
      <c r="EG15" s="4">
        <f t="shared" si="18"/>
        <v>2068.7822418870064</v>
      </c>
      <c r="EH15" s="4">
        <f t="shared" si="18"/>
        <v>2027.4065970492663</v>
      </c>
      <c r="EI15" s="4">
        <f t="shared" si="18"/>
        <v>1986.8584651082811</v>
      </c>
      <c r="EJ15" s="4">
        <f t="shared" si="18"/>
        <v>1947.1212958061153</v>
      </c>
      <c r="EK15" s="4">
        <f t="shared" si="18"/>
        <v>1908.1788698899929</v>
      </c>
      <c r="EL15" s="4">
        <f t="shared" si="18"/>
        <v>1870.0152924921931</v>
      </c>
      <c r="EM15" s="4">
        <f t="shared" si="18"/>
        <v>1832.6149866423493</v>
      </c>
      <c r="EN15" s="4">
        <f t="shared" si="18"/>
        <v>1795.9626869095023</v>
      </c>
      <c r="EO15" s="4">
        <f t="shared" si="18"/>
        <v>1760.0434331713122</v>
      </c>
      <c r="EP15" s="4">
        <f t="shared" si="18"/>
        <v>1724.842564507886</v>
      </c>
      <c r="EQ15" s="4">
        <f t="shared" si="18"/>
        <v>1690.3457132177282</v>
      </c>
      <c r="ER15" s="4">
        <f t="shared" si="18"/>
        <v>1656.5387989533735</v>
      </c>
      <c r="ES15" s="4">
        <f t="shared" si="18"/>
        <v>1623.408022974306</v>
      </c>
      <c r="ET15" s="4">
        <f t="shared" si="18"/>
        <v>1590.9398625148199</v>
      </c>
      <c r="EU15" s="4">
        <f t="shared" si="18"/>
        <v>1559.1210652645234</v>
      </c>
      <c r="EV15" s="4">
        <f t="shared" si="18"/>
        <v>1527.9386439592329</v>
      </c>
      <c r="EW15" s="4">
        <f t="shared" si="18"/>
        <v>1497.3798710800481</v>
      </c>
      <c r="EX15" s="4">
        <f t="shared" si="18"/>
        <v>1467.4322736584472</v>
      </c>
      <c r="EY15" s="4">
        <f t="shared" si="18"/>
        <v>1438.0836281852783</v>
      </c>
      <c r="EZ15" s="4">
        <f t="shared" si="18"/>
        <v>1409.3219556215727</v>
      </c>
      <c r="FA15" s="4">
        <f t="shared" si="18"/>
        <v>1381.1355165091411</v>
      </c>
      <c r="FB15" s="4">
        <f t="shared" si="18"/>
        <v>1353.5128061789583</v>
      </c>
      <c r="FC15" s="4">
        <f t="shared" si="18"/>
        <v>1326.4425500553791</v>
      </c>
      <c r="FD15" s="4">
        <f t="shared" si="18"/>
        <v>1299.9136990542715</v>
      </c>
      <c r="FE15" s="4">
        <f t="shared" si="18"/>
        <v>1273.915425073186</v>
      </c>
      <c r="FF15" s="4">
        <f t="shared" si="18"/>
        <v>1248.4371165717223</v>
      </c>
      <c r="FG15" s="4">
        <f t="shared" si="18"/>
        <v>1223.4683742402879</v>
      </c>
      <c r="FH15" s="4">
        <f t="shared" si="18"/>
        <v>1198.999006755482</v>
      </c>
      <c r="FI15" s="4">
        <f t="shared" ref="FI15:HG15" si="19">FH15*0.98</f>
        <v>1175.0190266203724</v>
      </c>
      <c r="FJ15" s="4">
        <f t="shared" si="19"/>
        <v>1151.518646087965</v>
      </c>
      <c r="FK15" s="4">
        <f t="shared" si="19"/>
        <v>1128.4882731662055</v>
      </c>
      <c r="FL15" s="4">
        <f t="shared" si="19"/>
        <v>1105.9185077028815</v>
      </c>
      <c r="FM15" s="4">
        <f t="shared" si="19"/>
        <v>1083.8001375488238</v>
      </c>
      <c r="FN15" s="4">
        <f t="shared" si="19"/>
        <v>1062.1241347978473</v>
      </c>
      <c r="FO15" s="4">
        <f t="shared" si="19"/>
        <v>1040.8816521018903</v>
      </c>
      <c r="FP15" s="4">
        <f t="shared" si="19"/>
        <v>1020.0640190598524</v>
      </c>
      <c r="FQ15" s="4">
        <f t="shared" si="19"/>
        <v>999.66273867865539</v>
      </c>
      <c r="FR15" s="4">
        <f t="shared" si="19"/>
        <v>979.6694839050823</v>
      </c>
      <c r="FS15" s="4">
        <f t="shared" si="19"/>
        <v>960.07609422698067</v>
      </c>
      <c r="FT15" s="4">
        <f t="shared" si="19"/>
        <v>940.87457234244107</v>
      </c>
      <c r="FU15" s="4">
        <f t="shared" si="19"/>
        <v>922.05708089559221</v>
      </c>
      <c r="FV15" s="4">
        <f t="shared" si="19"/>
        <v>903.61593927768035</v>
      </c>
      <c r="FW15" s="4">
        <f t="shared" si="19"/>
        <v>885.54362049212671</v>
      </c>
      <c r="FX15" s="4">
        <f t="shared" si="19"/>
        <v>867.83274808228418</v>
      </c>
      <c r="FY15" s="4">
        <f t="shared" si="19"/>
        <v>850.47609312063844</v>
      </c>
      <c r="FZ15" s="4">
        <f t="shared" si="19"/>
        <v>833.4665712582256</v>
      </c>
      <c r="GA15" s="4">
        <f t="shared" si="19"/>
        <v>816.7972398330611</v>
      </c>
      <c r="GB15" s="4">
        <f t="shared" si="19"/>
        <v>800.46129503639986</v>
      </c>
      <c r="GC15" s="4">
        <f t="shared" si="19"/>
        <v>784.45206913567188</v>
      </c>
      <c r="GD15" s="4">
        <f t="shared" si="19"/>
        <v>768.76302775295846</v>
      </c>
      <c r="GE15" s="4">
        <f t="shared" si="19"/>
        <v>753.38776719789928</v>
      </c>
      <c r="GF15" s="4">
        <f t="shared" si="19"/>
        <v>738.32001185394131</v>
      </c>
      <c r="GG15" s="4">
        <f t="shared" si="19"/>
        <v>723.55361161686244</v>
      </c>
      <c r="GH15" s="4">
        <f t="shared" si="19"/>
        <v>709.08253938452515</v>
      </c>
      <c r="GI15" s="4">
        <f t="shared" si="19"/>
        <v>694.90088859683465</v>
      </c>
      <c r="GJ15" s="4">
        <f t="shared" si="19"/>
        <v>681.00287082489797</v>
      </c>
      <c r="GK15" s="4">
        <f t="shared" si="19"/>
        <v>667.38281340840001</v>
      </c>
      <c r="GL15" s="4">
        <f t="shared" si="19"/>
        <v>654.03515714023195</v>
      </c>
      <c r="GM15" s="4">
        <f t="shared" si="19"/>
        <v>640.95445399742732</v>
      </c>
      <c r="GN15" s="4">
        <f t="shared" si="19"/>
        <v>628.1353649174788</v>
      </c>
      <c r="GO15" s="4">
        <f t="shared" si="19"/>
        <v>615.57265761912925</v>
      </c>
      <c r="GP15" s="4">
        <f t="shared" si="19"/>
        <v>603.26120446674668</v>
      </c>
      <c r="GQ15" s="4">
        <f t="shared" si="19"/>
        <v>591.19598037741173</v>
      </c>
      <c r="GR15" s="4">
        <f t="shared" si="19"/>
        <v>579.37206076986354</v>
      </c>
      <c r="GS15" s="4">
        <f t="shared" si="19"/>
        <v>567.7846195544663</v>
      </c>
      <c r="GT15" s="4">
        <f t="shared" si="19"/>
        <v>556.42892716337701</v>
      </c>
      <c r="GU15" s="4">
        <f t="shared" si="19"/>
        <v>545.3003486201095</v>
      </c>
      <c r="GV15" s="4">
        <f t="shared" si="19"/>
        <v>534.39434164770728</v>
      </c>
      <c r="GW15" s="4">
        <f t="shared" si="19"/>
        <v>523.7064548147531</v>
      </c>
      <c r="GX15" s="4">
        <f t="shared" si="19"/>
        <v>513.23232571845801</v>
      </c>
      <c r="GY15" s="4">
        <f t="shared" si="19"/>
        <v>502.96767920408882</v>
      </c>
      <c r="GZ15" s="4">
        <f t="shared" si="19"/>
        <v>492.90832562000702</v>
      </c>
      <c r="HA15" s="4">
        <f t="shared" si="19"/>
        <v>483.05015910760687</v>
      </c>
      <c r="HB15" s="4">
        <f t="shared" si="19"/>
        <v>473.3891559254547</v>
      </c>
      <c r="HC15" s="4">
        <f t="shared" si="19"/>
        <v>463.92137280694561</v>
      </c>
      <c r="HD15" s="4">
        <f t="shared" si="19"/>
        <v>454.64294535080671</v>
      </c>
      <c r="HE15" s="4">
        <f t="shared" si="19"/>
        <v>445.55008644379058</v>
      </c>
      <c r="HF15" s="4">
        <f t="shared" si="19"/>
        <v>436.63908471491476</v>
      </c>
      <c r="HG15" s="4">
        <f t="shared" si="19"/>
        <v>427.90630302061646</v>
      </c>
    </row>
    <row r="16" spans="2:215" x14ac:dyDescent="0.25">
      <c r="B16" t="s">
        <v>1</v>
      </c>
      <c r="D16" s="5">
        <v>368.79</v>
      </c>
      <c r="E16" s="5">
        <v>369.28399999999999</v>
      </c>
      <c r="F16" s="5">
        <v>369.20299999999997</v>
      </c>
      <c r="G16" s="5">
        <v>368.82299999999998</v>
      </c>
      <c r="H16" s="5">
        <v>368.476</v>
      </c>
      <c r="I16" s="5">
        <v>483.34500000000003</v>
      </c>
      <c r="J16" s="5">
        <v>525.29100000000005</v>
      </c>
      <c r="K16" s="5">
        <v>522.37</v>
      </c>
      <c r="L16" s="5">
        <v>522.37</v>
      </c>
      <c r="M16" s="5">
        <v>522.37</v>
      </c>
      <c r="P16" s="5">
        <v>350</v>
      </c>
      <c r="Q16" s="1">
        <v>370</v>
      </c>
      <c r="R16" s="1">
        <v>369</v>
      </c>
      <c r="S16" s="1">
        <v>369</v>
      </c>
      <c r="T16" s="5">
        <f>AVERAGE(F16:I16)</f>
        <v>397.46174999999999</v>
      </c>
      <c r="U16" s="5">
        <f>AVERAGE(J16:M16)</f>
        <v>523.10024999999996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2:78" s="8" customFormat="1" x14ac:dyDescent="0.25">
      <c r="B17" s="6" t="s">
        <v>28</v>
      </c>
      <c r="C17" s="7"/>
      <c r="D17" s="7">
        <f t="shared" ref="D17:M17" si="20">+D15/D16</f>
        <v>0.98296049242116112</v>
      </c>
      <c r="E17" s="7">
        <f t="shared" si="20"/>
        <v>1.0467065997985294</v>
      </c>
      <c r="F17" s="7">
        <f t="shared" si="20"/>
        <v>1.0522855989794235</v>
      </c>
      <c r="G17" s="7">
        <f t="shared" si="20"/>
        <v>1.146661135558249</v>
      </c>
      <c r="H17" s="7">
        <f t="shared" si="20"/>
        <v>1.365578762253173</v>
      </c>
      <c r="I17" s="7">
        <f t="shared" si="20"/>
        <v>0.15698724513546233</v>
      </c>
      <c r="J17" s="7">
        <f t="shared" si="20"/>
        <v>0.53302835951881933</v>
      </c>
      <c r="K17" s="7">
        <f t="shared" si="20"/>
        <v>1.4993280624844454</v>
      </c>
      <c r="L17" s="7">
        <f t="shared" si="20"/>
        <v>1.6873439535195371</v>
      </c>
      <c r="M17" s="7">
        <f t="shared" si="20"/>
        <v>2.2278438654593482</v>
      </c>
      <c r="O17" s="16"/>
      <c r="P17" s="7">
        <f t="shared" ref="P17:S17" si="21">+P15/P16</f>
        <v>2.0714285714285716</v>
      </c>
      <c r="Q17" s="7">
        <f t="shared" si="21"/>
        <v>4.0567567567567568</v>
      </c>
      <c r="R17" s="7">
        <f t="shared" si="21"/>
        <v>3.6856368563685638</v>
      </c>
      <c r="S17" s="7">
        <f t="shared" si="21"/>
        <v>3.3089430894308944</v>
      </c>
      <c r="T17" s="7">
        <f>+T15/T16</f>
        <v>3.4984095953887375</v>
      </c>
      <c r="U17" s="7">
        <f>+U15/U16</f>
        <v>5.9422178846215434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2:78" x14ac:dyDescent="0.25">
      <c r="M18" s="5"/>
      <c r="T18" s="5"/>
      <c r="U18" s="5"/>
    </row>
    <row r="19" spans="2:78" s="12" customFormat="1" x14ac:dyDescent="0.25">
      <c r="B19" s="12" t="s">
        <v>30</v>
      </c>
      <c r="C19" s="13"/>
      <c r="D19" s="13">
        <f t="shared" ref="D19:M19" si="22">D5/D3</f>
        <v>0.66789148351648353</v>
      </c>
      <c r="E19" s="13">
        <f t="shared" si="22"/>
        <v>0.67030554381688989</v>
      </c>
      <c r="F19" s="13">
        <f t="shared" si="22"/>
        <v>0.67077114587477371</v>
      </c>
      <c r="G19" s="13">
        <f t="shared" si="22"/>
        <v>0.68412182496689544</v>
      </c>
      <c r="H19" s="13">
        <f t="shared" si="22"/>
        <v>0.69428940337822431</v>
      </c>
      <c r="I19" s="13">
        <f t="shared" si="22"/>
        <v>0.4794871794871795</v>
      </c>
      <c r="J19" s="13">
        <f t="shared" si="22"/>
        <v>0.52229631561300904</v>
      </c>
      <c r="K19" s="13">
        <f t="shared" si="22"/>
        <v>0.65426585699365825</v>
      </c>
      <c r="L19" s="13">
        <f t="shared" si="22"/>
        <v>0.65255134390929137</v>
      </c>
      <c r="M19" s="13">
        <f t="shared" si="22"/>
        <v>0.68660968660968658</v>
      </c>
      <c r="O19" s="17"/>
      <c r="T19" s="13">
        <f>T5/T3</f>
        <v>0.61829491059425334</v>
      </c>
      <c r="U19" s="13">
        <f>U5/U3</f>
        <v>0.63430631598191656</v>
      </c>
      <c r="V19" s="13">
        <f>V5/V3</f>
        <v>0.65</v>
      </c>
      <c r="W19" s="13">
        <f t="shared" ref="W19:AC19" si="23">W5/W3</f>
        <v>0.65</v>
      </c>
      <c r="X19" s="13">
        <f t="shared" si="23"/>
        <v>0.65</v>
      </c>
      <c r="Y19" s="13">
        <f t="shared" si="23"/>
        <v>0.65</v>
      </c>
      <c r="Z19" s="13">
        <f t="shared" si="23"/>
        <v>0.65</v>
      </c>
      <c r="AA19" s="13">
        <f t="shared" si="23"/>
        <v>0.65</v>
      </c>
      <c r="AB19" s="13">
        <f t="shared" si="23"/>
        <v>0.65</v>
      </c>
      <c r="AC19" s="13">
        <f t="shared" si="23"/>
        <v>0.65</v>
      </c>
      <c r="AD19" s="13" t="e">
        <f t="shared" ref="AD19:BZ19" si="24">AD5/AD3</f>
        <v>#DIV/0!</v>
      </c>
      <c r="AE19" s="13" t="e">
        <f t="shared" si="24"/>
        <v>#DIV/0!</v>
      </c>
      <c r="AF19" s="13" t="e">
        <f t="shared" si="24"/>
        <v>#DIV/0!</v>
      </c>
      <c r="AG19" s="13" t="e">
        <f t="shared" si="24"/>
        <v>#DIV/0!</v>
      </c>
      <c r="AH19" s="13" t="e">
        <f t="shared" si="24"/>
        <v>#DIV/0!</v>
      </c>
      <c r="AI19" s="13" t="e">
        <f t="shared" si="24"/>
        <v>#DIV/0!</v>
      </c>
      <c r="AJ19" s="13" t="e">
        <f t="shared" si="24"/>
        <v>#DIV/0!</v>
      </c>
      <c r="AK19" s="13" t="e">
        <f t="shared" si="24"/>
        <v>#DIV/0!</v>
      </c>
      <c r="AL19" s="13" t="e">
        <f t="shared" si="24"/>
        <v>#DIV/0!</v>
      </c>
      <c r="AM19" s="13" t="e">
        <f t="shared" si="24"/>
        <v>#DIV/0!</v>
      </c>
      <c r="AN19" s="13" t="e">
        <f t="shared" si="24"/>
        <v>#DIV/0!</v>
      </c>
      <c r="AO19" s="13" t="e">
        <f t="shared" si="24"/>
        <v>#DIV/0!</v>
      </c>
      <c r="AP19" s="13" t="e">
        <f t="shared" si="24"/>
        <v>#DIV/0!</v>
      </c>
      <c r="AQ19" s="13" t="e">
        <f t="shared" si="24"/>
        <v>#DIV/0!</v>
      </c>
      <c r="AR19" s="13" t="e">
        <f t="shared" si="24"/>
        <v>#DIV/0!</v>
      </c>
      <c r="AS19" s="13" t="e">
        <f t="shared" si="24"/>
        <v>#DIV/0!</v>
      </c>
      <c r="AT19" s="13" t="e">
        <f t="shared" si="24"/>
        <v>#DIV/0!</v>
      </c>
      <c r="AU19" s="13" t="e">
        <f t="shared" si="24"/>
        <v>#DIV/0!</v>
      </c>
      <c r="AV19" s="13" t="e">
        <f t="shared" si="24"/>
        <v>#DIV/0!</v>
      </c>
      <c r="AW19" s="13" t="e">
        <f t="shared" si="24"/>
        <v>#DIV/0!</v>
      </c>
      <c r="AX19" s="13" t="e">
        <f t="shared" si="24"/>
        <v>#DIV/0!</v>
      </c>
      <c r="AY19" s="13" t="e">
        <f t="shared" si="24"/>
        <v>#DIV/0!</v>
      </c>
      <c r="AZ19" s="13" t="e">
        <f t="shared" si="24"/>
        <v>#DIV/0!</v>
      </c>
      <c r="BA19" s="13" t="e">
        <f t="shared" si="24"/>
        <v>#DIV/0!</v>
      </c>
      <c r="BB19" s="13" t="e">
        <f t="shared" si="24"/>
        <v>#DIV/0!</v>
      </c>
      <c r="BC19" s="13" t="e">
        <f t="shared" si="24"/>
        <v>#DIV/0!</v>
      </c>
      <c r="BD19" s="13" t="e">
        <f t="shared" si="24"/>
        <v>#DIV/0!</v>
      </c>
      <c r="BE19" s="13" t="e">
        <f t="shared" si="24"/>
        <v>#DIV/0!</v>
      </c>
      <c r="BF19" s="13" t="e">
        <f t="shared" si="24"/>
        <v>#DIV/0!</v>
      </c>
      <c r="BG19" s="13" t="e">
        <f t="shared" si="24"/>
        <v>#DIV/0!</v>
      </c>
      <c r="BH19" s="13" t="e">
        <f t="shared" si="24"/>
        <v>#DIV/0!</v>
      </c>
      <c r="BI19" s="13" t="e">
        <f t="shared" si="24"/>
        <v>#DIV/0!</v>
      </c>
      <c r="BJ19" s="13" t="e">
        <f t="shared" si="24"/>
        <v>#DIV/0!</v>
      </c>
      <c r="BK19" s="13" t="e">
        <f t="shared" si="24"/>
        <v>#DIV/0!</v>
      </c>
      <c r="BL19" s="13" t="e">
        <f t="shared" si="24"/>
        <v>#DIV/0!</v>
      </c>
      <c r="BM19" s="13" t="e">
        <f t="shared" si="24"/>
        <v>#DIV/0!</v>
      </c>
      <c r="BN19" s="13" t="e">
        <f t="shared" si="24"/>
        <v>#DIV/0!</v>
      </c>
      <c r="BO19" s="13" t="e">
        <f t="shared" si="24"/>
        <v>#DIV/0!</v>
      </c>
      <c r="BP19" s="13" t="e">
        <f t="shared" si="24"/>
        <v>#DIV/0!</v>
      </c>
      <c r="BQ19" s="13" t="e">
        <f t="shared" si="24"/>
        <v>#DIV/0!</v>
      </c>
      <c r="BR19" s="13" t="e">
        <f t="shared" si="24"/>
        <v>#DIV/0!</v>
      </c>
      <c r="BS19" s="13" t="e">
        <f t="shared" si="24"/>
        <v>#DIV/0!</v>
      </c>
      <c r="BT19" s="13" t="e">
        <f t="shared" si="24"/>
        <v>#DIV/0!</v>
      </c>
      <c r="BU19" s="13" t="e">
        <f t="shared" si="24"/>
        <v>#DIV/0!</v>
      </c>
      <c r="BV19" s="13" t="e">
        <f t="shared" si="24"/>
        <v>#DIV/0!</v>
      </c>
      <c r="BW19" s="13" t="e">
        <f t="shared" si="24"/>
        <v>#DIV/0!</v>
      </c>
      <c r="BX19" s="13" t="e">
        <f t="shared" si="24"/>
        <v>#DIV/0!</v>
      </c>
      <c r="BY19" s="13" t="e">
        <f t="shared" si="24"/>
        <v>#DIV/0!</v>
      </c>
      <c r="BZ19" s="13" t="e">
        <f t="shared" si="24"/>
        <v>#DIV/0!</v>
      </c>
    </row>
    <row r="20" spans="2:78" s="10" customFormat="1" x14ac:dyDescent="0.25">
      <c r="B20" s="10" t="s">
        <v>37</v>
      </c>
      <c r="D20" s="10">
        <f t="shared" ref="D20:M20" si="25">D14/D3</f>
        <v>7.1428571428571435E-3</v>
      </c>
      <c r="E20" s="10">
        <f t="shared" si="25"/>
        <v>2.0166481577938735E-2</v>
      </c>
      <c r="F20" s="10">
        <f t="shared" si="25"/>
        <v>3.0863801445016235E-2</v>
      </c>
      <c r="G20" s="10">
        <f t="shared" si="25"/>
        <v>3.1948958709522086E-2</v>
      </c>
      <c r="H20" s="10">
        <f t="shared" si="25"/>
        <v>3.9211349669358381E-2</v>
      </c>
      <c r="I20" s="10">
        <f t="shared" si="25"/>
        <v>-9.9081196581196573E-2</v>
      </c>
      <c r="J20" s="10">
        <f t="shared" si="25"/>
        <v>1.6197146369630815E-2</v>
      </c>
      <c r="K20" s="10">
        <f t="shared" si="25"/>
        <v>3.2290690913789208E-2</v>
      </c>
      <c r="L20" s="10">
        <f t="shared" si="25"/>
        <v>3.5000000000000003E-2</v>
      </c>
      <c r="M20" s="10">
        <f t="shared" si="25"/>
        <v>3.5000000000000003E-2</v>
      </c>
      <c r="O20" s="18"/>
      <c r="T20" s="10">
        <f>T14/T3</f>
        <v>-8.4308538946670005E-3</v>
      </c>
      <c r="U20" s="10">
        <f>U14/U3</f>
        <v>3.0254352971676963E-2</v>
      </c>
      <c r="V20" s="10">
        <f>V14/V3</f>
        <v>3.5000000000000003E-2</v>
      </c>
      <c r="W20" s="10">
        <f t="shared" ref="W20:AC20" si="26">W14/W3</f>
        <v>3.5000000000000003E-2</v>
      </c>
      <c r="X20" s="10">
        <f t="shared" si="26"/>
        <v>3.5000000000000003E-2</v>
      </c>
      <c r="Y20" s="10">
        <f t="shared" si="26"/>
        <v>3.5000000000000003E-2</v>
      </c>
      <c r="Z20" s="10">
        <f t="shared" si="26"/>
        <v>3.5000000000000003E-2</v>
      </c>
      <c r="AA20" s="10">
        <f t="shared" si="26"/>
        <v>3.5000000000000003E-2</v>
      </c>
      <c r="AB20" s="10">
        <f t="shared" si="26"/>
        <v>3.5000000000000003E-2</v>
      </c>
      <c r="AC20" s="10">
        <f t="shared" si="26"/>
        <v>3.5000000000000003E-2</v>
      </c>
      <c r="AD20" s="10" t="e">
        <f t="shared" ref="AD20:BZ20" si="27">AD14/AD3</f>
        <v>#DIV/0!</v>
      </c>
      <c r="AE20" s="10" t="e">
        <f t="shared" si="27"/>
        <v>#DIV/0!</v>
      </c>
      <c r="AF20" s="10" t="e">
        <f t="shared" si="27"/>
        <v>#DIV/0!</v>
      </c>
      <c r="AG20" s="10" t="e">
        <f t="shared" si="27"/>
        <v>#DIV/0!</v>
      </c>
      <c r="AH20" s="10" t="e">
        <f t="shared" si="27"/>
        <v>#DIV/0!</v>
      </c>
      <c r="AI20" s="10" t="e">
        <f t="shared" si="27"/>
        <v>#DIV/0!</v>
      </c>
      <c r="AJ20" s="10" t="e">
        <f t="shared" si="27"/>
        <v>#DIV/0!</v>
      </c>
      <c r="AK20" s="10" t="e">
        <f t="shared" si="27"/>
        <v>#DIV/0!</v>
      </c>
      <c r="AL20" s="10" t="e">
        <f t="shared" si="27"/>
        <v>#DIV/0!</v>
      </c>
      <c r="AM20" s="10" t="e">
        <f t="shared" si="27"/>
        <v>#DIV/0!</v>
      </c>
      <c r="AN20" s="10" t="e">
        <f t="shared" si="27"/>
        <v>#DIV/0!</v>
      </c>
      <c r="AO20" s="10" t="e">
        <f t="shared" si="27"/>
        <v>#DIV/0!</v>
      </c>
      <c r="AP20" s="10" t="e">
        <f t="shared" si="27"/>
        <v>#DIV/0!</v>
      </c>
      <c r="AQ20" s="10" t="e">
        <f t="shared" si="27"/>
        <v>#DIV/0!</v>
      </c>
      <c r="AR20" s="10" t="e">
        <f t="shared" si="27"/>
        <v>#DIV/0!</v>
      </c>
      <c r="AS20" s="10" t="e">
        <f t="shared" si="27"/>
        <v>#DIV/0!</v>
      </c>
      <c r="AT20" s="10" t="e">
        <f t="shared" si="27"/>
        <v>#DIV/0!</v>
      </c>
      <c r="AU20" s="10" t="e">
        <f t="shared" si="27"/>
        <v>#DIV/0!</v>
      </c>
      <c r="AV20" s="10" t="e">
        <f t="shared" si="27"/>
        <v>#DIV/0!</v>
      </c>
      <c r="AW20" s="10" t="e">
        <f t="shared" si="27"/>
        <v>#DIV/0!</v>
      </c>
      <c r="AX20" s="10" t="e">
        <f t="shared" si="27"/>
        <v>#DIV/0!</v>
      </c>
      <c r="AY20" s="10" t="e">
        <f t="shared" si="27"/>
        <v>#DIV/0!</v>
      </c>
      <c r="AZ20" s="10" t="e">
        <f t="shared" si="27"/>
        <v>#DIV/0!</v>
      </c>
      <c r="BA20" s="10" t="e">
        <f t="shared" si="27"/>
        <v>#DIV/0!</v>
      </c>
      <c r="BB20" s="10" t="e">
        <f t="shared" si="27"/>
        <v>#DIV/0!</v>
      </c>
      <c r="BC20" s="10" t="e">
        <f t="shared" si="27"/>
        <v>#DIV/0!</v>
      </c>
      <c r="BD20" s="10" t="e">
        <f t="shared" si="27"/>
        <v>#DIV/0!</v>
      </c>
      <c r="BE20" s="10" t="e">
        <f t="shared" si="27"/>
        <v>#DIV/0!</v>
      </c>
      <c r="BF20" s="10" t="e">
        <f t="shared" si="27"/>
        <v>#DIV/0!</v>
      </c>
      <c r="BG20" s="10" t="e">
        <f t="shared" si="27"/>
        <v>#DIV/0!</v>
      </c>
      <c r="BH20" s="10" t="e">
        <f t="shared" si="27"/>
        <v>#DIV/0!</v>
      </c>
      <c r="BI20" s="10" t="e">
        <f t="shared" si="27"/>
        <v>#DIV/0!</v>
      </c>
      <c r="BJ20" s="10" t="e">
        <f t="shared" si="27"/>
        <v>#DIV/0!</v>
      </c>
      <c r="BK20" s="10" t="e">
        <f t="shared" si="27"/>
        <v>#DIV/0!</v>
      </c>
      <c r="BL20" s="10" t="e">
        <f t="shared" si="27"/>
        <v>#DIV/0!</v>
      </c>
      <c r="BM20" s="10" t="e">
        <f t="shared" si="27"/>
        <v>#DIV/0!</v>
      </c>
      <c r="BN20" s="10" t="e">
        <f t="shared" si="27"/>
        <v>#DIV/0!</v>
      </c>
      <c r="BO20" s="10" t="e">
        <f t="shared" si="27"/>
        <v>#DIV/0!</v>
      </c>
      <c r="BP20" s="10" t="e">
        <f t="shared" si="27"/>
        <v>#DIV/0!</v>
      </c>
      <c r="BQ20" s="10" t="e">
        <f t="shared" si="27"/>
        <v>#DIV/0!</v>
      </c>
      <c r="BR20" s="10" t="e">
        <f t="shared" si="27"/>
        <v>#DIV/0!</v>
      </c>
      <c r="BS20" s="10" t="e">
        <f t="shared" si="27"/>
        <v>#DIV/0!</v>
      </c>
      <c r="BT20" s="10" t="e">
        <f t="shared" si="27"/>
        <v>#DIV/0!</v>
      </c>
      <c r="BU20" s="10" t="e">
        <f t="shared" si="27"/>
        <v>#DIV/0!</v>
      </c>
      <c r="BV20" s="10" t="e">
        <f t="shared" si="27"/>
        <v>#DIV/0!</v>
      </c>
      <c r="BW20" s="10" t="e">
        <f t="shared" si="27"/>
        <v>#DIV/0!</v>
      </c>
      <c r="BX20" s="10" t="e">
        <f t="shared" si="27"/>
        <v>#DIV/0!</v>
      </c>
      <c r="BY20" s="10" t="e">
        <f t="shared" si="27"/>
        <v>#DIV/0!</v>
      </c>
      <c r="BZ20" s="10" t="e">
        <f t="shared" si="27"/>
        <v>#DIV/0!</v>
      </c>
    </row>
    <row r="21" spans="2:78" s="12" customFormat="1" x14ac:dyDescent="0.25">
      <c r="B21" s="12" t="s">
        <v>46</v>
      </c>
      <c r="C21" s="13"/>
      <c r="D21" s="13">
        <f t="shared" ref="D21:J21" si="28">D3/D6-1</f>
        <v>4.5829505280029448</v>
      </c>
      <c r="E21" s="13">
        <f t="shared" si="28"/>
        <v>4.4463852412218099</v>
      </c>
      <c r="F21" s="13">
        <f t="shared" si="28"/>
        <v>4.4085025160506683</v>
      </c>
      <c r="G21" s="13">
        <f t="shared" si="28"/>
        <v>4.497683653209795</v>
      </c>
      <c r="H21" s="13">
        <f t="shared" si="28"/>
        <v>4.736319251704896</v>
      </c>
      <c r="I21" s="13">
        <f t="shared" si="28"/>
        <v>4.8628836869019674</v>
      </c>
      <c r="J21" s="13">
        <f t="shared" si="28"/>
        <v>5.2896574347438969</v>
      </c>
      <c r="K21" s="13">
        <f>K3/K6-1</f>
        <v>6.0612116892373482</v>
      </c>
      <c r="L21" s="13"/>
      <c r="M21" s="13"/>
      <c r="O21" s="17"/>
      <c r="T21" s="13"/>
    </row>
    <row r="22" spans="2:78" s="12" customFormat="1" x14ac:dyDescent="0.25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7"/>
      <c r="T22" s="13"/>
    </row>
    <row r="23" spans="2:78" s="12" customFormat="1" x14ac:dyDescent="0.25">
      <c r="B23" s="12" t="s">
        <v>29</v>
      </c>
      <c r="C23" s="13"/>
      <c r="D23" s="13" t="e">
        <f>D3/#REF!-1</f>
        <v>#REF!</v>
      </c>
      <c r="E23" s="13" t="e">
        <f t="shared" ref="E23:M23" si="29">E3/A3-1</f>
        <v>#DIV/0!</v>
      </c>
      <c r="F23" s="13" t="e">
        <f t="shared" si="29"/>
        <v>#VALUE!</v>
      </c>
      <c r="G23" s="13" t="e">
        <f t="shared" si="29"/>
        <v>#DIV/0!</v>
      </c>
      <c r="H23" s="13">
        <f t="shared" si="29"/>
        <v>0.20800343406593402</v>
      </c>
      <c r="I23" s="13">
        <f t="shared" si="29"/>
        <v>0.53312433048657026</v>
      </c>
      <c r="J23" s="13">
        <f t="shared" si="29"/>
        <v>0.7224054515354903</v>
      </c>
      <c r="K23" s="13">
        <f t="shared" si="29"/>
        <v>0.78889129649693013</v>
      </c>
      <c r="L23" s="13">
        <f t="shared" si="29"/>
        <v>0.8</v>
      </c>
      <c r="M23" s="13">
        <f t="shared" si="29"/>
        <v>0.5</v>
      </c>
      <c r="O23" s="17"/>
      <c r="Q23" s="12">
        <f t="shared" ref="Q23:T23" si="30">Q3/P3-1</f>
        <v>0.21867658574784654</v>
      </c>
      <c r="R23" s="12">
        <f t="shared" si="30"/>
        <v>-3.7590361445783094E-2</v>
      </c>
      <c r="S23" s="12">
        <f t="shared" si="30"/>
        <v>-6.4763812385244535E-2</v>
      </c>
      <c r="T23" s="12">
        <f t="shared" si="30"/>
        <v>0.30621327860074965</v>
      </c>
      <c r="U23" s="12">
        <f>U3/T3-1</f>
        <v>0.68503661777692337</v>
      </c>
      <c r="V23" s="12">
        <f t="shared" ref="V23:AC23" si="31">V3/U3-1</f>
        <v>0.14999999999999991</v>
      </c>
      <c r="W23" s="12">
        <f t="shared" si="31"/>
        <v>0.14999999999999991</v>
      </c>
      <c r="X23" s="12">
        <f t="shared" si="31"/>
        <v>0.14999999999999991</v>
      </c>
      <c r="Y23" s="12">
        <f t="shared" si="31"/>
        <v>0.14999999999999991</v>
      </c>
      <c r="Z23" s="12">
        <f t="shared" si="31"/>
        <v>0.14999999999999991</v>
      </c>
      <c r="AA23" s="12">
        <f t="shared" si="31"/>
        <v>0.14999999999999991</v>
      </c>
      <c r="AB23" s="12">
        <f t="shared" si="31"/>
        <v>0.14999999999999991</v>
      </c>
      <c r="AC23" s="12">
        <f t="shared" si="31"/>
        <v>0.14999999999999991</v>
      </c>
      <c r="AD23" s="12">
        <f t="shared" ref="AD23:BZ23" si="32">AD3/AC3-1</f>
        <v>-1</v>
      </c>
      <c r="AE23" s="12" t="e">
        <f t="shared" si="32"/>
        <v>#DIV/0!</v>
      </c>
      <c r="AF23" s="12" t="e">
        <f t="shared" si="32"/>
        <v>#DIV/0!</v>
      </c>
      <c r="AG23" s="12" t="e">
        <f t="shared" si="32"/>
        <v>#DIV/0!</v>
      </c>
      <c r="AH23" s="12" t="e">
        <f t="shared" si="32"/>
        <v>#DIV/0!</v>
      </c>
      <c r="AI23" s="12" t="e">
        <f t="shared" si="32"/>
        <v>#DIV/0!</v>
      </c>
      <c r="AJ23" s="12" t="e">
        <f t="shared" si="32"/>
        <v>#DIV/0!</v>
      </c>
      <c r="AK23" s="12" t="e">
        <f t="shared" si="32"/>
        <v>#DIV/0!</v>
      </c>
      <c r="AL23" s="12" t="e">
        <f t="shared" si="32"/>
        <v>#DIV/0!</v>
      </c>
      <c r="AM23" s="12" t="e">
        <f t="shared" si="32"/>
        <v>#DIV/0!</v>
      </c>
      <c r="AN23" s="12" t="e">
        <f t="shared" si="32"/>
        <v>#DIV/0!</v>
      </c>
      <c r="AO23" s="12" t="e">
        <f t="shared" si="32"/>
        <v>#DIV/0!</v>
      </c>
      <c r="AP23" s="12" t="e">
        <f t="shared" si="32"/>
        <v>#DIV/0!</v>
      </c>
      <c r="AQ23" s="12" t="e">
        <f t="shared" si="32"/>
        <v>#DIV/0!</v>
      </c>
      <c r="AR23" s="12" t="e">
        <f t="shared" si="32"/>
        <v>#DIV/0!</v>
      </c>
      <c r="AS23" s="12" t="e">
        <f t="shared" si="32"/>
        <v>#DIV/0!</v>
      </c>
      <c r="AT23" s="12" t="e">
        <f t="shared" si="32"/>
        <v>#DIV/0!</v>
      </c>
      <c r="AU23" s="12" t="e">
        <f t="shared" si="32"/>
        <v>#DIV/0!</v>
      </c>
      <c r="AV23" s="12" t="e">
        <f t="shared" si="32"/>
        <v>#DIV/0!</v>
      </c>
      <c r="AW23" s="12" t="e">
        <f t="shared" si="32"/>
        <v>#DIV/0!</v>
      </c>
      <c r="AX23" s="12" t="e">
        <f t="shared" si="32"/>
        <v>#DIV/0!</v>
      </c>
      <c r="AY23" s="12" t="e">
        <f t="shared" si="32"/>
        <v>#DIV/0!</v>
      </c>
      <c r="AZ23" s="12" t="e">
        <f t="shared" si="32"/>
        <v>#DIV/0!</v>
      </c>
      <c r="BA23" s="12" t="e">
        <f t="shared" si="32"/>
        <v>#DIV/0!</v>
      </c>
      <c r="BB23" s="12" t="e">
        <f t="shared" si="32"/>
        <v>#DIV/0!</v>
      </c>
      <c r="BC23" s="12" t="e">
        <f t="shared" si="32"/>
        <v>#DIV/0!</v>
      </c>
      <c r="BD23" s="12" t="e">
        <f t="shared" si="32"/>
        <v>#DIV/0!</v>
      </c>
      <c r="BE23" s="12" t="e">
        <f t="shared" si="32"/>
        <v>#DIV/0!</v>
      </c>
      <c r="BF23" s="12" t="e">
        <f t="shared" si="32"/>
        <v>#DIV/0!</v>
      </c>
      <c r="BG23" s="12" t="e">
        <f t="shared" si="32"/>
        <v>#DIV/0!</v>
      </c>
      <c r="BH23" s="12" t="e">
        <f t="shared" si="32"/>
        <v>#DIV/0!</v>
      </c>
      <c r="BI23" s="12" t="e">
        <f t="shared" si="32"/>
        <v>#DIV/0!</v>
      </c>
      <c r="BJ23" s="12" t="e">
        <f t="shared" si="32"/>
        <v>#DIV/0!</v>
      </c>
      <c r="BK23" s="12" t="e">
        <f t="shared" si="32"/>
        <v>#DIV/0!</v>
      </c>
      <c r="BL23" s="12" t="e">
        <f t="shared" si="32"/>
        <v>#DIV/0!</v>
      </c>
      <c r="BM23" s="12" t="e">
        <f t="shared" si="32"/>
        <v>#DIV/0!</v>
      </c>
      <c r="BN23" s="12" t="e">
        <f t="shared" si="32"/>
        <v>#DIV/0!</v>
      </c>
      <c r="BO23" s="12" t="e">
        <f t="shared" si="32"/>
        <v>#DIV/0!</v>
      </c>
      <c r="BP23" s="12" t="e">
        <f t="shared" si="32"/>
        <v>#DIV/0!</v>
      </c>
      <c r="BQ23" s="12" t="e">
        <f t="shared" si="32"/>
        <v>#DIV/0!</v>
      </c>
      <c r="BR23" s="12" t="e">
        <f t="shared" si="32"/>
        <v>#DIV/0!</v>
      </c>
      <c r="BS23" s="12" t="e">
        <f t="shared" si="32"/>
        <v>#DIV/0!</v>
      </c>
      <c r="BT23" s="12" t="e">
        <f t="shared" si="32"/>
        <v>#DIV/0!</v>
      </c>
      <c r="BU23" s="12" t="e">
        <f t="shared" si="32"/>
        <v>#DIV/0!</v>
      </c>
      <c r="BV23" s="12" t="e">
        <f t="shared" si="32"/>
        <v>#DIV/0!</v>
      </c>
      <c r="BW23" s="12" t="e">
        <f t="shared" si="32"/>
        <v>#DIV/0!</v>
      </c>
      <c r="BX23" s="12" t="e">
        <f t="shared" si="32"/>
        <v>#DIV/0!</v>
      </c>
      <c r="BY23" s="12" t="e">
        <f t="shared" si="32"/>
        <v>#DIV/0!</v>
      </c>
      <c r="BZ23" s="12" t="e">
        <f t="shared" si="32"/>
        <v>#DIV/0!</v>
      </c>
    </row>
    <row r="24" spans="2:78" s="12" customFormat="1" x14ac:dyDescent="0.25">
      <c r="B24" s="12" t="s">
        <v>38</v>
      </c>
      <c r="C24" s="13"/>
      <c r="D24" s="13"/>
      <c r="E24" s="13"/>
      <c r="F24" s="13"/>
      <c r="G24" s="13"/>
      <c r="H24" s="13">
        <f>H6/D6-1</f>
        <v>0.1757057294262907</v>
      </c>
      <c r="I24" s="13">
        <f t="shared" ref="I24:M24" si="33">I6/E6-1</f>
        <v>0.42421139023693955</v>
      </c>
      <c r="J24" s="13">
        <f t="shared" si="33"/>
        <v>0.48110359187922969</v>
      </c>
      <c r="K24" s="13">
        <f t="shared" si="33"/>
        <v>0.39278623428193238</v>
      </c>
      <c r="L24" s="13">
        <f t="shared" si="33"/>
        <v>0.39999999999999991</v>
      </c>
      <c r="M24" s="13">
        <f t="shared" si="33"/>
        <v>0.19999999999999996</v>
      </c>
      <c r="O24" s="17"/>
      <c r="Q24" s="12" t="e">
        <f t="shared" ref="Q24:T24" si="34">Q6/P6-1</f>
        <v>#DIV/0!</v>
      </c>
      <c r="R24" s="12" t="e">
        <f t="shared" si="34"/>
        <v>#DIV/0!</v>
      </c>
      <c r="S24" s="12" t="e">
        <f t="shared" si="34"/>
        <v>#DIV/0!</v>
      </c>
      <c r="T24" s="12" t="e">
        <f t="shared" si="34"/>
        <v>#DIV/0!</v>
      </c>
      <c r="U24" s="12">
        <f>U6/T6-1</f>
        <v>0.35476063353722909</v>
      </c>
      <c r="V24" s="12">
        <f t="shared" ref="V24:AC24" si="35">V6/U6-1</f>
        <v>0.19999999999999973</v>
      </c>
      <c r="W24" s="12">
        <f t="shared" si="35"/>
        <v>0.19999999999999996</v>
      </c>
      <c r="X24" s="12">
        <f t="shared" si="35"/>
        <v>0.19999999999999996</v>
      </c>
      <c r="Y24" s="12">
        <f t="shared" si="35"/>
        <v>0.19999999999999996</v>
      </c>
      <c r="Z24" s="12">
        <f t="shared" si="35"/>
        <v>0.19999999999999996</v>
      </c>
      <c r="AA24" s="12">
        <f t="shared" si="35"/>
        <v>0.19999999999999996</v>
      </c>
      <c r="AB24" s="12">
        <f t="shared" si="35"/>
        <v>0.19999999999999996</v>
      </c>
      <c r="AC24" s="12">
        <f t="shared" si="35"/>
        <v>-5.0000000000000044E-2</v>
      </c>
      <c r="AD24" s="12">
        <f t="shared" ref="AD24:BZ24" si="36">AD6/AC6-1</f>
        <v>-1</v>
      </c>
      <c r="AE24" s="12" t="e">
        <f t="shared" si="36"/>
        <v>#DIV/0!</v>
      </c>
      <c r="AF24" s="12" t="e">
        <f t="shared" si="36"/>
        <v>#DIV/0!</v>
      </c>
      <c r="AG24" s="12" t="e">
        <f t="shared" si="36"/>
        <v>#DIV/0!</v>
      </c>
      <c r="AH24" s="12" t="e">
        <f t="shared" si="36"/>
        <v>#DIV/0!</v>
      </c>
      <c r="AI24" s="12" t="e">
        <f t="shared" si="36"/>
        <v>#DIV/0!</v>
      </c>
      <c r="AJ24" s="12" t="e">
        <f t="shared" si="36"/>
        <v>#DIV/0!</v>
      </c>
      <c r="AK24" s="12" t="e">
        <f t="shared" si="36"/>
        <v>#DIV/0!</v>
      </c>
      <c r="AL24" s="12" t="e">
        <f t="shared" si="36"/>
        <v>#DIV/0!</v>
      </c>
      <c r="AM24" s="12" t="e">
        <f t="shared" si="36"/>
        <v>#DIV/0!</v>
      </c>
      <c r="AN24" s="12" t="e">
        <f t="shared" si="36"/>
        <v>#DIV/0!</v>
      </c>
      <c r="AO24" s="12" t="e">
        <f t="shared" si="36"/>
        <v>#DIV/0!</v>
      </c>
      <c r="AP24" s="12" t="e">
        <f t="shared" si="36"/>
        <v>#DIV/0!</v>
      </c>
      <c r="AQ24" s="12" t="e">
        <f t="shared" si="36"/>
        <v>#DIV/0!</v>
      </c>
      <c r="AR24" s="12" t="e">
        <f t="shared" si="36"/>
        <v>#DIV/0!</v>
      </c>
      <c r="AS24" s="12" t="e">
        <f t="shared" si="36"/>
        <v>#DIV/0!</v>
      </c>
      <c r="AT24" s="12" t="e">
        <f t="shared" si="36"/>
        <v>#DIV/0!</v>
      </c>
      <c r="AU24" s="12" t="e">
        <f t="shared" si="36"/>
        <v>#DIV/0!</v>
      </c>
      <c r="AV24" s="12" t="e">
        <f t="shared" si="36"/>
        <v>#DIV/0!</v>
      </c>
      <c r="AW24" s="12" t="e">
        <f t="shared" si="36"/>
        <v>#DIV/0!</v>
      </c>
      <c r="AX24" s="12" t="e">
        <f t="shared" si="36"/>
        <v>#DIV/0!</v>
      </c>
      <c r="AY24" s="12" t="e">
        <f t="shared" si="36"/>
        <v>#DIV/0!</v>
      </c>
      <c r="AZ24" s="12" t="e">
        <f t="shared" si="36"/>
        <v>#DIV/0!</v>
      </c>
      <c r="BA24" s="12" t="e">
        <f t="shared" si="36"/>
        <v>#DIV/0!</v>
      </c>
      <c r="BB24" s="12" t="e">
        <f t="shared" si="36"/>
        <v>#DIV/0!</v>
      </c>
      <c r="BC24" s="12" t="e">
        <f t="shared" si="36"/>
        <v>#DIV/0!</v>
      </c>
      <c r="BD24" s="12" t="e">
        <f t="shared" si="36"/>
        <v>#DIV/0!</v>
      </c>
      <c r="BE24" s="12" t="e">
        <f t="shared" si="36"/>
        <v>#DIV/0!</v>
      </c>
      <c r="BF24" s="12" t="e">
        <f t="shared" si="36"/>
        <v>#DIV/0!</v>
      </c>
      <c r="BG24" s="12" t="e">
        <f t="shared" si="36"/>
        <v>#DIV/0!</v>
      </c>
      <c r="BH24" s="12" t="e">
        <f t="shared" si="36"/>
        <v>#DIV/0!</v>
      </c>
      <c r="BI24" s="12" t="e">
        <f t="shared" si="36"/>
        <v>#DIV/0!</v>
      </c>
      <c r="BJ24" s="12" t="e">
        <f t="shared" si="36"/>
        <v>#DIV/0!</v>
      </c>
      <c r="BK24" s="12" t="e">
        <f t="shared" si="36"/>
        <v>#DIV/0!</v>
      </c>
      <c r="BL24" s="12" t="e">
        <f t="shared" si="36"/>
        <v>#DIV/0!</v>
      </c>
      <c r="BM24" s="12" t="e">
        <f t="shared" si="36"/>
        <v>#DIV/0!</v>
      </c>
      <c r="BN24" s="12" t="e">
        <f t="shared" si="36"/>
        <v>#DIV/0!</v>
      </c>
      <c r="BO24" s="12" t="e">
        <f t="shared" si="36"/>
        <v>#DIV/0!</v>
      </c>
      <c r="BP24" s="12" t="e">
        <f t="shared" si="36"/>
        <v>#DIV/0!</v>
      </c>
      <c r="BQ24" s="12" t="e">
        <f t="shared" si="36"/>
        <v>#DIV/0!</v>
      </c>
      <c r="BR24" s="12" t="e">
        <f t="shared" si="36"/>
        <v>#DIV/0!</v>
      </c>
      <c r="BS24" s="12" t="e">
        <f t="shared" si="36"/>
        <v>#DIV/0!</v>
      </c>
      <c r="BT24" s="12" t="e">
        <f t="shared" si="36"/>
        <v>#DIV/0!</v>
      </c>
      <c r="BU24" s="12" t="e">
        <f t="shared" si="36"/>
        <v>#DIV/0!</v>
      </c>
      <c r="BV24" s="12" t="e">
        <f t="shared" si="36"/>
        <v>#DIV/0!</v>
      </c>
      <c r="BW24" s="12" t="e">
        <f t="shared" si="36"/>
        <v>#DIV/0!</v>
      </c>
      <c r="BX24" s="12" t="e">
        <f t="shared" si="36"/>
        <v>#DIV/0!</v>
      </c>
      <c r="BY24" s="12" t="e">
        <f t="shared" si="36"/>
        <v>#DIV/0!</v>
      </c>
      <c r="BZ24" s="12" t="e">
        <f t="shared" si="36"/>
        <v>#DIV/0!</v>
      </c>
    </row>
    <row r="25" spans="2:78" s="12" customFormat="1" x14ac:dyDescent="0.25">
      <c r="B25" s="12" t="s">
        <v>39</v>
      </c>
      <c r="C25" s="13"/>
      <c r="D25" s="13"/>
      <c r="E25" s="13"/>
      <c r="F25" s="13"/>
      <c r="G25" s="13"/>
      <c r="H25" s="12">
        <f t="shared" ref="H25:L25" si="37">H15/D15-1</f>
        <v>0.38806805956315249</v>
      </c>
      <c r="I25" s="12">
        <f t="shared" si="37"/>
        <v>-0.80369283785042367</v>
      </c>
      <c r="J25" s="12">
        <f t="shared" si="37"/>
        <v>-0.2793051347852159</v>
      </c>
      <c r="K25" s="12">
        <f t="shared" si="37"/>
        <v>0.85191823416052781</v>
      </c>
      <c r="L25" s="12">
        <f t="shared" si="37"/>
        <v>0.75168449848266006</v>
      </c>
      <c r="M25" s="12">
        <f>M15/I15-1</f>
        <v>14.33703396196575</v>
      </c>
      <c r="O25" s="17"/>
      <c r="Q25" s="12">
        <f t="shared" ref="Q25:T25" si="38">Q15/P15-1</f>
        <v>1.0703448275862071</v>
      </c>
      <c r="R25" s="12">
        <f t="shared" si="38"/>
        <v>-9.3937375083277819E-2</v>
      </c>
      <c r="S25" s="12">
        <f t="shared" si="38"/>
        <v>-0.10220588235294115</v>
      </c>
      <c r="T25" s="12">
        <f t="shared" si="38"/>
        <v>0.13880753480753438</v>
      </c>
      <c r="U25" s="12">
        <f>U15/T15-1</f>
        <v>1.2354630912689406</v>
      </c>
      <c r="V25" s="12">
        <f t="shared" ref="V25:AC25" si="39">V15/U15-1</f>
        <v>0.20487446148806976</v>
      </c>
      <c r="W25" s="12">
        <f t="shared" si="39"/>
        <v>0.16285221176538678</v>
      </c>
      <c r="X25" s="12">
        <f t="shared" si="39"/>
        <v>0.15950886392823937</v>
      </c>
      <c r="Y25" s="12">
        <f t="shared" si="39"/>
        <v>0.15630936985686361</v>
      </c>
      <c r="Z25" s="12">
        <f t="shared" si="39"/>
        <v>0.15321516502264587</v>
      </c>
      <c r="AA25" s="12">
        <f t="shared" si="39"/>
        <v>0.15019134174537196</v>
      </c>
      <c r="AB25" s="12">
        <f t="shared" si="39"/>
        <v>0.14720543167580069</v>
      </c>
      <c r="AC25" s="12">
        <f t="shared" si="39"/>
        <v>9.000000000000008E-2</v>
      </c>
      <c r="AD25" s="12">
        <f t="shared" ref="AD25:BZ25" si="40">AD15/AC15-1</f>
        <v>9.000000000000008E-2</v>
      </c>
      <c r="AE25" s="12">
        <f t="shared" si="40"/>
        <v>9.000000000000008E-2</v>
      </c>
      <c r="AF25" s="12">
        <f t="shared" si="40"/>
        <v>9.000000000000008E-2</v>
      </c>
      <c r="AG25" s="12">
        <f t="shared" si="40"/>
        <v>9.000000000000008E-2</v>
      </c>
      <c r="AH25" s="12">
        <f t="shared" si="40"/>
        <v>9.000000000000008E-2</v>
      </c>
      <c r="AI25" s="12">
        <f t="shared" si="40"/>
        <v>9.000000000000008E-2</v>
      </c>
      <c r="AJ25" s="12">
        <f t="shared" si="40"/>
        <v>-2.0000000000000018E-2</v>
      </c>
      <c r="AK25" s="12">
        <f t="shared" si="40"/>
        <v>-2.0000000000000018E-2</v>
      </c>
      <c r="AL25" s="12">
        <f t="shared" si="40"/>
        <v>-2.0000000000000018E-2</v>
      </c>
      <c r="AM25" s="12">
        <f t="shared" si="40"/>
        <v>-2.0000000000000018E-2</v>
      </c>
      <c r="AN25" s="12">
        <f t="shared" si="40"/>
        <v>-2.0000000000000018E-2</v>
      </c>
      <c r="AO25" s="12">
        <f t="shared" si="40"/>
        <v>-2.0000000000000018E-2</v>
      </c>
      <c r="AP25" s="12">
        <f t="shared" si="40"/>
        <v>-2.0000000000000018E-2</v>
      </c>
      <c r="AQ25" s="12">
        <f t="shared" si="40"/>
        <v>-2.0000000000000018E-2</v>
      </c>
      <c r="AR25" s="12">
        <f t="shared" si="40"/>
        <v>-2.0000000000000018E-2</v>
      </c>
      <c r="AS25" s="12">
        <f t="shared" si="40"/>
        <v>-2.0000000000000018E-2</v>
      </c>
      <c r="AT25" s="12">
        <f t="shared" si="40"/>
        <v>-2.0000000000000018E-2</v>
      </c>
      <c r="AU25" s="12">
        <f t="shared" si="40"/>
        <v>-2.0000000000000018E-2</v>
      </c>
      <c r="AV25" s="12">
        <f t="shared" si="40"/>
        <v>-2.0000000000000129E-2</v>
      </c>
      <c r="AW25" s="12">
        <f t="shared" si="40"/>
        <v>-2.0000000000000018E-2</v>
      </c>
      <c r="AX25" s="12">
        <f t="shared" si="40"/>
        <v>-2.0000000000000018E-2</v>
      </c>
      <c r="AY25" s="12">
        <f t="shared" si="40"/>
        <v>-2.0000000000000018E-2</v>
      </c>
      <c r="AZ25" s="12">
        <f t="shared" si="40"/>
        <v>-2.0000000000000018E-2</v>
      </c>
      <c r="BA25" s="12">
        <f t="shared" si="40"/>
        <v>-2.0000000000000018E-2</v>
      </c>
      <c r="BB25" s="12">
        <f t="shared" si="40"/>
        <v>-2.0000000000000018E-2</v>
      </c>
      <c r="BC25" s="12">
        <f t="shared" si="40"/>
        <v>-2.0000000000000129E-2</v>
      </c>
      <c r="BD25" s="12">
        <f t="shared" si="40"/>
        <v>-2.0000000000000018E-2</v>
      </c>
      <c r="BE25" s="12">
        <f t="shared" si="40"/>
        <v>-2.0000000000000018E-2</v>
      </c>
      <c r="BF25" s="12">
        <f t="shared" si="40"/>
        <v>-2.0000000000000129E-2</v>
      </c>
      <c r="BG25" s="12">
        <f t="shared" si="40"/>
        <v>-2.0000000000000129E-2</v>
      </c>
      <c r="BH25" s="12">
        <f t="shared" si="40"/>
        <v>-1.9999999999999907E-2</v>
      </c>
      <c r="BI25" s="12">
        <f t="shared" si="40"/>
        <v>-2.0000000000000018E-2</v>
      </c>
      <c r="BJ25" s="12">
        <f t="shared" si="40"/>
        <v>-2.0000000000000129E-2</v>
      </c>
      <c r="BK25" s="12">
        <f t="shared" si="40"/>
        <v>-2.0000000000000018E-2</v>
      </c>
      <c r="BL25" s="12">
        <f t="shared" si="40"/>
        <v>-2.0000000000000018E-2</v>
      </c>
      <c r="BM25" s="12">
        <f t="shared" si="40"/>
        <v>-1.9999999999999907E-2</v>
      </c>
      <c r="BN25" s="12">
        <f t="shared" si="40"/>
        <v>-2.0000000000000018E-2</v>
      </c>
      <c r="BO25" s="12">
        <f t="shared" si="40"/>
        <v>-2.0000000000000129E-2</v>
      </c>
      <c r="BP25" s="12">
        <f t="shared" si="40"/>
        <v>-2.0000000000000129E-2</v>
      </c>
      <c r="BQ25" s="12">
        <f t="shared" si="40"/>
        <v>-2.0000000000000018E-2</v>
      </c>
      <c r="BR25" s="12">
        <f t="shared" si="40"/>
        <v>-2.0000000000000018E-2</v>
      </c>
      <c r="BS25" s="12">
        <f t="shared" si="40"/>
        <v>-2.0000000000000018E-2</v>
      </c>
      <c r="BT25" s="12">
        <f t="shared" si="40"/>
        <v>-2.0000000000000018E-2</v>
      </c>
      <c r="BU25" s="12">
        <f t="shared" si="40"/>
        <v>-2.0000000000000018E-2</v>
      </c>
      <c r="BV25" s="12">
        <f t="shared" si="40"/>
        <v>-2.0000000000000018E-2</v>
      </c>
      <c r="BW25" s="12">
        <f t="shared" si="40"/>
        <v>-2.0000000000000018E-2</v>
      </c>
      <c r="BX25" s="12">
        <f t="shared" si="40"/>
        <v>-2.0000000000000018E-2</v>
      </c>
      <c r="BY25" s="12">
        <f t="shared" si="40"/>
        <v>-2.0000000000000018E-2</v>
      </c>
      <c r="BZ25" s="12">
        <f t="shared" si="40"/>
        <v>-2.0000000000000018E-2</v>
      </c>
    </row>
    <row r="29" spans="2:78" x14ac:dyDescent="0.25">
      <c r="U29" t="s">
        <v>40</v>
      </c>
      <c r="V29" s="19">
        <f>NPV(V30,U15:HG15)</f>
        <v>107689.38729997618</v>
      </c>
      <c r="W29" t="s">
        <v>42</v>
      </c>
    </row>
    <row r="30" spans="2:78" x14ac:dyDescent="0.25">
      <c r="U30" t="s">
        <v>41</v>
      </c>
      <c r="V30" s="9">
        <v>8.5000000000000006E-2</v>
      </c>
    </row>
    <row r="31" spans="2:78" x14ac:dyDescent="0.25">
      <c r="U31" t="s">
        <v>43</v>
      </c>
      <c r="V31" s="19">
        <f>V29/Main!N4</f>
        <v>207.17226676871019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2022-07-24T17:54:11Z</dcterms:created>
  <dcterms:modified xsi:type="dcterms:W3CDTF">2022-07-30T16:38:45Z</dcterms:modified>
</cp:coreProperties>
</file>