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133606BE-5EB1-4CF8-BB7D-C314BBF30559}" xr6:coauthVersionLast="47" xr6:coauthVersionMax="47" xr10:uidLastSave="{00000000-0000-0000-0000-000000000000}"/>
  <bookViews>
    <workbookView xWindow="26025" yWindow="2430" windowWidth="1582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" l="1"/>
  <c r="X43" i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AH15" i="1"/>
  <c r="AG15" i="1"/>
  <c r="V13" i="1" l="1"/>
  <c r="V10" i="1"/>
  <c r="U31" i="1"/>
  <c r="T31" i="1"/>
  <c r="S31" i="1"/>
  <c r="V3" i="1"/>
  <c r="V5" i="1" s="1"/>
  <c r="U27" i="1"/>
  <c r="V11" i="1" s="1"/>
  <c r="T27" i="1"/>
  <c r="U36" i="1" s="1"/>
  <c r="J27" i="1"/>
  <c r="K36" i="1" s="1"/>
  <c r="I33" i="1"/>
  <c r="H33" i="1"/>
  <c r="G33" i="1"/>
  <c r="K33" i="1"/>
  <c r="I31" i="1"/>
  <c r="H31" i="1"/>
  <c r="G31" i="1"/>
  <c r="E31" i="1"/>
  <c r="D31" i="1"/>
  <c r="C31" i="1"/>
  <c r="K31" i="1"/>
  <c r="J14" i="1"/>
  <c r="J13" i="1"/>
  <c r="J11" i="1"/>
  <c r="J9" i="1"/>
  <c r="J8" i="1"/>
  <c r="J7" i="1"/>
  <c r="J6" i="1"/>
  <c r="J4" i="1"/>
  <c r="J3" i="1"/>
  <c r="F13" i="1"/>
  <c r="F12" i="1"/>
  <c r="F11" i="1"/>
  <c r="F9" i="1"/>
  <c r="F8" i="1"/>
  <c r="F7" i="1"/>
  <c r="F6" i="1"/>
  <c r="F4" i="1"/>
  <c r="F3" i="1"/>
  <c r="G23" i="1"/>
  <c r="C5" i="1"/>
  <c r="C10" i="1" s="1"/>
  <c r="C15" i="1" s="1"/>
  <c r="C17" i="1" s="1"/>
  <c r="G26" i="1"/>
  <c r="G27" i="1" s="1"/>
  <c r="H36" i="1" s="1"/>
  <c r="H23" i="1"/>
  <c r="D5" i="1"/>
  <c r="D10" i="1" s="1"/>
  <c r="D30" i="1" s="1"/>
  <c r="H5" i="1"/>
  <c r="H10" i="1" s="1"/>
  <c r="H30" i="1" s="1"/>
  <c r="H26" i="1"/>
  <c r="H27" i="1" s="1"/>
  <c r="I36" i="1" s="1"/>
  <c r="F23" i="1"/>
  <c r="J23" i="1"/>
  <c r="I23" i="1"/>
  <c r="K23" i="1"/>
  <c r="E14" i="1"/>
  <c r="I12" i="1"/>
  <c r="E5" i="1"/>
  <c r="E10" i="1" s="1"/>
  <c r="E30" i="1" s="1"/>
  <c r="I5" i="1"/>
  <c r="I10" i="1" s="1"/>
  <c r="I30" i="1" s="1"/>
  <c r="I26" i="1"/>
  <c r="I27" i="1" s="1"/>
  <c r="J36" i="1" s="1"/>
  <c r="F26" i="1"/>
  <c r="F27" i="1" s="1"/>
  <c r="G36" i="1" s="1"/>
  <c r="S5" i="1"/>
  <c r="S10" i="1" s="1"/>
  <c r="S30" i="1" s="1"/>
  <c r="T14" i="1"/>
  <c r="T5" i="1"/>
  <c r="T10" i="1" s="1"/>
  <c r="T30" i="1" s="1"/>
  <c r="U12" i="1"/>
  <c r="T26" i="1"/>
  <c r="U26" i="1"/>
  <c r="U5" i="1"/>
  <c r="U10" i="1" s="1"/>
  <c r="U30" i="1" s="1"/>
  <c r="G12" i="1"/>
  <c r="G5" i="1"/>
  <c r="G10" i="1" s="1"/>
  <c r="G30" i="1" s="1"/>
  <c r="K14" i="1"/>
  <c r="K12" i="1"/>
  <c r="J26" i="1"/>
  <c r="K26" i="1"/>
  <c r="K27" i="1" s="1"/>
  <c r="K5" i="1"/>
  <c r="K10" i="1" s="1"/>
  <c r="K30" i="1" s="1"/>
  <c r="N7" i="2"/>
  <c r="N5" i="2"/>
  <c r="V15" i="1" l="1"/>
  <c r="S29" i="1"/>
  <c r="T29" i="1"/>
  <c r="W3" i="1"/>
  <c r="U29" i="1"/>
  <c r="F5" i="1"/>
  <c r="F10" i="1" s="1"/>
  <c r="F30" i="1" s="1"/>
  <c r="J33" i="1"/>
  <c r="C29" i="1"/>
  <c r="J12" i="1"/>
  <c r="D29" i="1"/>
  <c r="J31" i="1"/>
  <c r="F14" i="1"/>
  <c r="K29" i="1"/>
  <c r="E29" i="1"/>
  <c r="F31" i="1"/>
  <c r="H29" i="1"/>
  <c r="G29" i="1"/>
  <c r="I29" i="1"/>
  <c r="C30" i="1"/>
  <c r="J5" i="1"/>
  <c r="D15" i="1"/>
  <c r="D17" i="1" s="1"/>
  <c r="H15" i="1"/>
  <c r="E15" i="1"/>
  <c r="E17" i="1" s="1"/>
  <c r="I15" i="1"/>
  <c r="S15" i="1"/>
  <c r="S17" i="1" s="1"/>
  <c r="T15" i="1"/>
  <c r="T17" i="1" s="1"/>
  <c r="U15" i="1"/>
  <c r="U17" i="1" s="1"/>
  <c r="G15" i="1"/>
  <c r="K15" i="1"/>
  <c r="N8" i="2"/>
  <c r="F29" i="1" l="1"/>
  <c r="V27" i="1"/>
  <c r="W11" i="1" s="1"/>
  <c r="X3" i="1"/>
  <c r="W13" i="1"/>
  <c r="W10" i="1"/>
  <c r="W5" i="1"/>
  <c r="W27" i="1"/>
  <c r="F15" i="1"/>
  <c r="F17" i="1" s="1"/>
  <c r="I17" i="1"/>
  <c r="I34" i="1"/>
  <c r="K17" i="1"/>
  <c r="K34" i="1"/>
  <c r="H17" i="1"/>
  <c r="H34" i="1"/>
  <c r="G17" i="1"/>
  <c r="G34" i="1"/>
  <c r="J10" i="1"/>
  <c r="J29" i="1"/>
  <c r="X11" i="1" l="1"/>
  <c r="X5" i="1"/>
  <c r="Y3" i="1"/>
  <c r="X10" i="1"/>
  <c r="X13" i="1"/>
  <c r="W15" i="1"/>
  <c r="X27" i="1" s="1"/>
  <c r="J15" i="1"/>
  <c r="J30" i="1"/>
  <c r="Y11" i="1" l="1"/>
  <c r="Y15" i="1" s="1"/>
  <c r="X15" i="1"/>
  <c r="Y27" i="1" s="1"/>
  <c r="Z3" i="1"/>
  <c r="Y5" i="1"/>
  <c r="Y10" i="1"/>
  <c r="Y13" i="1"/>
  <c r="J17" i="1"/>
  <c r="J34" i="1"/>
  <c r="Z27" i="1" l="1"/>
  <c r="Z11" i="1"/>
  <c r="AA3" i="1"/>
  <c r="Z10" i="1"/>
  <c r="Z13" i="1"/>
  <c r="Z5" i="1"/>
  <c r="AB3" i="1" l="1"/>
  <c r="AA5" i="1"/>
  <c r="AA10" i="1"/>
  <c r="AA13" i="1"/>
  <c r="Z15" i="1"/>
  <c r="AA27" i="1" s="1"/>
  <c r="AA11" i="1"/>
  <c r="AA15" i="1" s="1"/>
  <c r="AB11" i="1" l="1"/>
  <c r="AB27" i="1"/>
  <c r="AC3" i="1"/>
  <c r="AB10" i="1"/>
  <c r="AB5" i="1"/>
  <c r="AB13" i="1"/>
  <c r="AC11" i="1" l="1"/>
  <c r="AD3" i="1"/>
  <c r="AC10" i="1"/>
  <c r="AC13" i="1"/>
  <c r="AC5" i="1"/>
  <c r="AB15" i="1"/>
  <c r="AC27" i="1" s="1"/>
  <c r="AD11" i="1" l="1"/>
  <c r="AE3" i="1"/>
  <c r="AD10" i="1"/>
  <c r="AD13" i="1"/>
  <c r="AD15" i="1" s="1"/>
  <c r="AD5" i="1"/>
  <c r="AC15" i="1"/>
  <c r="AD27" i="1" s="1"/>
  <c r="AE11" i="1" l="1"/>
  <c r="AE27" i="1"/>
  <c r="AF3" i="1"/>
  <c r="AE10" i="1"/>
  <c r="AE13" i="1"/>
  <c r="AE15" i="1" s="1"/>
  <c r="AE5" i="1"/>
  <c r="AF10" i="1" l="1"/>
  <c r="AF13" i="1"/>
  <c r="AF5" i="1"/>
  <c r="AF11" i="1"/>
  <c r="AF27" i="1"/>
  <c r="AF15" i="1" l="1"/>
</calcChain>
</file>

<file path=xl/sharedStrings.xml><?xml version="1.0" encoding="utf-8"?>
<sst xmlns="http://schemas.openxmlformats.org/spreadsheetml/2006/main" count="61" uniqueCount="53">
  <si>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</si>
  <si>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</si>
  <si>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</si>
  <si>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</si>
  <si>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</si>
  <si>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</si>
  <si>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</si>
  <si>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</si>
  <si>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</si>
  <si>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</si>
  <si>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</si>
  <si>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</si>
  <si>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</si>
  <si>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</si>
  <si>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 xml:space="preserve">Gross 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</si>
  <si>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</si>
  <si>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</si>
  <si>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</si>
  <si>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</si>
  <si>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</si>
  <si>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</si>
  <si>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</si>
  <si>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</si>
  <si>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</si>
  <si>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</si>
  <si>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</si>
  <si>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</si>
  <si>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</si>
  <si>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</si>
  <si>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</si>
  <si>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</si>
  <si>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Other expense</t>
  </si>
  <si>
    <t>BDC</t>
  </si>
  <si>
    <t>Belden Inc.</t>
  </si>
  <si>
    <t>R&amp;D</t>
  </si>
  <si>
    <t>Inventories</t>
  </si>
  <si>
    <t>PP&amp;E</t>
  </si>
  <si>
    <t>Amortization intang</t>
  </si>
  <si>
    <t>Interest expense</t>
  </si>
  <si>
    <t>Loss on disposal</t>
  </si>
  <si>
    <t>Impairments</t>
  </si>
  <si>
    <t>Raw materials</t>
  </si>
  <si>
    <t>WIP</t>
  </si>
  <si>
    <t>Finished goods</t>
  </si>
  <si>
    <t>Reserves? Negative??</t>
  </si>
  <si>
    <t>NPV</t>
  </si>
  <si>
    <t>10Y grow</t>
  </si>
  <si>
    <t>Interest rate</t>
  </si>
  <si>
    <t>Net cash</t>
  </si>
  <si>
    <t>Discount</t>
  </si>
  <si>
    <t>ROIC</t>
  </si>
  <si>
    <t>Terminal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</si>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</sst>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3" fontId="0" fillId="0" borderId="0" xfId="0" applyNumberFormat="1" applyFont="1"/>
    <xf numFmtId="4" fontId="1" fillId="0" borderId="0" xfId="0" applyNumberFormat="1" applyFont="1"/>
    <xf numFmtId="4" fontId="1" fillId="2" borderId="0" xfId="0" applyNumberFormat="1" applyFont="1" applyFill="1"/>
    <xf numFmtId="9" fontId="0" fillId="0" borderId="0" xfId="0" applyNumberFormat="1" applyFont="1"/>
    <xf numFmtId="10" fontId="0" fillId="0" borderId="0" xfId="0" applyNumberFormat="1"/>
    <xf numFmtId="10" fontId="0" fillId="2" borderId="0" xfId="0" applyNumberFormat="1" applyFill="1"/>
    <xf numFmtId="3" fontId="1" fillId="2" borderId="0" xfId="0" applyNumberFormat="1" applyFon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65942</xdr:colOff>
      <xdr:row>0</xdr:row>
      <xdr:rowOff>65944</xdr:rowOff>
    </xdr:from>
    <xdr:to>
      <xdr:col>11</xdr:col>
      <xdr:colOff>65942</xdr:colOff>
      <xdr:row>45</xdr:row>
      <xdr:rowOff>43963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7752617" y="65944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0</xdr:row>
      <xdr:rowOff>9525</xdr:rowOff>
    </xdr:from>
    <xdr:to>
      <xdr:col>21</xdr:col>
      <xdr:colOff>47625</xdr:colOff>
      <xdr:row>44</xdr:row>
      <xdr:rowOff>178044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592175" y="9525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20"/>
  <sheetViews>
    <sheetView tabSelected="1" workbookViewId="0">
      <selection activeCell="N20" sqref="N20"/>
    </sheetView>
  </sheetViews>
  <sheetFormatPr defaultRowHeight="15" x14ac:dyDescent="0.25"/>
  <cols>
    <col min="13" max="13" width="9.7109375" bestFit="1" customWidth="1"/>
  </cols>
  <sheetData>
    <row r="1" spans="13:14" x14ac:dyDescent="0.25">
      <c r="M1" t="s">
        <v>33</v>
      </c>
    </row>
    <row r="2" spans="13:14" x14ac:dyDescent="0.25">
      <c r="M2" t="s">
        <v>32</v>
      </c>
    </row>
    <row r="3" spans="13:14" x14ac:dyDescent="0.25">
      <c r="M3" t="s">
        <v>26</v>
      </c>
      <c r="N3" s="14">
        <v>64.72</v>
      </c>
    </row>
    <row r="4" spans="13:14" x14ac:dyDescent="0.25">
      <c r="M4" t="s">
        <v>19</v>
      </c>
      <c r="N4" s="1">
        <v>44.811</v>
      </c>
    </row>
    <row r="5" spans="13:14" x14ac:dyDescent="0.25">
      <c r="M5" t="s">
        <v>27</v>
      </c>
      <c r="N5" s="1">
        <f>N3*N4</f>
        <v>2900.1679199999999</v>
      </c>
    </row>
    <row r="6" spans="13:14" x14ac:dyDescent="0.25">
      <c r="M6" t="s">
        <v>28</v>
      </c>
      <c r="N6" s="1">
        <v>559.58000000000004</v>
      </c>
    </row>
    <row r="7" spans="13:14" x14ac:dyDescent="0.25">
      <c r="M7" t="s">
        <v>29</v>
      </c>
      <c r="N7" s="1">
        <f>1213.63+116.6</f>
        <v>1330.23</v>
      </c>
    </row>
    <row r="8" spans="13:14" x14ac:dyDescent="0.25">
      <c r="M8" t="s">
        <v>30</v>
      </c>
      <c r="N8" s="1">
        <f>N5-N6+N7</f>
        <v>3670.81792</v>
      </c>
    </row>
    <row r="11" spans="13:14" x14ac:dyDescent="0.25">
      <c r="M11" s="2">
        <v>44773</v>
      </c>
    </row>
    <row r="15" spans="13:14" x14ac:dyDescent="0.25">
      <c r="M15" t="s">
        <v>46</v>
      </c>
      <c r="N15" s="19">
        <v>0.1</v>
      </c>
    </row>
    <row r="16" spans="13:14" x14ac:dyDescent="0.25">
      <c r="M16" t="s">
        <v>51</v>
      </c>
      <c r="N16" s="19">
        <v>-0.01</v>
      </c>
    </row>
    <row r="17" spans="13:14" x14ac:dyDescent="0.25">
      <c r="M17" t="s">
        <v>50</v>
      </c>
      <c r="N17" s="19">
        <v>0.01</v>
      </c>
    </row>
    <row r="18" spans="13:14" x14ac:dyDescent="0.25">
      <c r="M18" t="s">
        <v>49</v>
      </c>
      <c r="N18" s="19">
        <v>0.08</v>
      </c>
    </row>
    <row r="19" spans="13:14" x14ac:dyDescent="0.25">
      <c r="M19" t="s">
        <v>45</v>
      </c>
      <c r="N19">
        <v>2996.7820265448186</v>
      </c>
    </row>
    <row r="20" spans="13:14" x14ac:dyDescent="0.25">
      <c r="M20" t="s">
        <v>52</v>
      </c>
      <c r="N20" s="14">
        <f>N19/N4</f>
        <v>66.876035494517382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CD43"/>
  <sheetViews>
    <sheetView workbookViewId="0">
      <pane xSplit="2" ySplit="2" topLeftCell="G8" activePane="bottomRight" state="frozen"/>
      <selection pane="topRight" activeCell="C1" sqref="C1"/>
      <selection pane="bottomLeft" activeCell="A3" sqref="A3"/>
      <selection pane="bottomRight" activeCell="AD33" sqref="AD33"/>
    </sheetView>
  </sheetViews>
  <sheetFormatPr defaultRowHeight="15" x14ac:dyDescent="0.25"/>
  <cols>
    <col min="2" max="2" width="23.85546875" bestFit="1" customWidth="1"/>
    <col min="3" max="11" width="9.140625" style="1"/>
    <col min="12" max="12" width="10.28515625" style="1" bestFit="1" customWidth="1"/>
    <col min="13" max="13" width="9.140625" style="1"/>
    <col min="16" max="16" width="4.42578125" style="3" customWidth="1"/>
    <col min="24" max="24" width="9.85546875" bestFit="1" customWidth="1"/>
  </cols>
  <sheetData>
    <row r="1" spans="1:82" x14ac:dyDescent="0.25">
      <c r="L1" s="2"/>
    </row>
    <row r="2" spans="1:82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82" s="5" customFormat="1" x14ac:dyDescent="0.25">
      <c r="B3" s="5" t="s">
        <v>12</v>
      </c>
      <c r="C3" s="5">
        <v>463.52600000000001</v>
      </c>
      <c r="D3" s="5">
        <v>424.8</v>
      </c>
      <c r="E3" s="5">
        <v>475.8</v>
      </c>
      <c r="F3" s="5">
        <f>T3-E3-D3-C3</f>
        <v>498.57400000000013</v>
      </c>
      <c r="G3" s="5">
        <v>508.7</v>
      </c>
      <c r="H3" s="5">
        <v>601.97</v>
      </c>
      <c r="I3" s="5">
        <v>630.83000000000004</v>
      </c>
      <c r="J3" s="5">
        <f>U3-I3-H3-G3</f>
        <v>666.59999999999991</v>
      </c>
      <c r="K3" s="5">
        <v>610.37</v>
      </c>
      <c r="P3" s="21"/>
      <c r="S3" s="5">
        <v>2131.3000000000002</v>
      </c>
      <c r="T3" s="5">
        <v>1862.7</v>
      </c>
      <c r="U3" s="5">
        <v>2408.1</v>
      </c>
      <c r="V3" s="5">
        <f>U3*1.2</f>
        <v>2889.72</v>
      </c>
      <c r="W3" s="5">
        <f>V3*1.15</f>
        <v>3323.1779999999994</v>
      </c>
      <c r="X3" s="5">
        <f>W3*1.1</f>
        <v>3655.4957999999997</v>
      </c>
      <c r="Y3" s="5">
        <f t="shared" ref="Y3:AF3" si="0">X3*1.1</f>
        <v>4021.04538</v>
      </c>
      <c r="Z3" s="5">
        <f t="shared" si="0"/>
        <v>4423.1499180000001</v>
      </c>
      <c r="AA3" s="5">
        <f t="shared" si="0"/>
        <v>4865.4649098000009</v>
      </c>
      <c r="AB3" s="5">
        <f t="shared" si="0"/>
        <v>5352.0114007800012</v>
      </c>
      <c r="AC3" s="5">
        <f t="shared" si="0"/>
        <v>5887.2125408580014</v>
      </c>
      <c r="AD3" s="5">
        <f t="shared" si="0"/>
        <v>6475.9337949438022</v>
      </c>
      <c r="AE3" s="5">
        <f t="shared" si="0"/>
        <v>7123.5271744381835</v>
      </c>
      <c r="AF3" s="5">
        <f t="shared" si="0"/>
        <v>7835.8798918820021</v>
      </c>
    </row>
    <row r="4" spans="1:82" s="1" customFormat="1" x14ac:dyDescent="0.25">
      <c r="B4" s="1" t="s">
        <v>13</v>
      </c>
      <c r="C4" s="1">
        <v>293</v>
      </c>
      <c r="D4" s="1">
        <v>274.89999999999998</v>
      </c>
      <c r="E4" s="1">
        <v>308.2</v>
      </c>
      <c r="F4" s="1">
        <f>T4-E4-D4-C4</f>
        <v>323.30000000000007</v>
      </c>
      <c r="G4" s="1">
        <v>339.5</v>
      </c>
      <c r="H4" s="1">
        <v>390.4</v>
      </c>
      <c r="I4" s="1">
        <v>407.55</v>
      </c>
      <c r="J4" s="15">
        <f>U4-I4-H4-G4</f>
        <v>416.25000000000011</v>
      </c>
      <c r="K4" s="1">
        <v>401.5</v>
      </c>
      <c r="P4" s="8"/>
      <c r="S4" s="1">
        <v>1337.8</v>
      </c>
      <c r="T4" s="1">
        <v>1199.4000000000001</v>
      </c>
      <c r="U4" s="1">
        <v>1553.7</v>
      </c>
    </row>
    <row r="5" spans="1:82" s="5" customFormat="1" x14ac:dyDescent="0.25">
      <c r="B5" s="5" t="s">
        <v>14</v>
      </c>
      <c r="C5" s="5">
        <f t="shared" ref="C5:K5" si="1">C3-C4</f>
        <v>170.52600000000001</v>
      </c>
      <c r="D5" s="5">
        <f t="shared" si="1"/>
        <v>149.90000000000003</v>
      </c>
      <c r="E5" s="5">
        <f t="shared" si="1"/>
        <v>167.60000000000002</v>
      </c>
      <c r="F5" s="5">
        <f t="shared" si="1"/>
        <v>175.27400000000006</v>
      </c>
      <c r="G5" s="5">
        <f t="shared" si="1"/>
        <v>169.2</v>
      </c>
      <c r="H5" s="5">
        <f t="shared" si="1"/>
        <v>211.57000000000005</v>
      </c>
      <c r="I5" s="5">
        <f t="shared" si="1"/>
        <v>223.28000000000003</v>
      </c>
      <c r="J5" s="5">
        <f t="shared" si="1"/>
        <v>250.3499999999998</v>
      </c>
      <c r="K5" s="5">
        <f t="shared" si="1"/>
        <v>208.87</v>
      </c>
      <c r="P5" s="21"/>
      <c r="S5" s="5">
        <f>S3-S4</f>
        <v>793.50000000000023</v>
      </c>
      <c r="T5" s="5">
        <f>T3-T4</f>
        <v>663.3</v>
      </c>
      <c r="U5" s="5">
        <f>U3-U4</f>
        <v>854.39999999999986</v>
      </c>
      <c r="V5" s="5">
        <f>V3*0.35</f>
        <v>1011.4019999999998</v>
      </c>
      <c r="W5" s="5">
        <f t="shared" ref="W5:AF5" si="2">W3*0.35</f>
        <v>1163.1122999999998</v>
      </c>
      <c r="X5" s="5">
        <f t="shared" si="2"/>
        <v>1279.4235299999998</v>
      </c>
      <c r="Y5" s="5">
        <f t="shared" si="2"/>
        <v>1407.3658829999999</v>
      </c>
      <c r="Z5" s="5">
        <f t="shared" si="2"/>
        <v>1548.1024712999999</v>
      </c>
      <c r="AA5" s="5">
        <f t="shared" si="2"/>
        <v>1702.9127184300003</v>
      </c>
      <c r="AB5" s="5">
        <f t="shared" si="2"/>
        <v>1873.2039902730003</v>
      </c>
      <c r="AC5" s="5">
        <f t="shared" si="2"/>
        <v>2060.5243893003003</v>
      </c>
      <c r="AD5" s="5">
        <f t="shared" si="2"/>
        <v>2266.5768282303306</v>
      </c>
      <c r="AE5" s="5">
        <f t="shared" si="2"/>
        <v>2493.2345110533643</v>
      </c>
      <c r="AF5" s="5">
        <f t="shared" si="2"/>
        <v>2742.5579621587008</v>
      </c>
    </row>
    <row r="6" spans="1:82" x14ac:dyDescent="0.25">
      <c r="B6" t="s">
        <v>15</v>
      </c>
      <c r="C6" s="1">
        <v>98.4</v>
      </c>
      <c r="D6" s="1">
        <v>91.7</v>
      </c>
      <c r="E6" s="1">
        <v>85</v>
      </c>
      <c r="F6" s="1">
        <f t="shared" ref="F6:F14" si="3">T6-E6-D6-C6</f>
        <v>90.9</v>
      </c>
      <c r="G6" s="1">
        <v>80.599999999999994</v>
      </c>
      <c r="H6" s="1">
        <v>105.55</v>
      </c>
      <c r="I6" s="1">
        <v>109.96</v>
      </c>
      <c r="J6" s="15">
        <f t="shared" ref="J6:J9" si="4">U6-I6-H6-G6</f>
        <v>130.19000000000003</v>
      </c>
      <c r="K6" s="1">
        <v>103.066</v>
      </c>
      <c r="N6" s="1"/>
      <c r="R6" s="1"/>
      <c r="S6" s="1">
        <v>417.3</v>
      </c>
      <c r="T6" s="1">
        <v>366</v>
      </c>
      <c r="U6" s="1">
        <v>426.3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82" x14ac:dyDescent="0.25">
      <c r="B7" t="s">
        <v>34</v>
      </c>
      <c r="C7" s="1">
        <v>26.2</v>
      </c>
      <c r="D7" s="1">
        <v>25.1</v>
      </c>
      <c r="E7" s="1">
        <v>30.3</v>
      </c>
      <c r="F7" s="1">
        <f t="shared" si="3"/>
        <v>25.400000000000002</v>
      </c>
      <c r="G7" s="1">
        <v>22.6</v>
      </c>
      <c r="H7" s="1">
        <v>30.92</v>
      </c>
      <c r="I7" s="1">
        <v>32.450000000000003</v>
      </c>
      <c r="J7" s="15">
        <f t="shared" si="4"/>
        <v>38.629999999999988</v>
      </c>
      <c r="K7" s="1">
        <v>23.46</v>
      </c>
      <c r="N7" s="1"/>
      <c r="R7" s="1"/>
      <c r="S7" s="1">
        <v>94.36</v>
      </c>
      <c r="T7" s="1">
        <v>107</v>
      </c>
      <c r="U7" s="1">
        <v>124.6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82" x14ac:dyDescent="0.25">
      <c r="B8" t="s">
        <v>37</v>
      </c>
      <c r="C8" s="1">
        <v>16.2</v>
      </c>
      <c r="D8" s="1">
        <v>16</v>
      </c>
      <c r="E8" s="1">
        <v>16.100000000000001</v>
      </c>
      <c r="F8" s="1">
        <f t="shared" si="3"/>
        <v>16.100000000000005</v>
      </c>
      <c r="G8" s="1">
        <v>8.8000000000000007</v>
      </c>
      <c r="H8" s="1">
        <v>9.1</v>
      </c>
      <c r="I8" s="1">
        <v>9.6959999999999997</v>
      </c>
      <c r="J8" s="15">
        <f t="shared" si="4"/>
        <v>10.703999999999997</v>
      </c>
      <c r="K8" s="1">
        <v>8.8000000000000007</v>
      </c>
      <c r="N8" s="1"/>
      <c r="R8" s="1"/>
      <c r="S8" s="1">
        <v>74.599999999999994</v>
      </c>
      <c r="T8" s="1">
        <v>64.400000000000006</v>
      </c>
      <c r="U8" s="1">
        <v>38.299999999999997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82" x14ac:dyDescent="0.25">
      <c r="B9" t="s">
        <v>40</v>
      </c>
      <c r="C9" s="1">
        <v>0</v>
      </c>
      <c r="D9" s="1">
        <v>0</v>
      </c>
      <c r="E9" s="1">
        <v>0</v>
      </c>
      <c r="F9" s="1">
        <f t="shared" si="3"/>
        <v>0</v>
      </c>
      <c r="G9" s="1">
        <v>7</v>
      </c>
      <c r="H9" s="1">
        <v>0</v>
      </c>
      <c r="I9" s="1">
        <v>0</v>
      </c>
      <c r="J9" s="15">
        <f t="shared" si="4"/>
        <v>133.5</v>
      </c>
      <c r="K9" s="1">
        <v>0</v>
      </c>
      <c r="N9" s="1"/>
      <c r="R9" s="1"/>
      <c r="S9" s="1">
        <v>0</v>
      </c>
      <c r="T9" s="1">
        <v>0</v>
      </c>
      <c r="U9" s="1">
        <v>140.5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82" s="5" customFormat="1" x14ac:dyDescent="0.25">
      <c r="B10" s="5" t="s">
        <v>16</v>
      </c>
      <c r="C10" s="5">
        <f t="shared" ref="C10:K10" si="5">+C5-C9-C8-C7-C6</f>
        <v>29.726000000000028</v>
      </c>
      <c r="D10" s="5">
        <f t="shared" si="5"/>
        <v>17.100000000000037</v>
      </c>
      <c r="E10" s="5">
        <f t="shared" si="5"/>
        <v>36.200000000000031</v>
      </c>
      <c r="F10" s="5">
        <f t="shared" si="5"/>
        <v>42.874000000000052</v>
      </c>
      <c r="G10" s="5">
        <f t="shared" si="5"/>
        <v>50.199999999999989</v>
      </c>
      <c r="H10" s="5">
        <f t="shared" si="5"/>
        <v>66.000000000000071</v>
      </c>
      <c r="I10" s="5">
        <f t="shared" si="5"/>
        <v>71.174000000000021</v>
      </c>
      <c r="J10" s="5">
        <f t="shared" si="5"/>
        <v>-62.674000000000206</v>
      </c>
      <c r="K10" s="5">
        <f t="shared" si="5"/>
        <v>73.543999999999983</v>
      </c>
      <c r="P10" s="21"/>
      <c r="S10" s="5">
        <f>+S5-S9-S8-S7-S6</f>
        <v>207.24000000000018</v>
      </c>
      <c r="T10" s="5">
        <f>+T5-T9-T8-T7-T6</f>
        <v>125.89999999999998</v>
      </c>
      <c r="U10" s="5">
        <f>+U5-U9-U8-U7-U6</f>
        <v>124.69999999999987</v>
      </c>
      <c r="V10" s="5">
        <f>V3*0.06</f>
        <v>173.38319999999999</v>
      </c>
      <c r="W10" s="5">
        <f t="shared" ref="W10:AF10" si="6">W3*0.06</f>
        <v>199.39067999999995</v>
      </c>
      <c r="X10" s="5">
        <f t="shared" si="6"/>
        <v>219.32974799999997</v>
      </c>
      <c r="Y10" s="5">
        <f t="shared" si="6"/>
        <v>241.26272280000001</v>
      </c>
      <c r="Z10" s="5">
        <f t="shared" si="6"/>
        <v>265.38899507999997</v>
      </c>
      <c r="AA10" s="5">
        <f t="shared" si="6"/>
        <v>291.92789458800002</v>
      </c>
      <c r="AB10" s="5">
        <f t="shared" si="6"/>
        <v>321.12068404680008</v>
      </c>
      <c r="AC10" s="5">
        <f t="shared" si="6"/>
        <v>353.23275245148005</v>
      </c>
      <c r="AD10" s="5">
        <f t="shared" si="6"/>
        <v>388.55602769662812</v>
      </c>
      <c r="AE10" s="5">
        <f t="shared" si="6"/>
        <v>427.411630466291</v>
      </c>
      <c r="AF10" s="5">
        <f t="shared" si="6"/>
        <v>470.15279351292008</v>
      </c>
    </row>
    <row r="11" spans="1:82" x14ac:dyDescent="0.25">
      <c r="B11" t="s">
        <v>38</v>
      </c>
      <c r="C11" s="1">
        <v>13.3</v>
      </c>
      <c r="D11" s="1">
        <v>14.25</v>
      </c>
      <c r="E11" s="1">
        <v>15.6</v>
      </c>
      <c r="F11" s="1">
        <f t="shared" si="3"/>
        <v>15.737999999999996</v>
      </c>
      <c r="G11" s="1">
        <v>15.5</v>
      </c>
      <c r="H11" s="1">
        <v>14.878</v>
      </c>
      <c r="I11" s="1">
        <v>16.25</v>
      </c>
      <c r="J11" s="15">
        <f t="shared" ref="J11:J14" si="7">U11-I11-H11-G11</f>
        <v>16.072000000000003</v>
      </c>
      <c r="K11" s="1">
        <v>14.4</v>
      </c>
      <c r="N11" s="1"/>
      <c r="R11" s="1"/>
      <c r="S11" s="1">
        <v>55.8</v>
      </c>
      <c r="T11" s="1">
        <v>58.887999999999998</v>
      </c>
      <c r="U11" s="1">
        <v>62.7</v>
      </c>
      <c r="V11" s="1">
        <f>U27*-0.055</f>
        <v>51.668320000000008</v>
      </c>
      <c r="W11" s="1">
        <f t="shared" ref="W11:AC11" si="8">V27*-0.055</f>
        <v>48.121370000000013</v>
      </c>
      <c r="X11" s="1">
        <f t="shared" si="8"/>
        <v>43.811070600000015</v>
      </c>
      <c r="Y11" s="1">
        <f t="shared" si="8"/>
        <v>38.23288040000002</v>
      </c>
      <c r="Z11" s="1">
        <f t="shared" si="8"/>
        <v>31.595137178000019</v>
      </c>
      <c r="AA11" s="1">
        <f t="shared" si="8"/>
        <v>23.74585828450002</v>
      </c>
      <c r="AB11" s="1">
        <f t="shared" si="8"/>
        <v>14.536294782240025</v>
      </c>
      <c r="AC11" s="1">
        <f t="shared" si="8"/>
        <v>3.8002913361325255</v>
      </c>
      <c r="AD11" s="1">
        <f>AC27*-$X41</f>
        <v>-1.5720801214135958</v>
      </c>
      <c r="AE11" s="1">
        <f>AD27*-$X41</f>
        <v>-4.1833228514383709</v>
      </c>
      <c r="AF11" s="1">
        <f>AE27*-$X41</f>
        <v>-7.1132138603772184</v>
      </c>
      <c r="AG11" s="1"/>
      <c r="AH11" s="1"/>
      <c r="AI11" s="1"/>
      <c r="AJ11" s="1"/>
    </row>
    <row r="12" spans="1:82" x14ac:dyDescent="0.25">
      <c r="B12" t="s">
        <v>31</v>
      </c>
      <c r="C12" s="1">
        <v>-0.7</v>
      </c>
      <c r="D12" s="1">
        <v>0.7</v>
      </c>
      <c r="E12" s="1">
        <v>-0.68</v>
      </c>
      <c r="F12" s="1">
        <f t="shared" si="3"/>
        <v>1.08</v>
      </c>
      <c r="G12" s="1">
        <f>0-0.68</f>
        <v>-0.68</v>
      </c>
      <c r="H12" s="1">
        <v>-1.4450000000000001</v>
      </c>
      <c r="I12" s="1">
        <f>5.715-0.99</f>
        <v>4.7249999999999996</v>
      </c>
      <c r="J12" s="15">
        <f t="shared" si="7"/>
        <v>-28.43</v>
      </c>
      <c r="K12" s="1">
        <f>6.4-1.2</f>
        <v>5.2</v>
      </c>
      <c r="N12" s="1"/>
      <c r="R12" s="1"/>
      <c r="S12" s="1">
        <v>-1</v>
      </c>
      <c r="T12" s="1">
        <v>0.4</v>
      </c>
      <c r="U12" s="1">
        <f>-4.5+5.7-27.03</f>
        <v>-25.830000000000002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82" x14ac:dyDescent="0.25">
      <c r="B13" t="s">
        <v>17</v>
      </c>
      <c r="C13" s="1">
        <v>2.2000000000000002</v>
      </c>
      <c r="D13" s="1">
        <v>0.4</v>
      </c>
      <c r="E13" s="1">
        <v>0.63</v>
      </c>
      <c r="F13" s="1">
        <f t="shared" si="3"/>
        <v>8.4699999999999989</v>
      </c>
      <c r="G13" s="1">
        <v>7</v>
      </c>
      <c r="H13" s="1">
        <v>8.5500000000000007</v>
      </c>
      <c r="I13" s="1">
        <v>8.875</v>
      </c>
      <c r="J13" s="15">
        <f t="shared" si="7"/>
        <v>0.77499999999999858</v>
      </c>
      <c r="K13" s="1">
        <v>9.8219999999999992</v>
      </c>
      <c r="N13" s="1"/>
      <c r="R13" s="1"/>
      <c r="S13" s="1">
        <v>42.5</v>
      </c>
      <c r="T13" s="1">
        <v>11.7</v>
      </c>
      <c r="U13" s="1">
        <v>25.2</v>
      </c>
      <c r="V13" s="1">
        <f>V3*0.015</f>
        <v>43.345799999999997</v>
      </c>
      <c r="W13" s="1">
        <f t="shared" ref="W13:AF13" si="9">W3*0.015</f>
        <v>49.847669999999987</v>
      </c>
      <c r="X13" s="1">
        <f t="shared" si="9"/>
        <v>54.832436999999992</v>
      </c>
      <c r="Y13" s="1">
        <f t="shared" si="9"/>
        <v>60.315680700000001</v>
      </c>
      <c r="Z13" s="1">
        <f t="shared" si="9"/>
        <v>66.347248769999993</v>
      </c>
      <c r="AA13" s="1">
        <f t="shared" si="9"/>
        <v>72.981973647000004</v>
      </c>
      <c r="AB13" s="1">
        <f t="shared" si="9"/>
        <v>80.28017101170002</v>
      </c>
      <c r="AC13" s="1">
        <f t="shared" si="9"/>
        <v>88.308188112870013</v>
      </c>
      <c r="AD13" s="1">
        <f t="shared" si="9"/>
        <v>97.13900692415703</v>
      </c>
      <c r="AE13" s="1">
        <f t="shared" si="9"/>
        <v>106.85290761657275</v>
      </c>
      <c r="AF13" s="1">
        <f t="shared" si="9"/>
        <v>117.53819837823002</v>
      </c>
      <c r="AG13" s="1"/>
      <c r="AH13" s="1"/>
      <c r="AI13" s="1"/>
      <c r="AJ13" s="1"/>
    </row>
    <row r="14" spans="1:82" x14ac:dyDescent="0.25">
      <c r="B14" t="s">
        <v>39</v>
      </c>
      <c r="C14" s="1">
        <v>26.1</v>
      </c>
      <c r="D14" s="1">
        <v>71.05</v>
      </c>
      <c r="E14" s="1">
        <f>6.2-2.74</f>
        <v>3.46</v>
      </c>
      <c r="F14" s="1">
        <f t="shared" si="3"/>
        <v>8.8400000000000105</v>
      </c>
      <c r="G14" s="1">
        <v>0.3</v>
      </c>
      <c r="H14" s="1">
        <v>0</v>
      </c>
      <c r="I14" s="1">
        <v>0</v>
      </c>
      <c r="J14" s="15">
        <f t="shared" si="7"/>
        <v>-2.16</v>
      </c>
      <c r="K14" s="1">
        <f>3.68+4.56</f>
        <v>8.24</v>
      </c>
      <c r="N14" s="1"/>
      <c r="R14" s="1"/>
      <c r="S14" s="1">
        <v>486.66</v>
      </c>
      <c r="T14" s="1">
        <f>99.5+9.95</f>
        <v>109.45</v>
      </c>
      <c r="U14" s="1">
        <v>-1.86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82" s="4" customFormat="1" x14ac:dyDescent="0.25">
      <c r="B15" s="4" t="s">
        <v>18</v>
      </c>
      <c r="C15" s="5">
        <f t="shared" ref="C15:K15" si="10">-C14-C13-C12-C11+C10</f>
        <v>-11.173999999999978</v>
      </c>
      <c r="D15" s="5">
        <f t="shared" si="10"/>
        <v>-69.299999999999969</v>
      </c>
      <c r="E15" s="5">
        <f t="shared" si="10"/>
        <v>17.190000000000033</v>
      </c>
      <c r="F15" s="5">
        <f t="shared" si="10"/>
        <v>8.746000000000052</v>
      </c>
      <c r="G15" s="5">
        <f t="shared" si="10"/>
        <v>28.079999999999988</v>
      </c>
      <c r="H15" s="5">
        <f t="shared" si="10"/>
        <v>44.017000000000067</v>
      </c>
      <c r="I15" s="5">
        <f t="shared" si="10"/>
        <v>41.324000000000019</v>
      </c>
      <c r="J15" s="5">
        <f t="shared" si="10"/>
        <v>-48.931000000000211</v>
      </c>
      <c r="K15" s="5">
        <f t="shared" si="10"/>
        <v>35.881999999999984</v>
      </c>
      <c r="L15" s="5"/>
      <c r="M15" s="5"/>
      <c r="N15" s="5"/>
      <c r="P15" s="6"/>
      <c r="R15" s="5"/>
      <c r="S15" s="5">
        <f>-S14-S13-S12-S11+S10</f>
        <v>-376.71999999999986</v>
      </c>
      <c r="T15" s="5">
        <f>-T14-T13-T12-T11+T10</f>
        <v>-54.538000000000039</v>
      </c>
      <c r="U15" s="5">
        <f>-U14-U13-U12-U11+U10</f>
        <v>64.489999999999867</v>
      </c>
      <c r="V15" s="5">
        <f t="shared" ref="V15:AF15" si="11">-V14-V13-V12-V11+V10</f>
        <v>78.369079999999983</v>
      </c>
      <c r="W15" s="5">
        <f t="shared" si="11"/>
        <v>101.42163999999994</v>
      </c>
      <c r="X15" s="5">
        <f t="shared" si="11"/>
        <v>120.68624039999996</v>
      </c>
      <c r="Y15" s="5">
        <f t="shared" si="11"/>
        <v>142.71416169999998</v>
      </c>
      <c r="Z15" s="5">
        <f t="shared" si="11"/>
        <v>167.44660913199996</v>
      </c>
      <c r="AA15" s="5">
        <f t="shared" si="11"/>
        <v>195.20006265649999</v>
      </c>
      <c r="AB15" s="5">
        <f t="shared" si="11"/>
        <v>226.30421825286004</v>
      </c>
      <c r="AC15" s="5">
        <f t="shared" si="11"/>
        <v>261.12427300247748</v>
      </c>
      <c r="AD15" s="5">
        <f t="shared" si="11"/>
        <v>292.98910089388471</v>
      </c>
      <c r="AE15" s="5">
        <f t="shared" si="11"/>
        <v>324.7420457011566</v>
      </c>
      <c r="AF15" s="5">
        <f t="shared" si="11"/>
        <v>359.72780899506728</v>
      </c>
      <c r="AG15" s="5">
        <f>AF15*(1+$X40)</f>
        <v>356.13053090511659</v>
      </c>
      <c r="AH15" s="5">
        <f t="shared" ref="AH15:CD15" si="12">AG15*(1+$X40)</f>
        <v>352.56922559606539</v>
      </c>
      <c r="AI15" s="5">
        <f t="shared" si="12"/>
        <v>349.04353334010472</v>
      </c>
      <c r="AJ15" s="5">
        <f t="shared" si="12"/>
        <v>345.55309800670369</v>
      </c>
      <c r="AK15" s="5">
        <f t="shared" si="12"/>
        <v>342.09756702663663</v>
      </c>
      <c r="AL15" s="5">
        <f t="shared" si="12"/>
        <v>338.67659135637024</v>
      </c>
      <c r="AM15" s="5">
        <f t="shared" si="12"/>
        <v>335.28982544280655</v>
      </c>
      <c r="AN15" s="5">
        <f t="shared" si="12"/>
        <v>331.93692718837849</v>
      </c>
      <c r="AO15" s="5">
        <f t="shared" si="12"/>
        <v>328.61755791649472</v>
      </c>
      <c r="AP15" s="5">
        <f t="shared" si="12"/>
        <v>325.33138233732979</v>
      </c>
      <c r="AQ15" s="5">
        <f t="shared" si="12"/>
        <v>322.07806851395651</v>
      </c>
      <c r="AR15" s="5">
        <f t="shared" si="12"/>
        <v>318.85728782881694</v>
      </c>
      <c r="AS15" s="5">
        <f t="shared" si="12"/>
        <v>315.66871495052874</v>
      </c>
      <c r="AT15" s="5">
        <f t="shared" si="12"/>
        <v>312.51202780102346</v>
      </c>
      <c r="AU15" s="5">
        <f t="shared" si="12"/>
        <v>309.38690752301324</v>
      </c>
      <c r="AV15" s="5">
        <f t="shared" si="12"/>
        <v>306.29303844778309</v>
      </c>
      <c r="AW15" s="5">
        <f t="shared" si="12"/>
        <v>303.23010806330524</v>
      </c>
      <c r="AX15" s="5">
        <f t="shared" si="12"/>
        <v>300.1978069826722</v>
      </c>
      <c r="AY15" s="5">
        <f t="shared" si="12"/>
        <v>297.19582891284546</v>
      </c>
      <c r="AZ15" s="5">
        <f t="shared" si="12"/>
        <v>294.223870623717</v>
      </c>
      <c r="BA15" s="5">
        <f t="shared" si="12"/>
        <v>291.28163191747984</v>
      </c>
      <c r="BB15" s="5">
        <f t="shared" si="12"/>
        <v>288.36881559830505</v>
      </c>
      <c r="BC15" s="5">
        <f t="shared" si="12"/>
        <v>285.48512744232198</v>
      </c>
      <c r="BD15" s="5">
        <f t="shared" si="12"/>
        <v>282.63027616789878</v>
      </c>
      <c r="BE15" s="5">
        <f t="shared" si="12"/>
        <v>279.80397340621977</v>
      </c>
      <c r="BF15" s="5">
        <f t="shared" si="12"/>
        <v>277.0059336721576</v>
      </c>
      <c r="BG15" s="5">
        <f t="shared" si="12"/>
        <v>274.23587433543599</v>
      </c>
      <c r="BH15" s="5">
        <f t="shared" si="12"/>
        <v>271.49351559208162</v>
      </c>
      <c r="BI15" s="5">
        <f t="shared" si="12"/>
        <v>268.77858043616078</v>
      </c>
      <c r="BJ15" s="5">
        <f t="shared" si="12"/>
        <v>266.09079463179916</v>
      </c>
      <c r="BK15" s="5">
        <f t="shared" si="12"/>
        <v>263.42988668548116</v>
      </c>
      <c r="BL15" s="5">
        <f t="shared" si="12"/>
        <v>260.79558781862636</v>
      </c>
      <c r="BM15" s="5">
        <f t="shared" si="12"/>
        <v>258.1876319404401</v>
      </c>
      <c r="BN15" s="5">
        <f t="shared" si="12"/>
        <v>255.60575562103568</v>
      </c>
      <c r="BO15" s="5">
        <f t="shared" si="12"/>
        <v>253.04969806482532</v>
      </c>
      <c r="BP15" s="5">
        <f t="shared" si="12"/>
        <v>250.51920108417707</v>
      </c>
      <c r="BQ15" s="5">
        <f t="shared" si="12"/>
        <v>248.0140090733353</v>
      </c>
      <c r="BR15" s="5">
        <f t="shared" si="12"/>
        <v>245.53386898260194</v>
      </c>
      <c r="BS15" s="5">
        <f t="shared" si="12"/>
        <v>243.07853029277592</v>
      </c>
      <c r="BT15" s="5">
        <f t="shared" si="12"/>
        <v>240.64774498984815</v>
      </c>
      <c r="BU15" s="5">
        <f t="shared" si="12"/>
        <v>238.24126753994966</v>
      </c>
      <c r="BV15" s="5">
        <f t="shared" si="12"/>
        <v>235.85885486455015</v>
      </c>
      <c r="BW15" s="5">
        <f t="shared" si="12"/>
        <v>233.50026631590464</v>
      </c>
      <c r="BX15" s="5">
        <f t="shared" si="12"/>
        <v>231.16526365274558</v>
      </c>
      <c r="BY15" s="5">
        <f t="shared" si="12"/>
        <v>228.85361101621811</v>
      </c>
      <c r="BZ15" s="5">
        <f t="shared" si="12"/>
        <v>226.56507490605594</v>
      </c>
      <c r="CA15" s="5">
        <f t="shared" si="12"/>
        <v>224.29942415699537</v>
      </c>
      <c r="CB15" s="5">
        <f t="shared" si="12"/>
        <v>222.05642991542541</v>
      </c>
      <c r="CC15" s="5">
        <f t="shared" si="12"/>
        <v>219.83586561627115</v>
      </c>
      <c r="CD15" s="5">
        <f t="shared" si="12"/>
        <v>217.63750696010842</v>
      </c>
    </row>
    <row r="16" spans="1:82" x14ac:dyDescent="0.25">
      <c r="A16" s="4"/>
      <c r="B16" t="s">
        <v>19</v>
      </c>
      <c r="C16" s="1">
        <v>45.4</v>
      </c>
      <c r="D16" s="1">
        <v>44.56</v>
      </c>
      <c r="E16" s="1">
        <v>44.56</v>
      </c>
      <c r="F16" s="1">
        <v>44.56</v>
      </c>
      <c r="G16" s="1">
        <v>44.8</v>
      </c>
      <c r="H16" s="1">
        <v>44.759</v>
      </c>
      <c r="I16" s="1">
        <v>44.85</v>
      </c>
      <c r="J16" s="1">
        <v>44.85</v>
      </c>
      <c r="K16" s="1">
        <v>44.8</v>
      </c>
      <c r="L16" s="5"/>
      <c r="M16" s="5"/>
      <c r="N16" s="5"/>
      <c r="O16" s="4"/>
      <c r="P16" s="6"/>
      <c r="Q16" s="4"/>
      <c r="R16" s="5"/>
      <c r="S16" s="1">
        <v>42.2</v>
      </c>
      <c r="T16" s="1">
        <v>44.777999999999999</v>
      </c>
      <c r="U16" s="1">
        <v>44.8</v>
      </c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s="16" customFormat="1" x14ac:dyDescent="0.25">
      <c r="B17" s="16" t="s">
        <v>20</v>
      </c>
      <c r="C17" s="16">
        <f t="shared" ref="C17:K17" si="13">C15/C16</f>
        <v>-0.24612334801762067</v>
      </c>
      <c r="D17" s="16">
        <f t="shared" si="13"/>
        <v>-1.5552064631956903</v>
      </c>
      <c r="E17" s="16">
        <f t="shared" si="13"/>
        <v>0.38577199281867219</v>
      </c>
      <c r="F17" s="16">
        <f t="shared" si="13"/>
        <v>0.19627468581687726</v>
      </c>
      <c r="G17" s="16">
        <f t="shared" si="13"/>
        <v>0.62678571428571406</v>
      </c>
      <c r="H17" s="16">
        <f t="shared" si="13"/>
        <v>0.98342232847025324</v>
      </c>
      <c r="I17" s="16">
        <f t="shared" si="13"/>
        <v>0.92138238573021225</v>
      </c>
      <c r="J17" s="16">
        <f t="shared" si="13"/>
        <v>-1.0909921962095921</v>
      </c>
      <c r="K17" s="16">
        <f t="shared" si="13"/>
        <v>0.80093749999999964</v>
      </c>
      <c r="P17" s="17"/>
      <c r="S17" s="16">
        <f>S15/S16</f>
        <v>-8.9270142180094751</v>
      </c>
      <c r="T17" s="16">
        <f>T15/T16</f>
        <v>-1.217964178837823</v>
      </c>
      <c r="U17" s="16">
        <f>U15/U16</f>
        <v>1.4395089285714258</v>
      </c>
    </row>
    <row r="18" spans="1:36" x14ac:dyDescent="0.25">
      <c r="N18" s="1"/>
      <c r="R18" s="1"/>
      <c r="S18" s="1"/>
      <c r="T18" s="1"/>
      <c r="U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B19" t="s">
        <v>28</v>
      </c>
      <c r="F19" s="1">
        <v>501.99</v>
      </c>
      <c r="G19" s="1">
        <v>370.553</v>
      </c>
      <c r="H19" s="1">
        <v>423.3</v>
      </c>
      <c r="I19" s="1">
        <v>457.8</v>
      </c>
      <c r="J19" s="1">
        <v>641.56299999999999</v>
      </c>
      <c r="K19" s="1">
        <v>559.58000000000004</v>
      </c>
      <c r="N19" s="1"/>
      <c r="R19" s="1"/>
      <c r="S19" s="1"/>
      <c r="T19" s="1">
        <v>501.99</v>
      </c>
      <c r="U19" s="1">
        <v>641.56299999999999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B20" t="s">
        <v>41</v>
      </c>
      <c r="F20" s="1">
        <v>106.5</v>
      </c>
      <c r="G20" s="1">
        <v>122.2</v>
      </c>
      <c r="H20" s="1">
        <v>139.28200000000001</v>
      </c>
      <c r="I20" s="1">
        <v>142</v>
      </c>
      <c r="J20" s="1">
        <v>157.30000000000001</v>
      </c>
      <c r="K20" s="1">
        <v>173.5</v>
      </c>
      <c r="N20" s="1"/>
      <c r="R20" s="1"/>
      <c r="S20" s="1"/>
      <c r="T20" s="1">
        <v>106.5</v>
      </c>
      <c r="U20" s="1">
        <v>157.30000000000001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B21" t="s">
        <v>42</v>
      </c>
      <c r="F21" s="1">
        <v>32</v>
      </c>
      <c r="G21" s="1">
        <v>38.204000000000001</v>
      </c>
      <c r="H21" s="1">
        <v>37.476999999999997</v>
      </c>
      <c r="I21" s="1">
        <v>38</v>
      </c>
      <c r="J21" s="1">
        <v>43.6</v>
      </c>
      <c r="K21" s="1">
        <v>47.4</v>
      </c>
      <c r="N21" s="1"/>
      <c r="R21" s="1"/>
      <c r="S21" s="1"/>
      <c r="T21" s="1">
        <v>32</v>
      </c>
      <c r="U21" s="1">
        <v>43.6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B22" t="s">
        <v>43</v>
      </c>
      <c r="F22" s="1">
        <v>141</v>
      </c>
      <c r="G22" s="1">
        <v>149.86000000000001</v>
      </c>
      <c r="H22" s="1">
        <v>163.28</v>
      </c>
      <c r="I22" s="1">
        <v>170.4</v>
      </c>
      <c r="J22" s="1">
        <v>189.9</v>
      </c>
      <c r="K22" s="1">
        <v>221.2</v>
      </c>
      <c r="N22" s="1"/>
      <c r="R22" s="1"/>
      <c r="S22" s="1"/>
      <c r="T22" s="1">
        <v>141</v>
      </c>
      <c r="U22" s="1">
        <v>189.9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B23" t="s">
        <v>44</v>
      </c>
      <c r="F23" s="1">
        <f>F24-F22-F21-F20</f>
        <v>-32.199999999999989</v>
      </c>
      <c r="G23" s="1">
        <f t="shared" ref="G23:J23" si="14">G24-G22-G21-G20</f>
        <v>-34.864000000000047</v>
      </c>
      <c r="H23" s="1">
        <f t="shared" si="14"/>
        <v>-35.239000000000004</v>
      </c>
      <c r="I23" s="1">
        <f t="shared" si="14"/>
        <v>-38.400000000000006</v>
      </c>
      <c r="J23" s="1">
        <f t="shared" si="14"/>
        <v>-45.597000000000037</v>
      </c>
      <c r="K23" s="1">
        <f>K24-K22-K21-K20</f>
        <v>-45.60299999999998</v>
      </c>
      <c r="N23" s="1"/>
      <c r="R23" s="1"/>
      <c r="S23" s="1"/>
      <c r="T23" s="1"/>
      <c r="U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5">
      <c r="B24" s="4" t="s">
        <v>35</v>
      </c>
      <c r="C24" s="5"/>
      <c r="D24" s="5"/>
      <c r="E24" s="5"/>
      <c r="F24" s="5">
        <v>247.3</v>
      </c>
      <c r="G24" s="5">
        <v>275.39999999999998</v>
      </c>
      <c r="H24" s="5">
        <v>304.8</v>
      </c>
      <c r="I24" s="5">
        <v>312</v>
      </c>
      <c r="J24" s="5">
        <v>345.20299999999997</v>
      </c>
      <c r="K24" s="5">
        <v>396.49700000000001</v>
      </c>
      <c r="L24" s="5"/>
      <c r="M24" s="5"/>
      <c r="N24" s="5"/>
      <c r="P24" s="6"/>
      <c r="R24" s="5"/>
      <c r="S24" s="5"/>
      <c r="T24" s="5">
        <v>247.3</v>
      </c>
      <c r="U24" s="5">
        <v>345.20299999999997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B25" t="s">
        <v>36</v>
      </c>
      <c r="F25" s="1">
        <v>368.6</v>
      </c>
      <c r="G25" s="1">
        <v>356.8</v>
      </c>
      <c r="H25" s="1">
        <v>360.3</v>
      </c>
      <c r="I25" s="1">
        <v>334.4</v>
      </c>
      <c r="J25" s="1">
        <v>343.56400000000002</v>
      </c>
      <c r="K25" s="1">
        <v>340.08</v>
      </c>
      <c r="N25" s="1"/>
      <c r="R25" s="1"/>
      <c r="S25" s="1"/>
      <c r="T25" s="1">
        <v>368.6</v>
      </c>
      <c r="U25" s="1">
        <v>343.56400000000002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B26" t="s">
        <v>29</v>
      </c>
      <c r="F26" s="1">
        <f>1573.7+160.4</f>
        <v>1734.1000000000001</v>
      </c>
      <c r="G26" s="1">
        <f>1509.7+154.1</f>
        <v>1663.8</v>
      </c>
      <c r="H26" s="1">
        <f>1527+152</f>
        <v>1679</v>
      </c>
      <c r="I26" s="1">
        <f>1492.6+144.5</f>
        <v>1637.1</v>
      </c>
      <c r="J26" s="1">
        <f>1459.99+120.997</f>
        <v>1580.9870000000001</v>
      </c>
      <c r="K26" s="1">
        <f>1213.6+116.6</f>
        <v>1330.1999999999998</v>
      </c>
      <c r="N26" s="1"/>
      <c r="R26" s="1"/>
      <c r="S26" s="1"/>
      <c r="T26" s="1">
        <f>1573.7+160.4</f>
        <v>1734.1000000000001</v>
      </c>
      <c r="U26" s="1">
        <f>1459.99+120.997</f>
        <v>1580.9870000000001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4" customFormat="1" x14ac:dyDescent="0.25">
      <c r="B27" s="4" t="s">
        <v>48</v>
      </c>
      <c r="C27" s="5"/>
      <c r="D27" s="5"/>
      <c r="E27" s="5"/>
      <c r="F27" s="5">
        <f>F19-F26</f>
        <v>-1232.1100000000001</v>
      </c>
      <c r="G27" s="5">
        <f t="shared" ref="G27:K27" si="15">G19-G26</f>
        <v>-1293.2469999999998</v>
      </c>
      <c r="H27" s="5">
        <f t="shared" si="15"/>
        <v>-1255.7</v>
      </c>
      <c r="I27" s="5">
        <f t="shared" si="15"/>
        <v>-1179.3</v>
      </c>
      <c r="J27" s="5">
        <f t="shared" si="15"/>
        <v>-939.42400000000009</v>
      </c>
      <c r="K27" s="5">
        <f t="shared" si="15"/>
        <v>-770.61999999999978</v>
      </c>
      <c r="L27" s="5"/>
      <c r="M27" s="5"/>
      <c r="N27" s="5"/>
      <c r="P27" s="6"/>
      <c r="R27" s="5"/>
      <c r="S27" s="5"/>
      <c r="T27" s="5">
        <f t="shared" ref="T27:U27" si="16">T19-T26</f>
        <v>-1232.1100000000001</v>
      </c>
      <c r="U27" s="5">
        <f t="shared" si="16"/>
        <v>-939.42400000000009</v>
      </c>
      <c r="V27" s="5">
        <f>U27+U15</f>
        <v>-874.9340000000002</v>
      </c>
      <c r="W27" s="5">
        <f t="shared" ref="W27:AF27" si="17">V27+V15</f>
        <v>-796.56492000000026</v>
      </c>
      <c r="X27" s="5">
        <f t="shared" si="17"/>
        <v>-695.14328000000035</v>
      </c>
      <c r="Y27" s="5">
        <f t="shared" si="17"/>
        <v>-574.45703960000037</v>
      </c>
      <c r="Z27" s="5">
        <f t="shared" si="17"/>
        <v>-431.74287790000039</v>
      </c>
      <c r="AA27" s="5">
        <f t="shared" si="17"/>
        <v>-264.29626876800046</v>
      </c>
      <c r="AB27" s="5">
        <f t="shared" si="17"/>
        <v>-69.096206111500464</v>
      </c>
      <c r="AC27" s="5">
        <f t="shared" si="17"/>
        <v>157.20801214135957</v>
      </c>
      <c r="AD27" s="5">
        <f t="shared" si="17"/>
        <v>418.33228514383705</v>
      </c>
      <c r="AE27" s="5">
        <f t="shared" si="17"/>
        <v>711.32138603772182</v>
      </c>
      <c r="AF27" s="5">
        <f t="shared" si="17"/>
        <v>1036.0634317388785</v>
      </c>
      <c r="AG27" s="5"/>
      <c r="AH27" s="5"/>
      <c r="AI27" s="5"/>
      <c r="AJ27" s="5"/>
    </row>
    <row r="28" spans="1:36" x14ac:dyDescent="0.25">
      <c r="A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9"/>
      <c r="Q28" s="7"/>
      <c r="R28" s="7"/>
      <c r="S28" s="7"/>
      <c r="T28" s="7"/>
      <c r="U28" s="7"/>
      <c r="V28" s="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0" customFormat="1" x14ac:dyDescent="0.25">
      <c r="B29" s="10" t="s">
        <v>21</v>
      </c>
      <c r="C29" s="10">
        <f t="shared" ref="C29:J29" si="18">C5/C3</f>
        <v>0.36788874841972191</v>
      </c>
      <c r="D29" s="10">
        <f t="shared" si="18"/>
        <v>0.35287193973634656</v>
      </c>
      <c r="E29" s="10">
        <f t="shared" si="18"/>
        <v>0.35224884405212276</v>
      </c>
      <c r="F29" s="10">
        <f t="shared" si="18"/>
        <v>0.35155062237501356</v>
      </c>
      <c r="G29" s="10">
        <f t="shared" si="18"/>
        <v>0.3326125417731472</v>
      </c>
      <c r="H29" s="10">
        <f t="shared" si="18"/>
        <v>0.35146269747661851</v>
      </c>
      <c r="I29" s="10">
        <f t="shared" si="18"/>
        <v>0.35394638809187895</v>
      </c>
      <c r="J29" s="10">
        <f t="shared" si="18"/>
        <v>0.37556255625562529</v>
      </c>
      <c r="K29" s="10">
        <f>K5/K3</f>
        <v>0.34220227075380505</v>
      </c>
      <c r="P29" s="11"/>
      <c r="S29" s="10">
        <f t="shared" ref="S29:U29" si="19">S5/S3</f>
        <v>0.37230798104443302</v>
      </c>
      <c r="T29" s="10">
        <f t="shared" si="19"/>
        <v>0.35609598969238199</v>
      </c>
      <c r="U29" s="10">
        <f t="shared" si="19"/>
        <v>0.35480254142269835</v>
      </c>
      <c r="X29" s="18"/>
    </row>
    <row r="30" spans="1:36" x14ac:dyDescent="0.25">
      <c r="A30" s="12"/>
      <c r="B30" s="12" t="s">
        <v>22</v>
      </c>
      <c r="C30" s="12">
        <f t="shared" ref="C30:J30" si="20">C10/C3</f>
        <v>6.4130167455547324E-2</v>
      </c>
      <c r="D30" s="12">
        <f t="shared" si="20"/>
        <v>4.025423728813568E-2</v>
      </c>
      <c r="E30" s="12">
        <f t="shared" si="20"/>
        <v>7.6082387557797462E-2</v>
      </c>
      <c r="F30" s="12">
        <f t="shared" si="20"/>
        <v>8.5993252756862648E-2</v>
      </c>
      <c r="G30" s="12">
        <f t="shared" si="20"/>
        <v>9.8682917240023565E-2</v>
      </c>
      <c r="H30" s="12">
        <f t="shared" si="20"/>
        <v>0.10964001528315376</v>
      </c>
      <c r="I30" s="12">
        <f t="shared" si="20"/>
        <v>0.11282595945024811</v>
      </c>
      <c r="J30" s="12">
        <f t="shared" si="20"/>
        <v>-9.4020402040204343E-2</v>
      </c>
      <c r="K30" s="12">
        <f>K10/K3</f>
        <v>0.12049084981240883</v>
      </c>
      <c r="L30" s="12"/>
      <c r="M30" s="12"/>
      <c r="N30" s="12"/>
      <c r="O30" s="12"/>
      <c r="P30" s="13"/>
      <c r="Q30" s="12"/>
      <c r="R30" s="12"/>
      <c r="S30" s="12">
        <f t="shared" ref="S30:U30" si="21">S10/S3</f>
        <v>9.7236428470886385E-2</v>
      </c>
      <c r="T30" s="12">
        <f t="shared" si="21"/>
        <v>6.7590057443495985E-2</v>
      </c>
      <c r="U30" s="12">
        <f t="shared" si="21"/>
        <v>5.1783563805489756E-2</v>
      </c>
      <c r="V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x14ac:dyDescent="0.25">
      <c r="A31" s="12"/>
      <c r="B31" s="12" t="s">
        <v>23</v>
      </c>
      <c r="C31" s="12">
        <f t="shared" ref="C31:J31" si="22">C13/C3</f>
        <v>4.7462278275652286E-3</v>
      </c>
      <c r="D31" s="12">
        <f t="shared" si="22"/>
        <v>9.4161958568738237E-4</v>
      </c>
      <c r="E31" s="12">
        <f t="shared" si="22"/>
        <v>1.3240857503152585E-3</v>
      </c>
      <c r="F31" s="12">
        <f t="shared" si="22"/>
        <v>1.6988451062430045E-2</v>
      </c>
      <c r="G31" s="12">
        <f t="shared" si="22"/>
        <v>1.3760566149007274E-2</v>
      </c>
      <c r="H31" s="12">
        <f t="shared" si="22"/>
        <v>1.4203365616226723E-2</v>
      </c>
      <c r="I31" s="12">
        <f t="shared" si="22"/>
        <v>1.4068766545662064E-2</v>
      </c>
      <c r="J31" s="12">
        <f t="shared" si="22"/>
        <v>1.1626162616261606E-3</v>
      </c>
      <c r="K31" s="12">
        <f>K13/K3</f>
        <v>1.6091878696528335E-2</v>
      </c>
      <c r="L31" s="12"/>
      <c r="M31" s="12"/>
      <c r="N31" s="12"/>
      <c r="O31" s="12"/>
      <c r="P31" s="13"/>
      <c r="Q31" s="12"/>
      <c r="R31" s="12"/>
      <c r="S31" s="12">
        <f t="shared" ref="S31:U31" si="23">S13/S3</f>
        <v>1.9940881152348329E-2</v>
      </c>
      <c r="T31" s="12">
        <f t="shared" si="23"/>
        <v>6.2812047028506998E-3</v>
      </c>
      <c r="U31" s="12">
        <f t="shared" si="23"/>
        <v>1.0464681699264981E-2</v>
      </c>
      <c r="V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x14ac:dyDescent="0.25">
      <c r="B32" s="12"/>
      <c r="N32" s="1"/>
      <c r="U32" s="1"/>
    </row>
    <row r="33" spans="1:36" s="10" customFormat="1" x14ac:dyDescent="0.25">
      <c r="B33" s="10" t="s">
        <v>24</v>
      </c>
      <c r="G33" s="10">
        <f>G3/C3-1</f>
        <v>9.7457316310196163E-2</v>
      </c>
      <c r="H33" s="10">
        <f>H3/D3-1</f>
        <v>0.41706685499058382</v>
      </c>
      <c r="I33" s="10">
        <f>I3/E3-1</f>
        <v>0.32583018074821357</v>
      </c>
      <c r="J33" s="10">
        <f>J3/F3-1</f>
        <v>0.33701316153670224</v>
      </c>
      <c r="K33" s="10">
        <f>K3/G3-1</f>
        <v>0.19986239433851005</v>
      </c>
      <c r="P33" s="11"/>
    </row>
    <row r="34" spans="1:36" s="10" customFormat="1" x14ac:dyDescent="0.25">
      <c r="B34" s="10" t="s">
        <v>25</v>
      </c>
      <c r="G34" s="10">
        <f t="shared" ref="G34:J34" si="24">G15/C15-1</f>
        <v>-3.5129765527116557</v>
      </c>
      <c r="H34" s="10">
        <f t="shared" si="24"/>
        <v>-1.6351659451659464</v>
      </c>
      <c r="I34" s="10">
        <f t="shared" si="24"/>
        <v>1.4039557882489784</v>
      </c>
      <c r="J34" s="10">
        <f t="shared" si="24"/>
        <v>-6.5946718499885568</v>
      </c>
      <c r="K34" s="10">
        <f>K15/G15-1</f>
        <v>0.27784900284900282</v>
      </c>
      <c r="P34" s="11"/>
    </row>
    <row r="35" spans="1:3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  <c r="Q35" s="12"/>
      <c r="R35" s="12"/>
      <c r="S35" s="12"/>
      <c r="T35" s="12"/>
      <c r="U35" s="12"/>
      <c r="V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9" customFormat="1" x14ac:dyDescent="0.25">
      <c r="B36" s="19" t="s">
        <v>47</v>
      </c>
      <c r="G36" s="19">
        <f>(1+G11/F27)^4-1</f>
        <v>-4.9378575668738933E-2</v>
      </c>
      <c r="H36" s="19">
        <f t="shared" ref="H36:K36" si="25">(1+H11/G27)^4-1</f>
        <v>-4.5229473677995569E-2</v>
      </c>
      <c r="I36" s="19">
        <f t="shared" si="25"/>
        <v>-5.0767781989632943E-2</v>
      </c>
      <c r="J36" s="19">
        <f t="shared" si="25"/>
        <v>-5.3409381524605948E-2</v>
      </c>
      <c r="K36" s="19">
        <f t="shared" si="25"/>
        <v>-5.9918733252327327E-2</v>
      </c>
      <c r="P36" s="20"/>
      <c r="U36" s="19">
        <f>U11/T27</f>
        <v>-5.0888313543433622E-2</v>
      </c>
    </row>
    <row r="37" spans="1:36" x14ac:dyDescent="0.25">
      <c r="W37" s="4"/>
    </row>
    <row r="38" spans="1:36" x14ac:dyDescent="0.25">
      <c r="W38" s="4"/>
    </row>
    <row r="39" spans="1:36" x14ac:dyDescent="0.25">
      <c r="W39" s="7" t="s">
        <v>46</v>
      </c>
      <c r="X39" s="12">
        <v>0.1</v>
      </c>
    </row>
    <row r="40" spans="1:36" x14ac:dyDescent="0.25">
      <c r="W40" s="7" t="s">
        <v>51</v>
      </c>
      <c r="X40" s="12">
        <v>-0.01</v>
      </c>
    </row>
    <row r="41" spans="1:36" x14ac:dyDescent="0.25">
      <c r="W41" s="18" t="s">
        <v>50</v>
      </c>
      <c r="X41" s="12">
        <v>0.01</v>
      </c>
    </row>
    <row r="42" spans="1:36" x14ac:dyDescent="0.25">
      <c r="W42" t="s">
        <v>49</v>
      </c>
      <c r="X42" s="12">
        <v>0.08</v>
      </c>
    </row>
    <row r="43" spans="1:36" x14ac:dyDescent="0.25">
      <c r="W43" s="12" t="s">
        <v>45</v>
      </c>
      <c r="X43" s="22">
        <f>NPV(X42,V15:CD15)</f>
        <v>2996.7820265448186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2022-08-03T03:08:38Z</dcterms:modified>
</cp:coreProperties>
</file>