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C005D93B-BD8E-4C51-93C5-BDB338F94871}" xr6:coauthVersionLast="47" xr6:coauthVersionMax="47" xr10:uidLastSave="{00000000-0000-0000-0000-000000000000}"/>
  <bookViews>
    <workbookView xWindow="23175" yWindow="3135" windowWidth="15825" windowHeight="17250" xr2:uid="{0059096E-FB45-4687-8E83-CA48A4808244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2" l="1"/>
  <c r="V12" i="1"/>
  <c r="R29" i="1"/>
  <c r="Q30" i="1"/>
  <c r="Q28" i="1"/>
  <c r="Q27" i="1"/>
  <c r="Q26" i="1"/>
  <c r="R37" i="1"/>
  <c r="R36" i="1"/>
  <c r="R35" i="1"/>
  <c r="R34" i="1"/>
  <c r="R33" i="1"/>
  <c r="R32" i="1"/>
  <c r="S40" i="1"/>
  <c r="V6" i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V5" i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W4" i="1"/>
  <c r="X4" i="1" s="1"/>
  <c r="Y4" i="1" s="1"/>
  <c r="Z4" i="1" s="1"/>
  <c r="AA4" i="1" s="1"/>
  <c r="AB4" i="1" s="1"/>
  <c r="AC4" i="1" s="1"/>
  <c r="AD4" i="1" s="1"/>
  <c r="AE4" i="1" s="1"/>
  <c r="AF4" i="1" s="1"/>
  <c r="V4" i="1"/>
  <c r="V3" i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U35" i="1"/>
  <c r="T35" i="1"/>
  <c r="S35" i="1"/>
  <c r="U34" i="1"/>
  <c r="T34" i="1"/>
  <c r="S34" i="1"/>
  <c r="U24" i="1"/>
  <c r="T24" i="1"/>
  <c r="S24" i="1"/>
  <c r="R24" i="1"/>
  <c r="L24" i="1"/>
  <c r="S29" i="1"/>
  <c r="J15" i="1"/>
  <c r="J14" i="1"/>
  <c r="J13" i="1"/>
  <c r="J12" i="1"/>
  <c r="J10" i="1"/>
  <c r="J11" i="1" s="1"/>
  <c r="J16" i="1" s="1"/>
  <c r="J18" i="1" s="1"/>
  <c r="J9" i="1"/>
  <c r="J8" i="1"/>
  <c r="J7" i="1"/>
  <c r="J6" i="1"/>
  <c r="J5" i="1"/>
  <c r="J4" i="1"/>
  <c r="J3" i="1"/>
  <c r="F6" i="1"/>
  <c r="F5" i="1"/>
  <c r="F4" i="1"/>
  <c r="F3" i="1"/>
  <c r="F15" i="1"/>
  <c r="F14" i="1"/>
  <c r="F13" i="1"/>
  <c r="F12" i="1"/>
  <c r="F10" i="1"/>
  <c r="F11" i="1"/>
  <c r="F9" i="1"/>
  <c r="F8" i="1"/>
  <c r="F7" i="1"/>
  <c r="L23" i="1"/>
  <c r="E9" i="1"/>
  <c r="E11" i="1" s="1"/>
  <c r="E16" i="1" s="1"/>
  <c r="E18" i="1" s="1"/>
  <c r="I9" i="1"/>
  <c r="I11" i="1" s="1"/>
  <c r="I16" i="1" s="1"/>
  <c r="I18" i="1" s="1"/>
  <c r="G9" i="1"/>
  <c r="G11" i="1" s="1"/>
  <c r="G16" i="1" s="1"/>
  <c r="G18" i="1" s="1"/>
  <c r="K9" i="1"/>
  <c r="K11" i="1" s="1"/>
  <c r="K16" i="1" s="1"/>
  <c r="K18" i="1" s="1"/>
  <c r="H9" i="1"/>
  <c r="H11" i="1" s="1"/>
  <c r="H16" i="1" s="1"/>
  <c r="H18" i="1" s="1"/>
  <c r="L30" i="1"/>
  <c r="L9" i="1"/>
  <c r="L11" i="1" s="1"/>
  <c r="L16" i="1" s="1"/>
  <c r="L18" i="1" s="1"/>
  <c r="R23" i="1"/>
  <c r="Q10" i="1"/>
  <c r="Q9" i="1"/>
  <c r="R9" i="1"/>
  <c r="R11" i="1" s="1"/>
  <c r="R16" i="1" s="1"/>
  <c r="R18" i="1" s="1"/>
  <c r="S23" i="1"/>
  <c r="L35" i="1"/>
  <c r="K35" i="1"/>
  <c r="J35" i="1"/>
  <c r="I35" i="1"/>
  <c r="L34" i="1"/>
  <c r="K34" i="1"/>
  <c r="J34" i="1"/>
  <c r="I34" i="1"/>
  <c r="S9" i="1"/>
  <c r="S11" i="1" s="1"/>
  <c r="S16" i="1" s="1"/>
  <c r="S18" i="1" s="1"/>
  <c r="T9" i="1"/>
  <c r="T11" i="1" s="1"/>
  <c r="T16" i="1" s="1"/>
  <c r="T18" i="1" s="1"/>
  <c r="U9" i="1"/>
  <c r="U11" i="1" s="1"/>
  <c r="U16" i="1" s="1"/>
  <c r="U18" i="1" s="1"/>
  <c r="T23" i="1"/>
  <c r="U23" i="1"/>
  <c r="L36" i="1"/>
  <c r="L33" i="1"/>
  <c r="L32" i="1"/>
  <c r="L29" i="1"/>
  <c r="L28" i="1"/>
  <c r="N17" i="2"/>
  <c r="N16" i="2"/>
  <c r="N15" i="2"/>
  <c r="AF7" i="1" l="1"/>
  <c r="AF9" i="1" s="1"/>
  <c r="V7" i="1"/>
  <c r="AE7" i="1"/>
  <c r="W7" i="1"/>
  <c r="X7" i="1"/>
  <c r="AD7" i="1"/>
  <c r="Y7" i="1"/>
  <c r="Z7" i="1"/>
  <c r="AA7" i="1"/>
  <c r="AB7" i="1"/>
  <c r="AC7" i="1"/>
  <c r="F16" i="1"/>
  <c r="F18" i="1" s="1"/>
  <c r="Q11" i="1"/>
  <c r="Q16" i="1" s="1"/>
  <c r="Q18" i="1" s="1"/>
  <c r="L27" i="1"/>
  <c r="L26" i="1"/>
  <c r="L37" i="1"/>
  <c r="K28" i="1"/>
  <c r="J28" i="1"/>
  <c r="I28" i="1"/>
  <c r="H28" i="1"/>
  <c r="G28" i="1"/>
  <c r="F28" i="1"/>
  <c r="E28" i="1"/>
  <c r="U28" i="1"/>
  <c r="T28" i="1"/>
  <c r="S28" i="1"/>
  <c r="R28" i="1"/>
  <c r="AF15" i="1" l="1"/>
  <c r="AF10" i="1"/>
  <c r="AF11" i="1" s="1"/>
  <c r="AC9" i="1"/>
  <c r="AC15" i="1"/>
  <c r="AC10" i="1"/>
  <c r="Z10" i="1"/>
  <c r="Z9" i="1"/>
  <c r="Z15" i="1"/>
  <c r="AE9" i="1"/>
  <c r="AE15" i="1"/>
  <c r="AE10" i="1"/>
  <c r="AA9" i="1"/>
  <c r="AA10" i="1"/>
  <c r="AA15" i="1"/>
  <c r="AD9" i="1"/>
  <c r="AD15" i="1"/>
  <c r="AD10" i="1"/>
  <c r="X10" i="1"/>
  <c r="X9" i="1"/>
  <c r="X15" i="1"/>
  <c r="V10" i="1"/>
  <c r="V9" i="1"/>
  <c r="V11" i="1" s="1"/>
  <c r="V15" i="1"/>
  <c r="AB10" i="1"/>
  <c r="AB9" i="1"/>
  <c r="AB15" i="1"/>
  <c r="Y15" i="1"/>
  <c r="Y9" i="1"/>
  <c r="Y10" i="1"/>
  <c r="W10" i="1"/>
  <c r="W9" i="1"/>
  <c r="W11" i="1" s="1"/>
  <c r="W15" i="1"/>
  <c r="V36" i="1"/>
  <c r="U36" i="1"/>
  <c r="T36" i="1"/>
  <c r="S36" i="1"/>
  <c r="U33" i="1"/>
  <c r="T33" i="1"/>
  <c r="S33" i="1"/>
  <c r="T32" i="1"/>
  <c r="S32" i="1"/>
  <c r="U32" i="1"/>
  <c r="Z11" i="1" l="1"/>
  <c r="AD11" i="1"/>
  <c r="Y11" i="1"/>
  <c r="AB11" i="1"/>
  <c r="AA11" i="1"/>
  <c r="AE11" i="1"/>
  <c r="V27" i="1"/>
  <c r="V16" i="1"/>
  <c r="V24" i="1" s="1"/>
  <c r="X11" i="1"/>
  <c r="AC11" i="1"/>
  <c r="Y36" i="1"/>
  <c r="X36" i="1"/>
  <c r="W36" i="1"/>
  <c r="W27" i="1"/>
  <c r="K33" i="1"/>
  <c r="J33" i="1"/>
  <c r="I33" i="1"/>
  <c r="K32" i="1"/>
  <c r="J32" i="1"/>
  <c r="I32" i="1"/>
  <c r="K36" i="1"/>
  <c r="I36" i="1"/>
  <c r="U30" i="1"/>
  <c r="T30" i="1"/>
  <c r="S30" i="1"/>
  <c r="R30" i="1"/>
  <c r="U29" i="1"/>
  <c r="T29" i="1"/>
  <c r="K30" i="1"/>
  <c r="I30" i="1"/>
  <c r="H30" i="1"/>
  <c r="G30" i="1"/>
  <c r="E30" i="1"/>
  <c r="K29" i="1"/>
  <c r="I29" i="1"/>
  <c r="T40" i="1"/>
  <c r="U40" i="1"/>
  <c r="N5" i="2"/>
  <c r="N8" i="2" s="1"/>
  <c r="V37" i="1" l="1"/>
  <c r="W12" i="1"/>
  <c r="X27" i="1"/>
  <c r="S37" i="1"/>
  <c r="U37" i="1"/>
  <c r="T37" i="1"/>
  <c r="E26" i="1"/>
  <c r="H27" i="1"/>
  <c r="I27" i="1"/>
  <c r="R26" i="1"/>
  <c r="I37" i="1"/>
  <c r="S26" i="1"/>
  <c r="I26" i="1"/>
  <c r="T26" i="1"/>
  <c r="H26" i="1"/>
  <c r="R27" i="1"/>
  <c r="U26" i="1"/>
  <c r="S27" i="1"/>
  <c r="T27" i="1"/>
  <c r="K37" i="1"/>
  <c r="K26" i="1"/>
  <c r="U27" i="1"/>
  <c r="G27" i="1"/>
  <c r="K27" i="1"/>
  <c r="G26" i="1"/>
  <c r="E27" i="1"/>
  <c r="W16" i="1" l="1"/>
  <c r="W40" i="1"/>
  <c r="Z36" i="1"/>
  <c r="Y27" i="1"/>
  <c r="F30" i="1"/>
  <c r="W24" i="1" l="1"/>
  <c r="Z27" i="1"/>
  <c r="AA36" i="1"/>
  <c r="W37" i="1"/>
  <c r="F26" i="1"/>
  <c r="J37" i="1"/>
  <c r="X12" i="1" l="1"/>
  <c r="X16" i="1" s="1"/>
  <c r="X24" i="1" s="1"/>
  <c r="Y12" i="1" s="1"/>
  <c r="Y16" i="1" s="1"/>
  <c r="Y24" i="1" s="1"/>
  <c r="AB36" i="1"/>
  <c r="F27" i="1"/>
  <c r="Z12" i="1" l="1"/>
  <c r="Z16" i="1" s="1"/>
  <c r="Z24" i="1" s="1"/>
  <c r="AC36" i="1"/>
  <c r="AA27" i="1"/>
  <c r="X40" i="1"/>
  <c r="AA12" i="1" l="1"/>
  <c r="AA16" i="1" s="1"/>
  <c r="AA24" i="1" s="1"/>
  <c r="AB12" i="1" s="1"/>
  <c r="AB16" i="1" s="1"/>
  <c r="AB24" i="1" s="1"/>
  <c r="AC12" i="1" s="1"/>
  <c r="AC16" i="1" s="1"/>
  <c r="AC24" i="1" s="1"/>
  <c r="AD12" i="1" s="1"/>
  <c r="AD16" i="1" s="1"/>
  <c r="AD24" i="1" s="1"/>
  <c r="AD36" i="1"/>
  <c r="AB27" i="1"/>
  <c r="X37" i="1"/>
  <c r="AE12" i="1" l="1"/>
  <c r="AE16" i="1" s="1"/>
  <c r="AE24" i="1" s="1"/>
  <c r="AE36" i="1"/>
  <c r="AC27" i="1"/>
  <c r="AF12" i="1" l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CW16" i="1" s="1"/>
  <c r="CX16" i="1" s="1"/>
  <c r="CY16" i="1" s="1"/>
  <c r="CZ16" i="1" s="1"/>
  <c r="DA16" i="1" s="1"/>
  <c r="DB16" i="1" s="1"/>
  <c r="DC16" i="1" s="1"/>
  <c r="DD16" i="1" s="1"/>
  <c r="AI44" i="1" s="1"/>
  <c r="AF36" i="1"/>
  <c r="AD27" i="1"/>
  <c r="Y40" i="1"/>
  <c r="AF24" i="1" l="1"/>
  <c r="N18" i="2"/>
  <c r="AE27" i="1"/>
  <c r="AF27" i="1"/>
  <c r="Y37" i="1"/>
  <c r="Z40" i="1" l="1"/>
  <c r="Z37" i="1" l="1"/>
  <c r="AA40" i="1" l="1"/>
  <c r="AA37" i="1" l="1"/>
  <c r="AB40" i="1" l="1"/>
  <c r="AB37" i="1" l="1"/>
  <c r="AC40" i="1" l="1"/>
  <c r="AC37" i="1" l="1"/>
  <c r="AD40" i="1" l="1"/>
  <c r="AD37" i="1" l="1"/>
  <c r="AE40" i="1" l="1"/>
  <c r="AE37" i="1" l="1"/>
  <c r="AF40" i="1" l="1"/>
  <c r="AF37" i="1" l="1"/>
  <c r="J27" i="1"/>
  <c r="J36" i="1"/>
  <c r="J29" i="1"/>
  <c r="J26" i="1"/>
  <c r="J30" i="1"/>
  <c r="V40" i="1"/>
</calcChain>
</file>

<file path=xl/sharedStrings.xml><?xml version="1.0" encoding="utf-8"?>
<sst xmlns="http://schemas.openxmlformats.org/spreadsheetml/2006/main" count="63" uniqueCount="56">
  <si>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</si>
  <si>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</si>
  <si>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</si>
  <si>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</si>
  <si>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</si>
  <si>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</si>
  <si>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</si>
  <si>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</si>
  <si>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</si>
  <si>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</si>
  <si>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</si>
  <si>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</si>
  <si>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</si>
  <si>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</si>
  <si>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>SG&amp;A</t>
  </si>
  <si>
    <t>Operating Income</t>
  </si>
  <si>
    <t>Taxes expense</t>
  </si>
  <si>
    <t>Net income</t>
  </si>
  <si>
    <t>Shares</t>
  </si>
  <si>
    <t>EPS</t>
  </si>
  <si>
    <t>Gross margin</t>
  </si>
  <si>
    <t>Operating margin</t>
  </si>
  <si>
    <t>Tax on revenue rate</t>
  </si>
  <si>
    <t>Revenue y/y</t>
  </si>
  <si>
    <t>Net income y/y</t>
  </si>
  <si>
    <t>Price</t>
  </si>
  <si>
    <t>MkCap</t>
  </si>
  <si>
    <t>Cash</t>
  </si>
  <si>
    <t>Debt</t>
  </si>
  <si>
    <t>EV</t>
  </si>
  <si>
    <t>Interest expense</t>
  </si>
  <si>
    <t>Inventory</t>
  </si>
  <si>
    <t>PP&amp;E, net</t>
  </si>
  <si>
    <t>Gross profit</t>
  </si>
  <si>
    <t>Net cash</t>
  </si>
  <si>
    <t>Revenue on PP&amp;E gross</t>
  </si>
  <si>
    <t>Interest on Cash</t>
  </si>
  <si>
    <t>Terminal</t>
  </si>
  <si>
    <t>ROIC</t>
  </si>
  <si>
    <t>Discount</t>
  </si>
  <si>
    <t>NPV</t>
  </si>
  <si>
    <t>SG&amp;A rate</t>
  </si>
  <si>
    <t>Loss on extinguishment of debt</t>
  </si>
  <si>
    <t>Focus on DIE in 10K, this company is fuckered</t>
  </si>
  <si>
    <t>Other, net</t>
  </si>
  <si>
    <t>Insulation and accessories</t>
  </si>
  <si>
    <t>Glass and windows</t>
  </si>
  <si>
    <t>Gutters</t>
  </si>
  <si>
    <t>Other sales</t>
  </si>
  <si>
    <t>Insulation and accessories y/y</t>
  </si>
  <si>
    <t>Gutters y/y</t>
  </si>
  <si>
    <t>Other sales y/y</t>
  </si>
  <si>
    <t>Glass and windows y/y</t>
  </si>
  <si>
    <t>BLD</t>
  </si>
  <si>
    <t>Top Builders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</si>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</sst>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4" fontId="0" fillId="0" borderId="0" xfId="0" applyNumberFormat="1"/>
    <xf numFmtId="3" fontId="0" fillId="2" borderId="0" xfId="0" applyNumberFormat="1" applyFill="1"/>
    <xf numFmtId="4" fontId="0" fillId="2" borderId="0" xfId="0" applyNumberFormat="1" applyFill="1"/>
    <xf numFmtId="9" fontId="1" fillId="0" borderId="0" xfId="0" applyNumberFormat="1" applyFont="1"/>
    <xf numFmtId="9" fontId="1" fillId="2" borderId="0" xfId="0" applyNumberFormat="1" applyFon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8" fontId="0" fillId="0" borderId="0" xfId="0" applyNumberFormat="1"/>
    <xf numFmtId="3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43165</xdr:colOff>
      <xdr:row>0</xdr:row>
      <xdr:rowOff>24848</xdr:rowOff>
    </xdr:from>
    <xdr:to>
      <xdr:col>12</xdr:col>
      <xdr:colOff>43165</xdr:colOff>
      <xdr:row>41</xdr:row>
      <xdr:rowOff>2867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345345-F0B6-4AE2-A6A9-0610AA28392A}"/>
            </a:ext>
          </a:extLst>
        </xdr:cNvPr>
        <xdr:cNvCxnSpPr/>
      </xdr:nvCxnSpPr>
      <xdr:spPr>
        <a:xfrm>
          <a:off x="8880708" y="24848"/>
          <a:ext cx="0" cy="7788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0</xdr:row>
      <xdr:rowOff>9525</xdr:rowOff>
    </xdr:from>
    <xdr:to>
      <xdr:col>21</xdr:col>
      <xdr:colOff>19050</xdr:colOff>
      <xdr:row>41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BF9532-F513-4B59-AFF3-65781C501A93}"/>
            </a:ext>
          </a:extLst>
        </xdr:cNvPr>
        <xdr:cNvCxnSpPr/>
      </xdr:nvCxnSpPr>
      <xdr:spPr>
        <a:xfrm>
          <a:off x="13992225" y="9525"/>
          <a:ext cx="0" cy="9503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774-B749-4685-A014-25AB192F1EFE}">
  <dimension ref="B1:N19"/>
  <sheetViews>
    <sheetView tabSelected="1" workbookViewId="0">
      <selection activeCell="N20" sqref="N20"/>
    </sheetView>
  </sheetViews>
  <sheetFormatPr defaultRowHeight="15" x14ac:dyDescent="0.25"/>
  <cols>
    <col min="13" max="13" width="9.7109375" bestFit="1" customWidth="1"/>
    <col min="14" max="14" width="9.85546875" bestFit="1" customWidth="1"/>
  </cols>
  <sheetData>
    <row r="1" spans="2:14" ht="18" x14ac:dyDescent="0.25">
      <c r="M1" s="22" t="s">
        <v>54</v>
      </c>
    </row>
    <row r="2" spans="2:14" x14ac:dyDescent="0.25">
      <c r="B2" t="s">
        <v>43</v>
      </c>
      <c r="M2" t="s">
        <v>53</v>
      </c>
    </row>
    <row r="3" spans="2:14" x14ac:dyDescent="0.25">
      <c r="M3" t="s">
        <v>25</v>
      </c>
      <c r="N3" s="17">
        <v>207.35</v>
      </c>
    </row>
    <row r="4" spans="2:14" x14ac:dyDescent="0.25">
      <c r="M4" t="s">
        <v>18</v>
      </c>
      <c r="N4" s="1">
        <v>32.405000000000001</v>
      </c>
    </row>
    <row r="5" spans="2:14" x14ac:dyDescent="0.25">
      <c r="M5" t="s">
        <v>26</v>
      </c>
      <c r="N5" s="1">
        <f>N3*N4</f>
        <v>6719.1767499999996</v>
      </c>
    </row>
    <row r="6" spans="2:14" x14ac:dyDescent="0.25">
      <c r="M6" t="s">
        <v>27</v>
      </c>
      <c r="N6" s="1">
        <v>123.869</v>
      </c>
    </row>
    <row r="7" spans="2:14" x14ac:dyDescent="0.25">
      <c r="M7" t="s">
        <v>28</v>
      </c>
      <c r="N7" s="1">
        <v>1475.16</v>
      </c>
    </row>
    <row r="8" spans="2:14" x14ac:dyDescent="0.25">
      <c r="M8" t="s">
        <v>29</v>
      </c>
      <c r="N8" s="1">
        <f>N5-N6+N7</f>
        <v>8070.4677499999998</v>
      </c>
    </row>
    <row r="11" spans="2:14" x14ac:dyDescent="0.25">
      <c r="M11" s="2">
        <v>44775</v>
      </c>
    </row>
    <row r="15" spans="2:14" x14ac:dyDescent="0.25">
      <c r="M15" s="10" t="s">
        <v>37</v>
      </c>
      <c r="N15" s="18">
        <f>Model!AI41</f>
        <v>-1.4999999999999999E-2</v>
      </c>
    </row>
    <row r="16" spans="2:14" x14ac:dyDescent="0.25">
      <c r="M16" s="15" t="s">
        <v>38</v>
      </c>
      <c r="N16" s="18">
        <f>Model!AI42</f>
        <v>-0.01</v>
      </c>
    </row>
    <row r="17" spans="13:14" x14ac:dyDescent="0.25">
      <c r="M17" t="s">
        <v>39</v>
      </c>
      <c r="N17" s="18">
        <f>Model!AI43</f>
        <v>8.5000000000000006E-2</v>
      </c>
    </row>
    <row r="18" spans="13:14" x14ac:dyDescent="0.25">
      <c r="M18" s="15" t="s">
        <v>40</v>
      </c>
      <c r="N18" s="1">
        <f>Model!AI44</f>
        <v>11376.312419838127</v>
      </c>
    </row>
    <row r="19" spans="13:14" x14ac:dyDescent="0.25">
      <c r="M19" t="s">
        <v>55</v>
      </c>
      <c r="N19" s="17">
        <f>N18/N4</f>
        <v>351.06657675784993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4B3-79B0-4A5E-8A82-3BDE2546F8D8}">
  <dimension ref="A2:DE44"/>
  <sheetViews>
    <sheetView zoomScale="85" zoomScaleNormal="8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F44" sqref="AF44"/>
    </sheetView>
  </sheetViews>
  <sheetFormatPr defaultRowHeight="15" x14ac:dyDescent="0.25"/>
  <cols>
    <col min="2" max="2" width="31.42578125" customWidth="1"/>
    <col min="3" max="15" width="9.140625" style="1"/>
    <col min="16" max="16" width="4.42578125" style="3" customWidth="1"/>
    <col min="23" max="23" width="10.85546875" bestFit="1" customWidth="1"/>
    <col min="35" max="35" width="10.85546875" bestFit="1" customWidth="1"/>
    <col min="40" max="40" width="10.85546875" bestFit="1" customWidth="1"/>
  </cols>
  <sheetData>
    <row r="2" spans="1:10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</row>
    <row r="3" spans="1:109" s="1" customFormat="1" x14ac:dyDescent="0.25">
      <c r="B3" s="1" t="s">
        <v>45</v>
      </c>
      <c r="E3" s="1">
        <v>548</v>
      </c>
      <c r="F3" s="1">
        <f>+T3-1575.5</f>
        <v>573.24400000000014</v>
      </c>
      <c r="G3" s="1">
        <v>594.6</v>
      </c>
      <c r="H3" s="1">
        <v>661.14</v>
      </c>
      <c r="I3" s="1">
        <v>670.8</v>
      </c>
      <c r="J3" s="1">
        <f>+U3-I3-H3-G3</f>
        <v>856.95999999999992</v>
      </c>
      <c r="K3" s="1">
        <v>944.5</v>
      </c>
      <c r="L3" s="1">
        <v>1023.08</v>
      </c>
      <c r="P3" s="11"/>
      <c r="Q3" s="1">
        <v>1524.59</v>
      </c>
      <c r="R3" s="1">
        <v>1873</v>
      </c>
      <c r="S3" s="1">
        <v>2083.6</v>
      </c>
      <c r="T3" s="1">
        <v>2148.7440000000001</v>
      </c>
      <c r="U3" s="1">
        <v>2783.5</v>
      </c>
      <c r="V3" s="1">
        <f>U3*(1+V32)</f>
        <v>3896.8999999999996</v>
      </c>
      <c r="W3" s="1">
        <f t="shared" ref="W3:AF3" si="0">V3*(1+W32)</f>
        <v>3857.9309999999996</v>
      </c>
      <c r="X3" s="1">
        <f t="shared" si="0"/>
        <v>5015.3102999999992</v>
      </c>
      <c r="Y3" s="1">
        <f t="shared" si="0"/>
        <v>6118.6785659999987</v>
      </c>
      <c r="Z3" s="1">
        <f t="shared" si="0"/>
        <v>7036.4803508999976</v>
      </c>
      <c r="AA3" s="1">
        <f t="shared" si="0"/>
        <v>7810.4931894989977</v>
      </c>
      <c r="AB3" s="1">
        <f t="shared" si="0"/>
        <v>8513.437576553908</v>
      </c>
      <c r="AC3" s="1">
        <f t="shared" si="0"/>
        <v>9194.5125826782205</v>
      </c>
      <c r="AD3" s="1">
        <f t="shared" si="0"/>
        <v>9838.1284634656968</v>
      </c>
      <c r="AE3" s="1">
        <f t="shared" si="0"/>
        <v>10526.797455908296</v>
      </c>
      <c r="AF3" s="1">
        <f t="shared" si="0"/>
        <v>11158.405303262794</v>
      </c>
    </row>
    <row r="4" spans="1:109" s="1" customFormat="1" x14ac:dyDescent="0.25">
      <c r="B4" s="1" t="s">
        <v>46</v>
      </c>
      <c r="E4" s="1">
        <v>41.9</v>
      </c>
      <c r="F4" s="1">
        <f>+T4-122.6</f>
        <v>41.629000000000019</v>
      </c>
      <c r="G4" s="1">
        <v>43</v>
      </c>
      <c r="H4" s="1">
        <v>47.167000000000002</v>
      </c>
      <c r="I4" s="1">
        <v>46.1</v>
      </c>
      <c r="J4" s="1">
        <f t="shared" ref="J4:J15" si="1">+U4-I4-H4-G4</f>
        <v>47.533000000000015</v>
      </c>
      <c r="K4" s="1">
        <v>51.2</v>
      </c>
      <c r="L4" s="1">
        <v>57.121000000000002</v>
      </c>
      <c r="P4" s="11"/>
      <c r="Q4" s="1">
        <v>45.45</v>
      </c>
      <c r="R4" s="1">
        <v>124.1</v>
      </c>
      <c r="S4" s="1">
        <v>152.07</v>
      </c>
      <c r="T4" s="1">
        <v>164.22900000000001</v>
      </c>
      <c r="U4" s="1">
        <v>183.8</v>
      </c>
      <c r="V4" s="1">
        <f t="shared" ref="V4:AF4" si="2">U4*(1+V33)</f>
        <v>205.85600000000002</v>
      </c>
      <c r="W4" s="1">
        <f t="shared" si="2"/>
        <v>203.79744000000002</v>
      </c>
      <c r="X4" s="1">
        <f t="shared" si="2"/>
        <v>222.13920960000004</v>
      </c>
      <c r="Y4" s="1">
        <f t="shared" si="2"/>
        <v>237.68895427200005</v>
      </c>
      <c r="Z4" s="1">
        <f t="shared" si="2"/>
        <v>251.95029152832007</v>
      </c>
      <c r="AA4" s="1">
        <f t="shared" si="2"/>
        <v>262.02830318945286</v>
      </c>
      <c r="AB4" s="1">
        <f t="shared" si="2"/>
        <v>272.50943531703098</v>
      </c>
      <c r="AC4" s="1">
        <f t="shared" si="2"/>
        <v>283.4098127297122</v>
      </c>
      <c r="AD4" s="1">
        <f t="shared" si="2"/>
        <v>294.7462052389007</v>
      </c>
      <c r="AE4" s="1">
        <f t="shared" si="2"/>
        <v>306.53605344845676</v>
      </c>
      <c r="AF4" s="1">
        <f t="shared" si="2"/>
        <v>318.79749558639503</v>
      </c>
    </row>
    <row r="5" spans="1:109" s="1" customFormat="1" x14ac:dyDescent="0.25">
      <c r="B5" s="1" t="s">
        <v>47</v>
      </c>
      <c r="E5" s="1">
        <v>44.5</v>
      </c>
      <c r="F5" s="1">
        <f>+T5-119.87</f>
        <v>42.97999999999999</v>
      </c>
      <c r="G5" s="1">
        <v>39.9</v>
      </c>
      <c r="H5" s="1">
        <v>53</v>
      </c>
      <c r="I5" s="1">
        <v>57.2</v>
      </c>
      <c r="J5" s="1">
        <f t="shared" si="1"/>
        <v>63.400000000000013</v>
      </c>
      <c r="K5" s="1">
        <v>62.6</v>
      </c>
      <c r="L5" s="1">
        <v>70</v>
      </c>
      <c r="P5" s="11"/>
      <c r="Q5" s="1">
        <v>124.744</v>
      </c>
      <c r="R5" s="1">
        <v>142.96799999999999</v>
      </c>
      <c r="S5" s="1">
        <v>148.80000000000001</v>
      </c>
      <c r="T5" s="1">
        <v>162.85</v>
      </c>
      <c r="U5" s="1">
        <v>213.5</v>
      </c>
      <c r="V5" s="1">
        <f t="shared" ref="V5:AF5" si="3">U5*(1+V34)</f>
        <v>266.875</v>
      </c>
      <c r="W5" s="1">
        <f t="shared" si="3"/>
        <v>264.20625000000001</v>
      </c>
      <c r="X5" s="1">
        <f t="shared" si="3"/>
        <v>311.763375</v>
      </c>
      <c r="Y5" s="1">
        <f t="shared" si="3"/>
        <v>349.17498000000001</v>
      </c>
      <c r="Z5" s="1">
        <f t="shared" si="3"/>
        <v>377.10897840000001</v>
      </c>
      <c r="AA5" s="1">
        <f t="shared" si="3"/>
        <v>395.96442732000003</v>
      </c>
      <c r="AB5" s="1">
        <f t="shared" si="3"/>
        <v>411.80300441280002</v>
      </c>
      <c r="AC5" s="1">
        <f t="shared" si="3"/>
        <v>428.27512458931204</v>
      </c>
      <c r="AD5" s="1">
        <f t="shared" si="3"/>
        <v>445.40612957288454</v>
      </c>
      <c r="AE5" s="1">
        <f t="shared" si="3"/>
        <v>463.22237475579993</v>
      </c>
      <c r="AF5" s="1">
        <f t="shared" si="3"/>
        <v>481.75126974603194</v>
      </c>
    </row>
    <row r="6" spans="1:109" s="1" customFormat="1" x14ac:dyDescent="0.25">
      <c r="B6" s="1" t="s">
        <v>48</v>
      </c>
      <c r="E6" s="1">
        <v>62.5</v>
      </c>
      <c r="F6" s="1">
        <f>+T6-178.5</f>
        <v>63.699999999999989</v>
      </c>
      <c r="G6" s="1">
        <v>65.3</v>
      </c>
      <c r="H6" s="1">
        <v>72.944999999999993</v>
      </c>
      <c r="I6" s="1">
        <v>71.599999999999994</v>
      </c>
      <c r="J6" s="1">
        <f t="shared" si="1"/>
        <v>95.554999999999993</v>
      </c>
      <c r="K6" s="1">
        <v>110.6</v>
      </c>
      <c r="L6" s="1">
        <v>124.05800000000001</v>
      </c>
      <c r="P6" s="11"/>
      <c r="Q6" s="1">
        <v>211.5</v>
      </c>
      <c r="R6" s="1">
        <v>244.17</v>
      </c>
      <c r="S6" s="1">
        <v>239.6</v>
      </c>
      <c r="T6" s="1">
        <v>242.2</v>
      </c>
      <c r="U6" s="1">
        <v>305.39999999999998</v>
      </c>
      <c r="V6" s="1">
        <f t="shared" ref="V6:AF6" si="4">U6*(1+V35)</f>
        <v>397.02</v>
      </c>
      <c r="W6" s="1">
        <f t="shared" si="4"/>
        <v>393.0498</v>
      </c>
      <c r="X6" s="1">
        <f t="shared" si="4"/>
        <v>491.31225000000001</v>
      </c>
      <c r="Y6" s="1">
        <f t="shared" si="4"/>
        <v>584.66157750000002</v>
      </c>
      <c r="Z6" s="1">
        <f t="shared" si="4"/>
        <v>666.51419835000013</v>
      </c>
      <c r="AA6" s="1">
        <f t="shared" si="4"/>
        <v>733.1656181850002</v>
      </c>
      <c r="AB6" s="1">
        <f t="shared" si="4"/>
        <v>791.81886763980026</v>
      </c>
      <c r="AC6" s="1">
        <f t="shared" si="4"/>
        <v>839.32799969818836</v>
      </c>
      <c r="AD6" s="1">
        <f t="shared" si="4"/>
        <v>881.29439968309782</v>
      </c>
      <c r="AE6" s="1">
        <f t="shared" si="4"/>
        <v>925.3591196672528</v>
      </c>
      <c r="AF6" s="1">
        <f t="shared" si="4"/>
        <v>971.62707565061544</v>
      </c>
    </row>
    <row r="7" spans="1:109" x14ac:dyDescent="0.25">
      <c r="A7" s="4"/>
      <c r="B7" s="4" t="s">
        <v>12</v>
      </c>
      <c r="C7" s="5"/>
      <c r="D7" s="5"/>
      <c r="E7" s="5">
        <v>697.22</v>
      </c>
      <c r="F7" s="5">
        <f>+T7-1996.55</f>
        <v>721.45</v>
      </c>
      <c r="G7" s="5">
        <v>742.8</v>
      </c>
      <c r="H7" s="5">
        <v>834.255</v>
      </c>
      <c r="I7" s="5">
        <v>845.7</v>
      </c>
      <c r="J7" s="5">
        <f>SUM(J3:J6)</f>
        <v>1063.4479999999999</v>
      </c>
      <c r="K7" s="5">
        <v>1168.9179999999999</v>
      </c>
      <c r="L7" s="5">
        <v>1274.3</v>
      </c>
      <c r="M7" s="5"/>
      <c r="N7" s="5"/>
      <c r="O7" s="5"/>
      <c r="P7" s="6"/>
      <c r="Q7" s="5">
        <v>1906.2660000000001</v>
      </c>
      <c r="R7" s="5">
        <v>2384.25</v>
      </c>
      <c r="S7" s="5">
        <v>2624</v>
      </c>
      <c r="T7" s="5">
        <v>2718</v>
      </c>
      <c r="U7" s="5">
        <v>3486</v>
      </c>
      <c r="V7" s="5">
        <f>SUM(V3:V6)</f>
        <v>4766.6509999999998</v>
      </c>
      <c r="W7" s="5">
        <f t="shared" ref="W7:AF7" si="5">SUM(W3:W6)</f>
        <v>4718.9844899999989</v>
      </c>
      <c r="X7" s="5">
        <f t="shared" si="5"/>
        <v>6040.5251345999995</v>
      </c>
      <c r="Y7" s="5">
        <f t="shared" si="5"/>
        <v>7290.2040777719985</v>
      </c>
      <c r="Z7" s="5">
        <f t="shared" si="5"/>
        <v>8332.053819178318</v>
      </c>
      <c r="AA7" s="5">
        <f t="shared" si="5"/>
        <v>9201.6515381934496</v>
      </c>
      <c r="AB7" s="5">
        <f t="shared" si="5"/>
        <v>9989.5688839235409</v>
      </c>
      <c r="AC7" s="5">
        <f t="shared" si="5"/>
        <v>10745.525519695435</v>
      </c>
      <c r="AD7" s="5">
        <f t="shared" si="5"/>
        <v>11459.575197960579</v>
      </c>
      <c r="AE7" s="5">
        <f t="shared" si="5"/>
        <v>12221.915003779806</v>
      </c>
      <c r="AF7" s="5">
        <f t="shared" si="5"/>
        <v>12930.581144245836</v>
      </c>
      <c r="AG7" s="5"/>
      <c r="AH7" s="5"/>
      <c r="AI7" s="5"/>
      <c r="AJ7" s="5"/>
      <c r="AK7" s="5"/>
    </row>
    <row r="8" spans="1:109" s="1" customFormat="1" x14ac:dyDescent="0.25">
      <c r="B8" s="1" t="s">
        <v>13</v>
      </c>
      <c r="E8" s="1">
        <v>498.9</v>
      </c>
      <c r="F8" s="1">
        <f>+T8-1448.21</f>
        <v>523.49</v>
      </c>
      <c r="G8" s="1">
        <v>545</v>
      </c>
      <c r="H8" s="1">
        <v>591.07500000000005</v>
      </c>
      <c r="I8" s="1">
        <v>595.5</v>
      </c>
      <c r="J8" s="1">
        <f t="shared" si="1"/>
        <v>780.24300000000017</v>
      </c>
      <c r="K8" s="1">
        <v>837.7</v>
      </c>
      <c r="L8" s="1">
        <v>890.2</v>
      </c>
      <c r="P8" s="11"/>
      <c r="Q8" s="1">
        <v>1445.15</v>
      </c>
      <c r="R8" s="1">
        <v>1808.1</v>
      </c>
      <c r="S8" s="1">
        <v>1942.85</v>
      </c>
      <c r="T8" s="1">
        <v>1971.7</v>
      </c>
      <c r="U8" s="1">
        <v>2511.8180000000002</v>
      </c>
    </row>
    <row r="9" spans="1:109" x14ac:dyDescent="0.25">
      <c r="A9" s="4"/>
      <c r="B9" s="4" t="s">
        <v>33</v>
      </c>
      <c r="C9" s="5"/>
      <c r="D9" s="5"/>
      <c r="E9" s="5">
        <f t="shared" ref="E9:L9" si="6">+E7-E8</f>
        <v>198.32000000000005</v>
      </c>
      <c r="F9" s="5">
        <f t="shared" si="6"/>
        <v>197.96000000000004</v>
      </c>
      <c r="G9" s="5">
        <f t="shared" si="6"/>
        <v>197.79999999999995</v>
      </c>
      <c r="H9" s="5">
        <f t="shared" si="6"/>
        <v>243.17999999999995</v>
      </c>
      <c r="I9" s="5">
        <f t="shared" si="6"/>
        <v>250.20000000000005</v>
      </c>
      <c r="J9" s="5">
        <f t="shared" si="6"/>
        <v>283.2049999999997</v>
      </c>
      <c r="K9" s="5">
        <f t="shared" si="6"/>
        <v>331.21799999999985</v>
      </c>
      <c r="L9" s="5">
        <f t="shared" si="6"/>
        <v>384.09999999999991</v>
      </c>
      <c r="M9" s="5"/>
      <c r="N9" s="5"/>
      <c r="O9" s="5"/>
      <c r="P9" s="6"/>
      <c r="Q9" s="5">
        <f>+Q7-Q8</f>
        <v>461.11599999999999</v>
      </c>
      <c r="R9" s="5">
        <f>+R7-R8</f>
        <v>576.15000000000009</v>
      </c>
      <c r="S9" s="5">
        <f>+S7-S8</f>
        <v>681.15000000000009</v>
      </c>
      <c r="T9" s="5">
        <f>+T7-T8</f>
        <v>746.3</v>
      </c>
      <c r="U9" s="5">
        <f>+U7-U8</f>
        <v>974.18199999999979</v>
      </c>
      <c r="V9" s="5">
        <f>V7*V26</f>
        <v>1382.3287899999998</v>
      </c>
      <c r="W9" s="5">
        <f t="shared" ref="W9:AF9" si="7">W7*W26</f>
        <v>1321.3156571999998</v>
      </c>
      <c r="X9" s="5">
        <f t="shared" si="7"/>
        <v>1691.347037688</v>
      </c>
      <c r="Y9" s="5">
        <f t="shared" si="7"/>
        <v>1968.3551009984396</v>
      </c>
      <c r="Z9" s="5">
        <f t="shared" si="7"/>
        <v>2249.654531178146</v>
      </c>
      <c r="AA9" s="5">
        <f t="shared" si="7"/>
        <v>2392.4293999302968</v>
      </c>
      <c r="AB9" s="5">
        <f t="shared" si="7"/>
        <v>2597.2879098201206</v>
      </c>
      <c r="AC9" s="5">
        <f t="shared" si="7"/>
        <v>2686.3813799238587</v>
      </c>
      <c r="AD9" s="5">
        <f t="shared" si="7"/>
        <v>2864.8937994901448</v>
      </c>
      <c r="AE9" s="5">
        <f t="shared" si="7"/>
        <v>2933.2596009071535</v>
      </c>
      <c r="AF9" s="5">
        <f t="shared" si="7"/>
        <v>3103.3394746190006</v>
      </c>
      <c r="AG9" s="5"/>
      <c r="AH9" s="5"/>
      <c r="AI9" s="5"/>
      <c r="AJ9" s="5"/>
      <c r="AK9" s="5"/>
    </row>
    <row r="10" spans="1:109" x14ac:dyDescent="0.25">
      <c r="B10" t="s">
        <v>14</v>
      </c>
      <c r="E10" s="1">
        <v>96.8</v>
      </c>
      <c r="F10" s="1">
        <f>+T10-296.37</f>
        <v>94.93</v>
      </c>
      <c r="G10" s="1">
        <v>101.87</v>
      </c>
      <c r="H10" s="1">
        <v>114.89400000000001</v>
      </c>
      <c r="I10" s="1">
        <v>116.5</v>
      </c>
      <c r="J10" s="1">
        <f t="shared" si="1"/>
        <v>164.73599999999999</v>
      </c>
      <c r="K10" s="1">
        <v>167.24700000000001</v>
      </c>
      <c r="L10" s="1">
        <v>176.876</v>
      </c>
      <c r="Q10" s="1">
        <f>294.25+30</f>
        <v>324.25</v>
      </c>
      <c r="R10" s="1">
        <v>367.2</v>
      </c>
      <c r="S10" s="1">
        <v>391.74400000000003</v>
      </c>
      <c r="T10" s="1">
        <v>391.3</v>
      </c>
      <c r="U10" s="1">
        <v>498</v>
      </c>
      <c r="V10" s="1">
        <f>V7*V30</f>
        <v>667.33114</v>
      </c>
      <c r="W10" s="1">
        <f t="shared" ref="W10:AF10" si="8">W7*W30</f>
        <v>613.46798369999988</v>
      </c>
      <c r="X10" s="1">
        <f t="shared" si="8"/>
        <v>785.268267498</v>
      </c>
      <c r="Y10" s="1">
        <f t="shared" si="8"/>
        <v>947.72653011035982</v>
      </c>
      <c r="Z10" s="1">
        <f t="shared" si="8"/>
        <v>999.84645830139812</v>
      </c>
      <c r="AA10" s="1">
        <f t="shared" si="8"/>
        <v>1104.198184583214</v>
      </c>
      <c r="AB10" s="1">
        <f t="shared" si="8"/>
        <v>1198.7482660708249</v>
      </c>
      <c r="AC10" s="1">
        <f t="shared" si="8"/>
        <v>1182.0078071664977</v>
      </c>
      <c r="AD10" s="1">
        <f t="shared" si="8"/>
        <v>1260.5532717756637</v>
      </c>
      <c r="AE10" s="1">
        <f t="shared" si="8"/>
        <v>1344.4106504157787</v>
      </c>
      <c r="AF10" s="1">
        <f t="shared" si="8"/>
        <v>1422.3639258670421</v>
      </c>
      <c r="AG10" s="1"/>
      <c r="AH10" s="1"/>
      <c r="AI10" s="1"/>
      <c r="AJ10" s="1"/>
      <c r="AK10" s="1"/>
    </row>
    <row r="11" spans="1:109" x14ac:dyDescent="0.25">
      <c r="A11" s="4"/>
      <c r="B11" s="4" t="s">
        <v>15</v>
      </c>
      <c r="C11" s="5"/>
      <c r="D11" s="5"/>
      <c r="E11" s="5">
        <f t="shared" ref="E11:L11" si="9">+E9-E10</f>
        <v>101.52000000000005</v>
      </c>
      <c r="F11" s="5">
        <f t="shared" si="9"/>
        <v>103.03000000000003</v>
      </c>
      <c r="G11" s="5">
        <f t="shared" si="9"/>
        <v>95.92999999999995</v>
      </c>
      <c r="H11" s="5">
        <f t="shared" si="9"/>
        <v>128.28599999999994</v>
      </c>
      <c r="I11" s="5">
        <f t="shared" si="9"/>
        <v>133.70000000000005</v>
      </c>
      <c r="J11" s="5">
        <f t="shared" si="9"/>
        <v>118.46899999999971</v>
      </c>
      <c r="K11" s="5">
        <f t="shared" si="9"/>
        <v>163.97099999999983</v>
      </c>
      <c r="L11" s="5">
        <f t="shared" si="9"/>
        <v>207.2239999999999</v>
      </c>
      <c r="M11" s="5"/>
      <c r="N11" s="5"/>
      <c r="O11" s="5"/>
      <c r="P11" s="6"/>
      <c r="Q11" s="5">
        <f>+Q9-Q10</f>
        <v>136.86599999999999</v>
      </c>
      <c r="R11" s="5">
        <f>+R9-R10</f>
        <v>208.9500000000001</v>
      </c>
      <c r="S11" s="5">
        <f>+S9-S10</f>
        <v>289.40600000000006</v>
      </c>
      <c r="T11" s="5">
        <f>+T9-T10</f>
        <v>354.99999999999994</v>
      </c>
      <c r="U11" s="5">
        <f>+U9-U10</f>
        <v>476.18199999999979</v>
      </c>
      <c r="V11" s="5">
        <f t="shared" ref="V11:AF11" si="10">+V9-V10</f>
        <v>714.99764999999979</v>
      </c>
      <c r="W11" s="5">
        <f t="shared" si="10"/>
        <v>707.84767349999993</v>
      </c>
      <c r="X11" s="5">
        <f t="shared" si="10"/>
        <v>906.07877019</v>
      </c>
      <c r="Y11" s="5">
        <f t="shared" si="10"/>
        <v>1020.6285708880798</v>
      </c>
      <c r="Z11" s="5">
        <f t="shared" si="10"/>
        <v>1249.8080728767479</v>
      </c>
      <c r="AA11" s="5">
        <f t="shared" si="10"/>
        <v>1288.2312153470828</v>
      </c>
      <c r="AB11" s="5">
        <f t="shared" si="10"/>
        <v>1398.5396437492957</v>
      </c>
      <c r="AC11" s="5">
        <f t="shared" si="10"/>
        <v>1504.373572757361</v>
      </c>
      <c r="AD11" s="5">
        <f t="shared" si="10"/>
        <v>1604.3405277144811</v>
      </c>
      <c r="AE11" s="5">
        <f t="shared" si="10"/>
        <v>1588.8489504913748</v>
      </c>
      <c r="AF11" s="5">
        <f t="shared" si="10"/>
        <v>1680.9755487519585</v>
      </c>
      <c r="AG11" s="5"/>
      <c r="AH11" s="5"/>
      <c r="AI11" s="5"/>
      <c r="AJ11" s="5"/>
      <c r="AK11" s="5"/>
    </row>
    <row r="12" spans="1:109" x14ac:dyDescent="0.25">
      <c r="B12" t="s">
        <v>30</v>
      </c>
      <c r="E12" s="1">
        <v>7.7</v>
      </c>
      <c r="F12" s="1">
        <f>+T12-24.7</f>
        <v>7.8000000000000007</v>
      </c>
      <c r="G12" s="1">
        <v>6.6</v>
      </c>
      <c r="H12" s="1">
        <v>6.1050000000000004</v>
      </c>
      <c r="I12" s="1">
        <v>5.5</v>
      </c>
      <c r="J12" s="1">
        <f t="shared" si="1"/>
        <v>10.938000000000001</v>
      </c>
      <c r="K12" s="1">
        <v>11.965999999999999</v>
      </c>
      <c r="L12" s="1">
        <v>13.41</v>
      </c>
      <c r="Q12" s="1">
        <v>8</v>
      </c>
      <c r="R12" s="1">
        <v>28.7</v>
      </c>
      <c r="S12" s="1">
        <v>37.823</v>
      </c>
      <c r="T12" s="1">
        <v>32.5</v>
      </c>
      <c r="U12" s="1">
        <v>29.143000000000001</v>
      </c>
      <c r="V12" s="1">
        <f>U24*-0.065</f>
        <v>87.967100000000016</v>
      </c>
      <c r="W12" s="1">
        <f>V24*-0.065</f>
        <v>58.054245275000035</v>
      </c>
      <c r="X12" s="1">
        <f>W24*-0.065</f>
        <v>26.55336215512504</v>
      </c>
      <c r="Y12" s="1">
        <f>X24*-0.01</f>
        <v>-2.4751271412967446</v>
      </c>
      <c r="Z12" s="1">
        <f t="shared" ref="Z12:AF12" si="11">Y24*-0.01</f>
        <v>-10.00878861281487</v>
      </c>
      <c r="AA12" s="1">
        <f t="shared" si="11"/>
        <v>-19.524097314614522</v>
      </c>
      <c r="AB12" s="1">
        <f t="shared" si="11"/>
        <v>-29.013006341336052</v>
      </c>
      <c r="AC12" s="1">
        <f t="shared" si="11"/>
        <v>-39.392600977512181</v>
      </c>
      <c r="AD12" s="1">
        <f t="shared" si="11"/>
        <v>-50.63950776217969</v>
      </c>
      <c r="AE12" s="1">
        <f t="shared" si="11"/>
        <v>-62.720073789741676</v>
      </c>
      <c r="AF12" s="1">
        <f t="shared" si="11"/>
        <v>-74.469217181078719</v>
      </c>
      <c r="AG12" s="1"/>
      <c r="AH12" s="1"/>
      <c r="AI12" s="1"/>
      <c r="AJ12" s="1"/>
      <c r="AK12" s="1"/>
    </row>
    <row r="13" spans="1:109" x14ac:dyDescent="0.25">
      <c r="B13" t="s">
        <v>42</v>
      </c>
      <c r="E13" s="1">
        <v>0</v>
      </c>
      <c r="F13" s="1">
        <f>+T13-0.233</f>
        <v>-3.3000000000000002E-2</v>
      </c>
      <c r="G13" s="1">
        <v>13.862</v>
      </c>
      <c r="H13" s="1">
        <v>0</v>
      </c>
      <c r="I13" s="1">
        <v>0</v>
      </c>
      <c r="J13" s="1">
        <f t="shared" si="1"/>
        <v>-6.1999999999999389E-2</v>
      </c>
      <c r="K13" s="1">
        <v>0</v>
      </c>
      <c r="L13" s="1">
        <v>0</v>
      </c>
      <c r="Q13" s="1">
        <v>1.1000000000000001</v>
      </c>
      <c r="R13" s="1">
        <v>0</v>
      </c>
      <c r="S13" s="1">
        <v>0</v>
      </c>
      <c r="T13" s="1">
        <v>0.2</v>
      </c>
      <c r="U13" s="1">
        <v>13.8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109" x14ac:dyDescent="0.25">
      <c r="B14" t="s">
        <v>44</v>
      </c>
      <c r="E14" s="1">
        <v>8.5999999999999993E-2</v>
      </c>
      <c r="F14" s="1">
        <f>+T14-0.648</f>
        <v>8.1999999999999962E-2</v>
      </c>
      <c r="G14" s="1">
        <v>7.6999999999999999E-2</v>
      </c>
      <c r="H14" s="1">
        <v>6.6000000000000003E-2</v>
      </c>
      <c r="I14" s="1">
        <v>6.6000000000000003E-2</v>
      </c>
      <c r="J14" s="1">
        <f t="shared" si="1"/>
        <v>-0.20900000000000002</v>
      </c>
      <c r="K14" s="1">
        <v>0.68400000000000005</v>
      </c>
      <c r="L14" s="1">
        <v>-0.27900000000000003</v>
      </c>
      <c r="Q14" s="1">
        <v>0.28000000000000003</v>
      </c>
      <c r="R14" s="1">
        <v>0.55800000000000005</v>
      </c>
      <c r="S14" s="1">
        <v>2.0699999999999998</v>
      </c>
      <c r="T14" s="1">
        <v>0.73</v>
      </c>
      <c r="U14" s="1">
        <v>0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109" x14ac:dyDescent="0.25">
      <c r="A15" s="4"/>
      <c r="B15" t="s">
        <v>16</v>
      </c>
      <c r="E15" s="1">
        <v>23.92</v>
      </c>
      <c r="F15" s="1">
        <f>+T15-51.4</f>
        <v>24.660000000000004</v>
      </c>
      <c r="G15" s="1">
        <v>15.657</v>
      </c>
      <c r="H15" s="1">
        <v>31.867000000000001</v>
      </c>
      <c r="I15" s="1">
        <v>32.93</v>
      </c>
      <c r="J15" s="1">
        <f t="shared" si="1"/>
        <v>28.945999999999994</v>
      </c>
      <c r="K15" s="1">
        <v>37.96</v>
      </c>
      <c r="L15" s="1">
        <v>49.835000000000001</v>
      </c>
      <c r="P15" s="6"/>
      <c r="Q15" s="1">
        <v>-30.093</v>
      </c>
      <c r="R15" s="1">
        <v>46.07</v>
      </c>
      <c r="S15" s="1">
        <v>62.78</v>
      </c>
      <c r="T15" s="1">
        <v>76.06</v>
      </c>
      <c r="U15" s="1">
        <v>109.4</v>
      </c>
      <c r="V15" s="1">
        <f>V7*V28</f>
        <v>166.832785</v>
      </c>
      <c r="W15" s="1">
        <f t="shared" ref="W15:AF15" si="12">W7*W28</f>
        <v>165.16445714999998</v>
      </c>
      <c r="X15" s="1">
        <f t="shared" si="12"/>
        <v>223.49942998019998</v>
      </c>
      <c r="Y15" s="1">
        <f t="shared" si="12"/>
        <v>269.73755087756393</v>
      </c>
      <c r="Z15" s="1">
        <f t="shared" si="12"/>
        <v>308.28599130959776</v>
      </c>
      <c r="AA15" s="1">
        <f t="shared" si="12"/>
        <v>358.86440998954453</v>
      </c>
      <c r="AB15" s="1">
        <f t="shared" si="12"/>
        <v>389.59318647301808</v>
      </c>
      <c r="AC15" s="1">
        <f t="shared" si="12"/>
        <v>419.07549526812198</v>
      </c>
      <c r="AD15" s="1">
        <f t="shared" si="12"/>
        <v>446.92343272046259</v>
      </c>
      <c r="AE15" s="1">
        <f t="shared" si="12"/>
        <v>476.65468514741247</v>
      </c>
      <c r="AF15" s="1">
        <f t="shared" si="12"/>
        <v>504.29266462558763</v>
      </c>
      <c r="AG15" s="1"/>
      <c r="AH15" s="1"/>
      <c r="AI15" s="1"/>
      <c r="AJ15" s="1"/>
      <c r="AK15" s="1"/>
    </row>
    <row r="16" spans="1:109" x14ac:dyDescent="0.25">
      <c r="B16" s="4" t="s">
        <v>17</v>
      </c>
      <c r="C16" s="5"/>
      <c r="D16" s="5"/>
      <c r="E16" s="5">
        <f t="shared" ref="E16:L16" si="13">+E11-E12-E13+E14-E15</f>
        <v>69.986000000000047</v>
      </c>
      <c r="F16" s="5">
        <f t="shared" si="13"/>
        <v>70.685000000000031</v>
      </c>
      <c r="G16" s="5">
        <f t="shared" si="13"/>
        <v>59.887999999999963</v>
      </c>
      <c r="H16" s="5">
        <f t="shared" si="13"/>
        <v>90.379999999999939</v>
      </c>
      <c r="I16" s="5">
        <f t="shared" si="13"/>
        <v>95.336000000000041</v>
      </c>
      <c r="J16" s="5">
        <f t="shared" si="13"/>
        <v>78.437999999999704</v>
      </c>
      <c r="K16" s="5">
        <f t="shared" si="13"/>
        <v>114.72899999999981</v>
      </c>
      <c r="L16" s="5">
        <f t="shared" si="13"/>
        <v>143.6999999999999</v>
      </c>
      <c r="M16" s="5"/>
      <c r="N16" s="5"/>
      <c r="O16" s="5"/>
      <c r="Q16" s="5">
        <f>+Q11-Q12-Q13+Q14-Q15</f>
        <v>158.13899999999998</v>
      </c>
      <c r="R16" s="5">
        <f>+R11-R12-R13+R14-R15</f>
        <v>134.73800000000011</v>
      </c>
      <c r="S16" s="5">
        <f>+S11-S12-S13+S14-S15</f>
        <v>190.87300000000005</v>
      </c>
      <c r="T16" s="5">
        <f>+T11-T12-T13+T14-T15</f>
        <v>246.96999999999997</v>
      </c>
      <c r="U16" s="5">
        <f>+U11-U12-U13+U14-U15</f>
        <v>323.83899999999971</v>
      </c>
      <c r="V16" s="5">
        <f t="shared" ref="V16:AF16" si="14">+V11-V12-V13+V14-V15</f>
        <v>460.19776499999972</v>
      </c>
      <c r="W16" s="5">
        <f t="shared" si="14"/>
        <v>484.62897107499987</v>
      </c>
      <c r="X16" s="5">
        <f t="shared" si="14"/>
        <v>656.02597805467508</v>
      </c>
      <c r="Y16" s="5">
        <f t="shared" si="14"/>
        <v>753.36614715181258</v>
      </c>
      <c r="Z16" s="5">
        <f t="shared" si="14"/>
        <v>951.53087017996506</v>
      </c>
      <c r="AA16" s="5">
        <f t="shared" si="14"/>
        <v>948.89090267215261</v>
      </c>
      <c r="AB16" s="5">
        <f t="shared" si="14"/>
        <v>1037.9594636176137</v>
      </c>
      <c r="AC16" s="5">
        <f t="shared" si="14"/>
        <v>1124.690678466751</v>
      </c>
      <c r="AD16" s="5">
        <f t="shared" si="14"/>
        <v>1208.0566027561981</v>
      </c>
      <c r="AE16" s="5">
        <f t="shared" si="14"/>
        <v>1174.9143391337041</v>
      </c>
      <c r="AF16" s="5">
        <f t="shared" si="14"/>
        <v>1251.1521013074496</v>
      </c>
      <c r="AG16" s="5">
        <f>AF16*(1+$AI$41)</f>
        <v>1232.3848197878378</v>
      </c>
      <c r="AH16" s="5">
        <f t="shared" ref="AH16:CS16" si="15">AG16*(1+$AI$41)</f>
        <v>1213.8990474910202</v>
      </c>
      <c r="AI16" s="5">
        <f t="shared" si="15"/>
        <v>1195.6905617786549</v>
      </c>
      <c r="AJ16" s="5">
        <f t="shared" si="15"/>
        <v>1177.7552033519751</v>
      </c>
      <c r="AK16" s="5">
        <f t="shared" si="15"/>
        <v>1160.0888753016955</v>
      </c>
      <c r="AL16" s="5">
        <f t="shared" si="15"/>
        <v>1142.68754217217</v>
      </c>
      <c r="AM16" s="5">
        <f t="shared" si="15"/>
        <v>1125.5472290395874</v>
      </c>
      <c r="AN16" s="5">
        <f t="shared" si="15"/>
        <v>1108.6640206039935</v>
      </c>
      <c r="AO16" s="5">
        <f t="shared" si="15"/>
        <v>1092.0340602949336</v>
      </c>
      <c r="AP16" s="5">
        <f t="shared" si="15"/>
        <v>1075.6535493905096</v>
      </c>
      <c r="AQ16" s="5">
        <f t="shared" si="15"/>
        <v>1059.5187461496519</v>
      </c>
      <c r="AR16" s="5">
        <f t="shared" si="15"/>
        <v>1043.6259649574072</v>
      </c>
      <c r="AS16" s="5">
        <f t="shared" si="15"/>
        <v>1027.9715754830461</v>
      </c>
      <c r="AT16" s="5">
        <f t="shared" si="15"/>
        <v>1012.5520018508004</v>
      </c>
      <c r="AU16" s="5">
        <f t="shared" si="15"/>
        <v>997.3637218230383</v>
      </c>
      <c r="AV16" s="5">
        <f t="shared" si="15"/>
        <v>982.40326599569266</v>
      </c>
      <c r="AW16" s="5">
        <f t="shared" si="15"/>
        <v>967.66721700575727</v>
      </c>
      <c r="AX16" s="5">
        <f t="shared" si="15"/>
        <v>953.15220875067087</v>
      </c>
      <c r="AY16" s="5">
        <f t="shared" si="15"/>
        <v>938.85492561941078</v>
      </c>
      <c r="AZ16" s="5">
        <f t="shared" si="15"/>
        <v>924.77210173511958</v>
      </c>
      <c r="BA16" s="5">
        <f t="shared" si="15"/>
        <v>910.90052020909275</v>
      </c>
      <c r="BB16" s="5">
        <f t="shared" si="15"/>
        <v>897.23701240595631</v>
      </c>
      <c r="BC16" s="5">
        <f t="shared" si="15"/>
        <v>883.77845721986694</v>
      </c>
      <c r="BD16" s="5">
        <f t="shared" si="15"/>
        <v>870.52178036156897</v>
      </c>
      <c r="BE16" s="5">
        <f t="shared" si="15"/>
        <v>857.46395365614546</v>
      </c>
      <c r="BF16" s="5">
        <f t="shared" si="15"/>
        <v>844.60199435130323</v>
      </c>
      <c r="BG16" s="5">
        <f t="shared" si="15"/>
        <v>831.93296443603367</v>
      </c>
      <c r="BH16" s="5">
        <f t="shared" si="15"/>
        <v>819.45396996949319</v>
      </c>
      <c r="BI16" s="5">
        <f t="shared" si="15"/>
        <v>807.16216041995074</v>
      </c>
      <c r="BJ16" s="5">
        <f t="shared" si="15"/>
        <v>795.05472801365147</v>
      </c>
      <c r="BK16" s="5">
        <f t="shared" si="15"/>
        <v>783.12890709344674</v>
      </c>
      <c r="BL16" s="5">
        <f t="shared" si="15"/>
        <v>771.381973487045</v>
      </c>
      <c r="BM16" s="5">
        <f t="shared" si="15"/>
        <v>759.81124388473927</v>
      </c>
      <c r="BN16" s="5">
        <f t="shared" si="15"/>
        <v>748.41407522646819</v>
      </c>
      <c r="BO16" s="5">
        <f t="shared" si="15"/>
        <v>737.18786409807115</v>
      </c>
      <c r="BP16" s="5">
        <f t="shared" si="15"/>
        <v>726.13004613660007</v>
      </c>
      <c r="BQ16" s="5">
        <f t="shared" si="15"/>
        <v>715.23809544455105</v>
      </c>
      <c r="BR16" s="5">
        <f t="shared" si="15"/>
        <v>704.50952401288282</v>
      </c>
      <c r="BS16" s="5">
        <f t="shared" si="15"/>
        <v>693.94188115268958</v>
      </c>
      <c r="BT16" s="5">
        <f t="shared" si="15"/>
        <v>683.53275293539923</v>
      </c>
      <c r="BU16" s="5">
        <f t="shared" si="15"/>
        <v>673.27976164136828</v>
      </c>
      <c r="BV16" s="5">
        <f t="shared" si="15"/>
        <v>663.18056521674771</v>
      </c>
      <c r="BW16" s="5">
        <f t="shared" si="15"/>
        <v>653.23285673849648</v>
      </c>
      <c r="BX16" s="5">
        <f t="shared" si="15"/>
        <v>643.43436388741907</v>
      </c>
      <c r="BY16" s="5">
        <f t="shared" si="15"/>
        <v>633.78284842910773</v>
      </c>
      <c r="BZ16" s="5">
        <f t="shared" si="15"/>
        <v>624.27610570267109</v>
      </c>
      <c r="CA16" s="5">
        <f t="shared" si="15"/>
        <v>614.91196411713099</v>
      </c>
      <c r="CB16" s="5">
        <f t="shared" si="15"/>
        <v>605.68828465537399</v>
      </c>
      <c r="CC16" s="5">
        <f t="shared" si="15"/>
        <v>596.60296038554338</v>
      </c>
      <c r="CD16" s="5">
        <f t="shared" si="15"/>
        <v>587.6539159797602</v>
      </c>
      <c r="CE16" s="5">
        <f t="shared" si="15"/>
        <v>578.83910724006375</v>
      </c>
      <c r="CF16" s="5">
        <f t="shared" si="15"/>
        <v>570.15652063146274</v>
      </c>
      <c r="CG16" s="5">
        <f t="shared" si="15"/>
        <v>561.6041728219908</v>
      </c>
      <c r="CH16" s="5">
        <f t="shared" si="15"/>
        <v>553.18011022966095</v>
      </c>
      <c r="CI16" s="5">
        <f t="shared" si="15"/>
        <v>544.88240857621599</v>
      </c>
      <c r="CJ16" s="5">
        <f t="shared" si="15"/>
        <v>536.70917244757277</v>
      </c>
      <c r="CK16" s="5">
        <f t="shared" si="15"/>
        <v>528.65853486085916</v>
      </c>
      <c r="CL16" s="5">
        <f t="shared" si="15"/>
        <v>520.72865683794623</v>
      </c>
      <c r="CM16" s="5">
        <f t="shared" si="15"/>
        <v>512.91772698537704</v>
      </c>
      <c r="CN16" s="5">
        <f t="shared" si="15"/>
        <v>505.22396108059638</v>
      </c>
      <c r="CO16" s="5">
        <f t="shared" si="15"/>
        <v>497.64560166438741</v>
      </c>
      <c r="CP16" s="5">
        <f t="shared" si="15"/>
        <v>490.18091763942158</v>
      </c>
      <c r="CQ16" s="5">
        <f t="shared" si="15"/>
        <v>482.82820387483025</v>
      </c>
      <c r="CR16" s="5">
        <f t="shared" si="15"/>
        <v>475.58578081670777</v>
      </c>
      <c r="CS16" s="5">
        <f t="shared" si="15"/>
        <v>468.45199410445713</v>
      </c>
      <c r="CT16" s="5">
        <f t="shared" ref="CT16:DD16" si="16">CS16*(1+$AI$41)</f>
        <v>461.42521419289028</v>
      </c>
      <c r="CU16" s="5">
        <f t="shared" si="16"/>
        <v>454.50383597999689</v>
      </c>
      <c r="CV16" s="5">
        <f t="shared" si="16"/>
        <v>447.68627844029692</v>
      </c>
      <c r="CW16" s="5">
        <f t="shared" si="16"/>
        <v>440.97098426369246</v>
      </c>
      <c r="CX16" s="5">
        <f t="shared" si="16"/>
        <v>434.35641949973706</v>
      </c>
      <c r="CY16" s="5">
        <f t="shared" si="16"/>
        <v>427.84107320724098</v>
      </c>
      <c r="CZ16" s="5">
        <f t="shared" si="16"/>
        <v>421.42345710913236</v>
      </c>
      <c r="DA16" s="5">
        <f t="shared" si="16"/>
        <v>415.10210525249539</v>
      </c>
      <c r="DB16" s="5">
        <f t="shared" si="16"/>
        <v>408.87557367370795</v>
      </c>
      <c r="DC16" s="5">
        <f t="shared" si="16"/>
        <v>402.74244006860232</v>
      </c>
      <c r="DD16" s="5">
        <f t="shared" si="16"/>
        <v>396.70130346757327</v>
      </c>
      <c r="DE16" s="5"/>
    </row>
    <row r="17" spans="1:37" s="1" customFormat="1" x14ac:dyDescent="0.25">
      <c r="A17" s="5"/>
      <c r="B17" s="1" t="s">
        <v>18</v>
      </c>
      <c r="E17" s="1">
        <v>32.85</v>
      </c>
      <c r="F17" s="1">
        <v>32.85</v>
      </c>
      <c r="G17" s="1">
        <v>32.826000000000001</v>
      </c>
      <c r="H17" s="1">
        <v>32.865299999999998</v>
      </c>
      <c r="I17" s="1">
        <v>32.762999999999998</v>
      </c>
      <c r="J17" s="1">
        <v>32.762999999999998</v>
      </c>
      <c r="K17" s="1">
        <v>32.738</v>
      </c>
      <c r="L17" s="1">
        <v>32.405000000000001</v>
      </c>
      <c r="P17" s="21"/>
      <c r="Q17" s="1">
        <v>35.897599999999997</v>
      </c>
      <c r="R17" s="1">
        <v>34.921300000000002</v>
      </c>
      <c r="S17" s="1">
        <v>33.805999999999997</v>
      </c>
      <c r="T17" s="1">
        <v>32.92</v>
      </c>
      <c r="U17" s="1">
        <v>32.799999999999997</v>
      </c>
    </row>
    <row r="18" spans="1:37" x14ac:dyDescent="0.25">
      <c r="A18" s="7"/>
      <c r="B18" s="8" t="s">
        <v>19</v>
      </c>
      <c r="C18" s="7"/>
      <c r="D18" s="7"/>
      <c r="E18" s="7">
        <f t="shared" ref="E18:L18" si="17">+E16/E17</f>
        <v>2.1304718417047197</v>
      </c>
      <c r="F18" s="7">
        <f t="shared" si="17"/>
        <v>2.1517503805175044</v>
      </c>
      <c r="G18" s="7">
        <f t="shared" si="17"/>
        <v>1.8244074818741229</v>
      </c>
      <c r="H18" s="7">
        <f t="shared" si="17"/>
        <v>2.7500129315722037</v>
      </c>
      <c r="I18" s="7">
        <f t="shared" si="17"/>
        <v>2.9098678387205092</v>
      </c>
      <c r="J18" s="7">
        <f t="shared" si="17"/>
        <v>2.3941031041113363</v>
      </c>
      <c r="K18" s="7">
        <f t="shared" si="17"/>
        <v>3.5044596493371563</v>
      </c>
      <c r="L18" s="7">
        <f t="shared" si="17"/>
        <v>4.4345008486344666</v>
      </c>
      <c r="M18" s="7"/>
      <c r="N18" s="7"/>
      <c r="O18" s="7"/>
      <c r="P18" s="9"/>
      <c r="Q18" s="7">
        <f>+Q16/Q17</f>
        <v>4.4052805758602247</v>
      </c>
      <c r="R18" s="7">
        <f>+R16/R17</f>
        <v>3.8583328799328807</v>
      </c>
      <c r="S18" s="7">
        <f>+S16/S17</f>
        <v>5.6461279062888261</v>
      </c>
      <c r="T18" s="7">
        <f>+T16/T17</f>
        <v>7.502126366950181</v>
      </c>
      <c r="U18" s="7">
        <f>+U16/U17</f>
        <v>9.8731402439024318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"/>
      <c r="B19" s="1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s="1" customFormat="1" x14ac:dyDescent="0.25">
      <c r="B20" s="1" t="s">
        <v>27</v>
      </c>
      <c r="L20" s="1">
        <v>123.869</v>
      </c>
      <c r="P20" s="11"/>
      <c r="R20" s="1">
        <v>100.92</v>
      </c>
      <c r="S20" s="1">
        <v>184.8</v>
      </c>
      <c r="T20" s="1">
        <v>330</v>
      </c>
      <c r="U20" s="1">
        <v>139.80000000000001</v>
      </c>
    </row>
    <row r="21" spans="1:37" s="1" customFormat="1" x14ac:dyDescent="0.25">
      <c r="B21" s="1" t="s">
        <v>31</v>
      </c>
      <c r="L21" s="1">
        <v>431.1</v>
      </c>
      <c r="P21" s="11"/>
      <c r="R21" s="1">
        <v>168.977</v>
      </c>
      <c r="S21" s="1">
        <v>149.1</v>
      </c>
      <c r="T21" s="1">
        <v>161.369</v>
      </c>
      <c r="U21" s="1">
        <v>352.8</v>
      </c>
    </row>
    <row r="22" spans="1:37" s="1" customFormat="1" x14ac:dyDescent="0.25">
      <c r="B22" s="1" t="s">
        <v>32</v>
      </c>
      <c r="L22" s="1">
        <v>250.05</v>
      </c>
      <c r="P22" s="11"/>
      <c r="R22" s="1">
        <v>167.96</v>
      </c>
      <c r="S22" s="1">
        <v>167.91800000000001</v>
      </c>
      <c r="T22" s="1">
        <v>180.05</v>
      </c>
      <c r="U22" s="1">
        <v>244.57</v>
      </c>
    </row>
    <row r="23" spans="1:37" s="1" customFormat="1" x14ac:dyDescent="0.25">
      <c r="B23" s="1" t="s">
        <v>28</v>
      </c>
      <c r="L23" s="1">
        <f>1437+38.16</f>
        <v>1475.16</v>
      </c>
      <c r="P23" s="11"/>
      <c r="R23" s="1">
        <f>26.85+716.6</f>
        <v>743.45</v>
      </c>
      <c r="S23" s="1">
        <f>34.27+697.955</f>
        <v>732.22500000000002</v>
      </c>
      <c r="T23" s="1">
        <f>23.326+683.4</f>
        <v>706.726</v>
      </c>
      <c r="U23" s="1">
        <f>38.64+1454.5</f>
        <v>1493.14</v>
      </c>
    </row>
    <row r="24" spans="1:37" s="1" customFormat="1" x14ac:dyDescent="0.25">
      <c r="B24" s="5" t="s">
        <v>34</v>
      </c>
      <c r="L24" s="1">
        <f>L20-L23</f>
        <v>-1351.2910000000002</v>
      </c>
      <c r="P24" s="11"/>
      <c r="R24" s="1">
        <f t="shared" ref="R24:U24" si="18">R20-R23</f>
        <v>-642.53000000000009</v>
      </c>
      <c r="S24" s="1">
        <f t="shared" si="18"/>
        <v>-547.42499999999995</v>
      </c>
      <c r="T24" s="1">
        <f t="shared" si="18"/>
        <v>-376.726</v>
      </c>
      <c r="U24" s="1">
        <f t="shared" si="18"/>
        <v>-1353.3400000000001</v>
      </c>
      <c r="V24" s="1">
        <f>U24+V16</f>
        <v>-893.14223500000048</v>
      </c>
      <c r="W24" s="1">
        <f t="shared" ref="W24:AF24" si="19">V24+W16</f>
        <v>-408.51326392500062</v>
      </c>
      <c r="X24" s="1">
        <f t="shared" si="19"/>
        <v>247.51271412967446</v>
      </c>
      <c r="Y24" s="1">
        <f t="shared" si="19"/>
        <v>1000.878861281487</v>
      </c>
      <c r="Z24" s="1">
        <f t="shared" si="19"/>
        <v>1952.4097314614521</v>
      </c>
      <c r="AA24" s="1">
        <f t="shared" si="19"/>
        <v>2901.3006341336049</v>
      </c>
      <c r="AB24" s="1">
        <f t="shared" si="19"/>
        <v>3939.2600977512184</v>
      </c>
      <c r="AC24" s="1">
        <f t="shared" si="19"/>
        <v>5063.9507762179692</v>
      </c>
      <c r="AD24" s="1">
        <f t="shared" si="19"/>
        <v>6272.0073789741673</v>
      </c>
      <c r="AE24" s="1">
        <f t="shared" si="19"/>
        <v>7446.9217181078711</v>
      </c>
      <c r="AF24" s="1">
        <f t="shared" si="19"/>
        <v>8698.07381941532</v>
      </c>
    </row>
    <row r="25" spans="1:37" x14ac:dyDescent="0.2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2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x14ac:dyDescent="0.25">
      <c r="A26" s="13"/>
      <c r="B26" s="13" t="s">
        <v>20</v>
      </c>
      <c r="C26" s="13"/>
      <c r="D26" s="13"/>
      <c r="E26" s="13">
        <f t="shared" ref="E26:L26" si="20">E9/E7</f>
        <v>0.28444393448265975</v>
      </c>
      <c r="F26" s="13">
        <f t="shared" si="20"/>
        <v>0.27439184974703723</v>
      </c>
      <c r="G26" s="13">
        <f t="shared" si="20"/>
        <v>0.2662897145934302</v>
      </c>
      <c r="H26" s="13">
        <f t="shared" si="20"/>
        <v>0.29149360806947511</v>
      </c>
      <c r="I26" s="13">
        <f t="shared" si="20"/>
        <v>0.29584959205391986</v>
      </c>
      <c r="J26" s="13">
        <f t="shared" si="20"/>
        <v>0.26630827271291097</v>
      </c>
      <c r="K26" s="13">
        <f t="shared" si="20"/>
        <v>0.28335434992018249</v>
      </c>
      <c r="L26" s="13">
        <f t="shared" si="20"/>
        <v>0.30142038766381535</v>
      </c>
      <c r="M26" s="13"/>
      <c r="N26" s="13"/>
      <c r="O26" s="13"/>
      <c r="P26" s="14"/>
      <c r="Q26" s="13">
        <f>Q9/Q7</f>
        <v>0.24189488770192616</v>
      </c>
      <c r="R26" s="13">
        <f>R9/R7</f>
        <v>0.24164831708084308</v>
      </c>
      <c r="S26" s="13">
        <f>S9/S7</f>
        <v>0.25958460365853664</v>
      </c>
      <c r="T26" s="13">
        <f>T9/T7</f>
        <v>0.27457689477557023</v>
      </c>
      <c r="U26" s="13">
        <f>U9/U7</f>
        <v>0.27945553643144</v>
      </c>
      <c r="V26" s="13">
        <v>0.28999999999999998</v>
      </c>
      <c r="W26" s="13">
        <v>0.28000000000000003</v>
      </c>
      <c r="X26" s="13">
        <v>0.28000000000000003</v>
      </c>
      <c r="Y26" s="13">
        <v>0.27</v>
      </c>
      <c r="Z26" s="13">
        <v>0.27</v>
      </c>
      <c r="AA26" s="13">
        <v>0.26</v>
      </c>
      <c r="AB26" s="13">
        <v>0.26</v>
      </c>
      <c r="AC26" s="13">
        <v>0.25</v>
      </c>
      <c r="AD26" s="13">
        <v>0.25</v>
      </c>
      <c r="AE26" s="13">
        <v>0.24</v>
      </c>
      <c r="AF26" s="13">
        <v>0.24</v>
      </c>
      <c r="AG26" s="13"/>
      <c r="AH26" s="13"/>
      <c r="AI26" s="13"/>
      <c r="AJ26" s="13"/>
      <c r="AK26" s="13"/>
    </row>
    <row r="27" spans="1:37" x14ac:dyDescent="0.25">
      <c r="A27" s="15"/>
      <c r="B27" s="15" t="s">
        <v>21</v>
      </c>
      <c r="C27" s="15"/>
      <c r="D27" s="15"/>
      <c r="E27" s="15">
        <f t="shared" ref="E27:L27" si="21">E11/E7</f>
        <v>0.14560683858753343</v>
      </c>
      <c r="F27" s="15">
        <f t="shared" si="21"/>
        <v>0.14280961951625201</v>
      </c>
      <c r="G27" s="15">
        <f t="shared" si="21"/>
        <v>0.12914647280560038</v>
      </c>
      <c r="H27" s="15">
        <f t="shared" si="21"/>
        <v>0.15377312692162462</v>
      </c>
      <c r="I27" s="15">
        <f t="shared" si="21"/>
        <v>0.15809388672105953</v>
      </c>
      <c r="J27" s="15">
        <f t="shared" si="21"/>
        <v>0.11140083953329145</v>
      </c>
      <c r="K27" s="15">
        <f t="shared" si="21"/>
        <v>0.14027587906080652</v>
      </c>
      <c r="L27" s="15">
        <f t="shared" si="21"/>
        <v>0.16261790787098793</v>
      </c>
      <c r="M27" s="15"/>
      <c r="N27" s="15"/>
      <c r="O27" s="15"/>
      <c r="P27" s="16"/>
      <c r="Q27" s="15">
        <f t="shared" ref="Q27:AF27" si="22">Q11/Q7</f>
        <v>7.1797954745035572E-2</v>
      </c>
      <c r="R27" s="15">
        <f t="shared" si="22"/>
        <v>8.7637621893677298E-2</v>
      </c>
      <c r="S27" s="15">
        <f t="shared" si="22"/>
        <v>0.11029192073170734</v>
      </c>
      <c r="T27" s="15">
        <f t="shared" si="22"/>
        <v>0.13061074319352464</v>
      </c>
      <c r="U27" s="15">
        <f t="shared" si="22"/>
        <v>0.13659839357429712</v>
      </c>
      <c r="V27" s="15">
        <f t="shared" si="22"/>
        <v>0.14999999999999997</v>
      </c>
      <c r="W27" s="15">
        <f t="shared" si="22"/>
        <v>0.15000000000000002</v>
      </c>
      <c r="X27" s="15">
        <f t="shared" si="22"/>
        <v>0.15000000000000002</v>
      </c>
      <c r="Y27" s="15">
        <f t="shared" si="22"/>
        <v>0.14000000000000001</v>
      </c>
      <c r="Z27" s="15">
        <f t="shared" si="22"/>
        <v>0.15000000000000002</v>
      </c>
      <c r="AA27" s="15">
        <f t="shared" si="22"/>
        <v>0.13999999999999999</v>
      </c>
      <c r="AB27" s="15">
        <f t="shared" si="22"/>
        <v>0.13999999999999999</v>
      </c>
      <c r="AC27" s="15">
        <f t="shared" si="22"/>
        <v>0.14000000000000001</v>
      </c>
      <c r="AD27" s="15">
        <f t="shared" si="22"/>
        <v>0.14000000000000001</v>
      </c>
      <c r="AE27" s="15">
        <f t="shared" si="22"/>
        <v>0.13</v>
      </c>
      <c r="AF27" s="15">
        <f t="shared" si="22"/>
        <v>0.12999999999999998</v>
      </c>
      <c r="AG27" s="15"/>
      <c r="AH27" s="15"/>
      <c r="AI27" s="15"/>
      <c r="AJ27" s="15"/>
      <c r="AK27" s="15"/>
    </row>
    <row r="28" spans="1:37" s="18" customFormat="1" x14ac:dyDescent="0.25">
      <c r="B28" s="18" t="s">
        <v>22</v>
      </c>
      <c r="E28" s="18">
        <f t="shared" ref="E28:L28" si="23">E15/E7</f>
        <v>3.4307679068299818E-2</v>
      </c>
      <c r="F28" s="18">
        <f t="shared" si="23"/>
        <v>3.4181162935754385E-2</v>
      </c>
      <c r="G28" s="18">
        <f t="shared" si="23"/>
        <v>2.1078352180936996E-2</v>
      </c>
      <c r="H28" s="18">
        <f t="shared" si="23"/>
        <v>3.819815284295569E-2</v>
      </c>
      <c r="I28" s="18">
        <f t="shared" si="23"/>
        <v>3.8938157739150998E-2</v>
      </c>
      <c r="J28" s="18">
        <f t="shared" si="23"/>
        <v>2.7219008357719416E-2</v>
      </c>
      <c r="K28" s="18">
        <f t="shared" si="23"/>
        <v>3.2474476396120174E-2</v>
      </c>
      <c r="L28" s="18">
        <f t="shared" si="23"/>
        <v>3.910774542886291E-2</v>
      </c>
      <c r="P28" s="19"/>
      <c r="Q28" s="18">
        <f>Q15/Q7</f>
        <v>-1.5786359301377666E-2</v>
      </c>
      <c r="R28" s="18">
        <f>R15/R7</f>
        <v>1.9322638146167557E-2</v>
      </c>
      <c r="S28" s="18">
        <f>S15/S7</f>
        <v>2.3925304878048781E-2</v>
      </c>
      <c r="T28" s="18">
        <f>T15/T7</f>
        <v>2.7983811626195731E-2</v>
      </c>
      <c r="U28" s="18">
        <f>U15/U7</f>
        <v>3.1382673551348252E-2</v>
      </c>
      <c r="V28" s="18">
        <v>3.5000000000000003E-2</v>
      </c>
      <c r="W28" s="18">
        <v>3.5000000000000003E-2</v>
      </c>
      <c r="X28" s="18">
        <v>3.6999999999999998E-2</v>
      </c>
      <c r="Y28" s="18">
        <v>3.6999999999999998E-2</v>
      </c>
      <c r="Z28" s="18">
        <v>3.6999999999999998E-2</v>
      </c>
      <c r="AA28" s="18">
        <v>3.9E-2</v>
      </c>
      <c r="AB28" s="18">
        <v>3.9E-2</v>
      </c>
      <c r="AC28" s="18">
        <v>3.9E-2</v>
      </c>
      <c r="AD28" s="18">
        <v>3.9E-2</v>
      </c>
      <c r="AE28" s="18">
        <v>3.9E-2</v>
      </c>
      <c r="AF28" s="18">
        <v>3.9E-2</v>
      </c>
    </row>
    <row r="29" spans="1:37" x14ac:dyDescent="0.25">
      <c r="A29" s="15"/>
      <c r="B29" s="15" t="s">
        <v>35</v>
      </c>
      <c r="C29" s="15"/>
      <c r="D29" s="15"/>
      <c r="E29" s="15"/>
      <c r="F29" s="15"/>
      <c r="G29" s="15"/>
      <c r="H29" s="15"/>
      <c r="I29" s="15" t="e">
        <f>I7/I22</f>
        <v>#DIV/0!</v>
      </c>
      <c r="J29" s="15" t="e">
        <f>J7/J22</f>
        <v>#DIV/0!</v>
      </c>
      <c r="K29" s="15" t="e">
        <f>K7/K22</f>
        <v>#DIV/0!</v>
      </c>
      <c r="L29" s="15">
        <f>L7/L22</f>
        <v>5.0961807638472303</v>
      </c>
      <c r="M29" s="15"/>
      <c r="N29" s="15"/>
      <c r="O29" s="15"/>
      <c r="P29" s="16"/>
      <c r="Q29" s="15"/>
      <c r="R29" s="15">
        <f>R7/R22</f>
        <v>14.195344129554655</v>
      </c>
      <c r="S29" s="15">
        <f>S7/S22</f>
        <v>15.626674924665609</v>
      </c>
      <c r="T29" s="15">
        <f>T7/T22</f>
        <v>15.095806720355457</v>
      </c>
      <c r="U29" s="15">
        <f>U7/U22</f>
        <v>14.253587929836039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x14ac:dyDescent="0.25">
      <c r="A30" s="15"/>
      <c r="B30" s="15" t="s">
        <v>41</v>
      </c>
      <c r="C30" s="15"/>
      <c r="D30" s="15"/>
      <c r="E30" s="15">
        <f t="shared" ref="E30:L30" si="24">E10/E7</f>
        <v>0.13883709589512636</v>
      </c>
      <c r="F30" s="15">
        <f t="shared" si="24"/>
        <v>0.13158223023078522</v>
      </c>
      <c r="G30" s="15">
        <f t="shared" si="24"/>
        <v>0.13714324178782986</v>
      </c>
      <c r="H30" s="15">
        <f t="shared" si="24"/>
        <v>0.13772048114785049</v>
      </c>
      <c r="I30" s="15">
        <f t="shared" si="24"/>
        <v>0.13775570533286036</v>
      </c>
      <c r="J30" s="15">
        <f t="shared" si="24"/>
        <v>0.15490743317961952</v>
      </c>
      <c r="K30" s="15">
        <f t="shared" si="24"/>
        <v>0.14307847085937597</v>
      </c>
      <c r="L30" s="15">
        <f t="shared" si="24"/>
        <v>0.13880247979282745</v>
      </c>
      <c r="M30" s="15"/>
      <c r="N30" s="15"/>
      <c r="O30" s="15"/>
      <c r="P30" s="16"/>
      <c r="Q30" s="15">
        <f>Q10/Q7</f>
        <v>0.17009693295689057</v>
      </c>
      <c r="R30" s="15">
        <f>R10/R7</f>
        <v>0.15401069518716576</v>
      </c>
      <c r="S30" s="15">
        <f>S10/S7</f>
        <v>0.14929268292682929</v>
      </c>
      <c r="T30" s="15">
        <f>T10/T7</f>
        <v>0.14396615158204562</v>
      </c>
      <c r="U30" s="15">
        <f>U10/U7</f>
        <v>0.14285714285714285</v>
      </c>
      <c r="V30" s="15">
        <v>0.14000000000000001</v>
      </c>
      <c r="W30" s="15">
        <v>0.13</v>
      </c>
      <c r="X30" s="15">
        <v>0.13</v>
      </c>
      <c r="Y30" s="15">
        <v>0.13</v>
      </c>
      <c r="Z30" s="15">
        <v>0.12</v>
      </c>
      <c r="AA30" s="15">
        <v>0.12</v>
      </c>
      <c r="AB30" s="15">
        <v>0.12</v>
      </c>
      <c r="AC30" s="15">
        <v>0.11</v>
      </c>
      <c r="AD30" s="15">
        <v>0.11</v>
      </c>
      <c r="AE30" s="15">
        <v>0.11</v>
      </c>
      <c r="AF30" s="15">
        <v>0.11</v>
      </c>
      <c r="AG30" s="15"/>
      <c r="AH30" s="15"/>
      <c r="AI30" s="15"/>
      <c r="AJ30" s="15"/>
      <c r="AK30" s="15"/>
    </row>
    <row r="31" spans="1:37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s="15" customFormat="1" x14ac:dyDescent="0.25">
      <c r="B32" s="1" t="s">
        <v>49</v>
      </c>
      <c r="I32" s="15">
        <f t="shared" ref="I32:L33" si="25">I3/E3-1</f>
        <v>0.22408759124087574</v>
      </c>
      <c r="J32" s="15">
        <f t="shared" si="25"/>
        <v>0.49493060546643264</v>
      </c>
      <c r="K32" s="15">
        <f t="shared" si="25"/>
        <v>0.5884628321560712</v>
      </c>
      <c r="L32" s="15">
        <f t="shared" si="25"/>
        <v>0.54744834679493004</v>
      </c>
      <c r="P32" s="16"/>
      <c r="R32" s="15">
        <f t="shared" ref="R32:U33" si="26">R3/Q3-1</f>
        <v>0.22852701382010898</v>
      </c>
      <c r="S32" s="15">
        <f t="shared" si="26"/>
        <v>0.11243993593166035</v>
      </c>
      <c r="T32" s="15">
        <f t="shared" si="26"/>
        <v>3.1265118064887742E-2</v>
      </c>
      <c r="U32" s="15">
        <f t="shared" si="26"/>
        <v>0.29540792202328414</v>
      </c>
      <c r="V32" s="15">
        <v>0.4</v>
      </c>
      <c r="W32" s="15">
        <v>-0.01</v>
      </c>
      <c r="X32" s="15">
        <v>0.3</v>
      </c>
      <c r="Y32" s="15">
        <v>0.22</v>
      </c>
      <c r="Z32" s="15">
        <v>0.15</v>
      </c>
      <c r="AA32" s="15">
        <v>0.11</v>
      </c>
      <c r="AB32" s="15">
        <v>0.09</v>
      </c>
      <c r="AC32" s="15">
        <v>0.08</v>
      </c>
      <c r="AD32" s="15">
        <v>7.0000000000000007E-2</v>
      </c>
      <c r="AE32" s="15">
        <v>7.0000000000000007E-2</v>
      </c>
      <c r="AF32" s="15">
        <v>0.06</v>
      </c>
    </row>
    <row r="33" spans="1:37" s="15" customFormat="1" x14ac:dyDescent="0.25">
      <c r="B33" s="1" t="s">
        <v>52</v>
      </c>
      <c r="I33" s="15">
        <f t="shared" si="25"/>
        <v>0.10023866348448696</v>
      </c>
      <c r="J33" s="15">
        <f t="shared" si="25"/>
        <v>0.14182420908501281</v>
      </c>
      <c r="K33" s="15">
        <f t="shared" si="25"/>
        <v>0.19069767441860463</v>
      </c>
      <c r="L33" s="15">
        <f t="shared" si="25"/>
        <v>0.21103737782771859</v>
      </c>
      <c r="P33" s="16"/>
      <c r="R33" s="15">
        <f t="shared" si="26"/>
        <v>1.7304730473047303</v>
      </c>
      <c r="S33" s="15">
        <f t="shared" si="26"/>
        <v>0.22538275584206291</v>
      </c>
      <c r="T33" s="15">
        <f t="shared" si="26"/>
        <v>7.9956598934701306E-2</v>
      </c>
      <c r="U33" s="15">
        <f t="shared" si="26"/>
        <v>0.11916896528627707</v>
      </c>
      <c r="V33" s="15">
        <v>0.12</v>
      </c>
      <c r="W33" s="15">
        <v>-0.01</v>
      </c>
      <c r="X33" s="15">
        <v>0.09</v>
      </c>
      <c r="Y33" s="15">
        <v>7.0000000000000007E-2</v>
      </c>
      <c r="Z33" s="15">
        <v>0.06</v>
      </c>
      <c r="AA33" s="15">
        <v>0.04</v>
      </c>
      <c r="AB33" s="15">
        <v>0.04</v>
      </c>
      <c r="AC33" s="15">
        <v>0.04</v>
      </c>
      <c r="AD33" s="15">
        <v>0.04</v>
      </c>
      <c r="AE33" s="15">
        <v>0.04</v>
      </c>
      <c r="AF33" s="15">
        <v>0.04</v>
      </c>
    </row>
    <row r="34" spans="1:37" s="15" customFormat="1" x14ac:dyDescent="0.25">
      <c r="B34" s="1" t="s">
        <v>50</v>
      </c>
      <c r="I34" s="15">
        <f t="shared" ref="I34:L34" si="27">I5/E5-1</f>
        <v>0.28539325842696628</v>
      </c>
      <c r="J34" s="15">
        <f t="shared" si="27"/>
        <v>0.47510469986040094</v>
      </c>
      <c r="K34" s="15">
        <f t="shared" si="27"/>
        <v>0.56892230576441105</v>
      </c>
      <c r="L34" s="15">
        <f t="shared" si="27"/>
        <v>0.320754716981132</v>
      </c>
      <c r="P34" s="16"/>
      <c r="R34" s="15">
        <f t="shared" ref="R34" si="28">R5/Q5-1</f>
        <v>0.14609119476688259</v>
      </c>
      <c r="S34" s="15">
        <f t="shared" ref="S34:U34" si="29">S5/R5-1</f>
        <v>4.0792345140171493E-2</v>
      </c>
      <c r="T34" s="15">
        <f t="shared" si="29"/>
        <v>9.4422043010752521E-2</v>
      </c>
      <c r="U34" s="15">
        <f t="shared" si="29"/>
        <v>0.31102241326373958</v>
      </c>
      <c r="V34" s="15">
        <v>0.25</v>
      </c>
      <c r="W34" s="15">
        <v>-0.01</v>
      </c>
      <c r="X34" s="15">
        <v>0.18</v>
      </c>
      <c r="Y34" s="15">
        <v>0.12</v>
      </c>
      <c r="Z34" s="15">
        <v>0.08</v>
      </c>
      <c r="AA34" s="15">
        <v>0.05</v>
      </c>
      <c r="AB34" s="15">
        <v>0.04</v>
      </c>
      <c r="AC34" s="15">
        <v>0.04</v>
      </c>
      <c r="AD34" s="15">
        <v>0.04</v>
      </c>
      <c r="AE34" s="15">
        <v>0.04</v>
      </c>
      <c r="AF34" s="15">
        <v>0.04</v>
      </c>
    </row>
    <row r="35" spans="1:37" s="15" customFormat="1" x14ac:dyDescent="0.25">
      <c r="B35" s="1" t="s">
        <v>51</v>
      </c>
      <c r="I35" s="15">
        <f t="shared" ref="I35:L35" si="30">I6/E6-1</f>
        <v>0.14559999999999995</v>
      </c>
      <c r="J35" s="15">
        <f t="shared" si="30"/>
        <v>0.50007849293563589</v>
      </c>
      <c r="K35" s="15">
        <f t="shared" si="30"/>
        <v>0.69372128637059727</v>
      </c>
      <c r="L35" s="15">
        <f t="shared" si="30"/>
        <v>0.70070601137843602</v>
      </c>
      <c r="P35" s="16"/>
      <c r="R35" s="15">
        <f t="shared" ref="R35" si="31">R6/Q6-1</f>
        <v>0.15446808510638288</v>
      </c>
      <c r="S35" s="15">
        <f t="shared" ref="S35:U35" si="32">S6/R6-1</f>
        <v>-1.8716468034566058E-2</v>
      </c>
      <c r="T35" s="15">
        <f t="shared" si="32"/>
        <v>1.0851419031719489E-2</v>
      </c>
      <c r="U35" s="15">
        <f t="shared" si="32"/>
        <v>0.26094137076796042</v>
      </c>
      <c r="V35" s="15">
        <v>0.3</v>
      </c>
      <c r="W35" s="15">
        <v>-0.01</v>
      </c>
      <c r="X35" s="15">
        <v>0.25</v>
      </c>
      <c r="Y35" s="15">
        <v>0.19</v>
      </c>
      <c r="Z35" s="15">
        <v>0.14000000000000001</v>
      </c>
      <c r="AA35" s="15">
        <v>0.1</v>
      </c>
      <c r="AB35" s="15">
        <v>0.08</v>
      </c>
      <c r="AC35" s="15">
        <v>0.06</v>
      </c>
      <c r="AD35" s="15">
        <v>0.05</v>
      </c>
      <c r="AE35" s="15">
        <v>0.05</v>
      </c>
      <c r="AF35" s="15">
        <v>0.05</v>
      </c>
    </row>
    <row r="36" spans="1:37" s="4" customFormat="1" x14ac:dyDescent="0.25">
      <c r="A36" s="13"/>
      <c r="B36" s="13" t="s">
        <v>23</v>
      </c>
      <c r="C36" s="13"/>
      <c r="D36" s="13"/>
      <c r="E36" s="13"/>
      <c r="F36" s="13"/>
      <c r="G36" s="13"/>
      <c r="H36" s="13"/>
      <c r="I36" s="13">
        <f>I7/E7-1</f>
        <v>0.2129600413069046</v>
      </c>
      <c r="J36" s="13">
        <f>J7/F7-1</f>
        <v>0.47404255319148914</v>
      </c>
      <c r="K36" s="13">
        <f>K7/G7-1</f>
        <v>0.57366451265481966</v>
      </c>
      <c r="L36" s="13">
        <f>L7/H7-1</f>
        <v>0.52747061749704827</v>
      </c>
      <c r="M36" s="13"/>
      <c r="N36" s="13"/>
      <c r="O36" s="13"/>
      <c r="P36" s="14"/>
      <c r="Q36" s="13"/>
      <c r="R36" s="13">
        <f t="shared" ref="R36:AF36" si="33">R7/Q7-1</f>
        <v>0.2507436003160104</v>
      </c>
      <c r="S36" s="13">
        <f t="shared" si="33"/>
        <v>0.10055573031351583</v>
      </c>
      <c r="T36" s="13">
        <f t="shared" si="33"/>
        <v>3.5823170731707377E-2</v>
      </c>
      <c r="U36" s="13">
        <f t="shared" si="33"/>
        <v>0.28256070640176612</v>
      </c>
      <c r="V36" s="13">
        <f t="shared" si="33"/>
        <v>0.36736976477337913</v>
      </c>
      <c r="W36" s="13">
        <f t="shared" si="33"/>
        <v>-1.0000000000000231E-2</v>
      </c>
      <c r="X36" s="13">
        <f t="shared" si="33"/>
        <v>0.28004767707977796</v>
      </c>
      <c r="Y36" s="13">
        <f t="shared" si="33"/>
        <v>0.20688250033326816</v>
      </c>
      <c r="Z36" s="13">
        <f t="shared" si="33"/>
        <v>0.14291091583882309</v>
      </c>
      <c r="AA36" s="13">
        <f t="shared" si="33"/>
        <v>0.10436775108359653</v>
      </c>
      <c r="AB36" s="13">
        <f t="shared" si="33"/>
        <v>8.562781827367294E-2</v>
      </c>
      <c r="AC36" s="13">
        <f t="shared" si="33"/>
        <v>7.5674600631512101E-2</v>
      </c>
      <c r="AD36" s="13">
        <f t="shared" si="33"/>
        <v>6.645088478514749E-2</v>
      </c>
      <c r="AE36" s="13">
        <f t="shared" si="33"/>
        <v>6.6524264001941225E-2</v>
      </c>
      <c r="AF36" s="13">
        <f t="shared" si="33"/>
        <v>5.7983232598726619E-2</v>
      </c>
      <c r="AG36" s="13"/>
      <c r="AH36" s="13"/>
      <c r="AI36" s="13"/>
      <c r="AJ36" s="13"/>
      <c r="AK36" s="13"/>
    </row>
    <row r="37" spans="1:37" x14ac:dyDescent="0.25">
      <c r="A37" s="13"/>
      <c r="B37" s="13" t="s">
        <v>24</v>
      </c>
      <c r="C37" s="13"/>
      <c r="D37" s="13"/>
      <c r="E37" s="13"/>
      <c r="F37" s="13"/>
      <c r="G37" s="13"/>
      <c r="H37" s="13"/>
      <c r="I37" s="13">
        <f>+I11/E11-1</f>
        <v>0.31698187549251355</v>
      </c>
      <c r="J37" s="13">
        <f>+J11/F11-1</f>
        <v>0.14984955838105085</v>
      </c>
      <c r="K37" s="13">
        <f>+K11/G11-1</f>
        <v>0.70927759824872227</v>
      </c>
      <c r="L37" s="13">
        <f>+L11/H11-1</f>
        <v>0.61532825093930743</v>
      </c>
      <c r="M37" s="13"/>
      <c r="N37" s="13"/>
      <c r="O37" s="13"/>
      <c r="P37" s="14"/>
      <c r="Q37" s="13"/>
      <c r="R37" s="13">
        <f t="shared" ref="R37:T37" si="34">R16/Q16-1</f>
        <v>-0.14797741227654071</v>
      </c>
      <c r="S37" s="13">
        <f t="shared" si="34"/>
        <v>0.41662337276788941</v>
      </c>
      <c r="T37" s="13">
        <f t="shared" si="34"/>
        <v>0.29389698909746231</v>
      </c>
      <c r="U37" s="13">
        <f>U16/T16-1</f>
        <v>0.31124832975664951</v>
      </c>
      <c r="V37" s="13">
        <f t="shared" ref="V37:AF37" si="35">V16/U16-1</f>
        <v>0.42106962101538148</v>
      </c>
      <c r="W37" s="13">
        <f t="shared" si="35"/>
        <v>5.3088493541467274E-2</v>
      </c>
      <c r="X37" s="13">
        <f t="shared" si="35"/>
        <v>0.35366644837489569</v>
      </c>
      <c r="Y37" s="13">
        <f t="shared" si="35"/>
        <v>0.14837852821893116</v>
      </c>
      <c r="Z37" s="13">
        <f t="shared" si="35"/>
        <v>0.26303905979494435</v>
      </c>
      <c r="AA37" s="13">
        <f t="shared" si="35"/>
        <v>-2.7744423124319573E-3</v>
      </c>
      <c r="AB37" s="13">
        <f t="shared" si="35"/>
        <v>9.3865965723390232E-2</v>
      </c>
      <c r="AC37" s="13">
        <f t="shared" si="35"/>
        <v>8.3559346862017048E-2</v>
      </c>
      <c r="AD37" s="13">
        <f t="shared" si="35"/>
        <v>7.4123424231715695E-2</v>
      </c>
      <c r="AE37" s="13">
        <f t="shared" si="35"/>
        <v>-2.7434363213511337E-2</v>
      </c>
      <c r="AF37" s="13">
        <f t="shared" si="35"/>
        <v>6.4887932366165302E-2</v>
      </c>
      <c r="AG37" s="13"/>
      <c r="AH37" s="13"/>
      <c r="AI37" s="13"/>
      <c r="AJ37" s="13"/>
      <c r="AK37" s="13"/>
    </row>
    <row r="38" spans="1:3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B39" s="1"/>
    </row>
    <row r="40" spans="1:37" s="18" customFormat="1" x14ac:dyDescent="0.25">
      <c r="B40" s="18" t="s">
        <v>36</v>
      </c>
      <c r="P40" s="19"/>
      <c r="S40" s="18">
        <f t="shared" ref="S40:AF40" si="36">S12/R24</f>
        <v>-5.8865733895693578E-2</v>
      </c>
      <c r="T40" s="18">
        <f t="shared" si="36"/>
        <v>-5.9368863314609312E-2</v>
      </c>
      <c r="U40" s="18">
        <f t="shared" si="36"/>
        <v>-7.7358610767507427E-2</v>
      </c>
      <c r="V40" s="18">
        <f t="shared" si="36"/>
        <v>-6.5000000000000002E-2</v>
      </c>
      <c r="W40" s="18">
        <f t="shared" si="36"/>
        <v>-6.5000000000000002E-2</v>
      </c>
      <c r="X40" s="18">
        <f t="shared" si="36"/>
        <v>-6.5000000000000002E-2</v>
      </c>
      <c r="Y40" s="18">
        <f t="shared" si="36"/>
        <v>-0.01</v>
      </c>
      <c r="Z40" s="18">
        <f t="shared" si="36"/>
        <v>-0.01</v>
      </c>
      <c r="AA40" s="18">
        <f t="shared" si="36"/>
        <v>-0.01</v>
      </c>
      <c r="AB40" s="18">
        <f t="shared" si="36"/>
        <v>-0.01</v>
      </c>
      <c r="AC40" s="18">
        <f t="shared" si="36"/>
        <v>-0.01</v>
      </c>
      <c r="AD40" s="18">
        <f t="shared" si="36"/>
        <v>-0.01</v>
      </c>
      <c r="AE40" s="18">
        <f t="shared" si="36"/>
        <v>-0.01</v>
      </c>
      <c r="AF40" s="18">
        <f t="shared" si="36"/>
        <v>-0.01</v>
      </c>
    </row>
    <row r="41" spans="1:37" x14ac:dyDescent="0.25">
      <c r="AH41" s="10" t="s">
        <v>37</v>
      </c>
      <c r="AI41" s="18">
        <v>-1.4999999999999999E-2</v>
      </c>
    </row>
    <row r="42" spans="1:37" x14ac:dyDescent="0.25">
      <c r="AH42" s="15" t="s">
        <v>38</v>
      </c>
      <c r="AI42" s="18">
        <v>-0.01</v>
      </c>
    </row>
    <row r="43" spans="1:37" x14ac:dyDescent="0.25">
      <c r="AH43" t="s">
        <v>39</v>
      </c>
      <c r="AI43" s="18">
        <v>8.5000000000000006E-2</v>
      </c>
    </row>
    <row r="44" spans="1:37" x14ac:dyDescent="0.25">
      <c r="AH44" s="15" t="s">
        <v>40</v>
      </c>
      <c r="AI44" s="20">
        <f>NPV(AI43,W16:DD16)</f>
        <v>11376.312419838127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2022-07-29T15:39:37Z</dcterms:created>
  <dcterms:modified xsi:type="dcterms:W3CDTF">2022-08-03T03:13:40Z</dcterms:modified>
</cp:coreProperties>
</file>