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84BD70FB-4B75-473B-91C3-8D864C2B8283}" xr6:coauthVersionLast="47" xr6:coauthVersionMax="47" xr10:uidLastSave="{00000000-0000-0000-0000-000000000000}"/>
  <bookViews>
    <workbookView xWindow="14190" yWindow="5130" windowWidth="24495" windowHeight="136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1" i="1" l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W14" i="1"/>
  <c r="X14" i="1" s="1"/>
  <c r="Y14" i="1" s="1"/>
  <c r="Z14" i="1" s="1"/>
  <c r="AA14" i="1" s="1"/>
  <c r="AB14" i="1" s="1"/>
  <c r="AC14" i="1" s="1"/>
  <c r="AD14" i="1" s="1"/>
  <c r="AE14" i="1" s="1"/>
  <c r="AF14" i="1" s="1"/>
  <c r="V14" i="1"/>
  <c r="W13" i="1"/>
  <c r="X13" i="1" s="1"/>
  <c r="Y13" i="1" s="1"/>
  <c r="Z13" i="1" s="1"/>
  <c r="AA13" i="1" s="1"/>
  <c r="AB13" i="1" s="1"/>
  <c r="AC13" i="1" s="1"/>
  <c r="AD13" i="1" s="1"/>
  <c r="AE13" i="1" s="1"/>
  <c r="AF13" i="1" s="1"/>
  <c r="V13" i="1"/>
  <c r="AF9" i="1"/>
  <c r="AE9" i="1"/>
  <c r="AD9" i="1"/>
  <c r="AC9" i="1"/>
  <c r="AB9" i="1"/>
  <c r="AA9" i="1"/>
  <c r="Z9" i="1"/>
  <c r="Y9" i="1"/>
  <c r="X9" i="1"/>
  <c r="W9" i="1"/>
  <c r="V9" i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V17" i="1"/>
  <c r="K48" i="1"/>
  <c r="J48" i="1"/>
  <c r="I48" i="1"/>
  <c r="H48" i="1"/>
  <c r="G48" i="1"/>
  <c r="L48" i="1"/>
  <c r="S46" i="1"/>
  <c r="T46" i="1"/>
  <c r="U46" i="1"/>
  <c r="K46" i="1"/>
  <c r="J46" i="1"/>
  <c r="I46" i="1"/>
  <c r="H46" i="1"/>
  <c r="G46" i="1"/>
  <c r="L46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4" i="1"/>
  <c r="G34" i="1"/>
  <c r="D35" i="1"/>
  <c r="C35" i="1"/>
  <c r="D33" i="1"/>
  <c r="C33" i="1"/>
  <c r="D32" i="1"/>
  <c r="C32" i="1"/>
  <c r="D31" i="1"/>
  <c r="C31" i="1"/>
  <c r="F20" i="1"/>
  <c r="F19" i="1"/>
  <c r="F18" i="1"/>
  <c r="F17" i="1"/>
  <c r="F15" i="1"/>
  <c r="F14" i="1"/>
  <c r="F13" i="1"/>
  <c r="F12" i="1"/>
  <c r="F10" i="1"/>
  <c r="F8" i="1"/>
  <c r="F7" i="1"/>
  <c r="F6" i="1"/>
  <c r="F5" i="1"/>
  <c r="F4" i="1"/>
  <c r="F3" i="1"/>
  <c r="F9" i="1"/>
  <c r="F11" i="1" s="1"/>
  <c r="F16" i="1" s="1"/>
  <c r="F21" i="1" s="1"/>
  <c r="F23" i="1" s="1"/>
  <c r="J20" i="1"/>
  <c r="J19" i="1"/>
  <c r="J18" i="1"/>
  <c r="J17" i="1"/>
  <c r="J15" i="1"/>
  <c r="J14" i="1"/>
  <c r="J13" i="1"/>
  <c r="J12" i="1"/>
  <c r="J10" i="1"/>
  <c r="J8" i="1"/>
  <c r="J42" i="1" s="1"/>
  <c r="J7" i="1"/>
  <c r="J6" i="1"/>
  <c r="J5" i="1"/>
  <c r="J39" i="1" s="1"/>
  <c r="J4" i="1"/>
  <c r="J9" i="1" s="1"/>
  <c r="J11" i="1" s="1"/>
  <c r="J16" i="1" s="1"/>
  <c r="J21" i="1" s="1"/>
  <c r="J23" i="1" s="1"/>
  <c r="J3" i="1"/>
  <c r="C11" i="1"/>
  <c r="C16" i="1" s="1"/>
  <c r="C21" i="1" s="1"/>
  <c r="C23" i="1" s="1"/>
  <c r="G28" i="1"/>
  <c r="G25" i="1"/>
  <c r="D11" i="1"/>
  <c r="D16" i="1" s="1"/>
  <c r="D21" i="1" s="1"/>
  <c r="D23" i="1" s="1"/>
  <c r="H28" i="1"/>
  <c r="H25" i="1"/>
  <c r="E11" i="1"/>
  <c r="E16" i="1" s="1"/>
  <c r="E21" i="1" s="1"/>
  <c r="E23" i="1" s="1"/>
  <c r="I11" i="1"/>
  <c r="I16" i="1" s="1"/>
  <c r="I21" i="1" s="1"/>
  <c r="I23" i="1" s="1"/>
  <c r="I28" i="1"/>
  <c r="I25" i="1"/>
  <c r="I29" i="1" s="1"/>
  <c r="G11" i="1"/>
  <c r="G16" i="1" s="1"/>
  <c r="G21" i="1" s="1"/>
  <c r="G23" i="1" s="1"/>
  <c r="K11" i="1"/>
  <c r="K16" i="1" s="1"/>
  <c r="K21" i="1" s="1"/>
  <c r="K23" i="1" s="1"/>
  <c r="K28" i="1"/>
  <c r="K25" i="1"/>
  <c r="K29" i="1" s="1"/>
  <c r="H11" i="1"/>
  <c r="H16" i="1" s="1"/>
  <c r="H21" i="1" s="1"/>
  <c r="H23" i="1" s="1"/>
  <c r="L11" i="1"/>
  <c r="L16" i="1" s="1"/>
  <c r="L21" i="1" s="1"/>
  <c r="L23" i="1" s="1"/>
  <c r="L28" i="1"/>
  <c r="L25" i="1"/>
  <c r="F28" i="1"/>
  <c r="F25" i="1"/>
  <c r="F29" i="1" s="1"/>
  <c r="J28" i="1"/>
  <c r="J25" i="1"/>
  <c r="J29" i="1" s="1"/>
  <c r="L29" i="1"/>
  <c r="H29" i="1"/>
  <c r="G29" i="1"/>
  <c r="S29" i="1"/>
  <c r="R29" i="1"/>
  <c r="S48" i="1" s="1"/>
  <c r="Q11" i="1"/>
  <c r="Q16" i="1" s="1"/>
  <c r="R11" i="1"/>
  <c r="R16" i="1" s="1"/>
  <c r="R21" i="1" s="1"/>
  <c r="R28" i="1"/>
  <c r="R25" i="1"/>
  <c r="S28" i="1"/>
  <c r="S25" i="1"/>
  <c r="L42" i="1"/>
  <c r="K42" i="1"/>
  <c r="I42" i="1"/>
  <c r="L41" i="1"/>
  <c r="K41" i="1"/>
  <c r="J41" i="1"/>
  <c r="I41" i="1"/>
  <c r="I40" i="1"/>
  <c r="J40" i="1"/>
  <c r="K40" i="1"/>
  <c r="L40" i="1"/>
  <c r="U42" i="1"/>
  <c r="T42" i="1"/>
  <c r="S42" i="1"/>
  <c r="R42" i="1"/>
  <c r="U41" i="1"/>
  <c r="T41" i="1"/>
  <c r="S41" i="1"/>
  <c r="R41" i="1"/>
  <c r="S11" i="1"/>
  <c r="S16" i="1" s="1"/>
  <c r="S21" i="1" s="1"/>
  <c r="S23" i="1" s="1"/>
  <c r="T11" i="1"/>
  <c r="T16" i="1" s="1"/>
  <c r="T21" i="1" s="1"/>
  <c r="T23" i="1" s="1"/>
  <c r="U11" i="1"/>
  <c r="U16" i="1" s="1"/>
  <c r="U21" i="1" s="1"/>
  <c r="U23" i="1" s="1"/>
  <c r="T28" i="1"/>
  <c r="T25" i="1"/>
  <c r="T29" i="1" s="1"/>
  <c r="U28" i="1"/>
  <c r="U29" i="1" s="1"/>
  <c r="U25" i="1"/>
  <c r="R34" i="1"/>
  <c r="Q35" i="1"/>
  <c r="Q33" i="1"/>
  <c r="Q31" i="1"/>
  <c r="R43" i="1"/>
  <c r="R40" i="1"/>
  <c r="R39" i="1"/>
  <c r="R38" i="1"/>
  <c r="R37" i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V5" i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U40" i="1"/>
  <c r="T40" i="1"/>
  <c r="S40" i="1"/>
  <c r="U39" i="1"/>
  <c r="T39" i="1"/>
  <c r="S39" i="1"/>
  <c r="S34" i="1"/>
  <c r="L35" i="1"/>
  <c r="L39" i="1"/>
  <c r="K39" i="1"/>
  <c r="I39" i="1"/>
  <c r="L43" i="1"/>
  <c r="L38" i="1"/>
  <c r="L37" i="1"/>
  <c r="L34" i="1"/>
  <c r="L33" i="1"/>
  <c r="N17" i="2"/>
  <c r="N16" i="2"/>
  <c r="N15" i="2"/>
  <c r="F34" i="1" l="1"/>
  <c r="G44" i="1"/>
  <c r="H44" i="1"/>
  <c r="Q21" i="1"/>
  <c r="Q23" i="1" s="1"/>
  <c r="Q32" i="1"/>
  <c r="R23" i="1"/>
  <c r="AF11" i="1"/>
  <c r="L32" i="1"/>
  <c r="L31" i="1"/>
  <c r="L44" i="1"/>
  <c r="K33" i="1"/>
  <c r="J33" i="1"/>
  <c r="I33" i="1"/>
  <c r="H33" i="1"/>
  <c r="G33" i="1"/>
  <c r="F33" i="1"/>
  <c r="E33" i="1"/>
  <c r="U33" i="1"/>
  <c r="T33" i="1"/>
  <c r="S33" i="1"/>
  <c r="R33" i="1"/>
  <c r="R44" i="1" l="1"/>
  <c r="AF20" i="1"/>
  <c r="AF12" i="1"/>
  <c r="AC11" i="1"/>
  <c r="AC20" i="1"/>
  <c r="AC12" i="1"/>
  <c r="Z12" i="1"/>
  <c r="Z11" i="1"/>
  <c r="Z20" i="1"/>
  <c r="AE11" i="1"/>
  <c r="AE20" i="1"/>
  <c r="AE12" i="1"/>
  <c r="AA11" i="1"/>
  <c r="AA12" i="1"/>
  <c r="AA20" i="1"/>
  <c r="AD11" i="1"/>
  <c r="AD20" i="1"/>
  <c r="AD12" i="1"/>
  <c r="X12" i="1"/>
  <c r="X11" i="1"/>
  <c r="X20" i="1"/>
  <c r="V12" i="1"/>
  <c r="V11" i="1"/>
  <c r="V20" i="1"/>
  <c r="AB12" i="1"/>
  <c r="AB11" i="1"/>
  <c r="AB20" i="1"/>
  <c r="Y20" i="1"/>
  <c r="Y11" i="1"/>
  <c r="Y12" i="1"/>
  <c r="W12" i="1"/>
  <c r="W11" i="1"/>
  <c r="W20" i="1"/>
  <c r="V43" i="1"/>
  <c r="U43" i="1"/>
  <c r="T43" i="1"/>
  <c r="S43" i="1"/>
  <c r="U38" i="1"/>
  <c r="T38" i="1"/>
  <c r="S38" i="1"/>
  <c r="T37" i="1"/>
  <c r="S37" i="1"/>
  <c r="U37" i="1"/>
  <c r="V16" i="1" l="1"/>
  <c r="X16" i="1"/>
  <c r="W16" i="1"/>
  <c r="V21" i="1"/>
  <c r="V29" i="1" s="1"/>
  <c r="W17" i="1" s="1"/>
  <c r="Y16" i="1"/>
  <c r="V32" i="1"/>
  <c r="Y43" i="1"/>
  <c r="X43" i="1"/>
  <c r="W43" i="1"/>
  <c r="W32" i="1"/>
  <c r="K38" i="1"/>
  <c r="J38" i="1"/>
  <c r="I38" i="1"/>
  <c r="K37" i="1"/>
  <c r="J37" i="1"/>
  <c r="I37" i="1"/>
  <c r="K43" i="1"/>
  <c r="I43" i="1"/>
  <c r="U35" i="1"/>
  <c r="T35" i="1"/>
  <c r="S35" i="1"/>
  <c r="R35" i="1"/>
  <c r="U34" i="1"/>
  <c r="T34" i="1"/>
  <c r="K35" i="1"/>
  <c r="I35" i="1"/>
  <c r="H35" i="1"/>
  <c r="G35" i="1"/>
  <c r="E35" i="1"/>
  <c r="K34" i="1"/>
  <c r="I34" i="1"/>
  <c r="T48" i="1"/>
  <c r="U48" i="1"/>
  <c r="N5" i="2"/>
  <c r="N8" i="2" s="1"/>
  <c r="Z16" i="1" l="1"/>
  <c r="V44" i="1"/>
  <c r="W21" i="1"/>
  <c r="X32" i="1"/>
  <c r="S44" i="1"/>
  <c r="U44" i="1"/>
  <c r="T44" i="1"/>
  <c r="E31" i="1"/>
  <c r="H32" i="1"/>
  <c r="I32" i="1"/>
  <c r="R31" i="1"/>
  <c r="I44" i="1"/>
  <c r="S31" i="1"/>
  <c r="I31" i="1"/>
  <c r="T31" i="1"/>
  <c r="H31" i="1"/>
  <c r="R32" i="1"/>
  <c r="U31" i="1"/>
  <c r="S32" i="1"/>
  <c r="T32" i="1"/>
  <c r="K44" i="1"/>
  <c r="K31" i="1"/>
  <c r="U32" i="1"/>
  <c r="G32" i="1"/>
  <c r="K32" i="1"/>
  <c r="G31" i="1"/>
  <c r="E32" i="1"/>
  <c r="AA16" i="1" l="1"/>
  <c r="W48" i="1"/>
  <c r="Z43" i="1"/>
  <c r="Y32" i="1"/>
  <c r="F35" i="1"/>
  <c r="AB16" i="1" l="1"/>
  <c r="W29" i="1"/>
  <c r="X17" i="1" s="1"/>
  <c r="Z32" i="1"/>
  <c r="AA43" i="1"/>
  <c r="W44" i="1"/>
  <c r="F31" i="1"/>
  <c r="J44" i="1"/>
  <c r="AC16" i="1" l="1"/>
  <c r="AB43" i="1"/>
  <c r="F32" i="1"/>
  <c r="AD16" i="1" l="1"/>
  <c r="X21" i="1"/>
  <c r="X29" i="1" s="1"/>
  <c r="Y17" i="1" s="1"/>
  <c r="AC43" i="1"/>
  <c r="AA32" i="1"/>
  <c r="X48" i="1"/>
  <c r="AF16" i="1" l="1"/>
  <c r="AE16" i="1"/>
  <c r="Y21" i="1"/>
  <c r="Y29" i="1" s="1"/>
  <c r="Z17" i="1" s="1"/>
  <c r="AD43" i="1"/>
  <c r="AB32" i="1"/>
  <c r="X44" i="1"/>
  <c r="Z21" i="1" l="1"/>
  <c r="Z29" i="1" s="1"/>
  <c r="AA17" i="1" s="1"/>
  <c r="AE43" i="1"/>
  <c r="AC32" i="1"/>
  <c r="AA21" i="1" l="1"/>
  <c r="AA29" i="1" s="1"/>
  <c r="AB17" i="1" s="1"/>
  <c r="AF43" i="1"/>
  <c r="AD32" i="1"/>
  <c r="Y48" i="1"/>
  <c r="AB21" i="1" l="1"/>
  <c r="AB29" i="1" s="1"/>
  <c r="AC17" i="1" s="1"/>
  <c r="AE32" i="1"/>
  <c r="AF32" i="1"/>
  <c r="Y44" i="1"/>
  <c r="AC21" i="1" l="1"/>
  <c r="AC29" i="1" s="1"/>
  <c r="AD17" i="1" s="1"/>
  <c r="Z48" i="1"/>
  <c r="AD21" i="1" l="1"/>
  <c r="AD29" i="1" s="1"/>
  <c r="AE17" i="1" s="1"/>
  <c r="Z44" i="1"/>
  <c r="AE21" i="1" l="1"/>
  <c r="AE29" i="1" s="1"/>
  <c r="AF17" i="1" s="1"/>
  <c r="AA48" i="1"/>
  <c r="AA44" i="1" l="1"/>
  <c r="AF21" i="1" l="1"/>
  <c r="AF29" i="1" s="1"/>
  <c r="AB48" i="1"/>
  <c r="AI52" i="1" l="1"/>
  <c r="N18" i="2" s="1"/>
  <c r="N19" i="2" s="1"/>
  <c r="AB44" i="1"/>
  <c r="AC48" i="1" l="1"/>
  <c r="AC44" i="1" l="1"/>
  <c r="AD48" i="1" l="1"/>
  <c r="AD44" i="1" l="1"/>
  <c r="AE48" i="1" l="1"/>
  <c r="AE44" i="1" l="1"/>
  <c r="AF48" i="1" l="1"/>
  <c r="AF44" i="1" l="1"/>
  <c r="J32" i="1"/>
  <c r="J43" i="1"/>
  <c r="J34" i="1"/>
  <c r="J31" i="1"/>
  <c r="J35" i="1"/>
  <c r="V48" i="1"/>
</calcChain>
</file>

<file path=xl/sharedStrings.xml><?xml version="1.0" encoding="utf-8"?>
<sst xmlns="http://schemas.openxmlformats.org/spreadsheetml/2006/main" count="70" uniqueCount="63">
  <si>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</si>
  <si>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</si>
  <si>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</si>
  <si>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</si>
  <si>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</si>
  <si>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</si>
  <si>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</si>
  <si>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</si>
  <si>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</si>
  <si>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</si>
  <si>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</si>
  <si>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</si>
  <si>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</si>
  <si>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</si>
  <si>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</si>
  <si>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</si>
  <si>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</si>
  <si>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</si>
  <si>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</si>
  <si>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</si>
  <si>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</si>
  <si>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</si>
  <si>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</si>
  <si>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</si>
  <si>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</si>
  <si>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</si>
  <si>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</si>
  <si>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</si>
  <si>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</si>
  <si>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</si>
  <si>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Interest expense</t>
  </si>
  <si>
    <t>Inventory</t>
  </si>
  <si>
    <t>PP&amp;E, net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</si>
  <si>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</si>
  <si>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</si>
  <si>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</si>
  <si>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</si>
  <si>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</si>
  <si>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</si>
  <si>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</si>
  <si>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</si>
  <si>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</si>
  <si>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Target</t>
  </si>
  <si>
    <t>LFUS</t>
  </si>
  <si>
    <t>LittelFuse</t>
  </si>
  <si>
    <t>R&amp;D</t>
  </si>
  <si>
    <t>Amortization</t>
  </si>
  <si>
    <t>Impairments</t>
  </si>
  <si>
    <t>FX loss</t>
  </si>
  <si>
    <t>Other expense</t>
  </si>
  <si>
    <t>Semiconductor</t>
  </si>
  <si>
    <t>Passive electronics</t>
  </si>
  <si>
    <t>Passenger car products</t>
  </si>
  <si>
    <t>Commercial vehicle products</t>
  </si>
  <si>
    <t>Automotive Sensors</t>
  </si>
  <si>
    <t>Industrial products</t>
  </si>
  <si>
    <t>Semiconductor y/y</t>
  </si>
  <si>
    <t>Passive electronics y/y</t>
  </si>
  <si>
    <t>Passenger car products y/y</t>
  </si>
  <si>
    <t>Commercial vehicle products y/y</t>
  </si>
  <si>
    <t>Automotive Sensors y/y</t>
  </si>
  <si>
    <t>Industrial products y/y</t>
  </si>
  <si>
    <t>PPE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</si>
</sst>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43165</xdr:colOff>
      <xdr:row>0</xdr:row>
      <xdr:rowOff>24848</xdr:rowOff>
    </xdr:from>
    <xdr:to>
      <xdr:col>12</xdr:col>
      <xdr:colOff>43165</xdr:colOff>
      <xdr:row>49</xdr:row>
      <xdr:rowOff>2867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844265" y="24848"/>
          <a:ext cx="0" cy="9312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49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M4" sqref="M4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ht="18" x14ac:dyDescent="0.25">
      <c r="M1" s="22" t="s">
        <v>44</v>
      </c>
    </row>
    <row r="2" spans="13:14" x14ac:dyDescent="0.25">
      <c r="M2" t="s">
        <v>43</v>
      </c>
    </row>
    <row r="3" spans="13:14" x14ac:dyDescent="0.25">
      <c r="M3" t="s">
        <v>25</v>
      </c>
      <c r="N3" s="17">
        <v>260.32</v>
      </c>
    </row>
    <row r="4" spans="13:14" x14ac:dyDescent="0.25">
      <c r="M4" t="s">
        <v>18</v>
      </c>
      <c r="N4" s="1">
        <v>24.734000000000002</v>
      </c>
    </row>
    <row r="5" spans="13:14" x14ac:dyDescent="0.25">
      <c r="M5" t="s">
        <v>26</v>
      </c>
      <c r="N5" s="1">
        <f>N3*N4</f>
        <v>6438.7548800000004</v>
      </c>
    </row>
    <row r="6" spans="13:14" x14ac:dyDescent="0.25">
      <c r="M6" t="s">
        <v>27</v>
      </c>
      <c r="N6" s="1">
        <v>834.726</v>
      </c>
    </row>
    <row r="7" spans="13:14" x14ac:dyDescent="0.25">
      <c r="M7" t="s">
        <v>28</v>
      </c>
      <c r="N7" s="1">
        <v>927.07899999999995</v>
      </c>
    </row>
    <row r="8" spans="13:14" x14ac:dyDescent="0.25">
      <c r="M8" t="s">
        <v>29</v>
      </c>
      <c r="N8" s="1">
        <f>N5-N6+N7</f>
        <v>6531.1078800000005</v>
      </c>
    </row>
    <row r="11" spans="13:14" x14ac:dyDescent="0.25">
      <c r="M11" s="2">
        <v>44776</v>
      </c>
    </row>
    <row r="15" spans="13:14" x14ac:dyDescent="0.25">
      <c r="M15" s="10" t="s">
        <v>37</v>
      </c>
      <c r="N15" s="18">
        <f>Model!AI49</f>
        <v>-1.4999999999999999E-2</v>
      </c>
    </row>
    <row r="16" spans="13:14" x14ac:dyDescent="0.25">
      <c r="M16" s="15" t="s">
        <v>38</v>
      </c>
      <c r="N16" s="18">
        <f>Model!AI50</f>
        <v>-0.01</v>
      </c>
    </row>
    <row r="17" spans="13:14" x14ac:dyDescent="0.25">
      <c r="M17" t="s">
        <v>39</v>
      </c>
      <c r="N17" s="18">
        <f>Model!AI51</f>
        <v>8.5000000000000006E-2</v>
      </c>
    </row>
    <row r="18" spans="13:14" x14ac:dyDescent="0.25">
      <c r="M18" s="15" t="s">
        <v>40</v>
      </c>
      <c r="N18" s="1">
        <f>Model!AI52</f>
        <v>8831.5667844635373</v>
      </c>
    </row>
    <row r="19" spans="13:14" x14ac:dyDescent="0.25">
      <c r="M19" t="s">
        <v>42</v>
      </c>
      <c r="N19" s="17">
        <f>N18/N4</f>
        <v>357.06180902658434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2:DE52"/>
  <sheetViews>
    <sheetView zoomScaleNormal="100" workbookViewId="0">
      <pane xSplit="2" ySplit="2" topLeftCell="R33" activePane="bottomRight" state="frozen"/>
      <selection pane="topRight" activeCell="C1" sqref="C1"/>
      <selection pane="bottomLeft" activeCell="A3" sqref="A3"/>
      <selection pane="bottomRight" activeCell="AE41" sqref="AE41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2" spans="1:108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8" s="1" customFormat="1" x14ac:dyDescent="0.25">
      <c r="B3" s="1" t="s">
        <v>50</v>
      </c>
      <c r="C3" s="1">
        <v>129.6</v>
      </c>
      <c r="D3" s="1">
        <v>130.4</v>
      </c>
      <c r="E3" s="1">
        <v>147.1</v>
      </c>
      <c r="F3" s="1">
        <f>T3-E3-D3-C3</f>
        <v>115.25</v>
      </c>
      <c r="G3" s="1">
        <v>154.1</v>
      </c>
      <c r="H3" s="1">
        <v>170.1</v>
      </c>
      <c r="I3" s="1">
        <v>175.94</v>
      </c>
      <c r="J3" s="1">
        <f>U3-I3-H3-G3</f>
        <v>178.76000000000002</v>
      </c>
      <c r="K3" s="1">
        <v>195.9</v>
      </c>
      <c r="L3" s="1">
        <v>195.86</v>
      </c>
      <c r="P3" s="11"/>
      <c r="R3" s="1">
        <v>648.96699999999998</v>
      </c>
      <c r="S3" s="1">
        <v>563.6</v>
      </c>
      <c r="T3" s="1">
        <v>522.35</v>
      </c>
      <c r="U3" s="1">
        <v>678.9</v>
      </c>
      <c r="V3" s="1">
        <f>U3*(1+V37)</f>
        <v>814.68</v>
      </c>
      <c r="W3" s="1">
        <f t="shared" ref="W3:AF3" si="0">V3*(1+W37)</f>
        <v>977.61599999999987</v>
      </c>
      <c r="X3" s="1">
        <f t="shared" si="0"/>
        <v>1124.2583999999997</v>
      </c>
      <c r="Y3" s="1">
        <f t="shared" si="0"/>
        <v>1236.6842399999998</v>
      </c>
      <c r="Z3" s="1">
        <f t="shared" si="0"/>
        <v>1335.6189791999998</v>
      </c>
      <c r="AA3" s="1">
        <f t="shared" si="0"/>
        <v>1415.7561179519998</v>
      </c>
      <c r="AB3" s="1">
        <f t="shared" si="0"/>
        <v>1472.38636267008</v>
      </c>
      <c r="AC3" s="1">
        <f t="shared" si="0"/>
        <v>1531.2818171768831</v>
      </c>
      <c r="AD3" s="1">
        <f t="shared" si="0"/>
        <v>1592.5330898639586</v>
      </c>
      <c r="AE3" s="1">
        <f t="shared" si="0"/>
        <v>1656.2344134585169</v>
      </c>
      <c r="AF3" s="1">
        <f t="shared" si="0"/>
        <v>1722.4837899968577</v>
      </c>
    </row>
    <row r="4" spans="1:108" s="1" customFormat="1" x14ac:dyDescent="0.25">
      <c r="B4" s="1" t="s">
        <v>51</v>
      </c>
      <c r="C4" s="1">
        <v>84.6</v>
      </c>
      <c r="D4" s="1">
        <v>92.85</v>
      </c>
      <c r="E4" s="1">
        <v>108.25</v>
      </c>
      <c r="F4" s="1">
        <f t="shared" ref="F4:F8" si="1">T4-E4-D4-C4</f>
        <v>129.69999999999999</v>
      </c>
      <c r="G4" s="1">
        <v>132.4</v>
      </c>
      <c r="H4" s="1">
        <v>155.27600000000001</v>
      </c>
      <c r="I4" s="1">
        <v>171.3</v>
      </c>
      <c r="J4" s="1">
        <f t="shared" ref="J4:J8" si="2">U4-I4-H4-G4</f>
        <v>162.92399999999995</v>
      </c>
      <c r="K4" s="1">
        <v>169.9</v>
      </c>
      <c r="L4" s="1">
        <v>162.30000000000001</v>
      </c>
      <c r="P4" s="11"/>
      <c r="R4" s="1">
        <v>475.3</v>
      </c>
      <c r="S4" s="1">
        <v>397.5</v>
      </c>
      <c r="T4" s="1">
        <v>415.4</v>
      </c>
      <c r="U4" s="1">
        <v>621.9</v>
      </c>
      <c r="V4" s="1">
        <f t="shared" ref="V4:AF4" si="3">U4*(1+V38)</f>
        <v>796.03200000000004</v>
      </c>
      <c r="W4" s="1">
        <f t="shared" si="3"/>
        <v>788.07168000000001</v>
      </c>
      <c r="X4" s="1">
        <f t="shared" si="3"/>
        <v>858.9981312000001</v>
      </c>
      <c r="Y4" s="1">
        <f t="shared" si="3"/>
        <v>919.12800038400019</v>
      </c>
      <c r="Z4" s="1">
        <f t="shared" si="3"/>
        <v>974.27568040704023</v>
      </c>
      <c r="AA4" s="1">
        <f t="shared" si="3"/>
        <v>1013.2467076233219</v>
      </c>
      <c r="AB4" s="1">
        <f t="shared" si="3"/>
        <v>1053.7765759282547</v>
      </c>
      <c r="AC4" s="1">
        <f t="shared" si="3"/>
        <v>1095.9276389653849</v>
      </c>
      <c r="AD4" s="1">
        <f t="shared" si="3"/>
        <v>1139.7647445240002</v>
      </c>
      <c r="AE4" s="1">
        <f t="shared" si="3"/>
        <v>1185.3553343049603</v>
      </c>
      <c r="AF4" s="1">
        <f t="shared" si="3"/>
        <v>1232.7695476771587</v>
      </c>
    </row>
    <row r="5" spans="1:108" s="1" customFormat="1" x14ac:dyDescent="0.25">
      <c r="B5" s="1" t="s">
        <v>52</v>
      </c>
      <c r="C5" s="1">
        <v>52.65</v>
      </c>
      <c r="D5" s="1">
        <v>30.3</v>
      </c>
      <c r="E5" s="1">
        <v>52.7</v>
      </c>
      <c r="F5" s="1">
        <f t="shared" si="1"/>
        <v>64.850000000000023</v>
      </c>
      <c r="G5" s="1">
        <v>68</v>
      </c>
      <c r="H5" s="1">
        <v>68</v>
      </c>
      <c r="I5" s="1">
        <v>64.63</v>
      </c>
      <c r="J5" s="1">
        <f t="shared" si="2"/>
        <v>65.37</v>
      </c>
      <c r="K5" s="1">
        <v>64.5</v>
      </c>
      <c r="L5" s="1">
        <v>59.8</v>
      </c>
      <c r="P5" s="11"/>
      <c r="R5" s="1">
        <v>240.5</v>
      </c>
      <c r="S5" s="1">
        <v>218.56</v>
      </c>
      <c r="T5" s="1">
        <v>200.5</v>
      </c>
      <c r="U5" s="1">
        <v>266</v>
      </c>
      <c r="V5" s="1">
        <f t="shared" ref="V5:AF5" si="4">U5*(1+V39)</f>
        <v>292.60000000000002</v>
      </c>
      <c r="W5" s="1">
        <f t="shared" si="4"/>
        <v>327.71200000000005</v>
      </c>
      <c r="X5" s="1">
        <f t="shared" si="4"/>
        <v>373.59168000000011</v>
      </c>
      <c r="Y5" s="1">
        <f t="shared" si="4"/>
        <v>429.6304320000001</v>
      </c>
      <c r="Z5" s="1">
        <f t="shared" si="4"/>
        <v>476.88977952000016</v>
      </c>
      <c r="AA5" s="1">
        <f t="shared" si="4"/>
        <v>519.80985967680022</v>
      </c>
      <c r="AB5" s="1">
        <f t="shared" si="4"/>
        <v>556.19654985417628</v>
      </c>
      <c r="AC5" s="1">
        <f t="shared" si="4"/>
        <v>584.00637734688507</v>
      </c>
      <c r="AD5" s="1">
        <f t="shared" si="4"/>
        <v>613.2066962142294</v>
      </c>
      <c r="AE5" s="1">
        <f t="shared" si="4"/>
        <v>643.86703102494084</v>
      </c>
      <c r="AF5" s="1">
        <f t="shared" si="4"/>
        <v>676.06038257618786</v>
      </c>
    </row>
    <row r="6" spans="1:108" s="1" customFormat="1" x14ac:dyDescent="0.25">
      <c r="B6" s="1" t="s">
        <v>53</v>
      </c>
      <c r="C6" s="1">
        <v>28</v>
      </c>
      <c r="D6" s="1">
        <v>17.8</v>
      </c>
      <c r="E6" s="1">
        <v>25.94</v>
      </c>
      <c r="F6" s="1">
        <f t="shared" si="1"/>
        <v>29.560000000000002</v>
      </c>
      <c r="G6" s="1">
        <v>32.299999999999997</v>
      </c>
      <c r="H6" s="1">
        <v>38.6</v>
      </c>
      <c r="I6" s="1">
        <v>35.700000000000003</v>
      </c>
      <c r="J6" s="1">
        <f t="shared" si="2"/>
        <v>53.7</v>
      </c>
      <c r="K6" s="1">
        <v>93.9</v>
      </c>
      <c r="L6" s="1">
        <v>99</v>
      </c>
      <c r="P6" s="11"/>
      <c r="R6" s="1">
        <v>121.56</v>
      </c>
      <c r="S6" s="1">
        <v>111.97</v>
      </c>
      <c r="T6" s="1">
        <v>101.3</v>
      </c>
      <c r="U6" s="1">
        <v>160.30000000000001</v>
      </c>
      <c r="V6" s="1">
        <f t="shared" ref="V6:AF6" si="5">U6*(1+V40)</f>
        <v>320.60000000000002</v>
      </c>
      <c r="W6" s="1">
        <f t="shared" si="5"/>
        <v>307.77600000000001</v>
      </c>
      <c r="X6" s="1">
        <f t="shared" si="5"/>
        <v>338.55360000000002</v>
      </c>
      <c r="Y6" s="1">
        <f t="shared" si="5"/>
        <v>355.48128000000003</v>
      </c>
      <c r="Z6" s="1">
        <f t="shared" si="5"/>
        <v>366.14571840000002</v>
      </c>
      <c r="AA6" s="1">
        <f t="shared" si="5"/>
        <v>373.46863276800002</v>
      </c>
      <c r="AB6" s="1">
        <f t="shared" si="5"/>
        <v>380.93800542336004</v>
      </c>
      <c r="AC6" s="1">
        <f t="shared" si="5"/>
        <v>388.55676553182724</v>
      </c>
      <c r="AD6" s="1">
        <f t="shared" si="5"/>
        <v>396.32790084246381</v>
      </c>
      <c r="AE6" s="1">
        <f t="shared" si="5"/>
        <v>404.2544588593131</v>
      </c>
      <c r="AF6" s="1">
        <f t="shared" si="5"/>
        <v>412.33954803649937</v>
      </c>
    </row>
    <row r="7" spans="1:108" s="1" customFormat="1" x14ac:dyDescent="0.25">
      <c r="B7" s="1" t="s">
        <v>54</v>
      </c>
      <c r="C7" s="1">
        <v>24.2</v>
      </c>
      <c r="D7" s="1">
        <v>13.9</v>
      </c>
      <c r="E7" s="1">
        <v>26</v>
      </c>
      <c r="F7" s="1">
        <f t="shared" si="1"/>
        <v>29.900000000000002</v>
      </c>
      <c r="G7" s="1">
        <v>28.3</v>
      </c>
      <c r="H7" s="1">
        <v>26.7</v>
      </c>
      <c r="I7" s="1">
        <v>24.11</v>
      </c>
      <c r="J7" s="1">
        <f t="shared" si="2"/>
        <v>22.59</v>
      </c>
      <c r="K7" s="1">
        <v>26.1</v>
      </c>
      <c r="L7" s="1">
        <v>23.2</v>
      </c>
      <c r="P7" s="11"/>
      <c r="R7" s="1">
        <v>117.73</v>
      </c>
      <c r="S7" s="1">
        <v>98</v>
      </c>
      <c r="T7" s="1">
        <v>94</v>
      </c>
      <c r="U7" s="1">
        <v>101.7</v>
      </c>
      <c r="V7" s="1">
        <f t="shared" ref="V7:V8" si="6">U7*(1+V41)</f>
        <v>103.73400000000001</v>
      </c>
      <c r="W7" s="1">
        <f t="shared" ref="W7:W8" si="7">V7*(1+W41)</f>
        <v>105.80868000000001</v>
      </c>
      <c r="X7" s="1">
        <f t="shared" ref="X7:X8" si="8">W7*(1+X41)</f>
        <v>107.92485360000001</v>
      </c>
      <c r="Y7" s="1">
        <f t="shared" ref="Y7:Y8" si="9">X7*(1+Y41)</f>
        <v>109.004102136</v>
      </c>
      <c r="Z7" s="1">
        <f t="shared" ref="Z7:Z8" si="10">Y7*(1+Z41)</f>
        <v>110.09414315735999</v>
      </c>
      <c r="AA7" s="1">
        <f t="shared" ref="AA7:AA8" si="11">Z7*(1+AA41)</f>
        <v>111.1950845889336</v>
      </c>
      <c r="AB7" s="1">
        <f t="shared" ref="AB7:AB8" si="12">AA7*(1+AB41)</f>
        <v>112.30703543482294</v>
      </c>
      <c r="AC7" s="1">
        <f t="shared" ref="AC7:AC8" si="13">AB7*(1+AC41)</f>
        <v>113.43010578917117</v>
      </c>
      <c r="AD7" s="1">
        <f t="shared" ref="AD7:AD8" si="14">AC7*(1+AD41)</f>
        <v>114.56440684706288</v>
      </c>
      <c r="AE7" s="1">
        <f t="shared" ref="AE7:AE8" si="15">AD7*(1+AE41)</f>
        <v>115.71005091553351</v>
      </c>
      <c r="AF7" s="1">
        <f t="shared" ref="AF7:AF8" si="16">AE7*(1+AF41)</f>
        <v>116.86715142468886</v>
      </c>
    </row>
    <row r="8" spans="1:108" s="1" customFormat="1" x14ac:dyDescent="0.25">
      <c r="B8" s="1" t="s">
        <v>55</v>
      </c>
      <c r="C8" s="1">
        <v>27.137</v>
      </c>
      <c r="D8" s="1">
        <v>22.1</v>
      </c>
      <c r="E8" s="1">
        <v>31.5</v>
      </c>
      <c r="F8" s="1">
        <f t="shared" si="1"/>
        <v>31.463000000000001</v>
      </c>
      <c r="G8" s="1">
        <v>48.7</v>
      </c>
      <c r="H8" s="1">
        <v>64.8</v>
      </c>
      <c r="I8" s="1">
        <v>68</v>
      </c>
      <c r="J8" s="1">
        <f t="shared" si="2"/>
        <v>69.599999999999994</v>
      </c>
      <c r="K8" s="1">
        <v>73</v>
      </c>
      <c r="L8" s="1">
        <v>78.23</v>
      </c>
      <c r="P8" s="11"/>
      <c r="R8" s="1">
        <v>114.4</v>
      </c>
      <c r="S8" s="1">
        <v>114.3</v>
      </c>
      <c r="T8" s="1">
        <v>112.2</v>
      </c>
      <c r="U8" s="1">
        <v>251.1</v>
      </c>
      <c r="V8" s="1">
        <f t="shared" si="6"/>
        <v>301.32</v>
      </c>
      <c r="W8" s="1">
        <f t="shared" si="7"/>
        <v>298.30680000000001</v>
      </c>
      <c r="X8" s="1">
        <f t="shared" si="8"/>
        <v>343.05282</v>
      </c>
      <c r="Y8" s="1">
        <f t="shared" si="9"/>
        <v>380.78863020000006</v>
      </c>
      <c r="Z8" s="1">
        <f t="shared" si="10"/>
        <v>411.25172061600011</v>
      </c>
      <c r="AA8" s="1">
        <f t="shared" si="11"/>
        <v>431.81430664680016</v>
      </c>
      <c r="AB8" s="1">
        <f t="shared" si="12"/>
        <v>453.4050219791402</v>
      </c>
      <c r="AC8" s="1">
        <f t="shared" si="13"/>
        <v>476.07527307809721</v>
      </c>
      <c r="AD8" s="1">
        <f t="shared" si="14"/>
        <v>499.87903673200208</v>
      </c>
      <c r="AE8" s="1">
        <f t="shared" si="15"/>
        <v>524.87298856860218</v>
      </c>
      <c r="AF8" s="1">
        <f t="shared" si="16"/>
        <v>551.11663799703229</v>
      </c>
    </row>
    <row r="9" spans="1:108" x14ac:dyDescent="0.25">
      <c r="A9" s="4"/>
      <c r="B9" s="4" t="s">
        <v>12</v>
      </c>
      <c r="C9" s="5">
        <v>346.1</v>
      </c>
      <c r="D9" s="5">
        <v>307.33</v>
      </c>
      <c r="E9" s="5">
        <v>391.56599999999997</v>
      </c>
      <c r="F9" s="5">
        <f>SUM(F3:F8)</f>
        <v>400.72300000000001</v>
      </c>
      <c r="G9" s="5">
        <v>463.8</v>
      </c>
      <c r="H9" s="5">
        <v>523.5</v>
      </c>
      <c r="I9" s="5">
        <v>539.6</v>
      </c>
      <c r="J9" s="5">
        <f>SUM(J3:J8)</f>
        <v>552.94399999999996</v>
      </c>
      <c r="K9" s="5">
        <v>623.33000000000004</v>
      </c>
      <c r="L9" s="5">
        <v>618.4</v>
      </c>
      <c r="M9" s="5"/>
      <c r="N9" s="5"/>
      <c r="O9" s="5"/>
      <c r="P9" s="6"/>
      <c r="Q9" s="5">
        <v>1221.5</v>
      </c>
      <c r="R9" s="5">
        <v>1718.5</v>
      </c>
      <c r="S9" s="5">
        <v>1503.873</v>
      </c>
      <c r="T9" s="5">
        <v>1445.7</v>
      </c>
      <c r="U9" s="5">
        <v>2079.9</v>
      </c>
      <c r="V9" s="5">
        <f>SUM(V3:V8)</f>
        <v>2628.9659999999999</v>
      </c>
      <c r="W9" s="5">
        <f t="shared" ref="W9:AF9" si="17">SUM(W3:W8)</f>
        <v>2805.2911599999998</v>
      </c>
      <c r="X9" s="5">
        <f t="shared" si="17"/>
        <v>3146.3794847999998</v>
      </c>
      <c r="Y9" s="5">
        <f t="shared" si="17"/>
        <v>3430.7166847199996</v>
      </c>
      <c r="Z9" s="5">
        <f t="shared" si="17"/>
        <v>3674.2760213004003</v>
      </c>
      <c r="AA9" s="5">
        <f t="shared" si="17"/>
        <v>3865.2907092558557</v>
      </c>
      <c r="AB9" s="5">
        <f t="shared" si="17"/>
        <v>4029.0095512898342</v>
      </c>
      <c r="AC9" s="5">
        <f t="shared" si="17"/>
        <v>4189.2779778882486</v>
      </c>
      <c r="AD9" s="5">
        <f t="shared" si="17"/>
        <v>4356.2758750237172</v>
      </c>
      <c r="AE9" s="5">
        <f t="shared" si="17"/>
        <v>4530.2942771318667</v>
      </c>
      <c r="AF9" s="5">
        <f t="shared" si="17"/>
        <v>4711.6370577084253</v>
      </c>
      <c r="AG9" s="5"/>
      <c r="AH9" s="5"/>
      <c r="AI9" s="5"/>
      <c r="AJ9" s="5"/>
      <c r="AK9" s="5"/>
    </row>
    <row r="10" spans="1:108" s="1" customFormat="1" x14ac:dyDescent="0.25">
      <c r="B10" s="1" t="s">
        <v>13</v>
      </c>
      <c r="C10" s="1">
        <v>221.74</v>
      </c>
      <c r="D10" s="1">
        <v>207.4</v>
      </c>
      <c r="E10" s="1">
        <v>252.7</v>
      </c>
      <c r="F10" s="1">
        <f>T10-E10-D10-C10</f>
        <v>262.68300000000011</v>
      </c>
      <c r="G10" s="1">
        <v>303.3</v>
      </c>
      <c r="H10" s="1">
        <v>326.10000000000002</v>
      </c>
      <c r="I10" s="1">
        <v>325</v>
      </c>
      <c r="J10" s="1">
        <f>U10-I10-H10-G10</f>
        <v>353.59999999999997</v>
      </c>
      <c r="K10" s="1">
        <v>364.7</v>
      </c>
      <c r="L10" s="1">
        <v>355.5</v>
      </c>
      <c r="P10" s="11"/>
      <c r="Q10" s="1">
        <v>715</v>
      </c>
      <c r="R10" s="1">
        <v>1065.9000000000001</v>
      </c>
      <c r="S10" s="1">
        <v>957.57799999999997</v>
      </c>
      <c r="T10" s="1">
        <v>944.52300000000002</v>
      </c>
      <c r="U10" s="1">
        <v>1308</v>
      </c>
    </row>
    <row r="11" spans="1:108" x14ac:dyDescent="0.25">
      <c r="A11" s="4"/>
      <c r="B11" s="4" t="s">
        <v>33</v>
      </c>
      <c r="C11" s="5">
        <f>+C9-C10</f>
        <v>124.36000000000001</v>
      </c>
      <c r="D11" s="5">
        <f>+D9-D10</f>
        <v>99.929999999999978</v>
      </c>
      <c r="E11" s="5">
        <f>+E9-E10</f>
        <v>138.86599999999999</v>
      </c>
      <c r="F11" s="5">
        <f>+F9-F10</f>
        <v>138.03999999999991</v>
      </c>
      <c r="G11" s="5">
        <f>+G9-G10</f>
        <v>160.5</v>
      </c>
      <c r="H11" s="5">
        <f>+H9-H10</f>
        <v>197.39999999999998</v>
      </c>
      <c r="I11" s="5">
        <f>+I9-I10</f>
        <v>214.60000000000002</v>
      </c>
      <c r="J11" s="5">
        <f>+J9-J10</f>
        <v>199.34399999999999</v>
      </c>
      <c r="K11" s="5">
        <f>+K9-K10</f>
        <v>258.63000000000005</v>
      </c>
      <c r="L11" s="5">
        <f>+L9-L10</f>
        <v>262.89999999999998</v>
      </c>
      <c r="M11" s="5"/>
      <c r="N11" s="5"/>
      <c r="O11" s="5"/>
      <c r="P11" s="6"/>
      <c r="Q11" s="5">
        <f>+Q9-Q10</f>
        <v>506.5</v>
      </c>
      <c r="R11" s="5">
        <f>+R9-R10</f>
        <v>652.59999999999991</v>
      </c>
      <c r="S11" s="5">
        <f>+S9-S10</f>
        <v>546.29500000000007</v>
      </c>
      <c r="T11" s="5">
        <f>+T9-T10</f>
        <v>501.17700000000002</v>
      </c>
      <c r="U11" s="5">
        <f>+U9-U10</f>
        <v>771.90000000000009</v>
      </c>
      <c r="V11" s="5">
        <f>V9*V31</f>
        <v>1077.8760599999998</v>
      </c>
      <c r="W11" s="5">
        <f t="shared" ref="W11:AF11" si="18">W9*W31</f>
        <v>1094.0635523999999</v>
      </c>
      <c r="X11" s="5">
        <f t="shared" si="18"/>
        <v>1164.160409376</v>
      </c>
      <c r="Y11" s="5">
        <f t="shared" si="18"/>
        <v>1303.6723401935999</v>
      </c>
      <c r="Z11" s="5">
        <f t="shared" si="18"/>
        <v>1396.2248880941522</v>
      </c>
      <c r="AA11" s="5">
        <f t="shared" si="18"/>
        <v>1468.8104695172251</v>
      </c>
      <c r="AB11" s="5">
        <f t="shared" si="18"/>
        <v>1531.023629490137</v>
      </c>
      <c r="AC11" s="5">
        <f t="shared" si="18"/>
        <v>1591.9256315975344</v>
      </c>
      <c r="AD11" s="5">
        <f t="shared" si="18"/>
        <v>1655.3848325090125</v>
      </c>
      <c r="AE11" s="5">
        <f t="shared" si="18"/>
        <v>1721.5118253101093</v>
      </c>
      <c r="AF11" s="5">
        <f t="shared" si="18"/>
        <v>1790.4220819292016</v>
      </c>
      <c r="AG11" s="5"/>
      <c r="AH11" s="5"/>
      <c r="AI11" s="5"/>
      <c r="AJ11" s="5"/>
      <c r="AK11" s="5"/>
    </row>
    <row r="12" spans="1:108" x14ac:dyDescent="0.25">
      <c r="B12" t="s">
        <v>14</v>
      </c>
      <c r="C12" s="1">
        <v>51.2</v>
      </c>
      <c r="D12" s="1">
        <v>53.2</v>
      </c>
      <c r="E12" s="1">
        <v>49.9</v>
      </c>
      <c r="F12" s="1">
        <f t="shared" ref="F12:F15" si="19">T12-E12-D12-C12</f>
        <v>50.199999999999989</v>
      </c>
      <c r="G12" s="1">
        <v>58.3</v>
      </c>
      <c r="H12" s="1">
        <v>73.3</v>
      </c>
      <c r="I12" s="1">
        <v>67.5</v>
      </c>
      <c r="J12" s="1">
        <f t="shared" ref="J12:J15" si="20">U12-I12-H12-G12</f>
        <v>76.356999999999985</v>
      </c>
      <c r="K12" s="1">
        <v>75.5</v>
      </c>
      <c r="L12" s="1">
        <v>93.09</v>
      </c>
      <c r="Q12" s="1">
        <v>212.8</v>
      </c>
      <c r="R12" s="1">
        <v>288</v>
      </c>
      <c r="S12" s="1">
        <v>220.44800000000001</v>
      </c>
      <c r="T12" s="1">
        <v>204.5</v>
      </c>
      <c r="U12" s="1">
        <v>275.45699999999999</v>
      </c>
      <c r="V12" s="1">
        <f>V9*V35</f>
        <v>341.76558</v>
      </c>
      <c r="W12" s="1">
        <f t="shared" ref="W12:AF12" si="21">W9*W35</f>
        <v>364.68785079999998</v>
      </c>
      <c r="X12" s="1">
        <f t="shared" si="21"/>
        <v>409.02933302399998</v>
      </c>
      <c r="Y12" s="1">
        <f t="shared" si="21"/>
        <v>445.99316901359998</v>
      </c>
      <c r="Z12" s="1">
        <f t="shared" si="21"/>
        <v>440.91312255604799</v>
      </c>
      <c r="AA12" s="1">
        <f t="shared" si="21"/>
        <v>463.83488511070266</v>
      </c>
      <c r="AB12" s="1">
        <f t="shared" si="21"/>
        <v>483.48114615478011</v>
      </c>
      <c r="AC12" s="1">
        <f t="shared" si="21"/>
        <v>460.82057756770735</v>
      </c>
      <c r="AD12" s="1">
        <f t="shared" si="21"/>
        <v>479.19034625260889</v>
      </c>
      <c r="AE12" s="1">
        <f t="shared" si="21"/>
        <v>498.33237048450536</v>
      </c>
      <c r="AF12" s="1">
        <f t="shared" si="21"/>
        <v>518.28007634792675</v>
      </c>
      <c r="AG12" s="1"/>
      <c r="AH12" s="1"/>
      <c r="AI12" s="1"/>
      <c r="AJ12" s="1"/>
      <c r="AK12" s="1"/>
    </row>
    <row r="13" spans="1:108" x14ac:dyDescent="0.25">
      <c r="B13" t="s">
        <v>45</v>
      </c>
      <c r="C13" s="1">
        <v>14.5</v>
      </c>
      <c r="D13" s="1">
        <v>13.16</v>
      </c>
      <c r="E13" s="1">
        <v>12.96</v>
      </c>
      <c r="F13" s="1">
        <f t="shared" si="19"/>
        <v>11.879999999999999</v>
      </c>
      <c r="G13" s="1">
        <v>14.769</v>
      </c>
      <c r="H13" s="1">
        <v>16.399999999999999</v>
      </c>
      <c r="I13" s="1">
        <v>15.8</v>
      </c>
      <c r="J13" s="1">
        <f t="shared" si="20"/>
        <v>18.431000000000012</v>
      </c>
      <c r="K13" s="1">
        <v>19.55</v>
      </c>
      <c r="L13" s="1">
        <v>23.5</v>
      </c>
      <c r="Q13" s="1">
        <v>50.5</v>
      </c>
      <c r="R13" s="1">
        <v>87.3</v>
      </c>
      <c r="S13" s="1">
        <v>80</v>
      </c>
      <c r="T13" s="1">
        <v>52.5</v>
      </c>
      <c r="U13" s="1">
        <v>65.400000000000006</v>
      </c>
      <c r="V13" s="1">
        <f>U13*1.08</f>
        <v>70.632000000000005</v>
      </c>
      <c r="W13" s="1">
        <f t="shared" ref="W13:AF13" si="22">V13*1.08</f>
        <v>76.282560000000004</v>
      </c>
      <c r="X13" s="1">
        <f t="shared" si="22"/>
        <v>82.385164800000013</v>
      </c>
      <c r="Y13" s="1">
        <f t="shared" si="22"/>
        <v>88.975977984000025</v>
      </c>
      <c r="Z13" s="1">
        <f t="shared" si="22"/>
        <v>96.094056222720027</v>
      </c>
      <c r="AA13" s="1">
        <f t="shared" si="22"/>
        <v>103.78158072053763</v>
      </c>
      <c r="AB13" s="1">
        <f t="shared" si="22"/>
        <v>112.08410717818064</v>
      </c>
      <c r="AC13" s="1">
        <f t="shared" si="22"/>
        <v>121.05083575243511</v>
      </c>
      <c r="AD13" s="1">
        <f t="shared" si="22"/>
        <v>130.73490261262992</v>
      </c>
      <c r="AE13" s="1">
        <f t="shared" si="22"/>
        <v>141.19369482164032</v>
      </c>
      <c r="AF13" s="1">
        <f t="shared" si="22"/>
        <v>152.48919040737155</v>
      </c>
      <c r="AG13" s="1"/>
      <c r="AH13" s="1"/>
      <c r="AI13" s="1"/>
      <c r="AJ13" s="1"/>
      <c r="AK13" s="1"/>
    </row>
    <row r="14" spans="1:108" x14ac:dyDescent="0.25">
      <c r="B14" t="s">
        <v>46</v>
      </c>
      <c r="C14" s="1">
        <v>10</v>
      </c>
      <c r="D14" s="1">
        <v>9.8000000000000007</v>
      </c>
      <c r="E14" s="1">
        <v>10.1</v>
      </c>
      <c r="F14" s="1">
        <f t="shared" si="19"/>
        <v>10.099999999999998</v>
      </c>
      <c r="G14" s="1">
        <v>10.5</v>
      </c>
      <c r="H14" s="1">
        <v>10.6</v>
      </c>
      <c r="I14" s="1">
        <v>10.44</v>
      </c>
      <c r="J14" s="1">
        <f t="shared" si="20"/>
        <v>11.189999999999998</v>
      </c>
      <c r="K14" s="1">
        <v>12.7</v>
      </c>
      <c r="L14" s="1">
        <v>11.6</v>
      </c>
      <c r="Q14" s="1">
        <v>24.7</v>
      </c>
      <c r="R14" s="1">
        <v>52.19</v>
      </c>
      <c r="S14" s="1">
        <v>40</v>
      </c>
      <c r="T14" s="1">
        <v>40</v>
      </c>
      <c r="U14" s="1">
        <v>42.73</v>
      </c>
      <c r="V14" s="1">
        <f>U14*1.04</f>
        <v>44.4392</v>
      </c>
      <c r="W14" s="1">
        <f t="shared" ref="W14:AF14" si="23">V14*1.04</f>
        <v>46.216768000000002</v>
      </c>
      <c r="X14" s="1">
        <f t="shared" si="23"/>
        <v>48.065438720000003</v>
      </c>
      <c r="Y14" s="1">
        <f t="shared" si="23"/>
        <v>49.988056268800008</v>
      </c>
      <c r="Z14" s="1">
        <f t="shared" si="23"/>
        <v>51.987578519552009</v>
      </c>
      <c r="AA14" s="1">
        <f t="shared" si="23"/>
        <v>54.06708166033409</v>
      </c>
      <c r="AB14" s="1">
        <f t="shared" si="23"/>
        <v>56.229764926747457</v>
      </c>
      <c r="AC14" s="1">
        <f t="shared" si="23"/>
        <v>58.478955523817355</v>
      </c>
      <c r="AD14" s="1">
        <f t="shared" si="23"/>
        <v>60.818113744770052</v>
      </c>
      <c r="AE14" s="1">
        <f t="shared" si="23"/>
        <v>63.250838294560857</v>
      </c>
      <c r="AF14" s="1">
        <f t="shared" si="23"/>
        <v>65.780871826343301</v>
      </c>
      <c r="AG14" s="1"/>
      <c r="AH14" s="1"/>
      <c r="AI14" s="1"/>
      <c r="AJ14" s="1"/>
      <c r="AK14" s="1"/>
    </row>
    <row r="15" spans="1:108" x14ac:dyDescent="0.25">
      <c r="B15" t="s">
        <v>47</v>
      </c>
      <c r="C15" s="1">
        <v>4</v>
      </c>
      <c r="D15" s="1">
        <v>35.664999999999999</v>
      </c>
      <c r="E15" s="1">
        <v>1.28</v>
      </c>
      <c r="F15" s="1">
        <f t="shared" si="19"/>
        <v>0.75500000000000256</v>
      </c>
      <c r="G15" s="1">
        <v>0.4</v>
      </c>
      <c r="H15" s="1">
        <v>0.8</v>
      </c>
      <c r="I15" s="1">
        <v>0.77</v>
      </c>
      <c r="J15" s="1">
        <f t="shared" si="20"/>
        <v>0.18799999999999983</v>
      </c>
      <c r="K15" s="1">
        <v>0.2</v>
      </c>
      <c r="L15" s="1">
        <v>0.6</v>
      </c>
      <c r="Q15" s="1">
        <v>0</v>
      </c>
      <c r="R15" s="1">
        <v>0</v>
      </c>
      <c r="S15" s="1">
        <v>13</v>
      </c>
      <c r="T15" s="1">
        <v>41.7</v>
      </c>
      <c r="U15" s="1">
        <v>2.1579999999999999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/>
      <c r="AH15" s="1"/>
      <c r="AI15" s="1"/>
      <c r="AJ15" s="1"/>
      <c r="AK15" s="1"/>
    </row>
    <row r="16" spans="1:108" x14ac:dyDescent="0.25">
      <c r="A16" s="4"/>
      <c r="B16" s="4" t="s">
        <v>15</v>
      </c>
      <c r="C16" s="5">
        <f>+C11-C12-C13-C14-C15</f>
        <v>44.660000000000011</v>
      </c>
      <c r="D16" s="5">
        <f>+D11-D12-D13-D14-D15</f>
        <v>-11.895000000000021</v>
      </c>
      <c r="E16" s="5">
        <f>+E11-E12-E13-E14-E15</f>
        <v>64.625999999999976</v>
      </c>
      <c r="F16" s="5">
        <f>+F11-F12-F13-F14-F15</f>
        <v>65.104999999999933</v>
      </c>
      <c r="G16" s="5">
        <f>+G11-G12-G13-G14-G15</f>
        <v>76.530999999999992</v>
      </c>
      <c r="H16" s="5">
        <f>+H11-H12-H13-H14-H15</f>
        <v>96.3</v>
      </c>
      <c r="I16" s="5">
        <f>+I11-I12-I13-I14-I15</f>
        <v>120.09000000000002</v>
      </c>
      <c r="J16" s="5">
        <f>+J11-J12-J13-J14-J15</f>
        <v>93.177999999999997</v>
      </c>
      <c r="K16" s="5">
        <f>+K11-K12-K13-K14-K15</f>
        <v>150.68000000000006</v>
      </c>
      <c r="L16" s="5">
        <f>+L11-L12-L13-L14-L15</f>
        <v>134.10999999999999</v>
      </c>
      <c r="M16" s="5"/>
      <c r="N16" s="5"/>
      <c r="O16" s="5"/>
      <c r="P16" s="6"/>
      <c r="Q16" s="5">
        <f>+Q11-Q12-Q13-Q14-Q15</f>
        <v>218.5</v>
      </c>
      <c r="R16" s="5">
        <f>+R11-R12-R13-R14-R15</f>
        <v>225.1099999999999</v>
      </c>
      <c r="S16" s="5">
        <f>+S11-S12-S13-S14-S15</f>
        <v>192.84700000000009</v>
      </c>
      <c r="T16" s="5">
        <f>+T11-T12-T13-T14-T15</f>
        <v>162.47700000000003</v>
      </c>
      <c r="U16" s="5">
        <f>+U11-U12-U13-U14-U15</f>
        <v>386.15500000000009</v>
      </c>
      <c r="V16" s="5">
        <f>+V11-V12-V13-V14-V15</f>
        <v>617.03927999999974</v>
      </c>
      <c r="W16" s="5">
        <f t="shared" ref="W16:AF16" si="24">+W11-W12-W13-W14-W15</f>
        <v>602.87637359999997</v>
      </c>
      <c r="X16" s="5">
        <f t="shared" si="24"/>
        <v>620.68047283200008</v>
      </c>
      <c r="Y16" s="5">
        <f t="shared" si="24"/>
        <v>714.71513692719986</v>
      </c>
      <c r="Z16" s="5">
        <f t="shared" si="24"/>
        <v>803.23013079583222</v>
      </c>
      <c r="AA16" s="5">
        <f t="shared" si="24"/>
        <v>843.12692202565074</v>
      </c>
      <c r="AB16" s="5">
        <f t="shared" si="24"/>
        <v>875.22861123042878</v>
      </c>
      <c r="AC16" s="5">
        <f t="shared" si="24"/>
        <v>947.57526275357452</v>
      </c>
      <c r="AD16" s="5">
        <f t="shared" si="24"/>
        <v>980.64146989900382</v>
      </c>
      <c r="AE16" s="5">
        <f t="shared" si="24"/>
        <v>1014.7349217094028</v>
      </c>
      <c r="AF16" s="5">
        <f t="shared" si="24"/>
        <v>1049.8719433475599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</row>
    <row r="17" spans="1:109" x14ac:dyDescent="0.25">
      <c r="B17" t="s">
        <v>30</v>
      </c>
      <c r="C17" s="1">
        <v>5.4</v>
      </c>
      <c r="D17" s="1">
        <v>5.8550000000000004</v>
      </c>
      <c r="E17" s="1">
        <v>5</v>
      </c>
      <c r="F17" s="1">
        <f t="shared" ref="F17:F20" si="25">T17-E17-D17-C17</f>
        <v>4.7449999999999992</v>
      </c>
      <c r="G17" s="1">
        <v>4.7</v>
      </c>
      <c r="H17" s="1">
        <v>4.5999999999999996</v>
      </c>
      <c r="I17" s="1">
        <v>4.5999999999999996</v>
      </c>
      <c r="J17" s="1">
        <f t="shared" ref="J17:J20" si="26">U17-I17-H17-G17</f>
        <v>4.6000000000000005</v>
      </c>
      <c r="K17" s="1">
        <v>4.3</v>
      </c>
      <c r="L17" s="1">
        <v>4.4000000000000004</v>
      </c>
      <c r="Q17" s="1">
        <v>13.4</v>
      </c>
      <c r="R17" s="1">
        <v>22.6</v>
      </c>
      <c r="S17" s="1">
        <v>22.3</v>
      </c>
      <c r="T17" s="1">
        <v>21</v>
      </c>
      <c r="U17" s="1">
        <v>18.5</v>
      </c>
      <c r="V17" s="1">
        <f>U29*-0.055</f>
        <v>8.5928700000000013</v>
      </c>
      <c r="W17" s="1">
        <f>V29*-0.01</f>
        <v>-3.7334342999999981</v>
      </c>
      <c r="X17" s="1">
        <f t="shared" ref="X17:AF17" si="27">W29*-0.01</f>
        <v>-8.9579450309999977</v>
      </c>
      <c r="Y17" s="1">
        <f t="shared" si="27"/>
        <v>-14.310415364189998</v>
      </c>
      <c r="Z17" s="1">
        <f t="shared" si="27"/>
        <v>-20.502841547993498</v>
      </c>
      <c r="AA17" s="1">
        <f t="shared" si="27"/>
        <v>-27.564402944615626</v>
      </c>
      <c r="AB17" s="1">
        <f t="shared" si="27"/>
        <v>-35.034423167356415</v>
      </c>
      <c r="AC17" s="1">
        <f t="shared" si="27"/>
        <v>-42.767190263895728</v>
      </c>
      <c r="AD17" s="1">
        <f t="shared" si="27"/>
        <v>-51.24626028158842</v>
      </c>
      <c r="AE17" s="1">
        <f t="shared" si="27"/>
        <v>-60.084003785886281</v>
      </c>
      <c r="AF17" s="1">
        <f t="shared" si="27"/>
        <v>-69.201287101071699</v>
      </c>
      <c r="AG17" s="1"/>
      <c r="AH17" s="1"/>
      <c r="AI17" s="1"/>
      <c r="AJ17" s="1"/>
      <c r="AK17" s="1"/>
    </row>
    <row r="18" spans="1:109" x14ac:dyDescent="0.25">
      <c r="B18" t="s">
        <v>48</v>
      </c>
      <c r="C18" s="1">
        <v>2.58</v>
      </c>
      <c r="D18" s="1">
        <v>-6</v>
      </c>
      <c r="E18" s="1">
        <v>-6.17</v>
      </c>
      <c r="F18" s="1">
        <f t="shared" si="25"/>
        <v>-5.2850000000000001</v>
      </c>
      <c r="G18" s="1">
        <v>6.8</v>
      </c>
      <c r="H18" s="1">
        <v>-1.7</v>
      </c>
      <c r="I18" s="1">
        <v>3.15</v>
      </c>
      <c r="J18" s="1">
        <f t="shared" si="26"/>
        <v>8.9080000000000013</v>
      </c>
      <c r="K18" s="1">
        <v>7.7</v>
      </c>
      <c r="L18" s="1">
        <v>14.1</v>
      </c>
      <c r="Q18" s="1">
        <v>2.4</v>
      </c>
      <c r="R18" s="1">
        <v>-0.9</v>
      </c>
      <c r="S18" s="1">
        <v>5.2</v>
      </c>
      <c r="T18" s="1">
        <v>-14.875</v>
      </c>
      <c r="U18" s="1">
        <v>17.158000000000001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109" x14ac:dyDescent="0.25">
      <c r="B19" t="s">
        <v>49</v>
      </c>
      <c r="C19" s="1">
        <v>1.25</v>
      </c>
      <c r="D19" s="1">
        <v>-1.2</v>
      </c>
      <c r="E19" s="1">
        <v>-1.7</v>
      </c>
      <c r="F19" s="1">
        <f t="shared" si="25"/>
        <v>-3.4299999999999997</v>
      </c>
      <c r="G19" s="1">
        <v>-7.7</v>
      </c>
      <c r="H19" s="1">
        <v>-1.9</v>
      </c>
      <c r="I19" s="1">
        <v>-1.24</v>
      </c>
      <c r="J19" s="1">
        <f t="shared" si="26"/>
        <v>19.77</v>
      </c>
      <c r="K19" s="1">
        <v>4.4000000000000004</v>
      </c>
      <c r="L19" s="1">
        <v>6.1</v>
      </c>
      <c r="Q19" s="1">
        <v>-1.3</v>
      </c>
      <c r="R19" s="1">
        <v>-1.6</v>
      </c>
      <c r="S19" s="1">
        <v>-0.6</v>
      </c>
      <c r="T19" s="1">
        <v>-5.08</v>
      </c>
      <c r="U19" s="1">
        <v>8.93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109" x14ac:dyDescent="0.25">
      <c r="A20" s="4"/>
      <c r="B20" t="s">
        <v>16</v>
      </c>
      <c r="C20" s="1">
        <v>10.85</v>
      </c>
      <c r="D20" s="1">
        <v>-1.6</v>
      </c>
      <c r="E20" s="1">
        <v>12</v>
      </c>
      <c r="F20" s="1">
        <f t="shared" si="25"/>
        <v>10.017000000000001</v>
      </c>
      <c r="G20" s="1">
        <v>15</v>
      </c>
      <c r="H20" s="1">
        <v>13.1</v>
      </c>
      <c r="I20" s="1">
        <v>21.53</v>
      </c>
      <c r="J20" s="1">
        <f t="shared" si="26"/>
        <v>7.5889999999999986</v>
      </c>
      <c r="K20" s="1">
        <v>16.600000000000001</v>
      </c>
      <c r="L20" s="1">
        <v>22.6</v>
      </c>
      <c r="P20" s="6"/>
      <c r="Q20" s="1">
        <v>84.5</v>
      </c>
      <c r="R20" s="1">
        <v>40.4</v>
      </c>
      <c r="S20" s="1">
        <v>26.8</v>
      </c>
      <c r="T20" s="1">
        <v>31.266999999999999</v>
      </c>
      <c r="U20" s="1">
        <v>57.219000000000001</v>
      </c>
      <c r="V20" s="1">
        <f>V9*V33</f>
        <v>78.868979999999993</v>
      </c>
      <c r="W20" s="1">
        <f t="shared" ref="W20:AF20" si="28">W9*W33</f>
        <v>84.158734799999991</v>
      </c>
      <c r="X20" s="1">
        <f t="shared" si="28"/>
        <v>94.39138454399999</v>
      </c>
      <c r="Y20" s="1">
        <f t="shared" si="28"/>
        <v>109.78293391103999</v>
      </c>
      <c r="Z20" s="1">
        <f t="shared" si="28"/>
        <v>117.57683268161281</v>
      </c>
      <c r="AA20" s="1">
        <f t="shared" si="28"/>
        <v>123.68930269618738</v>
      </c>
      <c r="AB20" s="1">
        <f t="shared" si="28"/>
        <v>136.98632474385437</v>
      </c>
      <c r="AC20" s="1">
        <f t="shared" si="28"/>
        <v>142.43545124820045</v>
      </c>
      <c r="AD20" s="1">
        <f t="shared" si="28"/>
        <v>148.11337975080639</v>
      </c>
      <c r="AE20" s="1">
        <f t="shared" si="28"/>
        <v>163.09059397674719</v>
      </c>
      <c r="AF20" s="1">
        <f t="shared" si="28"/>
        <v>169.6189340775033</v>
      </c>
      <c r="AG20" s="1"/>
      <c r="AH20" s="1"/>
      <c r="AI20" s="1"/>
      <c r="AJ20" s="1"/>
      <c r="AK20" s="1"/>
    </row>
    <row r="21" spans="1:109" x14ac:dyDescent="0.25">
      <c r="B21" s="4" t="s">
        <v>17</v>
      </c>
      <c r="C21" s="5">
        <f>+C16-C17-C18-C19-C20</f>
        <v>24.580000000000013</v>
      </c>
      <c r="D21" s="5">
        <f>+D16-D17-D18-D19-D20</f>
        <v>-8.9500000000000224</v>
      </c>
      <c r="E21" s="5">
        <f>+E16-E17-E18-E19-E20</f>
        <v>55.495999999999981</v>
      </c>
      <c r="F21" s="5">
        <f>+F16-F17-F18-F19-F20</f>
        <v>59.057999999999929</v>
      </c>
      <c r="G21" s="5">
        <f>+G16-G17-G18-G19-G20</f>
        <v>57.730999999999995</v>
      </c>
      <c r="H21" s="5">
        <f>+H16-H17-H18-H19-H20</f>
        <v>82.200000000000017</v>
      </c>
      <c r="I21" s="5">
        <f>+I16-I17-I18-I19-I20</f>
        <v>92.050000000000011</v>
      </c>
      <c r="J21" s="5">
        <f>+J16-J17-J18-J19-J20</f>
        <v>52.311000000000007</v>
      </c>
      <c r="K21" s="5">
        <f>+K16-K17-K18-K19-K20</f>
        <v>117.68000000000006</v>
      </c>
      <c r="L21" s="5">
        <f>+L16-L17-L18-L19-L20</f>
        <v>86.91</v>
      </c>
      <c r="M21" s="5"/>
      <c r="N21" s="5"/>
      <c r="O21" s="5"/>
      <c r="Q21" s="5">
        <f>+Q16-Q17-Q18-Q19-Q20</f>
        <v>119.5</v>
      </c>
      <c r="R21" s="5">
        <f>+R16-R17-R18-R19-R20</f>
        <v>164.6099999999999</v>
      </c>
      <c r="S21" s="5">
        <f>+S16-S17-S18-S19-S20</f>
        <v>139.14700000000008</v>
      </c>
      <c r="T21" s="5">
        <f>+T16-T17-T18-T19-T20</f>
        <v>130.16500000000005</v>
      </c>
      <c r="U21" s="5">
        <f>+U16-U17-U18-U19-U20</f>
        <v>284.34800000000007</v>
      </c>
      <c r="V21" s="5">
        <f t="shared" ref="V21:AF21" si="29">+V16-V17-V18-V19-V20</f>
        <v>529.57742999999982</v>
      </c>
      <c r="W21" s="5">
        <f t="shared" si="29"/>
        <v>522.45107310000003</v>
      </c>
      <c r="X21" s="5">
        <f t="shared" si="29"/>
        <v>535.24703331900014</v>
      </c>
      <c r="Y21" s="5">
        <f t="shared" si="29"/>
        <v>619.24261838034988</v>
      </c>
      <c r="Z21" s="5">
        <f t="shared" si="29"/>
        <v>706.15613966221292</v>
      </c>
      <c r="AA21" s="5">
        <f t="shared" si="29"/>
        <v>747.00202227407897</v>
      </c>
      <c r="AB21" s="5">
        <f t="shared" si="29"/>
        <v>773.27670965393077</v>
      </c>
      <c r="AC21" s="5">
        <f t="shared" si="29"/>
        <v>847.90700176926975</v>
      </c>
      <c r="AD21" s="5">
        <f t="shared" si="29"/>
        <v>883.77435042978573</v>
      </c>
      <c r="AE21" s="5">
        <f t="shared" si="29"/>
        <v>911.72833151854184</v>
      </c>
      <c r="AF21" s="5">
        <f t="shared" si="29"/>
        <v>949.45429637112829</v>
      </c>
      <c r="AG21" s="5">
        <f t="shared" ref="AG21:CR21" si="30">AF21*(1+$AI$49)</f>
        <v>935.21248192556141</v>
      </c>
      <c r="AH21" s="5">
        <f t="shared" si="30"/>
        <v>921.18429469667797</v>
      </c>
      <c r="AI21" s="5">
        <f t="shared" si="30"/>
        <v>907.36653027622776</v>
      </c>
      <c r="AJ21" s="5">
        <f t="shared" si="30"/>
        <v>893.75603232208437</v>
      </c>
      <c r="AK21" s="5">
        <f t="shared" si="30"/>
        <v>880.34969183725309</v>
      </c>
      <c r="AL21" s="5">
        <f t="shared" si="30"/>
        <v>867.14444645969434</v>
      </c>
      <c r="AM21" s="5">
        <f t="shared" si="30"/>
        <v>854.13727976279893</v>
      </c>
      <c r="AN21" s="5">
        <f t="shared" si="30"/>
        <v>841.32522056635696</v>
      </c>
      <c r="AO21" s="5">
        <f t="shared" si="30"/>
        <v>828.70534225786162</v>
      </c>
      <c r="AP21" s="5">
        <f t="shared" si="30"/>
        <v>816.2747621239937</v>
      </c>
      <c r="AQ21" s="5">
        <f t="shared" si="30"/>
        <v>804.03064069213383</v>
      </c>
      <c r="AR21" s="5">
        <f t="shared" si="30"/>
        <v>791.97018108175178</v>
      </c>
      <c r="AS21" s="5">
        <f t="shared" si="30"/>
        <v>780.0906283655255</v>
      </c>
      <c r="AT21" s="5">
        <f t="shared" si="30"/>
        <v>768.3892689400426</v>
      </c>
      <c r="AU21" s="5">
        <f t="shared" si="30"/>
        <v>756.86342990594198</v>
      </c>
      <c r="AV21" s="5">
        <f t="shared" si="30"/>
        <v>745.51047845735286</v>
      </c>
      <c r="AW21" s="5">
        <f t="shared" si="30"/>
        <v>734.32782128049257</v>
      </c>
      <c r="AX21" s="5">
        <f t="shared" si="30"/>
        <v>723.3129039612852</v>
      </c>
      <c r="AY21" s="5">
        <f t="shared" si="30"/>
        <v>712.46321040186592</v>
      </c>
      <c r="AZ21" s="5">
        <f t="shared" si="30"/>
        <v>701.77626224583787</v>
      </c>
      <c r="BA21" s="5">
        <f t="shared" si="30"/>
        <v>691.24961831215035</v>
      </c>
      <c r="BB21" s="5">
        <f t="shared" si="30"/>
        <v>680.88087403746806</v>
      </c>
      <c r="BC21" s="5">
        <f t="shared" si="30"/>
        <v>670.66766092690602</v>
      </c>
      <c r="BD21" s="5">
        <f t="shared" si="30"/>
        <v>660.60764601300241</v>
      </c>
      <c r="BE21" s="5">
        <f t="shared" si="30"/>
        <v>650.69853132280741</v>
      </c>
      <c r="BF21" s="5">
        <f t="shared" si="30"/>
        <v>640.93805335296531</v>
      </c>
      <c r="BG21" s="5">
        <f t="shared" si="30"/>
        <v>631.32398255267083</v>
      </c>
      <c r="BH21" s="5">
        <f t="shared" si="30"/>
        <v>621.85412281438073</v>
      </c>
      <c r="BI21" s="5">
        <f t="shared" si="30"/>
        <v>612.52631097216499</v>
      </c>
      <c r="BJ21" s="5">
        <f t="shared" si="30"/>
        <v>603.33841630758252</v>
      </c>
      <c r="BK21" s="5">
        <f t="shared" si="30"/>
        <v>594.28834006296881</v>
      </c>
      <c r="BL21" s="5">
        <f t="shared" si="30"/>
        <v>585.37401496202426</v>
      </c>
      <c r="BM21" s="5">
        <f t="shared" si="30"/>
        <v>576.59340473759391</v>
      </c>
      <c r="BN21" s="5">
        <f t="shared" si="30"/>
        <v>567.94450366652995</v>
      </c>
      <c r="BO21" s="5">
        <f t="shared" si="30"/>
        <v>559.42533611153203</v>
      </c>
      <c r="BP21" s="5">
        <f t="shared" si="30"/>
        <v>551.03395606985907</v>
      </c>
      <c r="BQ21" s="5">
        <f t="shared" si="30"/>
        <v>542.76844672881123</v>
      </c>
      <c r="BR21" s="5">
        <f t="shared" si="30"/>
        <v>534.62692002787901</v>
      </c>
      <c r="BS21" s="5">
        <f t="shared" si="30"/>
        <v>526.60751622746079</v>
      </c>
      <c r="BT21" s="5">
        <f t="shared" si="30"/>
        <v>518.70840348404886</v>
      </c>
      <c r="BU21" s="5">
        <f t="shared" si="30"/>
        <v>510.92777743178812</v>
      </c>
      <c r="BV21" s="5">
        <f t="shared" si="30"/>
        <v>503.26386077031128</v>
      </c>
      <c r="BW21" s="5">
        <f t="shared" si="30"/>
        <v>495.7149028587566</v>
      </c>
      <c r="BX21" s="5">
        <f t="shared" si="30"/>
        <v>488.27917931587524</v>
      </c>
      <c r="BY21" s="5">
        <f t="shared" si="30"/>
        <v>480.95499162613709</v>
      </c>
      <c r="BZ21" s="5">
        <f t="shared" si="30"/>
        <v>473.74066675174504</v>
      </c>
      <c r="CA21" s="5">
        <f t="shared" si="30"/>
        <v>466.63455675046885</v>
      </c>
      <c r="CB21" s="5">
        <f t="shared" si="30"/>
        <v>459.63503839921179</v>
      </c>
      <c r="CC21" s="5">
        <f t="shared" si="30"/>
        <v>452.74051282322364</v>
      </c>
      <c r="CD21" s="5">
        <f t="shared" si="30"/>
        <v>445.94940513087528</v>
      </c>
      <c r="CE21" s="5">
        <f t="shared" si="30"/>
        <v>439.26016405391215</v>
      </c>
      <c r="CF21" s="5">
        <f t="shared" si="30"/>
        <v>432.67126159310345</v>
      </c>
      <c r="CG21" s="5">
        <f t="shared" si="30"/>
        <v>426.18119266920689</v>
      </c>
      <c r="CH21" s="5">
        <f t="shared" si="30"/>
        <v>419.78847477916878</v>
      </c>
      <c r="CI21" s="5">
        <f t="shared" si="30"/>
        <v>413.49164765748122</v>
      </c>
      <c r="CJ21" s="5">
        <f t="shared" si="30"/>
        <v>407.28927294261899</v>
      </c>
      <c r="CK21" s="5">
        <f t="shared" si="30"/>
        <v>401.17993384847972</v>
      </c>
      <c r="CL21" s="5">
        <f t="shared" si="30"/>
        <v>395.16223484075255</v>
      </c>
      <c r="CM21" s="5">
        <f t="shared" si="30"/>
        <v>389.23480131814125</v>
      </c>
      <c r="CN21" s="5">
        <f t="shared" si="30"/>
        <v>383.39627929836911</v>
      </c>
      <c r="CO21" s="5">
        <f t="shared" si="30"/>
        <v>377.64533510889356</v>
      </c>
      <c r="CP21" s="5">
        <f t="shared" si="30"/>
        <v>371.98065508226017</v>
      </c>
      <c r="CQ21" s="5">
        <f t="shared" si="30"/>
        <v>366.40094525602626</v>
      </c>
      <c r="CR21" s="5">
        <f t="shared" si="30"/>
        <v>360.90493107718584</v>
      </c>
      <c r="CS21" s="5">
        <f t="shared" ref="CS21:DD21" si="31">CR21*(1+$AI$49)</f>
        <v>355.49135711102804</v>
      </c>
      <c r="CT21" s="5">
        <f t="shared" si="31"/>
        <v>350.15898675436262</v>
      </c>
      <c r="CU21" s="5">
        <f t="shared" si="31"/>
        <v>344.90660195304719</v>
      </c>
      <c r="CV21" s="5">
        <f t="shared" si="31"/>
        <v>339.73300292375149</v>
      </c>
      <c r="CW21" s="5">
        <f t="shared" si="31"/>
        <v>334.63700787989524</v>
      </c>
      <c r="CX21" s="5">
        <f t="shared" si="31"/>
        <v>329.61745276169682</v>
      </c>
      <c r="CY21" s="5">
        <f t="shared" si="31"/>
        <v>324.67319097027138</v>
      </c>
      <c r="CZ21" s="5">
        <f t="shared" si="31"/>
        <v>319.80309310571732</v>
      </c>
      <c r="DA21" s="5">
        <f t="shared" si="31"/>
        <v>315.00604670913157</v>
      </c>
      <c r="DB21" s="5">
        <f t="shared" si="31"/>
        <v>310.28095600849457</v>
      </c>
      <c r="DC21" s="5">
        <f t="shared" si="31"/>
        <v>305.62674166836717</v>
      </c>
      <c r="DD21" s="5">
        <f t="shared" si="31"/>
        <v>301.04234054334165</v>
      </c>
      <c r="DE21" s="5"/>
    </row>
    <row r="22" spans="1:109" s="1" customFormat="1" x14ac:dyDescent="0.25">
      <c r="A22" s="5"/>
      <c r="B22" s="1" t="s">
        <v>18</v>
      </c>
      <c r="C22" s="1">
        <v>24.393000000000001</v>
      </c>
      <c r="D22" s="1">
        <v>24.3</v>
      </c>
      <c r="E22" s="1">
        <v>24.356999999999999</v>
      </c>
      <c r="F22" s="1">
        <v>24.356999999999999</v>
      </c>
      <c r="G22" s="1">
        <v>24.53</v>
      </c>
      <c r="H22" s="1">
        <v>24.591999999999999</v>
      </c>
      <c r="I22" s="1">
        <v>24.622</v>
      </c>
      <c r="J22" s="1">
        <v>24.622</v>
      </c>
      <c r="K22" s="1">
        <v>24.7</v>
      </c>
      <c r="L22" s="1">
        <v>24.734000000000002</v>
      </c>
      <c r="P22" s="21"/>
      <c r="Q22" s="1">
        <v>22.687000000000001</v>
      </c>
      <c r="R22" s="1">
        <v>24.87</v>
      </c>
      <c r="S22" s="1">
        <v>24.57</v>
      </c>
      <c r="T22" s="1">
        <v>24.37</v>
      </c>
      <c r="U22" s="1">
        <v>24.603000000000002</v>
      </c>
    </row>
    <row r="23" spans="1:109" x14ac:dyDescent="0.25">
      <c r="A23" s="7"/>
      <c r="B23" s="8" t="s">
        <v>19</v>
      </c>
      <c r="C23" s="7">
        <f>+C21/C22</f>
        <v>1.0076661337268893</v>
      </c>
      <c r="D23" s="7">
        <f>+D21/D22</f>
        <v>-0.36831275720164702</v>
      </c>
      <c r="E23" s="7">
        <f>+E21/E22</f>
        <v>2.2784415157860156</v>
      </c>
      <c r="F23" s="7">
        <f>+F21/F22</f>
        <v>2.424682842714617</v>
      </c>
      <c r="G23" s="7">
        <f>+G21/G22</f>
        <v>2.3534855279249896</v>
      </c>
      <c r="H23" s="7">
        <f>+H21/H22</f>
        <v>3.3425504229017577</v>
      </c>
      <c r="I23" s="7">
        <f>+I21/I22</f>
        <v>3.7385265209974823</v>
      </c>
      <c r="J23" s="7">
        <f>+J21/J22</f>
        <v>2.1245633985866301</v>
      </c>
      <c r="K23" s="7">
        <f>+K21/K22</f>
        <v>4.7643724696356307</v>
      </c>
      <c r="L23" s="7">
        <f>+L21/L22</f>
        <v>3.5137866903857033</v>
      </c>
      <c r="M23" s="7"/>
      <c r="N23" s="7"/>
      <c r="O23" s="7"/>
      <c r="P23" s="9"/>
      <c r="Q23" s="7">
        <f>+Q21/Q22</f>
        <v>5.2673337153435886</v>
      </c>
      <c r="R23" s="7">
        <f>+R21/R22</f>
        <v>6.6188178528347361</v>
      </c>
      <c r="S23" s="7">
        <f>+S21/S22</f>
        <v>5.6632885632885666</v>
      </c>
      <c r="T23" s="7">
        <f>+T21/T22</f>
        <v>5.3411981945014384</v>
      </c>
      <c r="U23" s="7">
        <f>+U21/U22</f>
        <v>11.55745234321018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109" x14ac:dyDescent="0.25">
      <c r="A24" s="1"/>
      <c r="B24" s="1"/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109" s="1" customFormat="1" x14ac:dyDescent="0.25">
      <c r="B25" s="1" t="s">
        <v>27</v>
      </c>
      <c r="F25" s="1">
        <f>687.5+30.5</f>
        <v>718</v>
      </c>
      <c r="G25" s="1">
        <f>572.77+37.285</f>
        <v>610.05499999999995</v>
      </c>
      <c r="H25" s="1">
        <f>616.33+39.255</f>
        <v>655.58500000000004</v>
      </c>
      <c r="I25" s="1">
        <f>690.7+40</f>
        <v>730.7</v>
      </c>
      <c r="J25" s="1">
        <f>478.5+0+39.2</f>
        <v>517.70000000000005</v>
      </c>
      <c r="K25" s="1">
        <f>461.6+34.4</f>
        <v>496</v>
      </c>
      <c r="L25" s="1">
        <f>809.1+25.626</f>
        <v>834.726</v>
      </c>
      <c r="P25" s="11"/>
      <c r="R25" s="1">
        <f>489.733+25.4</f>
        <v>515.13300000000004</v>
      </c>
      <c r="S25" s="1">
        <f>531+24</f>
        <v>555</v>
      </c>
      <c r="T25" s="1">
        <f>687.5+30.5</f>
        <v>718</v>
      </c>
      <c r="U25" s="1">
        <f>478.5+0+39.2</f>
        <v>517.70000000000005</v>
      </c>
    </row>
    <row r="26" spans="1:109" s="1" customFormat="1" x14ac:dyDescent="0.25">
      <c r="B26" s="1" t="s">
        <v>31</v>
      </c>
      <c r="F26" s="1">
        <v>258</v>
      </c>
      <c r="G26" s="1">
        <v>295</v>
      </c>
      <c r="H26" s="1">
        <v>325.77</v>
      </c>
      <c r="I26" s="1">
        <v>357</v>
      </c>
      <c r="J26" s="1">
        <v>445.67</v>
      </c>
      <c r="K26" s="1">
        <v>470.5</v>
      </c>
      <c r="L26" s="1">
        <v>496.2</v>
      </c>
      <c r="P26" s="11"/>
      <c r="R26" s="1">
        <v>258.22000000000003</v>
      </c>
      <c r="S26" s="1">
        <v>237.5</v>
      </c>
      <c r="T26" s="1">
        <v>258</v>
      </c>
      <c r="U26" s="1">
        <v>445.67</v>
      </c>
    </row>
    <row r="27" spans="1:109" s="1" customFormat="1" x14ac:dyDescent="0.25">
      <c r="B27" s="1" t="s">
        <v>32</v>
      </c>
      <c r="F27" s="1">
        <v>344.178</v>
      </c>
      <c r="G27" s="1">
        <v>344.91</v>
      </c>
      <c r="H27" s="1">
        <v>352.8</v>
      </c>
      <c r="I27" s="1">
        <v>364.3</v>
      </c>
      <c r="J27" s="1">
        <v>437.88900000000001</v>
      </c>
      <c r="K27" s="1">
        <v>442</v>
      </c>
      <c r="L27" s="1">
        <v>435.68</v>
      </c>
      <c r="P27" s="11"/>
      <c r="R27" s="1">
        <v>339.9</v>
      </c>
      <c r="S27" s="1">
        <v>344.6</v>
      </c>
      <c r="T27" s="1">
        <v>344.178</v>
      </c>
      <c r="U27" s="1">
        <v>437.88900000000001</v>
      </c>
    </row>
    <row r="28" spans="1:109" s="1" customFormat="1" x14ac:dyDescent="0.25">
      <c r="B28" s="1" t="s">
        <v>28</v>
      </c>
      <c r="F28" s="1">
        <f>0+687+45.8</f>
        <v>732.8</v>
      </c>
      <c r="G28" s="1">
        <f>25+623.865+42.9</f>
        <v>691.76499999999999</v>
      </c>
      <c r="H28" s="1">
        <f>25+626.9+43.17</f>
        <v>695.06999999999994</v>
      </c>
      <c r="I28" s="1">
        <f>27.6+620.1+42</f>
        <v>689.7</v>
      </c>
      <c r="J28" s="1">
        <f>25+611.897+37.037</f>
        <v>673.93400000000008</v>
      </c>
      <c r="K28" s="1">
        <f>0+606.7+36.88</f>
        <v>643.58000000000004</v>
      </c>
      <c r="L28" s="1">
        <f>7.5+884.569+35.01</f>
        <v>927.07899999999995</v>
      </c>
      <c r="P28" s="11"/>
      <c r="R28" s="1">
        <f>10+684.7+31.874</f>
        <v>726.57400000000007</v>
      </c>
      <c r="S28" s="1">
        <f>10+669.158+38.2</f>
        <v>717.35800000000006</v>
      </c>
      <c r="T28" s="1">
        <f>0+687+45.8</f>
        <v>732.8</v>
      </c>
      <c r="U28" s="1">
        <f>25+611.897+37.037</f>
        <v>673.93400000000008</v>
      </c>
    </row>
    <row r="29" spans="1:109" s="1" customFormat="1" x14ac:dyDescent="0.25">
      <c r="B29" s="5" t="s">
        <v>34</v>
      </c>
      <c r="F29" s="1">
        <f>F25-F28</f>
        <v>-14.799999999999955</v>
      </c>
      <c r="G29" s="1">
        <f t="shared" ref="G29:L29" si="32">G25-G28</f>
        <v>-81.710000000000036</v>
      </c>
      <c r="H29" s="1">
        <f t="shared" si="32"/>
        <v>-39.4849999999999</v>
      </c>
      <c r="I29" s="1">
        <f t="shared" si="32"/>
        <v>41</v>
      </c>
      <c r="J29" s="1">
        <f>J25-J28</f>
        <v>-156.23400000000004</v>
      </c>
      <c r="K29" s="1">
        <f t="shared" si="32"/>
        <v>-147.58000000000004</v>
      </c>
      <c r="L29" s="1">
        <f t="shared" si="32"/>
        <v>-92.352999999999952</v>
      </c>
      <c r="P29" s="11"/>
      <c r="R29" s="1">
        <f>R25-R28</f>
        <v>-211.44100000000003</v>
      </c>
      <c r="S29" s="1">
        <f>S25-S28</f>
        <v>-162.35800000000006</v>
      </c>
      <c r="T29" s="1">
        <f>T25-T28</f>
        <v>-14.799999999999955</v>
      </c>
      <c r="U29" s="1">
        <f>U25-U28</f>
        <v>-156.23400000000004</v>
      </c>
      <c r="V29" s="1">
        <f>U29+V21</f>
        <v>373.34342999999978</v>
      </c>
      <c r="W29" s="1">
        <f t="shared" ref="W29:AF29" si="33">V29+W21</f>
        <v>895.79450309999982</v>
      </c>
      <c r="X29" s="1">
        <f t="shared" si="33"/>
        <v>1431.0415364189998</v>
      </c>
      <c r="Y29" s="1">
        <f t="shared" si="33"/>
        <v>2050.2841547993498</v>
      </c>
      <c r="Z29" s="1">
        <f t="shared" si="33"/>
        <v>2756.4402944615626</v>
      </c>
      <c r="AA29" s="1">
        <f t="shared" si="33"/>
        <v>3503.4423167356417</v>
      </c>
      <c r="AB29" s="1">
        <f t="shared" si="33"/>
        <v>4276.7190263895727</v>
      </c>
      <c r="AC29" s="1">
        <f t="shared" si="33"/>
        <v>5124.626028158842</v>
      </c>
      <c r="AD29" s="1">
        <f t="shared" si="33"/>
        <v>6008.400378588628</v>
      </c>
      <c r="AE29" s="1">
        <f t="shared" si="33"/>
        <v>6920.1287101071703</v>
      </c>
      <c r="AF29" s="1">
        <f t="shared" si="33"/>
        <v>7869.5830064782986</v>
      </c>
    </row>
    <row r="30" spans="1:109" x14ac:dyDescent="0.25">
      <c r="A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2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109" x14ac:dyDescent="0.25">
      <c r="A31" s="13"/>
      <c r="B31" s="13" t="s">
        <v>20</v>
      </c>
      <c r="C31" s="13">
        <f t="shared" ref="C31:D31" si="34">C11/C9</f>
        <v>0.35931811615140136</v>
      </c>
      <c r="D31" s="13">
        <f t="shared" si="34"/>
        <v>0.3251553704487033</v>
      </c>
      <c r="E31" s="13">
        <f t="shared" ref="E31:L31" si="35">E11/E9</f>
        <v>0.35464264006578711</v>
      </c>
      <c r="F31" s="13">
        <f t="shared" si="35"/>
        <v>0.34447735717690248</v>
      </c>
      <c r="G31" s="13">
        <f t="shared" si="35"/>
        <v>0.34605433376455369</v>
      </c>
      <c r="H31" s="13">
        <f t="shared" si="35"/>
        <v>0.37707736389684809</v>
      </c>
      <c r="I31" s="13">
        <f t="shared" si="35"/>
        <v>0.39770200148257973</v>
      </c>
      <c r="J31" s="13">
        <f t="shared" si="35"/>
        <v>0.36051390375878933</v>
      </c>
      <c r="K31" s="13">
        <f t="shared" si="35"/>
        <v>0.41491665730832789</v>
      </c>
      <c r="L31" s="13">
        <f t="shared" si="35"/>
        <v>0.42512936610608021</v>
      </c>
      <c r="M31" s="13"/>
      <c r="N31" s="13"/>
      <c r="O31" s="13"/>
      <c r="P31" s="14"/>
      <c r="Q31" s="13">
        <f>Q11/Q9</f>
        <v>0.41465411379451494</v>
      </c>
      <c r="R31" s="13">
        <f>R11/R9</f>
        <v>0.37974978178644159</v>
      </c>
      <c r="S31" s="13">
        <f>S11/S9</f>
        <v>0.36325873261904434</v>
      </c>
      <c r="T31" s="13">
        <f>T11/T9</f>
        <v>0.34666735837310647</v>
      </c>
      <c r="U31" s="13">
        <f>U11/U9</f>
        <v>0.37112361171210156</v>
      </c>
      <c r="V31" s="13">
        <v>0.41</v>
      </c>
      <c r="W31" s="13">
        <v>0.39</v>
      </c>
      <c r="X31" s="13">
        <v>0.37</v>
      </c>
      <c r="Y31" s="13">
        <v>0.38</v>
      </c>
      <c r="Z31" s="13">
        <v>0.38</v>
      </c>
      <c r="AA31" s="13">
        <v>0.38</v>
      </c>
      <c r="AB31" s="13">
        <v>0.38</v>
      </c>
      <c r="AC31" s="13">
        <v>0.38</v>
      </c>
      <c r="AD31" s="13">
        <v>0.38</v>
      </c>
      <c r="AE31" s="13">
        <v>0.38</v>
      </c>
      <c r="AF31" s="13">
        <v>0.38</v>
      </c>
      <c r="AG31" s="13"/>
      <c r="AH31" s="13"/>
      <c r="AI31" s="13"/>
      <c r="AJ31" s="13"/>
      <c r="AK31" s="13"/>
    </row>
    <row r="32" spans="1:109" x14ac:dyDescent="0.25">
      <c r="A32" s="15"/>
      <c r="B32" s="15" t="s">
        <v>21</v>
      </c>
      <c r="C32" s="15">
        <f t="shared" ref="C32:D32" si="36">C16/C9</f>
        <v>0.12903785033227394</v>
      </c>
      <c r="D32" s="15">
        <f t="shared" si="36"/>
        <v>-3.870432434191267E-2</v>
      </c>
      <c r="E32" s="15">
        <f t="shared" ref="E32:L32" si="37">E16/E9</f>
        <v>0.16504497326121262</v>
      </c>
      <c r="F32" s="15">
        <f t="shared" si="37"/>
        <v>0.16246883757608105</v>
      </c>
      <c r="G32" s="15">
        <f t="shared" si="37"/>
        <v>0.16500862440707198</v>
      </c>
      <c r="H32" s="15">
        <f t="shared" si="37"/>
        <v>0.1839541547277937</v>
      </c>
      <c r="I32" s="15">
        <f t="shared" si="37"/>
        <v>0.22255374351371388</v>
      </c>
      <c r="J32" s="15">
        <f t="shared" si="37"/>
        <v>0.16851254376573396</v>
      </c>
      <c r="K32" s="15">
        <f t="shared" si="37"/>
        <v>0.2417339130155777</v>
      </c>
      <c r="L32" s="15">
        <f t="shared" si="37"/>
        <v>0.21686610608020698</v>
      </c>
      <c r="M32" s="15"/>
      <c r="N32" s="15"/>
      <c r="O32" s="15"/>
      <c r="P32" s="16"/>
      <c r="Q32" s="15">
        <f t="shared" ref="Q32:AF32" si="38">Q16/Q9</f>
        <v>0.17887842816209579</v>
      </c>
      <c r="R32" s="15">
        <f t="shared" si="38"/>
        <v>0.13099214431189984</v>
      </c>
      <c r="S32" s="15">
        <f t="shared" si="38"/>
        <v>0.12823356759513607</v>
      </c>
      <c r="T32" s="15">
        <f t="shared" si="38"/>
        <v>0.11238638721726502</v>
      </c>
      <c r="U32" s="15">
        <f t="shared" si="38"/>
        <v>0.18566036828693691</v>
      </c>
      <c r="V32" s="15">
        <f t="shared" si="38"/>
        <v>0.2347079726401938</v>
      </c>
      <c r="W32" s="15">
        <f t="shared" si="38"/>
        <v>0.21490688103833044</v>
      </c>
      <c r="X32" s="15">
        <f t="shared" si="38"/>
        <v>0.1972681540260722</v>
      </c>
      <c r="Y32" s="15">
        <f t="shared" si="38"/>
        <v>0.20832823069023895</v>
      </c>
      <c r="Z32" s="15">
        <f t="shared" si="38"/>
        <v>0.21860908819570743</v>
      </c>
      <c r="AA32" s="15">
        <f t="shared" si="38"/>
        <v>0.21812768700855859</v>
      </c>
      <c r="AB32" s="15">
        <f t="shared" si="38"/>
        <v>0.21723170424111701</v>
      </c>
      <c r="AC32" s="15">
        <f t="shared" si="38"/>
        <v>0.22619059125583088</v>
      </c>
      <c r="AD32" s="15">
        <f t="shared" si="38"/>
        <v>0.22511004767200721</v>
      </c>
      <c r="AE32" s="15">
        <f t="shared" si="38"/>
        <v>0.2239887432548493</v>
      </c>
      <c r="AF32" s="15">
        <f t="shared" si="38"/>
        <v>0.22282530052477784</v>
      </c>
      <c r="AG32" s="15"/>
      <c r="AH32" s="15"/>
      <c r="AI32" s="15"/>
      <c r="AJ32" s="15"/>
      <c r="AK32" s="15"/>
    </row>
    <row r="33" spans="1:37" s="18" customFormat="1" x14ac:dyDescent="0.25">
      <c r="B33" s="18" t="s">
        <v>22</v>
      </c>
      <c r="C33" s="18">
        <f t="shared" ref="C33:D33" si="39">C20/C9</f>
        <v>3.134932100548974E-2</v>
      </c>
      <c r="D33" s="18">
        <f t="shared" si="39"/>
        <v>-5.2061302183320866E-3</v>
      </c>
      <c r="E33" s="18">
        <f t="shared" ref="E33:L33" si="40">E20/E9</f>
        <v>3.064617459125665E-2</v>
      </c>
      <c r="F33" s="18">
        <f t="shared" si="40"/>
        <v>2.4997317348891879E-2</v>
      </c>
      <c r="G33" s="18">
        <f t="shared" si="40"/>
        <v>3.2341526520051747E-2</v>
      </c>
      <c r="H33" s="18">
        <f t="shared" si="40"/>
        <v>2.5023877745940781E-2</v>
      </c>
      <c r="I33" s="18">
        <f t="shared" si="40"/>
        <v>3.9899925871015568E-2</v>
      </c>
      <c r="J33" s="18">
        <f t="shared" si="40"/>
        <v>1.3724717150380508E-2</v>
      </c>
      <c r="K33" s="18">
        <f t="shared" si="40"/>
        <v>2.6631158455392809E-2</v>
      </c>
      <c r="L33" s="18">
        <f t="shared" si="40"/>
        <v>3.6545924967658475E-2</v>
      </c>
      <c r="P33" s="19"/>
      <c r="Q33" s="18">
        <f>Q20/Q9</f>
        <v>6.9177241097011871E-2</v>
      </c>
      <c r="R33" s="18">
        <f>R20/R9</f>
        <v>2.3508874018038986E-2</v>
      </c>
      <c r="S33" s="18">
        <f>S20/S9</f>
        <v>1.7820653738713308E-2</v>
      </c>
      <c r="T33" s="18">
        <f>T20/T9</f>
        <v>2.1627585252818701E-2</v>
      </c>
      <c r="U33" s="18">
        <f>U20/U9</f>
        <v>2.751045723352084E-2</v>
      </c>
      <c r="V33" s="18">
        <v>0.03</v>
      </c>
      <c r="W33" s="18">
        <v>0.03</v>
      </c>
      <c r="X33" s="18">
        <v>0.03</v>
      </c>
      <c r="Y33" s="18">
        <v>3.2000000000000001E-2</v>
      </c>
      <c r="Z33" s="18">
        <v>3.2000000000000001E-2</v>
      </c>
      <c r="AA33" s="18">
        <v>3.2000000000000001E-2</v>
      </c>
      <c r="AB33" s="18">
        <v>3.4000000000000002E-2</v>
      </c>
      <c r="AC33" s="18">
        <v>3.4000000000000002E-2</v>
      </c>
      <c r="AD33" s="18">
        <v>3.4000000000000002E-2</v>
      </c>
      <c r="AE33" s="18">
        <v>3.5999999999999997E-2</v>
      </c>
      <c r="AF33" s="18">
        <v>3.5999999999999997E-2</v>
      </c>
    </row>
    <row r="34" spans="1:37" x14ac:dyDescent="0.25">
      <c r="A34" s="15"/>
      <c r="B34" s="15" t="s">
        <v>35</v>
      </c>
      <c r="C34" s="15"/>
      <c r="D34" s="15"/>
      <c r="E34" s="15"/>
      <c r="F34" s="15">
        <f t="shared" ref="F34:H34" si="41">F9/F27</f>
        <v>1.1642899894821865</v>
      </c>
      <c r="G34" s="15">
        <f t="shared" si="41"/>
        <v>1.3446986170305297</v>
      </c>
      <c r="H34" s="15">
        <f t="shared" si="41"/>
        <v>1.4838435374149659</v>
      </c>
      <c r="I34" s="15">
        <f>I9/I27</f>
        <v>1.4811968158111446</v>
      </c>
      <c r="J34" s="15">
        <f>J9/J27</f>
        <v>1.2627492355368597</v>
      </c>
      <c r="K34" s="15">
        <f>K9/K27</f>
        <v>1.4102488687782806</v>
      </c>
      <c r="L34" s="15">
        <f>L9/L27</f>
        <v>1.4193903782592727</v>
      </c>
      <c r="M34" s="15"/>
      <c r="N34" s="15"/>
      <c r="O34" s="15"/>
      <c r="P34" s="16"/>
      <c r="Q34" s="15"/>
      <c r="R34" s="15">
        <f>R9/R27</f>
        <v>5.0558987937628714</v>
      </c>
      <c r="S34" s="15">
        <f>S9/S27</f>
        <v>4.3641120139291933</v>
      </c>
      <c r="T34" s="15">
        <f>T9/T27</f>
        <v>4.2004427941355926</v>
      </c>
      <c r="U34" s="15">
        <f>U9/U27</f>
        <v>4.7498338620061249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5">
      <c r="A35" s="15"/>
      <c r="B35" s="15" t="s">
        <v>41</v>
      </c>
      <c r="C35" s="15">
        <f t="shared" ref="C35:D35" si="42">C12/C9</f>
        <v>0.14793412308581336</v>
      </c>
      <c r="D35" s="15">
        <f t="shared" si="42"/>
        <v>0.17310382975954189</v>
      </c>
      <c r="E35" s="15">
        <f t="shared" ref="E35:L35" si="43">E12/E9</f>
        <v>0.12743700934197555</v>
      </c>
      <c r="F35" s="15">
        <f t="shared" si="43"/>
        <v>0.12527356802579334</v>
      </c>
      <c r="G35" s="15">
        <f t="shared" si="43"/>
        <v>0.12570073307460111</v>
      </c>
      <c r="H35" s="15">
        <f t="shared" si="43"/>
        <v>0.14001910219675262</v>
      </c>
      <c r="I35" s="15">
        <f t="shared" si="43"/>
        <v>0.12509266123054114</v>
      </c>
      <c r="J35" s="15">
        <f t="shared" si="43"/>
        <v>0.1380917416591915</v>
      </c>
      <c r="K35" s="15">
        <f t="shared" si="43"/>
        <v>0.1211236423724191</v>
      </c>
      <c r="L35" s="15">
        <f t="shared" si="43"/>
        <v>0.15053363518758087</v>
      </c>
      <c r="M35" s="15"/>
      <c r="N35" s="15"/>
      <c r="O35" s="15"/>
      <c r="P35" s="16"/>
      <c r="Q35" s="15">
        <f>Q12/Q9</f>
        <v>0.17421203438395416</v>
      </c>
      <c r="R35" s="15">
        <f>R12/R9</f>
        <v>0.16758801280186209</v>
      </c>
      <c r="S35" s="15">
        <f>S12/S9</f>
        <v>0.14658684609671163</v>
      </c>
      <c r="T35" s="15">
        <f>T12/T9</f>
        <v>0.14145396693643217</v>
      </c>
      <c r="U35" s="15">
        <f>U12/U9</f>
        <v>0.13243761719313427</v>
      </c>
      <c r="V35" s="15">
        <v>0.13</v>
      </c>
      <c r="W35" s="15">
        <v>0.13</v>
      </c>
      <c r="X35" s="15">
        <v>0.13</v>
      </c>
      <c r="Y35" s="15">
        <v>0.13</v>
      </c>
      <c r="Z35" s="15">
        <v>0.12</v>
      </c>
      <c r="AA35" s="15">
        <v>0.12</v>
      </c>
      <c r="AB35" s="15">
        <v>0.12</v>
      </c>
      <c r="AC35" s="15">
        <v>0.11</v>
      </c>
      <c r="AD35" s="15">
        <v>0.11</v>
      </c>
      <c r="AE35" s="15">
        <v>0.11</v>
      </c>
      <c r="AF35" s="15">
        <v>0.11</v>
      </c>
      <c r="AG35" s="15"/>
      <c r="AH35" s="15"/>
      <c r="AI35" s="15"/>
      <c r="AJ35" s="15"/>
      <c r="AK35" s="15"/>
    </row>
    <row r="36" spans="1:3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s="15" customFormat="1" x14ac:dyDescent="0.25">
      <c r="B37" s="1" t="s">
        <v>56</v>
      </c>
      <c r="G37" s="15">
        <f t="shared" ref="G37:H37" si="44">G3/C3-1</f>
        <v>0.18904320987654333</v>
      </c>
      <c r="H37" s="15">
        <f t="shared" si="44"/>
        <v>0.30444785276073616</v>
      </c>
      <c r="I37" s="15">
        <f>I3/E3-1</f>
        <v>0.19605710401087695</v>
      </c>
      <c r="J37" s="15">
        <f>J3/F3-1</f>
        <v>0.55106290672451208</v>
      </c>
      <c r="K37" s="15">
        <f>K3/G3-1</f>
        <v>0.27125243348475014</v>
      </c>
      <c r="L37" s="15">
        <f>L3/H3-1</f>
        <v>0.15144032921810702</v>
      </c>
      <c r="P37" s="16"/>
      <c r="R37" s="15" t="e">
        <f>R3/Q3-1</f>
        <v>#DIV/0!</v>
      </c>
      <c r="S37" s="15">
        <f>S3/R3-1</f>
        <v>-0.13154289817509979</v>
      </c>
      <c r="T37" s="15">
        <f>T3/S3-1</f>
        <v>-7.3190205819730347E-2</v>
      </c>
      <c r="U37" s="15">
        <f>U3/T3-1</f>
        <v>0.29970326409495529</v>
      </c>
      <c r="V37" s="15">
        <v>0.2</v>
      </c>
      <c r="W37" s="15">
        <v>0.2</v>
      </c>
      <c r="X37" s="15">
        <v>0.15</v>
      </c>
      <c r="Y37" s="15">
        <v>0.1</v>
      </c>
      <c r="Z37" s="15">
        <v>0.08</v>
      </c>
      <c r="AA37" s="15">
        <v>0.06</v>
      </c>
      <c r="AB37" s="15">
        <v>0.04</v>
      </c>
      <c r="AC37" s="15">
        <v>0.04</v>
      </c>
      <c r="AD37" s="15">
        <v>0.04</v>
      </c>
      <c r="AE37" s="15">
        <v>0.04</v>
      </c>
      <c r="AF37" s="15">
        <v>0.04</v>
      </c>
    </row>
    <row r="38" spans="1:37" s="15" customFormat="1" x14ac:dyDescent="0.25">
      <c r="B38" s="1" t="s">
        <v>57</v>
      </c>
      <c r="G38" s="15">
        <f t="shared" ref="G38:H42" si="45">G4/C4-1</f>
        <v>0.56501182033096953</v>
      </c>
      <c r="H38" s="15">
        <f t="shared" si="45"/>
        <v>0.67233171782444834</v>
      </c>
      <c r="I38" s="15">
        <f>I4/E4-1</f>
        <v>0.58244803695150127</v>
      </c>
      <c r="J38" s="15">
        <f>J4/F4-1</f>
        <v>0.25616037008481074</v>
      </c>
      <c r="K38" s="15">
        <f>K4/G4-1</f>
        <v>0.2832326283987916</v>
      </c>
      <c r="L38" s="15">
        <f>L4/H4-1</f>
        <v>4.523558051469645E-2</v>
      </c>
      <c r="P38" s="16"/>
      <c r="R38" s="15" t="e">
        <f>R4/Q4-1</f>
        <v>#DIV/0!</v>
      </c>
      <c r="S38" s="15">
        <f>S4/R4-1</f>
        <v>-0.16368609299389858</v>
      </c>
      <c r="T38" s="15">
        <f>T4/S4-1</f>
        <v>4.5031446540880538E-2</v>
      </c>
      <c r="U38" s="15">
        <f>U4/T4-1</f>
        <v>0.49711121810303327</v>
      </c>
      <c r="V38" s="15">
        <v>0.28000000000000003</v>
      </c>
      <c r="W38" s="15">
        <v>-0.01</v>
      </c>
      <c r="X38" s="15">
        <v>0.09</v>
      </c>
      <c r="Y38" s="15">
        <v>7.0000000000000007E-2</v>
      </c>
      <c r="Z38" s="15">
        <v>0.06</v>
      </c>
      <c r="AA38" s="15">
        <v>0.04</v>
      </c>
      <c r="AB38" s="15">
        <v>0.04</v>
      </c>
      <c r="AC38" s="15">
        <v>0.04</v>
      </c>
      <c r="AD38" s="15">
        <v>0.04</v>
      </c>
      <c r="AE38" s="15">
        <v>0.04</v>
      </c>
      <c r="AF38" s="15">
        <v>0.04</v>
      </c>
    </row>
    <row r="39" spans="1:37" s="15" customFormat="1" x14ac:dyDescent="0.25">
      <c r="B39" s="1" t="s">
        <v>58</v>
      </c>
      <c r="G39" s="15">
        <f t="shared" si="45"/>
        <v>0.29154795821462498</v>
      </c>
      <c r="H39" s="15">
        <f t="shared" si="45"/>
        <v>1.2442244224422443</v>
      </c>
      <c r="I39" s="15">
        <f t="shared" ref="I39:L39" si="46">I5/E5-1</f>
        <v>0.22637571157495251</v>
      </c>
      <c r="J39" s="15">
        <f t="shared" si="46"/>
        <v>8.0185042405549467E-3</v>
      </c>
      <c r="K39" s="15">
        <f t="shared" si="46"/>
        <v>-5.1470588235294157E-2</v>
      </c>
      <c r="L39" s="15">
        <f t="shared" si="46"/>
        <v>-0.12058823529411766</v>
      </c>
      <c r="P39" s="16"/>
      <c r="R39" s="15" t="e">
        <f t="shared" ref="R39" si="47">R5/Q5-1</f>
        <v>#DIV/0!</v>
      </c>
      <c r="S39" s="15">
        <f t="shared" ref="S39:U39" si="48">S5/R5-1</f>
        <v>-9.1226611226611243E-2</v>
      </c>
      <c r="T39" s="15">
        <f t="shared" si="48"/>
        <v>-8.2631771595900405E-2</v>
      </c>
      <c r="U39" s="15">
        <f t="shared" si="48"/>
        <v>0.32668329177057354</v>
      </c>
      <c r="V39" s="15">
        <v>0.1</v>
      </c>
      <c r="W39" s="15">
        <v>0.12</v>
      </c>
      <c r="X39" s="15">
        <v>0.14000000000000001</v>
      </c>
      <c r="Y39" s="15">
        <v>0.15</v>
      </c>
      <c r="Z39" s="15">
        <v>0.11</v>
      </c>
      <c r="AA39" s="15">
        <v>0.09</v>
      </c>
      <c r="AB39" s="15">
        <v>7.0000000000000007E-2</v>
      </c>
      <c r="AC39" s="15">
        <v>0.05</v>
      </c>
      <c r="AD39" s="15">
        <v>0.05</v>
      </c>
      <c r="AE39" s="15">
        <v>0.05</v>
      </c>
      <c r="AF39" s="15">
        <v>0.05</v>
      </c>
    </row>
    <row r="40" spans="1:37" s="15" customFormat="1" x14ac:dyDescent="0.25">
      <c r="B40" s="1" t="s">
        <v>59</v>
      </c>
      <c r="G40" s="15">
        <f t="shared" si="45"/>
        <v>0.15357142857142847</v>
      </c>
      <c r="H40" s="15">
        <f t="shared" si="45"/>
        <v>1.1685393258426968</v>
      </c>
      <c r="I40" s="15">
        <f t="shared" ref="I40:L40" si="49">I6/E6-1</f>
        <v>0.37625289128758688</v>
      </c>
      <c r="J40" s="15">
        <f t="shared" si="49"/>
        <v>0.81664411366711764</v>
      </c>
      <c r="K40" s="15">
        <f t="shared" si="49"/>
        <v>1.907120743034056</v>
      </c>
      <c r="L40" s="15">
        <f t="shared" si="49"/>
        <v>1.5647668393782381</v>
      </c>
      <c r="P40" s="16"/>
      <c r="R40" s="15" t="e">
        <f t="shared" ref="R40" si="50">R6/Q6-1</f>
        <v>#DIV/0!</v>
      </c>
      <c r="S40" s="15">
        <f t="shared" ref="S40:U42" si="51">S6/R6-1</f>
        <v>-7.8891082592958184E-2</v>
      </c>
      <c r="T40" s="15">
        <f t="shared" si="51"/>
        <v>-9.5293382155934636E-2</v>
      </c>
      <c r="U40" s="15">
        <f t="shared" si="51"/>
        <v>0.58242843040473846</v>
      </c>
      <c r="V40" s="15">
        <v>1</v>
      </c>
      <c r="W40" s="15">
        <v>-0.04</v>
      </c>
      <c r="X40" s="15">
        <v>0.1</v>
      </c>
      <c r="Y40" s="15">
        <v>0.05</v>
      </c>
      <c r="Z40" s="15">
        <v>0.03</v>
      </c>
      <c r="AA40" s="15">
        <v>0.02</v>
      </c>
      <c r="AB40" s="15">
        <v>0.02</v>
      </c>
      <c r="AC40" s="15">
        <v>0.02</v>
      </c>
      <c r="AD40" s="15">
        <v>0.02</v>
      </c>
      <c r="AE40" s="15">
        <v>0.02</v>
      </c>
      <c r="AF40" s="15">
        <v>0.02</v>
      </c>
    </row>
    <row r="41" spans="1:37" s="15" customFormat="1" x14ac:dyDescent="0.25">
      <c r="B41" s="1" t="s">
        <v>60</v>
      </c>
      <c r="G41" s="15">
        <f t="shared" si="45"/>
        <v>0.16942148760330578</v>
      </c>
      <c r="H41" s="15">
        <f t="shared" si="45"/>
        <v>0.92086330935251781</v>
      </c>
      <c r="I41" s="15">
        <f t="shared" ref="I41:I42" si="52">I7/E7-1</f>
        <v>-7.2692307692307723E-2</v>
      </c>
      <c r="J41" s="15">
        <f t="shared" ref="J41:J42" si="53">J7/F7-1</f>
        <v>-0.24448160535117058</v>
      </c>
      <c r="K41" s="15">
        <f t="shared" ref="K41:K42" si="54">K7/G7-1</f>
        <v>-7.7738515901060068E-2</v>
      </c>
      <c r="L41" s="15">
        <f t="shared" ref="L41:L42" si="55">L7/H7-1</f>
        <v>-0.13108614232209737</v>
      </c>
      <c r="P41" s="16"/>
      <c r="R41" s="15" t="e">
        <f t="shared" ref="R41:R42" si="56">R7/Q7-1</f>
        <v>#DIV/0!</v>
      </c>
      <c r="S41" s="15">
        <f t="shared" si="51"/>
        <v>-0.16758685126985473</v>
      </c>
      <c r="T41" s="15">
        <f t="shared" si="51"/>
        <v>-4.081632653061229E-2</v>
      </c>
      <c r="U41" s="15">
        <f t="shared" si="51"/>
        <v>8.1914893617021312E-2</v>
      </c>
      <c r="V41" s="15">
        <v>0.02</v>
      </c>
      <c r="W41" s="15">
        <v>0.02</v>
      </c>
      <c r="X41" s="15">
        <v>0.02</v>
      </c>
      <c r="Y41" s="15">
        <v>0.01</v>
      </c>
      <c r="Z41" s="15">
        <v>0.01</v>
      </c>
      <c r="AA41" s="15">
        <v>0.01</v>
      </c>
      <c r="AB41" s="15">
        <v>0.01</v>
      </c>
      <c r="AC41" s="15">
        <v>0.01</v>
      </c>
      <c r="AD41" s="15">
        <v>0.01</v>
      </c>
      <c r="AE41" s="15">
        <v>0.01</v>
      </c>
      <c r="AF41" s="15">
        <v>0.01</v>
      </c>
    </row>
    <row r="42" spans="1:37" s="15" customFormat="1" x14ac:dyDescent="0.25">
      <c r="B42" s="1" t="s">
        <v>61</v>
      </c>
      <c r="G42" s="15">
        <f t="shared" si="45"/>
        <v>0.79459778162656169</v>
      </c>
      <c r="H42" s="15">
        <f t="shared" si="45"/>
        <v>1.932126696832579</v>
      </c>
      <c r="I42" s="15">
        <f t="shared" si="52"/>
        <v>1.1587301587301586</v>
      </c>
      <c r="J42" s="15">
        <f t="shared" si="53"/>
        <v>1.2121221752534721</v>
      </c>
      <c r="K42" s="15">
        <f t="shared" si="54"/>
        <v>0.49897330595482536</v>
      </c>
      <c r="L42" s="15">
        <f t="shared" si="55"/>
        <v>0.20725308641975326</v>
      </c>
      <c r="P42" s="16"/>
      <c r="R42" s="15" t="e">
        <f t="shared" si="56"/>
        <v>#DIV/0!</v>
      </c>
      <c r="S42" s="15">
        <f t="shared" si="51"/>
        <v>-8.7412587412594167E-4</v>
      </c>
      <c r="T42" s="15">
        <f t="shared" si="51"/>
        <v>-1.8372703412073421E-2</v>
      </c>
      <c r="U42" s="15">
        <f t="shared" si="51"/>
        <v>1.2379679144385025</v>
      </c>
      <c r="V42" s="15">
        <v>0.2</v>
      </c>
      <c r="W42" s="15">
        <v>-0.01</v>
      </c>
      <c r="X42" s="15">
        <v>0.15</v>
      </c>
      <c r="Y42" s="15">
        <v>0.11</v>
      </c>
      <c r="Z42" s="15">
        <v>0.08</v>
      </c>
      <c r="AA42" s="15">
        <v>0.05</v>
      </c>
      <c r="AB42" s="15">
        <v>0.05</v>
      </c>
      <c r="AC42" s="15">
        <v>0.05</v>
      </c>
      <c r="AD42" s="15">
        <v>0.05</v>
      </c>
      <c r="AE42" s="15">
        <v>0.05</v>
      </c>
      <c r="AF42" s="15">
        <v>0.05</v>
      </c>
    </row>
    <row r="43" spans="1:37" s="4" customFormat="1" x14ac:dyDescent="0.25">
      <c r="A43" s="13"/>
      <c r="B43" s="13" t="s">
        <v>23</v>
      </c>
      <c r="C43" s="13"/>
      <c r="D43" s="13"/>
      <c r="E43" s="13"/>
      <c r="F43" s="13"/>
      <c r="G43" s="13">
        <f t="shared" ref="G43:H43" si="57">G9/C9-1</f>
        <v>0.34007512279687946</v>
      </c>
      <c r="H43" s="13">
        <f t="shared" si="57"/>
        <v>0.70338073081052954</v>
      </c>
      <c r="I43" s="13">
        <f>I9/E9-1</f>
        <v>0.37805631745350743</v>
      </c>
      <c r="J43" s="13">
        <f>J9/F9-1</f>
        <v>0.37986589239948776</v>
      </c>
      <c r="K43" s="13">
        <f>K9/G9-1</f>
        <v>0.34396291504959042</v>
      </c>
      <c r="L43" s="13">
        <f>L9/H9-1</f>
        <v>0.18127984718242596</v>
      </c>
      <c r="M43" s="13"/>
      <c r="N43" s="13"/>
      <c r="O43" s="13"/>
      <c r="P43" s="14"/>
      <c r="Q43" s="13"/>
      <c r="R43" s="13">
        <f t="shared" ref="R43:AF43" si="58">R9/Q9-1</f>
        <v>0.40687679083094563</v>
      </c>
      <c r="S43" s="13">
        <f t="shared" si="58"/>
        <v>-0.12489205702647654</v>
      </c>
      <c r="T43" s="13">
        <f t="shared" si="58"/>
        <v>-3.8682122759036153E-2</v>
      </c>
      <c r="U43" s="13">
        <f t="shared" si="58"/>
        <v>0.43868022411288643</v>
      </c>
      <c r="V43" s="13">
        <f t="shared" si="58"/>
        <v>0.26398673013125618</v>
      </c>
      <c r="W43" s="13">
        <f t="shared" si="58"/>
        <v>6.7070156099394262E-2</v>
      </c>
      <c r="X43" s="13">
        <f t="shared" si="58"/>
        <v>0.12158749496790211</v>
      </c>
      <c r="Y43" s="13">
        <f t="shared" si="58"/>
        <v>9.0369645903686679E-2</v>
      </c>
      <c r="Z43" s="13">
        <f t="shared" si="58"/>
        <v>7.099371908650598E-2</v>
      </c>
      <c r="AA43" s="13">
        <f t="shared" si="58"/>
        <v>5.1987027334939206E-2</v>
      </c>
      <c r="AB43" s="13">
        <f t="shared" si="58"/>
        <v>4.2356152317841511E-2</v>
      </c>
      <c r="AC43" s="13">
        <f t="shared" si="58"/>
        <v>3.9778616694295721E-2</v>
      </c>
      <c r="AD43" s="13">
        <f t="shared" si="58"/>
        <v>3.9863169266139087E-2</v>
      </c>
      <c r="AE43" s="13">
        <f t="shared" si="58"/>
        <v>3.994659821841573E-2</v>
      </c>
      <c r="AF43" s="13">
        <f t="shared" si="58"/>
        <v>4.0028918538900449E-2</v>
      </c>
      <c r="AG43" s="13"/>
      <c r="AH43" s="13"/>
      <c r="AI43" s="13"/>
      <c r="AJ43" s="13"/>
      <c r="AK43" s="13"/>
    </row>
    <row r="44" spans="1:37" x14ac:dyDescent="0.25">
      <c r="A44" s="13"/>
      <c r="B44" s="13" t="s">
        <v>24</v>
      </c>
      <c r="C44" s="13"/>
      <c r="D44" s="13"/>
      <c r="E44" s="13"/>
      <c r="F44" s="13"/>
      <c r="G44" s="13">
        <f t="shared" ref="G44:H44" si="59">+G16/C16-1</f>
        <v>0.71363636363636296</v>
      </c>
      <c r="H44" s="13">
        <f t="shared" si="59"/>
        <v>-9.0958385876418522</v>
      </c>
      <c r="I44" s="13">
        <f>+I16/E16-1</f>
        <v>0.85823043357162843</v>
      </c>
      <c r="J44" s="13">
        <f>+J16/F16-1</f>
        <v>0.43119576069426446</v>
      </c>
      <c r="K44" s="13">
        <f>+K16/G16-1</f>
        <v>0.96887535769818878</v>
      </c>
      <c r="L44" s="13">
        <f>+L16/H16-1</f>
        <v>0.39262720664589823</v>
      </c>
      <c r="M44" s="13"/>
      <c r="N44" s="13"/>
      <c r="O44" s="13"/>
      <c r="P44" s="14"/>
      <c r="Q44" s="13"/>
      <c r="R44" s="13">
        <f t="shared" ref="R44:T44" si="60">R21/Q21-1</f>
        <v>0.37748953974895305</v>
      </c>
      <c r="S44" s="13">
        <f t="shared" si="60"/>
        <v>-0.15468683555069462</v>
      </c>
      <c r="T44" s="13">
        <f t="shared" si="60"/>
        <v>-6.4550439463301523E-2</v>
      </c>
      <c r="U44" s="13">
        <f>U21/T21-1</f>
        <v>1.1845196481389002</v>
      </c>
      <c r="V44" s="13">
        <f t="shared" ref="V44:AF44" si="61">V21/U21-1</f>
        <v>0.86242713154303763</v>
      </c>
      <c r="W44" s="13">
        <f t="shared" si="61"/>
        <v>-1.3456685455797812E-2</v>
      </c>
      <c r="X44" s="13">
        <f t="shared" si="61"/>
        <v>2.4492169463973701E-2</v>
      </c>
      <c r="Y44" s="13">
        <f t="shared" si="61"/>
        <v>0.15692863263623069</v>
      </c>
      <c r="Z44" s="13">
        <f t="shared" si="61"/>
        <v>0.14035455361452409</v>
      </c>
      <c r="AA44" s="13">
        <f t="shared" si="61"/>
        <v>5.7842565287904435E-2</v>
      </c>
      <c r="AB44" s="13">
        <f t="shared" si="61"/>
        <v>3.5173515728731841E-2</v>
      </c>
      <c r="AC44" s="13">
        <f t="shared" si="61"/>
        <v>9.6511754697408136E-2</v>
      </c>
      <c r="AD44" s="13">
        <f t="shared" si="61"/>
        <v>4.2301040781210775E-2</v>
      </c>
      <c r="AE44" s="13">
        <f t="shared" si="61"/>
        <v>3.1630224474337609E-2</v>
      </c>
      <c r="AF44" s="13">
        <f t="shared" si="61"/>
        <v>4.1378515450706033E-2</v>
      </c>
      <c r="AG44" s="13"/>
      <c r="AH44" s="13"/>
      <c r="AI44" s="13"/>
      <c r="AJ44" s="13"/>
      <c r="AK44" s="13"/>
    </row>
    <row r="45" spans="1:37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5">
      <c r="A46" s="15"/>
      <c r="B46" s="15" t="s">
        <v>62</v>
      </c>
      <c r="C46" s="15"/>
      <c r="D46" s="15"/>
      <c r="E46" s="15"/>
      <c r="F46" s="15"/>
      <c r="G46" s="15" t="e">
        <f t="shared" ref="G46:K46" si="62">G27/C27-1</f>
        <v>#DIV/0!</v>
      </c>
      <c r="H46" s="15" t="e">
        <f t="shared" si="62"/>
        <v>#DIV/0!</v>
      </c>
      <c r="I46" s="15" t="e">
        <f t="shared" si="62"/>
        <v>#DIV/0!</v>
      </c>
      <c r="J46" s="15">
        <f t="shared" si="62"/>
        <v>0.27227481128950726</v>
      </c>
      <c r="K46" s="15">
        <f t="shared" si="62"/>
        <v>0.28149372300020281</v>
      </c>
      <c r="L46" s="15">
        <f>L27/H27-1</f>
        <v>0.23492063492063497</v>
      </c>
      <c r="M46" s="15"/>
      <c r="N46" s="15"/>
      <c r="O46" s="15"/>
      <c r="P46" s="16"/>
      <c r="Q46" s="15"/>
      <c r="R46" s="15"/>
      <c r="S46" s="15">
        <f>S27/R27-1</f>
        <v>1.3827596351868365E-2</v>
      </c>
      <c r="T46" s="15">
        <f>T27/S27-1</f>
        <v>-1.2246082414394399E-3</v>
      </c>
      <c r="U46" s="15">
        <f>U27/T27-1</f>
        <v>0.27227481128950726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5">
      <c r="B47" s="1"/>
    </row>
    <row r="48" spans="1:37" s="18" customFormat="1" x14ac:dyDescent="0.25">
      <c r="B48" s="18" t="s">
        <v>36</v>
      </c>
      <c r="G48" s="18">
        <f t="shared" ref="G48:K48" si="63">G17/F29</f>
        <v>-0.31756756756756854</v>
      </c>
      <c r="H48" s="18">
        <f t="shared" si="63"/>
        <v>-5.6296658915677367E-2</v>
      </c>
      <c r="I48" s="18">
        <f t="shared" si="63"/>
        <v>-0.1164999366848173</v>
      </c>
      <c r="J48" s="18">
        <f t="shared" si="63"/>
        <v>0.11219512195121953</v>
      </c>
      <c r="K48" s="18">
        <f t="shared" si="63"/>
        <v>-2.752281833659766E-2</v>
      </c>
      <c r="L48" s="18">
        <f>L17/K29</f>
        <v>-2.9814337986176984E-2</v>
      </c>
      <c r="P48" s="19"/>
      <c r="S48" s="18">
        <f t="shared" ref="S48:AF48" si="64">S17/R29</f>
        <v>-0.10546677323697863</v>
      </c>
      <c r="T48" s="18">
        <f t="shared" si="64"/>
        <v>-0.12934379580926098</v>
      </c>
      <c r="U48" s="18">
        <f t="shared" si="64"/>
        <v>-1.2500000000000038</v>
      </c>
      <c r="V48" s="18">
        <f t="shared" si="64"/>
        <v>-5.4999999999999993E-2</v>
      </c>
      <c r="W48" s="18">
        <f t="shared" si="64"/>
        <v>-0.01</v>
      </c>
      <c r="X48" s="18">
        <f t="shared" si="64"/>
        <v>-0.01</v>
      </c>
      <c r="Y48" s="18">
        <f t="shared" si="64"/>
        <v>-0.01</v>
      </c>
      <c r="Z48" s="18">
        <f t="shared" si="64"/>
        <v>-0.01</v>
      </c>
      <c r="AA48" s="18">
        <f t="shared" si="64"/>
        <v>-0.01</v>
      </c>
      <c r="AB48" s="18">
        <f t="shared" si="64"/>
        <v>-0.01</v>
      </c>
      <c r="AC48" s="18">
        <f t="shared" si="64"/>
        <v>-0.01</v>
      </c>
      <c r="AD48" s="18">
        <f t="shared" si="64"/>
        <v>-0.01</v>
      </c>
      <c r="AE48" s="18">
        <f t="shared" si="64"/>
        <v>-0.01</v>
      </c>
      <c r="AF48" s="18">
        <f t="shared" si="64"/>
        <v>-0.01</v>
      </c>
    </row>
    <row r="49" spans="34:35" x14ac:dyDescent="0.25">
      <c r="AH49" s="10" t="s">
        <v>37</v>
      </c>
      <c r="AI49" s="18">
        <v>-1.4999999999999999E-2</v>
      </c>
    </row>
    <row r="50" spans="34:35" x14ac:dyDescent="0.25">
      <c r="AH50" s="15" t="s">
        <v>38</v>
      </c>
      <c r="AI50" s="18">
        <v>-0.01</v>
      </c>
    </row>
    <row r="51" spans="34:35" x14ac:dyDescent="0.25">
      <c r="AH51" t="s">
        <v>39</v>
      </c>
      <c r="AI51" s="18">
        <v>8.5000000000000006E-2</v>
      </c>
    </row>
    <row r="52" spans="34:35" x14ac:dyDescent="0.25">
      <c r="AH52" s="15" t="s">
        <v>40</v>
      </c>
      <c r="AI52" s="20">
        <f>NPV(AI51,W21:DD21)</f>
        <v>8831.5667844635373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2022-08-04T05:05:54Z</dcterms:modified>
</cp:coreProperties>
</file>