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8_{145968AB-1F8F-4B87-B221-3C4EF2AE7893}" xr6:coauthVersionLast="47" xr6:coauthVersionMax="47" xr10:uidLastSave="{00000000-0000-0000-0000-000000000000}"/>
  <bookViews>
    <workbookView xWindow="15225" yWindow="1215" windowWidth="32775" windowHeight="19770" xr2:uid="{F7DB6CE6-53DD-467A-9654-8C1D13F90B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AH16" i="2"/>
  <c r="AI16" i="2" s="1"/>
  <c r="V16" i="2"/>
  <c r="V23" i="2" s="1"/>
  <c r="W13" i="2" s="1"/>
  <c r="V15" i="2"/>
  <c r="AG9" i="2"/>
  <c r="AF9" i="2"/>
  <c r="AE9" i="2"/>
  <c r="AD9" i="2"/>
  <c r="AC9" i="2"/>
  <c r="AB9" i="2"/>
  <c r="AA9" i="2"/>
  <c r="Z9" i="2"/>
  <c r="Y9" i="2"/>
  <c r="X9" i="2"/>
  <c r="W9" i="2"/>
  <c r="V9" i="2"/>
  <c r="V13" i="2"/>
  <c r="J22" i="2"/>
  <c r="J23" i="2" s="1"/>
  <c r="K38" i="2" s="1"/>
  <c r="V6" i="2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V5" i="2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V3" i="2"/>
  <c r="V7" i="2" s="1"/>
  <c r="J34" i="2"/>
  <c r="J33" i="2"/>
  <c r="G30" i="2"/>
  <c r="H30" i="2"/>
  <c r="I30" i="2"/>
  <c r="K30" i="2"/>
  <c r="U30" i="2"/>
  <c r="U36" i="2"/>
  <c r="T36" i="2"/>
  <c r="S36" i="2"/>
  <c r="R36" i="2"/>
  <c r="U35" i="2"/>
  <c r="T35" i="2"/>
  <c r="S35" i="2"/>
  <c r="R35" i="2"/>
  <c r="U34" i="2"/>
  <c r="T34" i="2"/>
  <c r="S34" i="2"/>
  <c r="R34" i="2"/>
  <c r="T33" i="2"/>
  <c r="S33" i="2"/>
  <c r="R33" i="2"/>
  <c r="U33" i="2"/>
  <c r="K36" i="2"/>
  <c r="I36" i="2"/>
  <c r="H36" i="2"/>
  <c r="G36" i="2"/>
  <c r="K35" i="2"/>
  <c r="I35" i="2"/>
  <c r="H35" i="2"/>
  <c r="G35" i="2"/>
  <c r="K34" i="2"/>
  <c r="I34" i="2"/>
  <c r="H34" i="2"/>
  <c r="G34" i="2"/>
  <c r="I33" i="2"/>
  <c r="H33" i="2"/>
  <c r="G33" i="2"/>
  <c r="K33" i="2"/>
  <c r="T30" i="2"/>
  <c r="S30" i="2"/>
  <c r="R30" i="2"/>
  <c r="F15" i="2"/>
  <c r="F13" i="2"/>
  <c r="F11" i="2"/>
  <c r="F10" i="2"/>
  <c r="F8" i="2"/>
  <c r="F7" i="2"/>
  <c r="F27" i="2" s="1"/>
  <c r="F6" i="2"/>
  <c r="F5" i="2"/>
  <c r="F4" i="2"/>
  <c r="F3" i="2"/>
  <c r="J8" i="2"/>
  <c r="J15" i="2"/>
  <c r="J13" i="2"/>
  <c r="J11" i="2"/>
  <c r="J10" i="2"/>
  <c r="J7" i="2"/>
  <c r="J30" i="2" s="1"/>
  <c r="J6" i="2"/>
  <c r="J36" i="2" s="1"/>
  <c r="J5" i="2"/>
  <c r="J35" i="2" s="1"/>
  <c r="J4" i="2"/>
  <c r="J3" i="2"/>
  <c r="K27" i="2"/>
  <c r="H27" i="2"/>
  <c r="G27" i="2"/>
  <c r="E27" i="2"/>
  <c r="D27" i="2"/>
  <c r="C27" i="2"/>
  <c r="K26" i="2"/>
  <c r="H26" i="2"/>
  <c r="G26" i="2"/>
  <c r="E26" i="2"/>
  <c r="D26" i="2"/>
  <c r="C26" i="2"/>
  <c r="C9" i="2"/>
  <c r="C12" i="2" s="1"/>
  <c r="D9" i="2"/>
  <c r="D12" i="2" s="1"/>
  <c r="H9" i="2"/>
  <c r="H12" i="2" s="1"/>
  <c r="E9" i="2"/>
  <c r="E12" i="2" s="1"/>
  <c r="I27" i="2"/>
  <c r="I26" i="2"/>
  <c r="I9" i="2"/>
  <c r="I25" i="2" s="1"/>
  <c r="K22" i="2"/>
  <c r="K23" i="2" s="1"/>
  <c r="G9" i="2"/>
  <c r="G12" i="2" s="1"/>
  <c r="K9" i="2"/>
  <c r="K12" i="2" s="1"/>
  <c r="U27" i="2"/>
  <c r="T27" i="2"/>
  <c r="S27" i="2"/>
  <c r="R27" i="2"/>
  <c r="Q27" i="2"/>
  <c r="AJ16" i="2" l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V30" i="2"/>
  <c r="V10" i="2"/>
  <c r="J9" i="2"/>
  <c r="J12" i="2" s="1"/>
  <c r="F9" i="2"/>
  <c r="F12" i="2" s="1"/>
  <c r="W3" i="2"/>
  <c r="J26" i="2"/>
  <c r="F25" i="2"/>
  <c r="F26" i="2"/>
  <c r="J25" i="2"/>
  <c r="J27" i="2"/>
  <c r="H25" i="2"/>
  <c r="C25" i="2"/>
  <c r="E25" i="2"/>
  <c r="D25" i="2"/>
  <c r="C16" i="2"/>
  <c r="C18" i="2" s="1"/>
  <c r="C14" i="2"/>
  <c r="C28" i="2" s="1"/>
  <c r="G25" i="2"/>
  <c r="K25" i="2"/>
  <c r="D16" i="2"/>
  <c r="D18" i="2" s="1"/>
  <c r="D14" i="2"/>
  <c r="D28" i="2" s="1"/>
  <c r="H14" i="2"/>
  <c r="H28" i="2" s="1"/>
  <c r="H16" i="2"/>
  <c r="E16" i="2"/>
  <c r="E18" i="2" s="1"/>
  <c r="E14" i="2"/>
  <c r="E28" i="2" s="1"/>
  <c r="I12" i="2"/>
  <c r="G16" i="2"/>
  <c r="G14" i="2"/>
  <c r="G28" i="2" s="1"/>
  <c r="K16" i="2"/>
  <c r="K14" i="2"/>
  <c r="K28" i="2" s="1"/>
  <c r="Q26" i="2"/>
  <c r="T26" i="2"/>
  <c r="S26" i="2"/>
  <c r="R26" i="2"/>
  <c r="U26" i="2"/>
  <c r="R22" i="2"/>
  <c r="R23" i="2" s="1"/>
  <c r="S38" i="2" s="1"/>
  <c r="S22" i="2"/>
  <c r="S23" i="2" s="1"/>
  <c r="T38" i="2" s="1"/>
  <c r="Q9" i="2"/>
  <c r="Q12" i="2" s="1"/>
  <c r="R9" i="2"/>
  <c r="R25" i="2" s="1"/>
  <c r="T22" i="2"/>
  <c r="T23" i="2" s="1"/>
  <c r="U38" i="2" s="1"/>
  <c r="U22" i="2"/>
  <c r="U23" i="2" s="1"/>
  <c r="S9" i="2"/>
  <c r="S12" i="2" s="1"/>
  <c r="T9" i="2"/>
  <c r="T12" i="2" s="1"/>
  <c r="U9" i="2"/>
  <c r="U12" i="2" s="1"/>
  <c r="J5" i="1"/>
  <c r="AK42" i="2" l="1"/>
  <c r="G18" i="2"/>
  <c r="G31" i="2"/>
  <c r="F16" i="2"/>
  <c r="F18" i="2" s="1"/>
  <c r="F14" i="2"/>
  <c r="F28" i="2" s="1"/>
  <c r="V12" i="2"/>
  <c r="V14" i="2" s="1"/>
  <c r="J16" i="2"/>
  <c r="J14" i="2"/>
  <c r="J28" i="2" s="1"/>
  <c r="H18" i="2"/>
  <c r="H31" i="2"/>
  <c r="X3" i="2"/>
  <c r="W7" i="2"/>
  <c r="K18" i="2"/>
  <c r="K31" i="2"/>
  <c r="I14" i="2"/>
  <c r="I28" i="2" s="1"/>
  <c r="I16" i="2"/>
  <c r="S16" i="2"/>
  <c r="S18" i="2" s="1"/>
  <c r="S14" i="2"/>
  <c r="S28" i="2" s="1"/>
  <c r="Q16" i="2"/>
  <c r="Q18" i="2" s="1"/>
  <c r="Q14" i="2"/>
  <c r="Q28" i="2" s="1"/>
  <c r="T16" i="2"/>
  <c r="T14" i="2"/>
  <c r="T28" i="2" s="1"/>
  <c r="R12" i="2"/>
  <c r="U16" i="2"/>
  <c r="U14" i="2"/>
  <c r="U28" i="2" s="1"/>
  <c r="Q25" i="2"/>
  <c r="U25" i="2"/>
  <c r="S25" i="2"/>
  <c r="T25" i="2"/>
  <c r="J8" i="1"/>
  <c r="W10" i="2" l="1"/>
  <c r="W30" i="2"/>
  <c r="Y3" i="2"/>
  <c r="X7" i="2"/>
  <c r="U18" i="2"/>
  <c r="V31" i="2"/>
  <c r="U31" i="2"/>
  <c r="I18" i="2"/>
  <c r="I31" i="2"/>
  <c r="S31" i="2"/>
  <c r="J18" i="2"/>
  <c r="J31" i="2"/>
  <c r="T18" i="2"/>
  <c r="T31" i="2"/>
  <c r="R16" i="2"/>
  <c r="R14" i="2"/>
  <c r="R28" i="2" s="1"/>
  <c r="W12" i="2" l="1"/>
  <c r="W14" i="2" s="1"/>
  <c r="Z3" i="2"/>
  <c r="Y7" i="2"/>
  <c r="R18" i="2"/>
  <c r="R31" i="2"/>
  <c r="Y30" i="2"/>
  <c r="X10" i="2"/>
  <c r="X30" i="2"/>
  <c r="W15" i="2" l="1"/>
  <c r="W16" i="2" s="1"/>
  <c r="X12" i="2"/>
  <c r="AA3" i="2"/>
  <c r="Z7" i="2"/>
  <c r="Y12" i="2"/>
  <c r="Y10" i="2"/>
  <c r="W23" i="2" l="1"/>
  <c r="X13" i="2" s="1"/>
  <c r="AB3" i="2"/>
  <c r="AA7" i="2"/>
  <c r="Z12" i="2"/>
  <c r="Z30" i="2"/>
  <c r="Z10" i="2"/>
  <c r="X14" i="2" l="1"/>
  <c r="X15" i="2" s="1"/>
  <c r="X16" i="2" s="1"/>
  <c r="W31" i="2"/>
  <c r="AA30" i="2"/>
  <c r="AA10" i="2"/>
  <c r="AC3" i="2"/>
  <c r="AB7" i="2"/>
  <c r="X31" i="2" l="1"/>
  <c r="AB30" i="2"/>
  <c r="AB12" i="2"/>
  <c r="AB10" i="2"/>
  <c r="AD3" i="2"/>
  <c r="AC7" i="2"/>
  <c r="AA12" i="2"/>
  <c r="X23" i="2" l="1"/>
  <c r="Y13" i="2" s="1"/>
  <c r="AC12" i="2"/>
  <c r="AC10" i="2"/>
  <c r="AC30" i="2"/>
  <c r="AE3" i="2"/>
  <c r="AD7" i="2"/>
  <c r="Y14" i="2" l="1"/>
  <c r="Y15" i="2"/>
  <c r="Y16" i="2" s="1"/>
  <c r="AD10" i="2"/>
  <c r="AD30" i="2"/>
  <c r="AD12" i="2"/>
  <c r="AF3" i="2"/>
  <c r="AE7" i="2"/>
  <c r="Y23" i="2" l="1"/>
  <c r="Z13" i="2" s="1"/>
  <c r="AE10" i="2"/>
  <c r="AE30" i="2"/>
  <c r="AE12" i="2"/>
  <c r="AG3" i="2"/>
  <c r="AG7" i="2" s="1"/>
  <c r="AF7" i="2"/>
  <c r="Y31" i="2" l="1"/>
  <c r="Z14" i="2"/>
  <c r="AG10" i="2"/>
  <c r="AG30" i="2"/>
  <c r="AG12" i="2"/>
  <c r="AF10" i="2"/>
  <c r="AF30" i="2"/>
  <c r="AF12" i="2"/>
  <c r="Z15" i="2" l="1"/>
  <c r="Z16" i="2" s="1"/>
  <c r="Z23" i="2" s="1"/>
  <c r="Z31" i="2" l="1"/>
  <c r="AA13" i="2"/>
  <c r="AA14" i="2" l="1"/>
  <c r="AA15" i="2" s="1"/>
  <c r="AA16" i="2" s="1"/>
  <c r="AA31" i="2" l="1"/>
  <c r="AA23" i="2" l="1"/>
  <c r="AB13" i="2"/>
  <c r="AB14" i="2" l="1"/>
  <c r="AB15" i="2" l="1"/>
  <c r="AB16" i="2" s="1"/>
  <c r="AB31" i="2"/>
  <c r="AB23" i="2"/>
  <c r="AC13" i="2" l="1"/>
  <c r="AC14" i="2" l="1"/>
  <c r="AC15" i="2" l="1"/>
  <c r="AC16" i="2" s="1"/>
  <c r="AC23" i="2" l="1"/>
  <c r="AD13" i="2" s="1"/>
  <c r="AC31" i="2" l="1"/>
  <c r="AD14" i="2"/>
  <c r="AD15" i="2" s="1"/>
  <c r="AD16" i="2" s="1"/>
  <c r="AD31" i="2" l="1"/>
  <c r="AD23" i="2"/>
  <c r="AE13" i="2" l="1"/>
  <c r="AE14" i="2" l="1"/>
  <c r="AE15" i="2"/>
  <c r="AE16" i="2" s="1"/>
  <c r="AE31" i="2" l="1"/>
  <c r="AE23" i="2"/>
  <c r="AF13" i="2" l="1"/>
  <c r="AF14" i="2" l="1"/>
  <c r="AF15" i="2" l="1"/>
  <c r="AF16" i="2" s="1"/>
  <c r="AF23" i="2" l="1"/>
  <c r="AF31" i="2"/>
  <c r="AG13" i="2"/>
  <c r="AG14" i="2" l="1"/>
  <c r="AG15" i="2" s="1"/>
  <c r="AG16" i="2" s="1"/>
  <c r="AG31" i="2" l="1"/>
  <c r="AG23" i="2"/>
</calcChain>
</file>

<file path=xl/sharedStrings.xml><?xml version="1.0" encoding="utf-8"?>
<sst xmlns="http://schemas.openxmlformats.org/spreadsheetml/2006/main" count="69" uniqueCount="62">
  <si>
    <t>Price</t>
  </si>
  <si>
    <t>Shares</t>
  </si>
  <si>
    <t>MkCap</t>
  </si>
  <si>
    <t>Cash</t>
  </si>
  <si>
    <t>Debt</t>
  </si>
  <si>
    <t>EV</t>
  </si>
  <si>
    <t>Terminal value</t>
  </si>
  <si>
    <t>ROIC</t>
  </si>
  <si>
    <t>Discount</t>
  </si>
  <si>
    <t>NPV</t>
  </si>
  <si>
    <t>Target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</si>
  <si>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</si>
  <si>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</si>
  <si>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</si>
  <si>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</si>
  <si>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</si>
  <si>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</si>
  <si>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</si>
  <si>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</si>
  <si>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</si>
  <si>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</si>
  <si>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profit</t>
  </si>
  <si>
    <t>SG&amp;A</t>
  </si>
  <si>
    <t>Operating profit</t>
  </si>
  <si>
    <t>Interest expense</t>
  </si>
  <si>
    <t>Net income</t>
  </si>
  <si>
    <t>EPS</t>
  </si>
  <si>
    <t>Net cash</t>
  </si>
  <si>
    <t>Gross margin</t>
  </si>
  <si>
    <t>Net income y/y</t>
  </si>
  <si>
    <t>TJX</t>
  </si>
  <si>
    <t>TJX Companies</t>
  </si>
  <si>
    <t>Loss on extinguishment of debt</t>
  </si>
  <si>
    <t>Tax expense</t>
  </si>
  <si>
    <t>`Jan/22</t>
  </si>
  <si>
    <t>Inventory</t>
  </si>
  <si>
    <t>Sells Jewelery (15%)</t>
  </si>
  <si>
    <t>Sells clothing and footwears (47%)</t>
  </si>
  <si>
    <t>Sells home fashions (38%)</t>
  </si>
  <si>
    <t>EBIT</t>
  </si>
  <si>
    <t>Marmaxx</t>
  </si>
  <si>
    <t>HomeGoods</t>
  </si>
  <si>
    <t>TJX Canada</t>
  </si>
  <si>
    <t>TJX International</t>
  </si>
  <si>
    <t>SG&amp;A % of rev</t>
  </si>
  <si>
    <t>Tax rate % of rev</t>
  </si>
  <si>
    <t>Tax rate % of EBIT</t>
  </si>
  <si>
    <t>23Q1</t>
  </si>
  <si>
    <t>23Q2</t>
  </si>
  <si>
    <t>23Q3</t>
  </si>
  <si>
    <t>23Q4</t>
  </si>
  <si>
    <t>Mega weirdo schedule</t>
  </si>
  <si>
    <t>Revenue y/y</t>
  </si>
  <si>
    <t>`Oct/21</t>
  </si>
  <si>
    <t>`July/21</t>
  </si>
  <si>
    <t>`Apr/22</t>
  </si>
  <si>
    <t>Marmaxx y/y</t>
  </si>
  <si>
    <t>HomeGoods y/y</t>
  </si>
  <si>
    <t>TJX Canada y/y</t>
  </si>
  <si>
    <t>TJX International y/y</t>
  </si>
  <si>
    <t>Interest %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</si>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</sst>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38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4" fontId="1" fillId="0" borderId="0" xfId="0" applyNumberFormat="1" applyFont="1"/>
    <xf numFmtId="4" fontId="1" fillId="2" borderId="0" xfId="0" applyNumberFormat="1" applyFont="1" applyFill="1"/>
    <xf numFmtId="0" fontId="0" fillId="0" borderId="0" xfId="0" applyFont="1"/>
    <xf numFmtId="3" fontId="0" fillId="0" borderId="0" xfId="0" applyNumberFormat="1" applyFont="1"/>
    <xf numFmtId="0" fontId="0" fillId="2" borderId="0" xfId="0" applyFont="1" applyFill="1"/>
    <xf numFmtId="3" fontId="0" fillId="2" borderId="0" xfId="0" applyNumberFormat="1" applyFont="1" applyFill="1"/>
    <xf numFmtId="4" fontId="0" fillId="0" borderId="0" xfId="0" applyNumberFormat="1" applyFont="1"/>
    <xf numFmtId="9" fontId="0" fillId="0" borderId="0" xfId="0" applyNumberFormat="1" applyFont="1"/>
    <xf numFmtId="9" fontId="0" fillId="2" borderId="0" xfId="0" applyNumberFormat="1" applyFont="1" applyFill="1"/>
    <xf numFmtId="10" fontId="0" fillId="0" borderId="0" xfId="0" applyNumberFormat="1" applyFont="1"/>
    <xf numFmtId="10" fontId="0" fillId="2" borderId="0" xfId="0" applyNumberFormat="1" applyFont="1" applyFill="1"/>
    <xf numFmtId="8" fontId="0" fillId="0" borderId="0" xfId="0" applyNumberFormat="1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14590</xdr:colOff>
      <xdr:row>0</xdr:row>
      <xdr:rowOff>0</xdr:rowOff>
    </xdr:from>
    <xdr:to>
      <xdr:col>11</xdr:col>
      <xdr:colOff>14590</xdr:colOff>
      <xdr:row>84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4C62DEC-D119-4323-9C27-1114ED13D206}"/>
            </a:ext>
          </a:extLst>
        </xdr:cNvPr>
        <xdr:cNvCxnSpPr/>
      </xdr:nvCxnSpPr>
      <xdr:spPr>
        <a:xfrm>
          <a:off x="7853665" y="0"/>
          <a:ext cx="0" cy="16170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9525</xdr:rowOff>
    </xdr:from>
    <xdr:to>
      <xdr:col>21</xdr:col>
      <xdr:colOff>28575</xdr:colOff>
      <xdr:row>85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7932EFB-9600-4135-963B-7ABF5318AA07}"/>
            </a:ext>
          </a:extLst>
        </xdr:cNvPr>
        <xdr:cNvCxnSpPr/>
      </xdr:nvCxnSpPr>
      <xdr:spPr>
        <a:xfrm>
          <a:off x="13649325" y="9525"/>
          <a:ext cx="0" cy="16182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F12D-9CE0-4C21-B0BB-BB4D410342B5}">
  <dimension ref="B1:P35"/>
  <sheetViews>
    <sheetView tabSelected="1" workbookViewId="0">
      <selection activeCell="L12" sqref="L12"/>
    </sheetView>
  </sheetViews>
  <sheetFormatPr defaultRowHeight="15" x14ac:dyDescent="0.25"/>
  <cols>
    <col min="3" max="3" width="19.28515625" customWidth="1"/>
    <col min="4" max="4" width="23" customWidth="1"/>
    <col min="5" max="5" width="14.7109375" customWidth="1"/>
    <col min="9" max="9" width="9.7109375" bestFit="1" customWidth="1"/>
  </cols>
  <sheetData>
    <row r="1" spans="2:10" x14ac:dyDescent="0.25">
      <c r="I1" t="s">
        <v>31</v>
      </c>
    </row>
    <row r="2" spans="2:10" x14ac:dyDescent="0.25">
      <c r="B2" t="s">
        <v>37</v>
      </c>
      <c r="I2" t="s">
        <v>30</v>
      </c>
    </row>
    <row r="3" spans="2:10" x14ac:dyDescent="0.25">
      <c r="B3" t="s">
        <v>36</v>
      </c>
      <c r="I3" t="s">
        <v>0</v>
      </c>
      <c r="J3" s="1">
        <v>67.2</v>
      </c>
    </row>
    <row r="4" spans="2:10" x14ac:dyDescent="0.25">
      <c r="B4" t="s">
        <v>38</v>
      </c>
      <c r="I4" t="s">
        <v>1</v>
      </c>
      <c r="J4" s="13">
        <v>1177.1410000000001</v>
      </c>
    </row>
    <row r="5" spans="2:10" x14ac:dyDescent="0.25">
      <c r="I5" t="s">
        <v>2</v>
      </c>
      <c r="J5" s="2">
        <f>J3*J4</f>
        <v>79103.875200000009</v>
      </c>
    </row>
    <row r="6" spans="2:10" x14ac:dyDescent="0.25">
      <c r="I6" t="s">
        <v>3</v>
      </c>
      <c r="J6" s="13">
        <v>4295.0680000000002</v>
      </c>
    </row>
    <row r="7" spans="2:10" x14ac:dyDescent="0.25">
      <c r="I7" t="s">
        <v>4</v>
      </c>
      <c r="J7" s="13">
        <v>12708.400000000001</v>
      </c>
    </row>
    <row r="8" spans="2:10" x14ac:dyDescent="0.25">
      <c r="I8" t="s">
        <v>5</v>
      </c>
      <c r="J8" s="2">
        <f>J5-J6+J7</f>
        <v>87517.207200000004</v>
      </c>
    </row>
    <row r="11" spans="2:10" x14ac:dyDescent="0.25">
      <c r="I11" s="3">
        <v>44789</v>
      </c>
    </row>
    <row r="15" spans="2:10" x14ac:dyDescent="0.25">
      <c r="I15" s="4" t="s">
        <v>6</v>
      </c>
      <c r="J15" s="5">
        <f>Model!AK39</f>
        <v>-1.4999999999999999E-2</v>
      </c>
    </row>
    <row r="16" spans="2:10" x14ac:dyDescent="0.25">
      <c r="I16" s="4" t="s">
        <v>7</v>
      </c>
      <c r="J16" s="5">
        <f>Model!AK40</f>
        <v>0.01</v>
      </c>
    </row>
    <row r="17" spans="2:16" x14ac:dyDescent="0.25">
      <c r="I17" s="4" t="s">
        <v>8</v>
      </c>
      <c r="J17" s="5">
        <f>Model!AK41</f>
        <v>8.5000000000000006E-2</v>
      </c>
    </row>
    <row r="18" spans="2:16" x14ac:dyDescent="0.25">
      <c r="I18" s="4" t="s">
        <v>9</v>
      </c>
      <c r="J18" s="6">
        <f>Model!AK42</f>
        <v>74903.518611460153</v>
      </c>
    </row>
    <row r="19" spans="2:16" x14ac:dyDescent="0.25">
      <c r="I19" s="4" t="s">
        <v>10</v>
      </c>
      <c r="J19" s="1">
        <f>J18/J4</f>
        <v>63.631730278242067</v>
      </c>
    </row>
    <row r="21" spans="2:16" x14ac:dyDescent="0.25">
      <c r="B21" s="7"/>
    </row>
    <row r="30" spans="2:16" x14ac:dyDescent="0.25">
      <c r="G30" s="4"/>
      <c r="J30" s="4"/>
      <c r="M30" s="4"/>
      <c r="P30" s="4"/>
    </row>
    <row r="31" spans="2:16" x14ac:dyDescent="0.25">
      <c r="G31" s="4"/>
      <c r="J31" s="4"/>
      <c r="M31" s="4"/>
      <c r="P31" s="4"/>
    </row>
    <row r="32" spans="2:16" x14ac:dyDescent="0.25">
      <c r="G32" s="4"/>
      <c r="J32" s="4"/>
      <c r="M32" s="4"/>
      <c r="P32" s="4"/>
    </row>
    <row r="33" spans="5:16" x14ac:dyDescent="0.25">
      <c r="E33" s="4"/>
      <c r="G33" s="4"/>
      <c r="J33" s="4"/>
      <c r="M33" s="4"/>
      <c r="P33" s="4"/>
    </row>
    <row r="34" spans="5:16" x14ac:dyDescent="0.25">
      <c r="G34" s="4"/>
      <c r="J34" s="4"/>
      <c r="M34" s="4"/>
      <c r="P34" s="4"/>
    </row>
    <row r="35" spans="5:16" x14ac:dyDescent="0.25">
      <c r="J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5D9A-DDD8-4903-86DE-E74BF35C23D9}">
  <dimension ref="B1:DD88"/>
  <sheetViews>
    <sheetView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J39" sqref="AJ39:AK42"/>
    </sheetView>
  </sheetViews>
  <sheetFormatPr defaultRowHeight="15" x14ac:dyDescent="0.25"/>
  <cols>
    <col min="1" max="1" width="3.85546875" style="12" customWidth="1"/>
    <col min="2" max="2" width="31.42578125" style="12" customWidth="1"/>
    <col min="3" max="10" width="9.140625" style="13"/>
    <col min="11" max="14" width="9.140625" style="12"/>
    <col min="15" max="15" width="9.140625" style="13"/>
    <col min="16" max="16" width="4.42578125" style="14" customWidth="1"/>
    <col min="17" max="21" width="9.140625" style="12"/>
    <col min="22" max="22" width="10.85546875" style="12" bestFit="1" customWidth="1"/>
    <col min="23" max="33" width="9.140625" style="12"/>
    <col min="34" max="34" width="10.85546875" style="12" bestFit="1" customWidth="1"/>
    <col min="35" max="35" width="9.85546875" style="12" bestFit="1" customWidth="1"/>
    <col min="36" max="38" width="9.140625" style="12"/>
    <col min="39" max="39" width="10.85546875" style="12" bestFit="1" customWidth="1"/>
    <col min="40" max="16384" width="9.140625" style="12"/>
  </cols>
  <sheetData>
    <row r="1" spans="2:108" x14ac:dyDescent="0.25">
      <c r="B1" s="12" t="s">
        <v>51</v>
      </c>
      <c r="H1" s="13" t="s">
        <v>54</v>
      </c>
      <c r="I1" s="22" t="s">
        <v>53</v>
      </c>
      <c r="J1" s="22" t="s">
        <v>34</v>
      </c>
      <c r="K1" s="12" t="s">
        <v>55</v>
      </c>
      <c r="T1" s="22" t="s">
        <v>34</v>
      </c>
    </row>
    <row r="2" spans="2:108" x14ac:dyDescent="0.25"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47</v>
      </c>
      <c r="L2" s="13" t="s">
        <v>48</v>
      </c>
      <c r="M2" s="13" t="s">
        <v>49</v>
      </c>
      <c r="N2" s="13" t="s">
        <v>50</v>
      </c>
      <c r="Q2" s="13">
        <v>18</v>
      </c>
      <c r="R2" s="13">
        <v>19</v>
      </c>
      <c r="S2" s="13">
        <v>20</v>
      </c>
      <c r="T2" s="13">
        <v>21</v>
      </c>
      <c r="U2" s="13">
        <v>22</v>
      </c>
      <c r="V2" s="13">
        <v>23</v>
      </c>
      <c r="W2" s="13">
        <v>24</v>
      </c>
      <c r="X2" s="13">
        <v>25</v>
      </c>
      <c r="Y2" s="13">
        <v>26</v>
      </c>
      <c r="Z2" s="13">
        <v>27</v>
      </c>
      <c r="AA2" s="13">
        <v>28</v>
      </c>
      <c r="AB2" s="13">
        <v>29</v>
      </c>
      <c r="AC2" s="13">
        <v>30</v>
      </c>
      <c r="AD2" s="13">
        <v>31</v>
      </c>
      <c r="AE2" s="13">
        <v>32</v>
      </c>
      <c r="AF2" s="13">
        <v>33</v>
      </c>
      <c r="AG2" s="13">
        <v>34</v>
      </c>
      <c r="AH2" s="13">
        <v>35</v>
      </c>
      <c r="AI2" s="13">
        <v>36</v>
      </c>
      <c r="AJ2" s="13">
        <v>37</v>
      </c>
    </row>
    <row r="3" spans="2:108" s="13" customFormat="1" x14ac:dyDescent="0.25">
      <c r="B3" s="13" t="s">
        <v>40</v>
      </c>
      <c r="C3" s="13">
        <v>2697.8099999999995</v>
      </c>
      <c r="D3" s="13">
        <v>3959.3</v>
      </c>
      <c r="E3" s="13">
        <v>5784.8</v>
      </c>
      <c r="F3" s="13">
        <f>T3-E3-D3-C3</f>
        <v>6920.6900000000005</v>
      </c>
      <c r="G3" s="13">
        <v>6640.48</v>
      </c>
      <c r="H3" s="13">
        <v>7348.9</v>
      </c>
      <c r="I3" s="13">
        <v>7213.7</v>
      </c>
      <c r="J3" s="13">
        <f>U3-I3-H3-G3</f>
        <v>8279.99</v>
      </c>
      <c r="K3" s="13">
        <v>6872</v>
      </c>
      <c r="P3" s="15"/>
      <c r="Q3" s="13">
        <v>22249.1</v>
      </c>
      <c r="R3" s="13">
        <v>24058</v>
      </c>
      <c r="S3" s="13">
        <v>25664.799999999999</v>
      </c>
      <c r="T3" s="13">
        <v>19362.599999999999</v>
      </c>
      <c r="U3" s="13">
        <v>29483.07</v>
      </c>
      <c r="V3" s="13">
        <f>U3*(1+V33)</f>
        <v>32431.377000000004</v>
      </c>
      <c r="W3" s="13">
        <f t="shared" ref="W3:AG3" si="0">V3*(1+W33)</f>
        <v>33080.004540000002</v>
      </c>
      <c r="X3" s="13">
        <f t="shared" si="0"/>
        <v>34072.4046762</v>
      </c>
      <c r="Y3" s="13">
        <f t="shared" si="0"/>
        <v>35094.576816485998</v>
      </c>
      <c r="Z3" s="13">
        <f t="shared" si="0"/>
        <v>36147.414120980582</v>
      </c>
      <c r="AA3" s="13">
        <f t="shared" si="0"/>
        <v>37231.83654461</v>
      </c>
      <c r="AB3" s="13">
        <f t="shared" si="0"/>
        <v>38348.7916409483</v>
      </c>
      <c r="AC3" s="13">
        <f t="shared" si="0"/>
        <v>39499.255390176753</v>
      </c>
      <c r="AD3" s="13">
        <f t="shared" si="0"/>
        <v>40684.23305188206</v>
      </c>
      <c r="AE3" s="13">
        <f t="shared" si="0"/>
        <v>41904.760043438524</v>
      </c>
      <c r="AF3" s="13">
        <f t="shared" si="0"/>
        <v>43161.902844741679</v>
      </c>
      <c r="AG3" s="13">
        <f t="shared" si="0"/>
        <v>44456.759930083928</v>
      </c>
    </row>
    <row r="4" spans="2:108" s="13" customFormat="1" x14ac:dyDescent="0.25">
      <c r="B4" s="13" t="s">
        <v>41</v>
      </c>
      <c r="C4" s="13">
        <v>759.89999999999986</v>
      </c>
      <c r="D4" s="13">
        <v>1235.9000000000001</v>
      </c>
      <c r="E4" s="13">
        <v>1875.6</v>
      </c>
      <c r="F4" s="13">
        <f t="shared" ref="F4:F15" si="1">T4-E4-D4-C4</f>
        <v>2224.8000000000002</v>
      </c>
      <c r="G4" s="13">
        <v>2141.75</v>
      </c>
      <c r="H4" s="13">
        <v>2083.1999999999998</v>
      </c>
      <c r="I4" s="13">
        <v>2253.6</v>
      </c>
      <c r="J4" s="13">
        <f t="shared" ref="J4:J15" si="2">U4-I4-H4-G4</f>
        <v>2516.4499999999998</v>
      </c>
      <c r="K4" s="13">
        <v>2036</v>
      </c>
      <c r="P4" s="15"/>
      <c r="Q4" s="13">
        <v>5116.3</v>
      </c>
      <c r="R4" s="13">
        <v>5787.3649999999998</v>
      </c>
      <c r="S4" s="13">
        <v>6355.8</v>
      </c>
      <c r="T4" s="13">
        <v>6096.2</v>
      </c>
      <c r="U4" s="13">
        <v>8995</v>
      </c>
      <c r="V4" s="13">
        <f>U4*(1+V34)</f>
        <v>9624.6500000000015</v>
      </c>
      <c r="W4" s="13">
        <f t="shared" ref="W4:AG4" si="3">V4*(1+W34)</f>
        <v>9432.1570000000011</v>
      </c>
      <c r="X4" s="13">
        <f t="shared" si="3"/>
        <v>9337.835430000001</v>
      </c>
      <c r="Y4" s="13">
        <f t="shared" si="3"/>
        <v>9337.835430000001</v>
      </c>
      <c r="Z4" s="13">
        <f t="shared" si="3"/>
        <v>9431.2137843000019</v>
      </c>
      <c r="AA4" s="13">
        <f t="shared" si="3"/>
        <v>9619.8380599860029</v>
      </c>
      <c r="AB4" s="13">
        <f t="shared" si="3"/>
        <v>9812.2348211857225</v>
      </c>
      <c r="AC4" s="13">
        <f t="shared" si="3"/>
        <v>10008.479517609438</v>
      </c>
      <c r="AD4" s="13">
        <f t="shared" si="3"/>
        <v>10208.649107961626</v>
      </c>
      <c r="AE4" s="13">
        <f t="shared" si="3"/>
        <v>10412.822090120859</v>
      </c>
      <c r="AF4" s="13">
        <f t="shared" si="3"/>
        <v>10621.078531923276</v>
      </c>
      <c r="AG4" s="13">
        <f t="shared" si="3"/>
        <v>10833.500102561742</v>
      </c>
    </row>
    <row r="5" spans="2:108" s="13" customFormat="1" x14ac:dyDescent="0.25">
      <c r="B5" s="13" t="s">
        <v>42</v>
      </c>
      <c r="C5" s="13">
        <v>379.65</v>
      </c>
      <c r="D5" s="13">
        <v>591.9</v>
      </c>
      <c r="E5" s="13">
        <v>1027.8</v>
      </c>
      <c r="F5" s="13">
        <f t="shared" si="1"/>
        <v>836.6500000000002</v>
      </c>
      <c r="G5" s="13">
        <v>765.5</v>
      </c>
      <c r="H5" s="13">
        <v>1021.5</v>
      </c>
      <c r="I5" s="13">
        <v>1301.3</v>
      </c>
      <c r="J5" s="13">
        <f t="shared" si="2"/>
        <v>1254.1999999999998</v>
      </c>
      <c r="K5" s="13">
        <v>1082</v>
      </c>
      <c r="P5" s="15"/>
      <c r="Q5" s="13">
        <v>3642.3</v>
      </c>
      <c r="R5" s="13">
        <v>3869.77</v>
      </c>
      <c r="S5" s="13">
        <v>4031.4</v>
      </c>
      <c r="T5" s="13">
        <v>2836</v>
      </c>
      <c r="U5" s="13">
        <v>4342.5</v>
      </c>
      <c r="V5" s="13">
        <f>U5*(1+V35)</f>
        <v>5428.125</v>
      </c>
      <c r="W5" s="13">
        <f t="shared" ref="W5:AG5" si="4">V5*(1+W35)</f>
        <v>5862.375</v>
      </c>
      <c r="X5" s="13">
        <f t="shared" si="4"/>
        <v>6507.2362500000008</v>
      </c>
      <c r="Y5" s="13">
        <f t="shared" si="4"/>
        <v>7418.2493250000016</v>
      </c>
      <c r="Z5" s="13">
        <f t="shared" si="4"/>
        <v>8530.9867237500021</v>
      </c>
      <c r="AA5" s="13">
        <f t="shared" si="4"/>
        <v>9640.0149978375011</v>
      </c>
      <c r="AB5" s="13">
        <f t="shared" si="4"/>
        <v>10604.016497621253</v>
      </c>
      <c r="AC5" s="13">
        <f t="shared" si="4"/>
        <v>11134.217322502316</v>
      </c>
      <c r="AD5" s="13">
        <f t="shared" si="4"/>
        <v>11690.928188627433</v>
      </c>
      <c r="AE5" s="13">
        <f t="shared" si="4"/>
        <v>12275.474598058805</v>
      </c>
      <c r="AF5" s="13">
        <f t="shared" si="4"/>
        <v>12889.248327961746</v>
      </c>
      <c r="AG5" s="13">
        <f t="shared" si="4"/>
        <v>13533.710744359834</v>
      </c>
    </row>
    <row r="6" spans="2:108" s="13" customFormat="1" x14ac:dyDescent="0.25">
      <c r="B6" s="13" t="s">
        <v>43</v>
      </c>
      <c r="C6" s="13">
        <v>571.65000000000009</v>
      </c>
      <c r="D6" s="13">
        <v>880.3</v>
      </c>
      <c r="E6" s="13">
        <v>1429.1</v>
      </c>
      <c r="F6" s="13">
        <f t="shared" si="1"/>
        <v>960.95</v>
      </c>
      <c r="G6" s="13">
        <v>538.9</v>
      </c>
      <c r="H6" s="13">
        <v>1623.3</v>
      </c>
      <c r="I6" s="13">
        <v>1763.4</v>
      </c>
      <c r="J6" s="13">
        <f t="shared" si="2"/>
        <v>1803.6</v>
      </c>
      <c r="K6" s="13">
        <v>1416.9</v>
      </c>
      <c r="P6" s="15"/>
      <c r="Q6" s="13">
        <v>4856.95</v>
      </c>
      <c r="R6" s="13">
        <v>5257.8</v>
      </c>
      <c r="S6" s="13">
        <v>5665</v>
      </c>
      <c r="T6" s="13">
        <v>3842</v>
      </c>
      <c r="U6" s="13">
        <v>5729.2</v>
      </c>
      <c r="V6" s="13">
        <f>U6*(1+V36)</f>
        <v>9166.7199999999993</v>
      </c>
      <c r="W6" s="13">
        <f t="shared" ref="W6:AG6" si="5">V6*(1+W36)</f>
        <v>11458.4</v>
      </c>
      <c r="X6" s="13">
        <f t="shared" si="5"/>
        <v>14323</v>
      </c>
      <c r="Y6" s="13">
        <f t="shared" si="5"/>
        <v>17187.599999999999</v>
      </c>
      <c r="Z6" s="13">
        <f t="shared" si="5"/>
        <v>19593.864000000001</v>
      </c>
      <c r="AA6" s="13">
        <f t="shared" si="5"/>
        <v>21357.311760000004</v>
      </c>
      <c r="AB6" s="13">
        <f t="shared" si="5"/>
        <v>22852.323583200006</v>
      </c>
      <c r="AC6" s="13">
        <f t="shared" si="5"/>
        <v>24451.986234024007</v>
      </c>
      <c r="AD6" s="13">
        <f t="shared" si="5"/>
        <v>26163.62527040569</v>
      </c>
      <c r="AE6" s="13">
        <f t="shared" si="5"/>
        <v>27995.07903933409</v>
      </c>
      <c r="AF6" s="13">
        <f t="shared" si="5"/>
        <v>29954.73457208748</v>
      </c>
      <c r="AG6" s="13">
        <f t="shared" si="5"/>
        <v>32051.565992133605</v>
      </c>
    </row>
    <row r="7" spans="2:108" s="8" customFormat="1" x14ac:dyDescent="0.25">
      <c r="B7" s="8" t="s">
        <v>19</v>
      </c>
      <c r="C7" s="8">
        <v>4408.8599999999988</v>
      </c>
      <c r="D7" s="8">
        <v>6667.6</v>
      </c>
      <c r="E7" s="8">
        <v>10117.299999999999</v>
      </c>
      <c r="F7" s="8">
        <f t="shared" si="1"/>
        <v>10943.2</v>
      </c>
      <c r="G7" s="8">
        <v>10086.6</v>
      </c>
      <c r="H7" s="8">
        <v>12077</v>
      </c>
      <c r="I7" s="8">
        <v>12531.89</v>
      </c>
      <c r="J7" s="8">
        <f t="shared" si="2"/>
        <v>13854.490000000003</v>
      </c>
      <c r="K7" s="8">
        <v>11406</v>
      </c>
      <c r="P7" s="9"/>
      <c r="Q7" s="8">
        <v>35864.660000000003</v>
      </c>
      <c r="R7" s="8">
        <v>38972.9</v>
      </c>
      <c r="S7" s="8">
        <v>41716.976999999999</v>
      </c>
      <c r="T7" s="8">
        <v>32136.959999999999</v>
      </c>
      <c r="U7" s="8">
        <v>48549.98</v>
      </c>
      <c r="V7" s="8">
        <f>SUM(V3:V6)</f>
        <v>56650.872000000003</v>
      </c>
      <c r="W7" s="8">
        <f t="shared" ref="W7:AG7" si="6">SUM(W3:W6)</f>
        <v>59832.936540000002</v>
      </c>
      <c r="X7" s="8">
        <f t="shared" si="6"/>
        <v>64240.476356200001</v>
      </c>
      <c r="Y7" s="8">
        <f t="shared" si="6"/>
        <v>69038.261571486</v>
      </c>
      <c r="Z7" s="8">
        <f t="shared" si="6"/>
        <v>73703.478629030578</v>
      </c>
      <c r="AA7" s="8">
        <f t="shared" si="6"/>
        <v>77849.001362433512</v>
      </c>
      <c r="AB7" s="8">
        <f t="shared" si="6"/>
        <v>81617.366542955278</v>
      </c>
      <c r="AC7" s="8">
        <f t="shared" si="6"/>
        <v>85093.938464312509</v>
      </c>
      <c r="AD7" s="8">
        <f t="shared" si="6"/>
        <v>88747.4356188768</v>
      </c>
      <c r="AE7" s="8">
        <f t="shared" si="6"/>
        <v>92588.135770952271</v>
      </c>
      <c r="AF7" s="8">
        <f t="shared" si="6"/>
        <v>96626.964276714192</v>
      </c>
      <c r="AG7" s="8">
        <f t="shared" si="6"/>
        <v>100875.53676913911</v>
      </c>
    </row>
    <row r="8" spans="2:108" s="13" customFormat="1" x14ac:dyDescent="0.25">
      <c r="B8" s="13" t="s">
        <v>20</v>
      </c>
      <c r="C8" s="13">
        <v>4414.3999999999996</v>
      </c>
      <c r="D8" s="13">
        <v>5174.5</v>
      </c>
      <c r="E8" s="13">
        <v>7062.2849999999999</v>
      </c>
      <c r="F8" s="13">
        <f t="shared" si="1"/>
        <v>7882.6299999999992</v>
      </c>
      <c r="G8" s="13">
        <v>7255.6</v>
      </c>
      <c r="H8" s="13">
        <v>8528</v>
      </c>
      <c r="I8" s="13">
        <v>8835.5</v>
      </c>
      <c r="J8" s="13">
        <f>U8-I8-H8-G8</f>
        <v>10094.700000000003</v>
      </c>
      <c r="K8" s="13">
        <v>8223</v>
      </c>
      <c r="P8" s="15"/>
      <c r="Q8" s="13">
        <v>25502.1</v>
      </c>
      <c r="R8" s="13">
        <v>27831.200000000001</v>
      </c>
      <c r="S8" s="13">
        <v>29845.78</v>
      </c>
      <c r="T8" s="13">
        <v>24533.814999999999</v>
      </c>
      <c r="U8" s="13">
        <v>34713.800000000003</v>
      </c>
    </row>
    <row r="9" spans="2:108" s="8" customFormat="1" x14ac:dyDescent="0.25">
      <c r="B9" s="8" t="s">
        <v>21</v>
      </c>
      <c r="C9" s="8">
        <f>C7-C8</f>
        <v>-5.5400000000008731</v>
      </c>
      <c r="D9" s="8">
        <f>D7-D8</f>
        <v>1493.1000000000004</v>
      </c>
      <c r="E9" s="8">
        <f>E7-E8</f>
        <v>3055.0149999999994</v>
      </c>
      <c r="F9" s="8">
        <f>F7-F8</f>
        <v>3060.5700000000015</v>
      </c>
      <c r="G9" s="8">
        <f>G7-G8</f>
        <v>2831</v>
      </c>
      <c r="H9" s="8">
        <f>H7-H8</f>
        <v>3549</v>
      </c>
      <c r="I9" s="8">
        <f>I7-I8</f>
        <v>3696.3899999999994</v>
      </c>
      <c r="J9" s="8">
        <f>J7-J8</f>
        <v>3759.7900000000009</v>
      </c>
      <c r="K9" s="8">
        <f>K7-K8</f>
        <v>3183</v>
      </c>
      <c r="P9" s="9"/>
      <c r="Q9" s="8">
        <f>Q7-Q8</f>
        <v>10362.560000000005</v>
      </c>
      <c r="R9" s="8">
        <f>R7-R8</f>
        <v>11141.7</v>
      </c>
      <c r="S9" s="8">
        <f>S7-S8</f>
        <v>11871.197</v>
      </c>
      <c r="T9" s="8">
        <f>T7-T8</f>
        <v>7603.1450000000004</v>
      </c>
      <c r="U9" s="8">
        <f>U7-U8</f>
        <v>13836.18</v>
      </c>
      <c r="V9" s="8">
        <f>V7*V25</f>
        <v>15862.244160000002</v>
      </c>
      <c r="W9" s="8">
        <f t="shared" ref="W9:AG9" si="7">W7*W25</f>
        <v>16753.222231200001</v>
      </c>
      <c r="X9" s="8">
        <f t="shared" si="7"/>
        <v>17987.333379736003</v>
      </c>
      <c r="Y9" s="8">
        <f t="shared" si="7"/>
        <v>19330.713240016081</v>
      </c>
      <c r="Z9" s="8">
        <f t="shared" si="7"/>
        <v>20636.974016128563</v>
      </c>
      <c r="AA9" s="8">
        <f t="shared" si="7"/>
        <v>21797.720381481384</v>
      </c>
      <c r="AB9" s="8">
        <f t="shared" si="7"/>
        <v>22852.862632027482</v>
      </c>
      <c r="AC9" s="8">
        <f t="shared" si="7"/>
        <v>23826.302770007504</v>
      </c>
      <c r="AD9" s="8">
        <f t="shared" si="7"/>
        <v>24849.281973285506</v>
      </c>
      <c r="AE9" s="8">
        <f t="shared" si="7"/>
        <v>25924.678015866637</v>
      </c>
      <c r="AF9" s="8">
        <f t="shared" si="7"/>
        <v>27055.549997479975</v>
      </c>
      <c r="AG9" s="8">
        <f t="shared" si="7"/>
        <v>28245.150295358955</v>
      </c>
    </row>
    <row r="10" spans="2:108" s="13" customFormat="1" x14ac:dyDescent="0.25">
      <c r="B10" s="13" t="s">
        <v>22</v>
      </c>
      <c r="C10" s="13">
        <v>1313.8999999999999</v>
      </c>
      <c r="D10" s="13">
        <v>1527.8</v>
      </c>
      <c r="E10" s="13">
        <v>1986.1</v>
      </c>
      <c r="F10" s="13">
        <f t="shared" si="1"/>
        <v>2193.0999999999995</v>
      </c>
      <c r="G10" s="13">
        <v>2064.9899999999998</v>
      </c>
      <c r="H10" s="13">
        <v>2223.6999999999998</v>
      </c>
      <c r="I10" s="13">
        <v>2296.6489999999999</v>
      </c>
      <c r="J10" s="13">
        <f t="shared" si="2"/>
        <v>2495.8910000000005</v>
      </c>
      <c r="K10" s="13">
        <v>2094.6</v>
      </c>
      <c r="P10" s="15"/>
      <c r="Q10" s="13">
        <v>6375</v>
      </c>
      <c r="R10" s="13">
        <v>6923.6</v>
      </c>
      <c r="S10" s="13">
        <v>7454.9989999999998</v>
      </c>
      <c r="T10" s="13">
        <v>7020.9</v>
      </c>
      <c r="U10" s="13">
        <v>9081.23</v>
      </c>
      <c r="V10" s="13">
        <f>V7*V26</f>
        <v>10197.15696</v>
      </c>
      <c r="W10" s="13">
        <f t="shared" ref="W10:AG10" si="8">W7*W26</f>
        <v>10769.9285772</v>
      </c>
      <c r="X10" s="13">
        <f t="shared" si="8"/>
        <v>11563.285744115999</v>
      </c>
      <c r="Y10" s="13">
        <f t="shared" si="8"/>
        <v>12426.887082867479</v>
      </c>
      <c r="Z10" s="13">
        <f t="shared" si="8"/>
        <v>12529.591366935199</v>
      </c>
      <c r="AA10" s="13">
        <f t="shared" si="8"/>
        <v>13234.330231613698</v>
      </c>
      <c r="AB10" s="13">
        <f t="shared" si="8"/>
        <v>13874.952312302399</v>
      </c>
      <c r="AC10" s="13">
        <f t="shared" si="8"/>
        <v>14465.969538933128</v>
      </c>
      <c r="AD10" s="13">
        <f t="shared" si="8"/>
        <v>14199.589699020289</v>
      </c>
      <c r="AE10" s="13">
        <f t="shared" si="8"/>
        <v>14814.101723352363</v>
      </c>
      <c r="AF10" s="13">
        <f t="shared" si="8"/>
        <v>15460.314284274271</v>
      </c>
      <c r="AG10" s="13">
        <f t="shared" si="8"/>
        <v>16140.085883062258</v>
      </c>
    </row>
    <row r="11" spans="2:108" s="13" customFormat="1" x14ac:dyDescent="0.25">
      <c r="B11" s="13" t="s">
        <v>32</v>
      </c>
      <c r="C11" s="13">
        <v>0</v>
      </c>
      <c r="D11" s="13">
        <v>0</v>
      </c>
      <c r="E11" s="13">
        <v>0</v>
      </c>
      <c r="F11" s="13">
        <f t="shared" si="1"/>
        <v>312.2</v>
      </c>
      <c r="G11" s="13">
        <v>0</v>
      </c>
      <c r="H11" s="13">
        <v>242.3</v>
      </c>
      <c r="I11" s="13">
        <v>0</v>
      </c>
      <c r="J11" s="13">
        <f t="shared" si="2"/>
        <v>-0.10000000000002274</v>
      </c>
      <c r="K11" s="13">
        <v>217.6</v>
      </c>
      <c r="P11" s="15"/>
      <c r="Q11" s="13">
        <v>99.25</v>
      </c>
      <c r="R11" s="13">
        <v>36.122</v>
      </c>
      <c r="S11" s="13">
        <v>0</v>
      </c>
      <c r="T11" s="13">
        <v>312.2</v>
      </c>
      <c r="U11" s="13">
        <v>242.2</v>
      </c>
    </row>
    <row r="12" spans="2:108" s="8" customFormat="1" x14ac:dyDescent="0.25">
      <c r="B12" s="8" t="s">
        <v>23</v>
      </c>
      <c r="C12" s="8">
        <f>+C9-C10-C11</f>
        <v>-1319.4400000000007</v>
      </c>
      <c r="D12" s="8">
        <f>+D9-D10-D11</f>
        <v>-34.699999999999591</v>
      </c>
      <c r="E12" s="8">
        <f>+E9-E10-E11</f>
        <v>1068.9149999999995</v>
      </c>
      <c r="F12" s="8">
        <f>+F9-F10-F11</f>
        <v>555.27000000000203</v>
      </c>
      <c r="G12" s="8">
        <f>+G9-G10-G11</f>
        <v>766.01000000000022</v>
      </c>
      <c r="H12" s="8">
        <f>+H9-H10-H11</f>
        <v>1083.0000000000002</v>
      </c>
      <c r="I12" s="8">
        <f>+I9-I10-I11</f>
        <v>1399.7409999999995</v>
      </c>
      <c r="J12" s="8">
        <f>+J9-J10-J11</f>
        <v>1263.9990000000003</v>
      </c>
      <c r="K12" s="8">
        <f>+K9-K10-K11</f>
        <v>870.80000000000007</v>
      </c>
      <c r="P12" s="9"/>
      <c r="Q12" s="8">
        <f>+Q9-Q10-Q11</f>
        <v>3888.3100000000049</v>
      </c>
      <c r="R12" s="8">
        <f>+R9-R10-R11</f>
        <v>4181.9780000000001</v>
      </c>
      <c r="S12" s="8">
        <f>+S9-S10-S11</f>
        <v>4416.1980000000003</v>
      </c>
      <c r="T12" s="8">
        <f>+T9-T10-T11</f>
        <v>270.04500000000081</v>
      </c>
      <c r="U12" s="8">
        <f>+U9-U10-U11</f>
        <v>4512.7500000000009</v>
      </c>
      <c r="V12" s="8">
        <f>+V9-V10-V11</f>
        <v>5665.0872000000018</v>
      </c>
      <c r="W12" s="8">
        <f t="shared" ref="W12:AG12" si="9">+W9-W10-W11</f>
        <v>5983.293654000001</v>
      </c>
      <c r="X12" s="8">
        <f t="shared" si="9"/>
        <v>6424.0476356200033</v>
      </c>
      <c r="Y12" s="8">
        <f t="shared" si="9"/>
        <v>6903.8261571486019</v>
      </c>
      <c r="Z12" s="8">
        <f t="shared" si="9"/>
        <v>8107.3826491933632</v>
      </c>
      <c r="AA12" s="8">
        <f t="shared" si="9"/>
        <v>8563.390149867686</v>
      </c>
      <c r="AB12" s="8">
        <f t="shared" si="9"/>
        <v>8977.9103197250824</v>
      </c>
      <c r="AC12" s="8">
        <f t="shared" si="9"/>
        <v>9360.3332310743754</v>
      </c>
      <c r="AD12" s="8">
        <f t="shared" si="9"/>
        <v>10649.692274265217</v>
      </c>
      <c r="AE12" s="8">
        <f t="shared" si="9"/>
        <v>11110.576292514274</v>
      </c>
      <c r="AF12" s="8">
        <f t="shared" si="9"/>
        <v>11595.235713205704</v>
      </c>
      <c r="AG12" s="8">
        <f t="shared" si="9"/>
        <v>12105.064412296697</v>
      </c>
    </row>
    <row r="13" spans="2:108" s="13" customFormat="1" x14ac:dyDescent="0.25">
      <c r="B13" s="13" t="s">
        <v>24</v>
      </c>
      <c r="C13" s="13">
        <v>23.370000000000005</v>
      </c>
      <c r="D13" s="13">
        <v>57.33</v>
      </c>
      <c r="E13" s="13">
        <v>53</v>
      </c>
      <c r="F13" s="13">
        <f t="shared" si="1"/>
        <v>46.999999999999986</v>
      </c>
      <c r="G13" s="13">
        <v>44.688000000000002</v>
      </c>
      <c r="H13" s="13">
        <v>28.66</v>
      </c>
      <c r="I13" s="13">
        <v>20.67</v>
      </c>
      <c r="J13" s="13">
        <f t="shared" si="2"/>
        <v>21.057999999999993</v>
      </c>
      <c r="K13" s="13">
        <v>18.8</v>
      </c>
      <c r="P13" s="15"/>
      <c r="Q13" s="13">
        <v>31.6</v>
      </c>
      <c r="R13" s="13">
        <v>8.86</v>
      </c>
      <c r="S13" s="13">
        <v>10</v>
      </c>
      <c r="T13" s="13">
        <v>180.7</v>
      </c>
      <c r="U13" s="13">
        <v>115.07599999999999</v>
      </c>
      <c r="V13" s="13">
        <f>U23*V38</f>
        <v>141.30618749999999</v>
      </c>
      <c r="W13" s="13">
        <f t="shared" ref="W13:AG13" si="10">V23*W38</f>
        <v>-21.926770507499995</v>
      </c>
      <c r="X13" s="13">
        <f t="shared" si="10"/>
        <v>22.511860633855513</v>
      </c>
      <c r="Y13" s="13">
        <f t="shared" si="10"/>
        <v>69.883225368753003</v>
      </c>
      <c r="Z13" s="13">
        <f t="shared" si="10"/>
        <v>120.45440306392389</v>
      </c>
      <c r="AA13" s="13">
        <f t="shared" si="10"/>
        <v>179.55767208528175</v>
      </c>
      <c r="AB13" s="13">
        <f t="shared" si="10"/>
        <v>241.59803242087153</v>
      </c>
      <c r="AC13" s="13">
        <f t="shared" si="10"/>
        <v>306.2467433469227</v>
      </c>
      <c r="AD13" s="13">
        <f t="shared" si="10"/>
        <v>373.24698335610577</v>
      </c>
      <c r="AE13" s="13">
        <f t="shared" si="10"/>
        <v>449.29267850883321</v>
      </c>
      <c r="AF13" s="13">
        <f t="shared" si="10"/>
        <v>528.18617725247339</v>
      </c>
      <c r="AG13" s="13">
        <f t="shared" si="10"/>
        <v>610.08234381852731</v>
      </c>
    </row>
    <row r="14" spans="2:108" s="8" customFormat="1" x14ac:dyDescent="0.25">
      <c r="B14" s="8" t="s">
        <v>39</v>
      </c>
      <c r="C14" s="8">
        <f t="shared" ref="C14:J14" si="11">C12-C13</f>
        <v>-1342.8100000000009</v>
      </c>
      <c r="D14" s="8">
        <f t="shared" si="11"/>
        <v>-92.029999999999589</v>
      </c>
      <c r="E14" s="8">
        <f t="shared" si="11"/>
        <v>1015.9149999999995</v>
      </c>
      <c r="F14" s="8">
        <f t="shared" si="11"/>
        <v>508.27000000000203</v>
      </c>
      <c r="G14" s="8">
        <f t="shared" si="11"/>
        <v>721.32200000000023</v>
      </c>
      <c r="H14" s="8">
        <f t="shared" si="11"/>
        <v>1054.3400000000001</v>
      </c>
      <c r="I14" s="8">
        <f t="shared" si="11"/>
        <v>1379.0709999999995</v>
      </c>
      <c r="J14" s="8">
        <f t="shared" si="11"/>
        <v>1242.9410000000003</v>
      </c>
      <c r="K14" s="8">
        <f t="shared" ref="K14" si="12">K12-K13</f>
        <v>852.00000000000011</v>
      </c>
      <c r="P14" s="9"/>
      <c r="Q14" s="8">
        <f t="shared" ref="Q14:T14" si="13">Q12-Q13</f>
        <v>3856.710000000005</v>
      </c>
      <c r="R14" s="8">
        <f t="shared" si="13"/>
        <v>4173.1180000000004</v>
      </c>
      <c r="S14" s="8">
        <f t="shared" si="13"/>
        <v>4406.1980000000003</v>
      </c>
      <c r="T14" s="8">
        <f t="shared" si="13"/>
        <v>89.345000000000823</v>
      </c>
      <c r="U14" s="8">
        <f>U12-U13</f>
        <v>4397.6740000000009</v>
      </c>
      <c r="V14" s="8">
        <f t="shared" ref="V14:AG14" si="14">V12-V13</f>
        <v>5523.7810125000015</v>
      </c>
      <c r="W14" s="8">
        <f t="shared" si="14"/>
        <v>6005.2204245075009</v>
      </c>
      <c r="X14" s="8">
        <f t="shared" si="14"/>
        <v>6401.5357749861478</v>
      </c>
      <c r="Y14" s="8">
        <f t="shared" si="14"/>
        <v>6833.9429317798485</v>
      </c>
      <c r="Z14" s="8">
        <f t="shared" si="14"/>
        <v>7986.9282461294397</v>
      </c>
      <c r="AA14" s="8">
        <f t="shared" si="14"/>
        <v>8383.8324777824037</v>
      </c>
      <c r="AB14" s="8">
        <f t="shared" si="14"/>
        <v>8736.3122873042103</v>
      </c>
      <c r="AC14" s="8">
        <f t="shared" si="14"/>
        <v>9054.0864877274525</v>
      </c>
      <c r="AD14" s="8">
        <f t="shared" si="14"/>
        <v>10276.445290909111</v>
      </c>
      <c r="AE14" s="8">
        <f t="shared" si="14"/>
        <v>10661.283614005441</v>
      </c>
      <c r="AF14" s="8">
        <f t="shared" si="14"/>
        <v>11067.049535953231</v>
      </c>
      <c r="AG14" s="8">
        <f t="shared" si="14"/>
        <v>11494.98206847817</v>
      </c>
    </row>
    <row r="15" spans="2:108" s="13" customFormat="1" x14ac:dyDescent="0.25">
      <c r="B15" s="13" t="s">
        <v>33</v>
      </c>
      <c r="C15" s="13">
        <v>-455.2</v>
      </c>
      <c r="D15" s="13">
        <v>122.2</v>
      </c>
      <c r="E15" s="13">
        <v>149.33000000000001</v>
      </c>
      <c r="F15" s="13">
        <f t="shared" si="1"/>
        <v>182.46999999999997</v>
      </c>
      <c r="G15" s="13">
        <v>187.416</v>
      </c>
      <c r="H15" s="13">
        <v>268.64999999999998</v>
      </c>
      <c r="I15" s="13">
        <v>356</v>
      </c>
      <c r="J15" s="13">
        <f t="shared" si="2"/>
        <v>302.72399999999999</v>
      </c>
      <c r="K15" s="13">
        <v>264.80200000000002</v>
      </c>
      <c r="P15" s="15"/>
      <c r="Q15" s="13">
        <v>1248.6400000000001</v>
      </c>
      <c r="R15" s="13">
        <v>1113.4000000000001</v>
      </c>
      <c r="S15" s="13">
        <v>1133.99</v>
      </c>
      <c r="T15" s="13">
        <v>-1.2</v>
      </c>
      <c r="U15" s="13">
        <v>1114.79</v>
      </c>
      <c r="V15" s="13">
        <f>+V14*V28</f>
        <v>1436.1830632500005</v>
      </c>
      <c r="W15" s="13">
        <f t="shared" ref="W15:AG15" si="15">+W14*W28</f>
        <v>1561.3573103719502</v>
      </c>
      <c r="X15" s="13">
        <f t="shared" si="15"/>
        <v>1664.3993014963985</v>
      </c>
      <c r="Y15" s="13">
        <f t="shared" si="15"/>
        <v>1776.8251622627606</v>
      </c>
      <c r="Z15" s="13">
        <f t="shared" si="15"/>
        <v>2076.6013439936546</v>
      </c>
      <c r="AA15" s="13">
        <f t="shared" si="15"/>
        <v>2179.7964442234252</v>
      </c>
      <c r="AB15" s="13">
        <f t="shared" si="15"/>
        <v>2271.4411946990949</v>
      </c>
      <c r="AC15" s="13">
        <f t="shared" si="15"/>
        <v>2354.0624868091377</v>
      </c>
      <c r="AD15" s="13">
        <f t="shared" si="15"/>
        <v>2671.8757756363689</v>
      </c>
      <c r="AE15" s="13">
        <f t="shared" si="15"/>
        <v>2771.9337396414148</v>
      </c>
      <c r="AF15" s="13">
        <f t="shared" si="15"/>
        <v>2877.4328793478398</v>
      </c>
      <c r="AG15" s="13">
        <f t="shared" si="15"/>
        <v>2988.6953378043245</v>
      </c>
    </row>
    <row r="16" spans="2:108" s="8" customFormat="1" x14ac:dyDescent="0.25">
      <c r="B16" s="8" t="s">
        <v>25</v>
      </c>
      <c r="C16" s="8">
        <f>+C12-C13-C15</f>
        <v>-887.61000000000081</v>
      </c>
      <c r="D16" s="8">
        <f>+D12-D13-D15</f>
        <v>-214.22999999999959</v>
      </c>
      <c r="E16" s="8">
        <f>+E12-E13-E15</f>
        <v>866.58499999999947</v>
      </c>
      <c r="F16" s="8">
        <f>+F12-F13-F15</f>
        <v>325.80000000000206</v>
      </c>
      <c r="G16" s="8">
        <f>+G12-G13-G15</f>
        <v>533.90600000000018</v>
      </c>
      <c r="H16" s="8">
        <f>+H12-H13-H15</f>
        <v>785.69000000000017</v>
      </c>
      <c r="I16" s="8">
        <f>+I12-I13-I15</f>
        <v>1023.0709999999995</v>
      </c>
      <c r="J16" s="8">
        <f>+J12-J13-J15</f>
        <v>940.21700000000033</v>
      </c>
      <c r="K16" s="8">
        <f>+K12-K13-K15</f>
        <v>587.19800000000009</v>
      </c>
      <c r="P16" s="9"/>
      <c r="Q16" s="8">
        <f>+Q12-Q13-Q15</f>
        <v>2608.0700000000052</v>
      </c>
      <c r="R16" s="8">
        <f>+R12-R13-R15</f>
        <v>3059.7180000000003</v>
      </c>
      <c r="S16" s="8">
        <f>+S12-S13-S15</f>
        <v>3272.2080000000005</v>
      </c>
      <c r="T16" s="8">
        <f>+T12-T13-T15</f>
        <v>90.545000000000826</v>
      </c>
      <c r="U16" s="8">
        <f>+U12-U13-U15</f>
        <v>3282.8840000000009</v>
      </c>
      <c r="V16" s="8">
        <f t="shared" ref="V16:AG16" si="16">+V12-V13-V15</f>
        <v>4087.597949250001</v>
      </c>
      <c r="W16" s="8">
        <f t="shared" si="16"/>
        <v>4443.8631141355509</v>
      </c>
      <c r="X16" s="8">
        <f t="shared" si="16"/>
        <v>4737.1364734897488</v>
      </c>
      <c r="Y16" s="8">
        <f t="shared" si="16"/>
        <v>5057.1177695170882</v>
      </c>
      <c r="Z16" s="8">
        <f t="shared" si="16"/>
        <v>5910.3269021357846</v>
      </c>
      <c r="AA16" s="8">
        <f t="shared" si="16"/>
        <v>6204.0360335589785</v>
      </c>
      <c r="AB16" s="8">
        <f t="shared" si="16"/>
        <v>6464.8710926051153</v>
      </c>
      <c r="AC16" s="8">
        <f t="shared" si="16"/>
        <v>6700.0240009183144</v>
      </c>
      <c r="AD16" s="8">
        <f t="shared" si="16"/>
        <v>7604.5695152727421</v>
      </c>
      <c r="AE16" s="8">
        <f t="shared" si="16"/>
        <v>7889.3498743640257</v>
      </c>
      <c r="AF16" s="8">
        <f t="shared" si="16"/>
        <v>8189.6166566053907</v>
      </c>
      <c r="AG16" s="8">
        <f t="shared" si="16"/>
        <v>8506.2867306738444</v>
      </c>
      <c r="AH16" s="8">
        <f>AG16*(1+$AK$39)</f>
        <v>8378.6924297137375</v>
      </c>
      <c r="AI16" s="8">
        <f t="shared" ref="AI16:CT16" si="17">AH16*(1+$AK$39)</f>
        <v>8253.0120432680305</v>
      </c>
      <c r="AJ16" s="8">
        <f t="shared" si="17"/>
        <v>8129.2168626190096</v>
      </c>
      <c r="AK16" s="8">
        <f t="shared" si="17"/>
        <v>8007.2786096797245</v>
      </c>
      <c r="AL16" s="8">
        <f t="shared" si="17"/>
        <v>7887.1694305345281</v>
      </c>
      <c r="AM16" s="8">
        <f t="shared" si="17"/>
        <v>7768.8618890765101</v>
      </c>
      <c r="AN16" s="8">
        <f t="shared" si="17"/>
        <v>7652.3289607403622</v>
      </c>
      <c r="AO16" s="8">
        <f t="shared" si="17"/>
        <v>7537.5440263292567</v>
      </c>
      <c r="AP16" s="8">
        <f t="shared" si="17"/>
        <v>7424.480865934318</v>
      </c>
      <c r="AQ16" s="8">
        <f t="shared" si="17"/>
        <v>7313.1136529453033</v>
      </c>
      <c r="AR16" s="8">
        <f t="shared" si="17"/>
        <v>7203.4169481511235</v>
      </c>
      <c r="AS16" s="8">
        <f t="shared" si="17"/>
        <v>7095.3656939288567</v>
      </c>
      <c r="AT16" s="8">
        <f t="shared" si="17"/>
        <v>6988.9352085199234</v>
      </c>
      <c r="AU16" s="8">
        <f t="shared" si="17"/>
        <v>6884.1011803921247</v>
      </c>
      <c r="AV16" s="8">
        <f t="shared" si="17"/>
        <v>6780.8396626862423</v>
      </c>
      <c r="AW16" s="8">
        <f t="shared" si="17"/>
        <v>6679.1270677459488</v>
      </c>
      <c r="AX16" s="8">
        <f t="shared" si="17"/>
        <v>6578.9401617297599</v>
      </c>
      <c r="AY16" s="8">
        <f t="shared" si="17"/>
        <v>6480.2560593038133</v>
      </c>
      <c r="AZ16" s="8">
        <f t="shared" si="17"/>
        <v>6383.0522184142565</v>
      </c>
      <c r="BA16" s="8">
        <f t="shared" si="17"/>
        <v>6287.3064351380426</v>
      </c>
      <c r="BB16" s="8">
        <f t="shared" si="17"/>
        <v>6192.9968386109722</v>
      </c>
      <c r="BC16" s="8">
        <f t="shared" si="17"/>
        <v>6100.1018860318072</v>
      </c>
      <c r="BD16" s="8">
        <f t="shared" si="17"/>
        <v>6008.6003577413303</v>
      </c>
      <c r="BE16" s="8">
        <f t="shared" si="17"/>
        <v>5918.4713523752107</v>
      </c>
      <c r="BF16" s="8">
        <f t="shared" si="17"/>
        <v>5829.6942820895829</v>
      </c>
      <c r="BG16" s="8">
        <f t="shared" si="17"/>
        <v>5742.2488678582395</v>
      </c>
      <c r="BH16" s="8">
        <f t="shared" si="17"/>
        <v>5656.1151348403655</v>
      </c>
      <c r="BI16" s="8">
        <f t="shared" si="17"/>
        <v>5571.27340781776</v>
      </c>
      <c r="BJ16" s="8">
        <f t="shared" si="17"/>
        <v>5487.7043067004934</v>
      </c>
      <c r="BK16" s="8">
        <f t="shared" si="17"/>
        <v>5405.3887420999863</v>
      </c>
      <c r="BL16" s="8">
        <f t="shared" si="17"/>
        <v>5324.3079109684868</v>
      </c>
      <c r="BM16" s="8">
        <f t="shared" si="17"/>
        <v>5244.4432923039594</v>
      </c>
      <c r="BN16" s="8">
        <f t="shared" si="17"/>
        <v>5165.7766429193998</v>
      </c>
      <c r="BO16" s="8">
        <f t="shared" si="17"/>
        <v>5088.289993275609</v>
      </c>
      <c r="BP16" s="8">
        <f t="shared" si="17"/>
        <v>5011.9656433764749</v>
      </c>
      <c r="BQ16" s="8">
        <f t="shared" si="17"/>
        <v>4936.7861587258276</v>
      </c>
      <c r="BR16" s="8">
        <f t="shared" si="17"/>
        <v>4862.7343663449401</v>
      </c>
      <c r="BS16" s="8">
        <f t="shared" si="17"/>
        <v>4789.7933508497663</v>
      </c>
      <c r="BT16" s="8">
        <f t="shared" si="17"/>
        <v>4717.9464505870201</v>
      </c>
      <c r="BU16" s="8">
        <f t="shared" si="17"/>
        <v>4647.1772538282148</v>
      </c>
      <c r="BV16" s="8">
        <f t="shared" si="17"/>
        <v>4577.4695950207915</v>
      </c>
      <c r="BW16" s="8">
        <f t="shared" si="17"/>
        <v>4508.8075510954795</v>
      </c>
      <c r="BX16" s="8">
        <f t="shared" si="17"/>
        <v>4441.175437829047</v>
      </c>
      <c r="BY16" s="8">
        <f t="shared" si="17"/>
        <v>4374.5578062616114</v>
      </c>
      <c r="BZ16" s="8">
        <f t="shared" si="17"/>
        <v>4308.9394391676869</v>
      </c>
      <c r="CA16" s="8">
        <f t="shared" si="17"/>
        <v>4244.3053475801717</v>
      </c>
      <c r="CB16" s="8">
        <f t="shared" si="17"/>
        <v>4180.6407673664689</v>
      </c>
      <c r="CC16" s="8">
        <f t="shared" si="17"/>
        <v>4117.9311558559721</v>
      </c>
      <c r="CD16" s="8">
        <f t="shared" si="17"/>
        <v>4056.1621885181326</v>
      </c>
      <c r="CE16" s="8">
        <f t="shared" si="17"/>
        <v>3995.3197556903606</v>
      </c>
      <c r="CF16" s="8">
        <f t="shared" si="17"/>
        <v>3935.389959355005</v>
      </c>
      <c r="CG16" s="8">
        <f t="shared" si="17"/>
        <v>3876.3591099646796</v>
      </c>
      <c r="CH16" s="8">
        <f t="shared" si="17"/>
        <v>3818.2137233152093</v>
      </c>
      <c r="CI16" s="8">
        <f t="shared" si="17"/>
        <v>3760.9405174654812</v>
      </c>
      <c r="CJ16" s="8">
        <f t="shared" si="17"/>
        <v>3704.5264097034988</v>
      </c>
      <c r="CK16" s="8">
        <f t="shared" si="17"/>
        <v>3648.9585135579464</v>
      </c>
      <c r="CL16" s="8">
        <f t="shared" si="17"/>
        <v>3594.2241358545771</v>
      </c>
      <c r="CM16" s="8">
        <f t="shared" si="17"/>
        <v>3540.3107738167582</v>
      </c>
      <c r="CN16" s="8">
        <f t="shared" si="17"/>
        <v>3487.206112209507</v>
      </c>
      <c r="CO16" s="8">
        <f t="shared" si="17"/>
        <v>3434.8980205263642</v>
      </c>
      <c r="CP16" s="8">
        <f t="shared" si="17"/>
        <v>3383.3745502184688</v>
      </c>
      <c r="CQ16" s="8">
        <f t="shared" si="17"/>
        <v>3332.6239319651918</v>
      </c>
      <c r="CR16" s="8">
        <f t="shared" si="17"/>
        <v>3282.6345729857139</v>
      </c>
      <c r="CS16" s="8">
        <f t="shared" si="17"/>
        <v>3233.3950543909282</v>
      </c>
      <c r="CT16" s="8">
        <f t="shared" si="17"/>
        <v>3184.8941285750643</v>
      </c>
      <c r="CU16" s="8">
        <f t="shared" ref="CU16:DD16" si="18">CT16*(1+$AK$39)</f>
        <v>3137.1207166464383</v>
      </c>
      <c r="CV16" s="8">
        <f t="shared" si="18"/>
        <v>3090.0639058967417</v>
      </c>
      <c r="CW16" s="8">
        <f t="shared" si="18"/>
        <v>3043.7129473082905</v>
      </c>
      <c r="CX16" s="8">
        <f t="shared" si="18"/>
        <v>2998.057253098666</v>
      </c>
      <c r="CY16" s="8">
        <f t="shared" si="18"/>
        <v>2953.0863943021859</v>
      </c>
      <c r="CZ16" s="8">
        <f t="shared" si="18"/>
        <v>2908.790098387653</v>
      </c>
      <c r="DA16" s="8">
        <f t="shared" si="18"/>
        <v>2865.158246911838</v>
      </c>
      <c r="DB16" s="8">
        <f t="shared" si="18"/>
        <v>2822.1808732081604</v>
      </c>
      <c r="DC16" s="8">
        <f t="shared" si="18"/>
        <v>2779.848160110038</v>
      </c>
      <c r="DD16" s="8">
        <f t="shared" si="18"/>
        <v>2738.1504377083875</v>
      </c>
    </row>
    <row r="17" spans="2:33" s="13" customFormat="1" x14ac:dyDescent="0.25">
      <c r="B17" s="13" t="s">
        <v>1</v>
      </c>
      <c r="C17" s="13">
        <v>1198.2</v>
      </c>
      <c r="D17" s="13">
        <v>1198.5999999999999</v>
      </c>
      <c r="E17" s="13">
        <v>1200</v>
      </c>
      <c r="F17" s="13">
        <v>1200</v>
      </c>
      <c r="G17" s="13">
        <v>1205.4390000000001</v>
      </c>
      <c r="H17" s="13">
        <v>1205</v>
      </c>
      <c r="I17" s="13">
        <v>1200.6600000000001</v>
      </c>
      <c r="J17" s="13">
        <v>1200.6600000000001</v>
      </c>
      <c r="K17" s="13">
        <v>1177.1410000000001</v>
      </c>
      <c r="P17" s="15"/>
      <c r="Q17" s="13">
        <v>1273.6500000000001</v>
      </c>
      <c r="R17" s="13">
        <v>1241.1500000000001</v>
      </c>
      <c r="S17" s="13">
        <v>1208.163</v>
      </c>
      <c r="T17" s="13">
        <v>1199.9269999999999</v>
      </c>
      <c r="U17" s="13">
        <v>1199.99</v>
      </c>
    </row>
    <row r="18" spans="2:33" s="10" customFormat="1" x14ac:dyDescent="0.25">
      <c r="B18" s="10" t="s">
        <v>26</v>
      </c>
      <c r="C18" s="10">
        <f>+C16/C17</f>
        <v>-0.740786179268904</v>
      </c>
      <c r="D18" s="10">
        <f>+D16/D17</f>
        <v>-0.17873352244284965</v>
      </c>
      <c r="E18" s="10">
        <f>+E16/E17</f>
        <v>0.72215416666666621</v>
      </c>
      <c r="F18" s="10">
        <f>+F16/F17</f>
        <v>0.27150000000000174</v>
      </c>
      <c r="G18" s="10">
        <f>+G16/G17</f>
        <v>0.44291415824442393</v>
      </c>
      <c r="H18" s="10">
        <f>+H16/H17</f>
        <v>0.65202489626556026</v>
      </c>
      <c r="I18" s="10">
        <f>+I16/I17</f>
        <v>0.8520905168823808</v>
      </c>
      <c r="J18" s="10">
        <f>+J16/J17</f>
        <v>0.78308347075775009</v>
      </c>
      <c r="K18" s="10">
        <f>+K16/K17</f>
        <v>0.49883403942263504</v>
      </c>
      <c r="P18" s="11"/>
      <c r="Q18" s="10">
        <f>+Q16/Q17</f>
        <v>2.0477132650257173</v>
      </c>
      <c r="R18" s="10">
        <f>+R16/R17</f>
        <v>2.4652282157676351</v>
      </c>
      <c r="S18" s="10">
        <f>+S16/S17</f>
        <v>2.7084160001589193</v>
      </c>
      <c r="T18" s="10">
        <f>+T16/T17</f>
        <v>7.5458757074389385E-2</v>
      </c>
      <c r="U18" s="10">
        <f>+U16/U17</f>
        <v>2.7357594646622063</v>
      </c>
    </row>
    <row r="19" spans="2:33" s="13" customFormat="1" x14ac:dyDescent="0.25">
      <c r="P19" s="15"/>
    </row>
    <row r="20" spans="2:33" s="13" customFormat="1" x14ac:dyDescent="0.25">
      <c r="B20" s="13" t="s">
        <v>3</v>
      </c>
      <c r="J20" s="13">
        <v>6226.7650000000003</v>
      </c>
      <c r="K20" s="13">
        <v>4295.0680000000002</v>
      </c>
      <c r="P20" s="15"/>
      <c r="R20" s="13">
        <v>3030.2289999999998</v>
      </c>
      <c r="S20" s="13">
        <v>3216.75</v>
      </c>
      <c r="T20" s="13">
        <v>10469.6</v>
      </c>
      <c r="U20" s="13">
        <v>6226.7650000000003</v>
      </c>
    </row>
    <row r="21" spans="2:33" s="13" customFormat="1" x14ac:dyDescent="0.25">
      <c r="B21" s="13" t="s">
        <v>35</v>
      </c>
      <c r="J21" s="13">
        <v>5961.6</v>
      </c>
      <c r="K21" s="13">
        <v>6989.8</v>
      </c>
      <c r="P21" s="15"/>
      <c r="R21" s="13">
        <v>4579</v>
      </c>
      <c r="S21" s="13">
        <v>4872.6000000000004</v>
      </c>
      <c r="T21" s="13">
        <v>4337.3999999999996</v>
      </c>
      <c r="U21" s="13">
        <v>5961.6</v>
      </c>
    </row>
    <row r="22" spans="2:33" s="13" customFormat="1" x14ac:dyDescent="0.25">
      <c r="B22" s="13" t="s">
        <v>4</v>
      </c>
      <c r="J22" s="13">
        <f>1576.6+7575.6+3354.84</f>
        <v>12507.04</v>
      </c>
      <c r="K22" s="13">
        <f>1575.6+7777+3355.8</f>
        <v>12708.400000000001</v>
      </c>
      <c r="P22" s="15"/>
      <c r="R22" s="13">
        <f>2233.6+0</f>
        <v>2233.6</v>
      </c>
      <c r="S22" s="13">
        <f>1411.2+7816.6+2236.6</f>
        <v>11464.400000000001</v>
      </c>
      <c r="T22" s="13">
        <f>1677.6+749.7+7743.2+5332.92</f>
        <v>15503.42</v>
      </c>
      <c r="U22" s="13">
        <f>1576.6+7575.6+3354.84</f>
        <v>12507.04</v>
      </c>
    </row>
    <row r="23" spans="2:33" s="8" customFormat="1" x14ac:dyDescent="0.25">
      <c r="B23" s="8" t="s">
        <v>27</v>
      </c>
      <c r="J23" s="8">
        <f t="shared" ref="J23" si="19">J20-J22</f>
        <v>-6280.2750000000005</v>
      </c>
      <c r="K23" s="8">
        <f>K20-K22</f>
        <v>-8413.3320000000022</v>
      </c>
      <c r="P23" s="9"/>
      <c r="R23" s="8">
        <f>R20-R22</f>
        <v>796.62899999999991</v>
      </c>
      <c r="S23" s="8">
        <f t="shared" ref="S23:U23" si="20">S20-S22</f>
        <v>-8247.6500000000015</v>
      </c>
      <c r="T23" s="8">
        <f t="shared" si="20"/>
        <v>-5033.82</v>
      </c>
      <c r="U23" s="8">
        <f t="shared" si="20"/>
        <v>-6280.2750000000005</v>
      </c>
      <c r="V23" s="8">
        <f>U23+V16</f>
        <v>-2192.6770507499996</v>
      </c>
      <c r="W23" s="8">
        <f t="shared" ref="W23:AG23" si="21">V23+W16</f>
        <v>2251.1860633855513</v>
      </c>
      <c r="X23" s="8">
        <f t="shared" si="21"/>
        <v>6988.3225368753001</v>
      </c>
      <c r="Y23" s="8">
        <f t="shared" si="21"/>
        <v>12045.440306392389</v>
      </c>
      <c r="Z23" s="8">
        <f t="shared" si="21"/>
        <v>17955.767208528174</v>
      </c>
      <c r="AA23" s="8">
        <f t="shared" si="21"/>
        <v>24159.803242087153</v>
      </c>
      <c r="AB23" s="8">
        <f t="shared" si="21"/>
        <v>30624.674334692267</v>
      </c>
      <c r="AC23" s="8">
        <f t="shared" si="21"/>
        <v>37324.698335610577</v>
      </c>
      <c r="AD23" s="8">
        <f t="shared" si="21"/>
        <v>44929.26785088332</v>
      </c>
      <c r="AE23" s="8">
        <f t="shared" si="21"/>
        <v>52818.617725247343</v>
      </c>
      <c r="AF23" s="8">
        <f t="shared" si="21"/>
        <v>61008.23438185273</v>
      </c>
      <c r="AG23" s="8">
        <f t="shared" si="21"/>
        <v>69514.521112526578</v>
      </c>
    </row>
    <row r="24" spans="2:33" s="13" customFormat="1" x14ac:dyDescent="0.25">
      <c r="P24" s="15"/>
    </row>
    <row r="25" spans="2:33" s="17" customFormat="1" x14ac:dyDescent="0.25">
      <c r="B25" s="17" t="s">
        <v>28</v>
      </c>
      <c r="C25" s="17">
        <f t="shared" ref="C25:H25" si="22">C9/C7</f>
        <v>-1.2565606528673794E-3</v>
      </c>
      <c r="D25" s="17">
        <f t="shared" si="22"/>
        <v>0.22393364928909956</v>
      </c>
      <c r="E25" s="17">
        <f t="shared" si="22"/>
        <v>0.30195951489033634</v>
      </c>
      <c r="F25" s="17">
        <f t="shared" si="22"/>
        <v>0.27967779077417954</v>
      </c>
      <c r="G25" s="17">
        <f t="shared" si="22"/>
        <v>0.28066940297027737</v>
      </c>
      <c r="H25" s="17">
        <f t="shared" si="22"/>
        <v>0.29386437029063511</v>
      </c>
      <c r="I25" s="17">
        <f t="shared" ref="I25" si="23">I9/I7</f>
        <v>0.29495870136108754</v>
      </c>
      <c r="J25" s="17">
        <f t="shared" ref="J25:K25" si="24">J9/J7</f>
        <v>0.27137700485546562</v>
      </c>
      <c r="K25" s="17">
        <f t="shared" si="24"/>
        <v>0.27906365071015254</v>
      </c>
      <c r="P25" s="18"/>
      <c r="Q25" s="17">
        <f t="shared" ref="Q25:T25" si="25">Q9/Q7</f>
        <v>0.28893512443725949</v>
      </c>
      <c r="R25" s="17">
        <f t="shared" si="25"/>
        <v>0.28588326760389915</v>
      </c>
      <c r="S25" s="17">
        <f t="shared" si="25"/>
        <v>0.28456513040242587</v>
      </c>
      <c r="T25" s="17">
        <f t="shared" si="25"/>
        <v>0.23658569447763575</v>
      </c>
      <c r="U25" s="17">
        <f>U9/U7</f>
        <v>0.28498837692621087</v>
      </c>
      <c r="V25" s="17">
        <v>0.28000000000000003</v>
      </c>
      <c r="W25" s="17">
        <v>0.28000000000000003</v>
      </c>
      <c r="X25" s="17">
        <v>0.28000000000000003</v>
      </c>
      <c r="Y25" s="17">
        <v>0.28000000000000003</v>
      </c>
      <c r="Z25" s="17">
        <v>0.28000000000000003</v>
      </c>
      <c r="AA25" s="17">
        <v>0.28000000000000003</v>
      </c>
      <c r="AB25" s="17">
        <v>0.28000000000000003</v>
      </c>
      <c r="AC25" s="17">
        <v>0.28000000000000003</v>
      </c>
      <c r="AD25" s="17">
        <v>0.28000000000000003</v>
      </c>
      <c r="AE25" s="17">
        <v>0.28000000000000003</v>
      </c>
      <c r="AF25" s="17">
        <v>0.28000000000000003</v>
      </c>
      <c r="AG25" s="17">
        <v>0.28000000000000003</v>
      </c>
    </row>
    <row r="26" spans="2:33" s="17" customFormat="1" x14ac:dyDescent="0.25">
      <c r="B26" s="17" t="s">
        <v>44</v>
      </c>
      <c r="C26" s="17">
        <f t="shared" ref="C26:H26" si="26">C10/C7</f>
        <v>0.29801354545165876</v>
      </c>
      <c r="D26" s="17">
        <f t="shared" si="26"/>
        <v>0.22913792069110323</v>
      </c>
      <c r="E26" s="17">
        <f t="shared" si="26"/>
        <v>0.1963073151927886</v>
      </c>
      <c r="F26" s="17">
        <f t="shared" si="26"/>
        <v>0.20040755903209292</v>
      </c>
      <c r="G26" s="17">
        <f t="shared" si="26"/>
        <v>0.20472607221462136</v>
      </c>
      <c r="H26" s="17">
        <f t="shared" si="26"/>
        <v>0.18412685269520576</v>
      </c>
      <c r="I26" s="17">
        <f t="shared" ref="I26" si="27">I10/I7</f>
        <v>0.18326437592414233</v>
      </c>
      <c r="J26" s="17">
        <f t="shared" ref="J26:K26" si="28">J10/J7</f>
        <v>0.18015033393506363</v>
      </c>
      <c r="K26" s="17">
        <f t="shared" si="28"/>
        <v>0.18364018937401366</v>
      </c>
      <c r="P26" s="18"/>
      <c r="Q26" s="17">
        <f>Q10/Q7</f>
        <v>0.1777515805252301</v>
      </c>
      <c r="R26" s="17">
        <f t="shared" ref="R26:T26" si="29">R10/R7</f>
        <v>0.17765165024927579</v>
      </c>
      <c r="S26" s="17">
        <f t="shared" si="29"/>
        <v>0.17870419997115322</v>
      </c>
      <c r="T26" s="17">
        <f t="shared" si="29"/>
        <v>0.21846808161070616</v>
      </c>
      <c r="U26" s="17">
        <f>U10/U7</f>
        <v>0.18704909868140004</v>
      </c>
      <c r="V26" s="17">
        <v>0.18</v>
      </c>
      <c r="W26" s="17">
        <v>0.18</v>
      </c>
      <c r="X26" s="17">
        <v>0.18</v>
      </c>
      <c r="Y26" s="17">
        <v>0.18</v>
      </c>
      <c r="Z26" s="17">
        <v>0.17</v>
      </c>
      <c r="AA26" s="17">
        <v>0.17</v>
      </c>
      <c r="AB26" s="17">
        <v>0.17</v>
      </c>
      <c r="AC26" s="17">
        <v>0.17</v>
      </c>
      <c r="AD26" s="17">
        <v>0.16</v>
      </c>
      <c r="AE26" s="17">
        <v>0.16</v>
      </c>
      <c r="AF26" s="17">
        <v>0.16</v>
      </c>
      <c r="AG26" s="17">
        <v>0.16</v>
      </c>
    </row>
    <row r="27" spans="2:33" s="17" customFormat="1" x14ac:dyDescent="0.25">
      <c r="B27" s="17" t="s">
        <v>45</v>
      </c>
      <c r="C27" s="17">
        <f t="shared" ref="C27:H27" si="30">C15/C7</f>
        <v>-0.10324664425724567</v>
      </c>
      <c r="D27" s="17">
        <f t="shared" si="30"/>
        <v>1.8327434159217709E-2</v>
      </c>
      <c r="E27" s="17">
        <f t="shared" si="30"/>
        <v>1.4759866762871519E-2</v>
      </c>
      <c r="F27" s="17">
        <f t="shared" si="30"/>
        <v>1.6674281745741645E-2</v>
      </c>
      <c r="G27" s="17">
        <f t="shared" si="30"/>
        <v>1.8580691214086013E-2</v>
      </c>
      <c r="H27" s="17">
        <f t="shared" si="30"/>
        <v>2.224476277221164E-2</v>
      </c>
      <c r="I27" s="17">
        <f t="shared" ref="I27" si="31">I15/I7</f>
        <v>2.8407526717837455E-2</v>
      </c>
      <c r="J27" s="17">
        <f t="shared" ref="J27:K27" si="32">J15/J7</f>
        <v>2.1850244938644434E-2</v>
      </c>
      <c r="K27" s="17">
        <f t="shared" si="32"/>
        <v>2.3216026652638964E-2</v>
      </c>
      <c r="P27" s="18"/>
      <c r="Q27" s="17">
        <f>Q15/Q7</f>
        <v>3.4815330746199739E-2</v>
      </c>
      <c r="R27" s="17">
        <f t="shared" ref="R27:U27" si="33">R15/R7</f>
        <v>2.8568569441842922E-2</v>
      </c>
      <c r="S27" s="17">
        <f t="shared" si="33"/>
        <v>2.7182938015858627E-2</v>
      </c>
      <c r="T27" s="17">
        <f t="shared" si="33"/>
        <v>-3.7340184012426815E-5</v>
      </c>
      <c r="U27" s="17">
        <f t="shared" si="33"/>
        <v>2.2961698439422629E-2</v>
      </c>
    </row>
    <row r="28" spans="2:33" s="17" customFormat="1" x14ac:dyDescent="0.25">
      <c r="B28" s="17" t="s">
        <v>46</v>
      </c>
      <c r="C28" s="17">
        <f t="shared" ref="C28:H28" si="34">C15/C14</f>
        <v>0.33899062413893233</v>
      </c>
      <c r="D28" s="17">
        <f t="shared" si="34"/>
        <v>-1.3278278822123279</v>
      </c>
      <c r="E28" s="17">
        <f t="shared" si="34"/>
        <v>0.14699064390229505</v>
      </c>
      <c r="F28" s="17">
        <f t="shared" si="34"/>
        <v>0.35900210518031606</v>
      </c>
      <c r="G28" s="17">
        <f t="shared" si="34"/>
        <v>0.25982293621988506</v>
      </c>
      <c r="H28" s="17">
        <f t="shared" si="34"/>
        <v>0.25480395318398236</v>
      </c>
      <c r="I28" s="17">
        <f t="shared" ref="I28" si="35">I15/I14</f>
        <v>0.25814479457547879</v>
      </c>
      <c r="J28" s="17">
        <f t="shared" ref="J28:K28" si="36">J15/J14</f>
        <v>0.24355460154584965</v>
      </c>
      <c r="K28" s="17">
        <f t="shared" si="36"/>
        <v>0.31080046948356804</v>
      </c>
      <c r="P28" s="18"/>
      <c r="Q28" s="17">
        <f>Q15/Q14</f>
        <v>0.32375781430286399</v>
      </c>
      <c r="R28" s="17">
        <f t="shared" ref="R28:U28" si="37">R15/R14</f>
        <v>0.26680290372809973</v>
      </c>
      <c r="S28" s="17">
        <f t="shared" si="37"/>
        <v>0.25736246986631101</v>
      </c>
      <c r="T28" s="17">
        <f t="shared" si="37"/>
        <v>-1.34310817617101E-2</v>
      </c>
      <c r="U28" s="17">
        <f t="shared" si="37"/>
        <v>0.25349537050722715</v>
      </c>
      <c r="V28" s="17">
        <v>0.26</v>
      </c>
      <c r="W28" s="17">
        <v>0.26</v>
      </c>
      <c r="X28" s="17">
        <v>0.26</v>
      </c>
      <c r="Y28" s="17">
        <v>0.26</v>
      </c>
      <c r="Z28" s="17">
        <v>0.26</v>
      </c>
      <c r="AA28" s="17">
        <v>0.26</v>
      </c>
      <c r="AB28" s="17">
        <v>0.26</v>
      </c>
      <c r="AC28" s="17">
        <v>0.26</v>
      </c>
      <c r="AD28" s="17">
        <v>0.26</v>
      </c>
      <c r="AE28" s="17">
        <v>0.26</v>
      </c>
      <c r="AF28" s="17">
        <v>0.26</v>
      </c>
      <c r="AG28" s="17">
        <v>0.26</v>
      </c>
    </row>
    <row r="29" spans="2:33" s="13" customFormat="1" x14ac:dyDescent="0.25">
      <c r="P29" s="15"/>
    </row>
    <row r="30" spans="2:33" s="17" customFormat="1" x14ac:dyDescent="0.25">
      <c r="B30" s="17" t="s">
        <v>52</v>
      </c>
      <c r="G30" s="17">
        <f>+G7/C7-1</f>
        <v>1.2878022890270961</v>
      </c>
      <c r="H30" s="17">
        <f>+H7/D7-1</f>
        <v>0.81129641850140977</v>
      </c>
      <c r="I30" s="17">
        <f>+I7/E7-1</f>
        <v>0.23865952378599031</v>
      </c>
      <c r="J30" s="17">
        <f>+J7/F7-1</f>
        <v>0.26603644272242155</v>
      </c>
      <c r="K30" s="17">
        <f>+K7/G7-1</f>
        <v>0.13080720956516556</v>
      </c>
      <c r="P30" s="18"/>
      <c r="R30" s="17">
        <f t="shared" ref="R30:T30" si="38">R7/Q7-1</f>
        <v>8.6665815317920059E-2</v>
      </c>
      <c r="S30" s="17">
        <f t="shared" si="38"/>
        <v>7.0409874553856611E-2</v>
      </c>
      <c r="T30" s="17">
        <f t="shared" si="38"/>
        <v>-0.22964312586695823</v>
      </c>
      <c r="U30" s="17">
        <f>U7/T7-1</f>
        <v>0.51072098916636799</v>
      </c>
      <c r="V30" s="17">
        <f t="shared" ref="V30:AG30" si="39">V7/U7-1</f>
        <v>0.16685675256714827</v>
      </c>
      <c r="W30" s="17">
        <f t="shared" si="39"/>
        <v>5.6169736275198057E-2</v>
      </c>
      <c r="X30" s="17">
        <f t="shared" si="39"/>
        <v>7.3664106612140623E-2</v>
      </c>
      <c r="Y30" s="17">
        <f t="shared" si="39"/>
        <v>7.4684770216884466E-2</v>
      </c>
      <c r="Z30" s="17">
        <f t="shared" si="39"/>
        <v>6.7574370375968362E-2</v>
      </c>
      <c r="AA30" s="17">
        <f t="shared" si="39"/>
        <v>5.6245957592700124E-2</v>
      </c>
      <c r="AB30" s="17">
        <f t="shared" si="39"/>
        <v>4.8406082474684364E-2</v>
      </c>
      <c r="AC30" s="17">
        <f t="shared" si="39"/>
        <v>4.259598255387842E-2</v>
      </c>
      <c r="AD30" s="17">
        <f t="shared" si="39"/>
        <v>4.2934869633476147E-2</v>
      </c>
      <c r="AE30" s="17">
        <f t="shared" si="39"/>
        <v>4.3276745128380201E-2</v>
      </c>
      <c r="AF30" s="17">
        <f t="shared" si="39"/>
        <v>4.3621447522750767E-2</v>
      </c>
      <c r="AG30" s="17">
        <f t="shared" si="39"/>
        <v>4.3968808543525473E-2</v>
      </c>
    </row>
    <row r="31" spans="2:33" s="17" customFormat="1" x14ac:dyDescent="0.25">
      <c r="B31" s="17" t="s">
        <v>29</v>
      </c>
      <c r="G31" s="17">
        <f t="shared" ref="G31:J31" si="40">G16/C16-1</f>
        <v>-1.6015096720406481</v>
      </c>
      <c r="H31" s="17">
        <f t="shared" si="40"/>
        <v>-4.6675068851234727</v>
      </c>
      <c r="I31" s="17">
        <f t="shared" si="40"/>
        <v>0.18057778521437617</v>
      </c>
      <c r="J31" s="17">
        <f t="shared" si="40"/>
        <v>1.8858717004296941</v>
      </c>
      <c r="K31" s="17">
        <f>K16/G16-1</f>
        <v>9.9815323296610137E-2</v>
      </c>
      <c r="P31" s="18"/>
      <c r="R31" s="17">
        <f t="shared" ref="R31:T31" si="41">R16/Q16-1</f>
        <v>0.17317326605497341</v>
      </c>
      <c r="S31" s="17">
        <f t="shared" si="41"/>
        <v>6.9447576541367573E-2</v>
      </c>
      <c r="T31" s="17">
        <f t="shared" si="41"/>
        <v>-0.97232908176986277</v>
      </c>
      <c r="U31" s="17">
        <f>U16/T16-1</f>
        <v>35.256933016731693</v>
      </c>
      <c r="V31" s="17">
        <f t="shared" ref="V31:AG31" si="42">V16/U16-1</f>
        <v>0.24512408883469528</v>
      </c>
      <c r="W31" s="17">
        <f t="shared" si="42"/>
        <v>8.7157584798895904E-2</v>
      </c>
      <c r="X31" s="17">
        <f t="shared" si="42"/>
        <v>6.5995137973831941E-2</v>
      </c>
      <c r="Y31" s="17">
        <f t="shared" si="42"/>
        <v>6.754740924565672E-2</v>
      </c>
      <c r="Z31" s="17">
        <f t="shared" si="42"/>
        <v>0.16871450725581405</v>
      </c>
      <c r="AA31" s="17">
        <f t="shared" si="42"/>
        <v>4.9694227795937573E-2</v>
      </c>
      <c r="AB31" s="17">
        <f t="shared" si="42"/>
        <v>4.2042802078392727E-2</v>
      </c>
      <c r="AC31" s="17">
        <f t="shared" si="42"/>
        <v>3.637395161400514E-2</v>
      </c>
      <c r="AD31" s="17">
        <f t="shared" si="42"/>
        <v>0.13500630956403281</v>
      </c>
      <c r="AE31" s="17">
        <f t="shared" si="42"/>
        <v>3.7448583844140071E-2</v>
      </c>
      <c r="AF31" s="17">
        <f t="shared" si="42"/>
        <v>3.8059762467508751E-2</v>
      </c>
      <c r="AG31" s="17">
        <f t="shared" si="42"/>
        <v>3.8667264579843375E-2</v>
      </c>
    </row>
    <row r="32" spans="2:33" s="13" customFormat="1" x14ac:dyDescent="0.25">
      <c r="P32" s="15"/>
    </row>
    <row r="33" spans="2:37" s="17" customFormat="1" x14ac:dyDescent="0.25">
      <c r="B33" s="17" t="s">
        <v>56</v>
      </c>
      <c r="G33" s="17">
        <f t="shared" ref="G33:I33" si="43">G3/C3-1</f>
        <v>1.4614335331250166</v>
      </c>
      <c r="H33" s="17">
        <f t="shared" si="43"/>
        <v>0.85611092869951744</v>
      </c>
      <c r="I33" s="17">
        <f t="shared" si="43"/>
        <v>0.24700940395519289</v>
      </c>
      <c r="J33" s="17">
        <f>J3/F3-1</f>
        <v>0.19641105149920013</v>
      </c>
      <c r="K33" s="17">
        <f>K3/G3-1</f>
        <v>3.4864949521721478E-2</v>
      </c>
      <c r="P33" s="18"/>
      <c r="R33" s="17">
        <f t="shared" ref="R33:T33" si="44">R3/Q3-1</f>
        <v>8.1302165031394535E-2</v>
      </c>
      <c r="S33" s="17">
        <f t="shared" si="44"/>
        <v>6.6788594230609233E-2</v>
      </c>
      <c r="T33" s="17">
        <f t="shared" si="44"/>
        <v>-0.24555811851251519</v>
      </c>
      <c r="U33" s="17">
        <f>U3/T3-1</f>
        <v>0.52268135477673461</v>
      </c>
      <c r="V33" s="17">
        <v>0.1</v>
      </c>
      <c r="W33" s="17">
        <v>0.02</v>
      </c>
      <c r="X33" s="17">
        <v>0.03</v>
      </c>
      <c r="Y33" s="17">
        <v>0.03</v>
      </c>
      <c r="Z33" s="17">
        <v>0.03</v>
      </c>
      <c r="AA33" s="17">
        <v>0.03</v>
      </c>
      <c r="AB33" s="17">
        <v>0.03</v>
      </c>
      <c r="AC33" s="17">
        <v>0.03</v>
      </c>
      <c r="AD33" s="17">
        <v>0.03</v>
      </c>
      <c r="AE33" s="17">
        <v>0.03</v>
      </c>
      <c r="AF33" s="17">
        <v>0.03</v>
      </c>
      <c r="AG33" s="17">
        <v>0.03</v>
      </c>
    </row>
    <row r="34" spans="2:37" s="17" customFormat="1" x14ac:dyDescent="0.25">
      <c r="B34" s="17" t="s">
        <v>57</v>
      </c>
      <c r="G34" s="17">
        <f t="shared" ref="G34:K34" si="45">G4/C4-1</f>
        <v>1.81846295565206</v>
      </c>
      <c r="H34" s="17">
        <f t="shared" si="45"/>
        <v>0.68557326644550498</v>
      </c>
      <c r="I34" s="17">
        <f t="shared" si="45"/>
        <v>0.20153550863723613</v>
      </c>
      <c r="J34" s="17">
        <f>J4/F4-1</f>
        <v>0.13109043509528928</v>
      </c>
      <c r="K34" s="17">
        <f t="shared" si="45"/>
        <v>-4.9375510680518264E-2</v>
      </c>
      <c r="P34" s="18"/>
      <c r="R34" s="17">
        <f t="shared" ref="R34:U34" si="46">R4/Q4-1</f>
        <v>0.13116216797294911</v>
      </c>
      <c r="S34" s="17">
        <f t="shared" si="46"/>
        <v>9.8220001676065039E-2</v>
      </c>
      <c r="T34" s="17">
        <f t="shared" si="46"/>
        <v>-4.0844582900657733E-2</v>
      </c>
      <c r="U34" s="17">
        <f t="shared" si="46"/>
        <v>0.47550933368327808</v>
      </c>
      <c r="V34" s="17">
        <v>7.0000000000000007E-2</v>
      </c>
      <c r="W34" s="17">
        <v>-0.02</v>
      </c>
      <c r="X34" s="17">
        <v>-0.01</v>
      </c>
      <c r="Y34" s="17">
        <v>0</v>
      </c>
      <c r="Z34" s="17">
        <v>0.01</v>
      </c>
      <c r="AA34" s="17">
        <v>0.02</v>
      </c>
      <c r="AB34" s="17">
        <v>0.02</v>
      </c>
      <c r="AC34" s="17">
        <v>0.02</v>
      </c>
      <c r="AD34" s="17">
        <v>0.02</v>
      </c>
      <c r="AE34" s="17">
        <v>0.02</v>
      </c>
      <c r="AF34" s="17">
        <v>0.02</v>
      </c>
      <c r="AG34" s="17">
        <v>0.02</v>
      </c>
    </row>
    <row r="35" spans="2:37" s="17" customFormat="1" x14ac:dyDescent="0.25">
      <c r="B35" s="17" t="s">
        <v>58</v>
      </c>
      <c r="G35" s="17">
        <f t="shared" ref="G35:K35" si="47">G5/C5-1</f>
        <v>1.0163308310285792</v>
      </c>
      <c r="H35" s="17">
        <f t="shared" si="47"/>
        <v>0.72579827673593522</v>
      </c>
      <c r="I35" s="17">
        <f t="shared" si="47"/>
        <v>0.26610235454368558</v>
      </c>
      <c r="J35" s="17">
        <f t="shared" si="47"/>
        <v>0.49907368672682662</v>
      </c>
      <c r="K35" s="17">
        <f t="shared" si="47"/>
        <v>0.41345525800130623</v>
      </c>
      <c r="P35" s="18"/>
      <c r="R35" s="17">
        <f t="shared" ref="R35:U35" si="48">R5/Q5-1</f>
        <v>6.2452296625758352E-2</v>
      </c>
      <c r="S35" s="17">
        <f t="shared" si="48"/>
        <v>4.1767340177840007E-2</v>
      </c>
      <c r="T35" s="17">
        <f t="shared" si="48"/>
        <v>-0.29652229994542845</v>
      </c>
      <c r="U35" s="17">
        <f t="shared" si="48"/>
        <v>0.53120592383638932</v>
      </c>
      <c r="V35" s="17">
        <v>0.25</v>
      </c>
      <c r="W35" s="17">
        <v>0.08</v>
      </c>
      <c r="X35" s="17">
        <v>0.11</v>
      </c>
      <c r="Y35" s="17">
        <v>0.14000000000000001</v>
      </c>
      <c r="Z35" s="17">
        <v>0.15</v>
      </c>
      <c r="AA35" s="17">
        <v>0.13</v>
      </c>
      <c r="AB35" s="17">
        <v>0.1</v>
      </c>
      <c r="AC35" s="17">
        <v>0.05</v>
      </c>
      <c r="AD35" s="17">
        <v>0.05</v>
      </c>
      <c r="AE35" s="17">
        <v>0.05</v>
      </c>
      <c r="AF35" s="17">
        <v>0.05</v>
      </c>
      <c r="AG35" s="17">
        <v>0.05</v>
      </c>
    </row>
    <row r="36" spans="2:37" s="17" customFormat="1" x14ac:dyDescent="0.25">
      <c r="B36" s="17" t="s">
        <v>59</v>
      </c>
      <c r="G36" s="17">
        <f t="shared" ref="G36:K36" si="49">G6/C6-1</f>
        <v>-5.7290300008746797E-2</v>
      </c>
      <c r="H36" s="17">
        <f t="shared" si="49"/>
        <v>0.84403044416676143</v>
      </c>
      <c r="I36" s="17">
        <f t="shared" si="49"/>
        <v>0.23392344832412015</v>
      </c>
      <c r="J36" s="17">
        <f t="shared" si="49"/>
        <v>0.87689265830688368</v>
      </c>
      <c r="K36" s="17">
        <f t="shared" si="49"/>
        <v>1.6292447578400449</v>
      </c>
      <c r="P36" s="18"/>
      <c r="R36" s="17">
        <f t="shared" ref="R36:U36" si="50">R6/Q6-1</f>
        <v>8.2531218151308927E-2</v>
      </c>
      <c r="S36" s="17">
        <f t="shared" si="50"/>
        <v>7.7446840884019874E-2</v>
      </c>
      <c r="T36" s="17">
        <f t="shared" si="50"/>
        <v>-0.32180052956751981</v>
      </c>
      <c r="U36" s="17">
        <f t="shared" si="50"/>
        <v>0.49120249869859434</v>
      </c>
      <c r="V36" s="17">
        <v>0.6</v>
      </c>
      <c r="W36" s="17">
        <v>0.25</v>
      </c>
      <c r="X36" s="17">
        <v>0.25</v>
      </c>
      <c r="Y36" s="17">
        <v>0.2</v>
      </c>
      <c r="Z36" s="17">
        <v>0.14000000000000001</v>
      </c>
      <c r="AA36" s="17">
        <v>0.09</v>
      </c>
      <c r="AB36" s="17">
        <v>7.0000000000000007E-2</v>
      </c>
      <c r="AC36" s="17">
        <v>7.0000000000000007E-2</v>
      </c>
      <c r="AD36" s="17">
        <v>7.0000000000000007E-2</v>
      </c>
      <c r="AE36" s="17">
        <v>7.0000000000000007E-2</v>
      </c>
      <c r="AF36" s="17">
        <v>7.0000000000000007E-2</v>
      </c>
      <c r="AG36" s="17">
        <v>7.0000000000000007E-2</v>
      </c>
    </row>
    <row r="37" spans="2:37" s="13" customFormat="1" x14ac:dyDescent="0.25">
      <c r="P37" s="15"/>
    </row>
    <row r="38" spans="2:37" s="19" customFormat="1" x14ac:dyDescent="0.25">
      <c r="B38" s="19" t="s">
        <v>60</v>
      </c>
      <c r="K38" s="19">
        <f>(1+K13/J23)^4-1</f>
        <v>-1.1920338937950747E-2</v>
      </c>
      <c r="P38" s="20"/>
      <c r="S38" s="19">
        <f>S13/R23</f>
        <v>1.2552894760296199E-2</v>
      </c>
      <c r="T38" s="19">
        <f>T13/S23</f>
        <v>-2.1909271125714593E-2</v>
      </c>
      <c r="U38" s="19">
        <f>U13/T23</f>
        <v>-2.2860571097099221E-2</v>
      </c>
      <c r="V38" s="19">
        <v>-2.2499999999999999E-2</v>
      </c>
      <c r="W38" s="19">
        <v>0.01</v>
      </c>
      <c r="X38" s="19">
        <v>0.01</v>
      </c>
      <c r="Y38" s="19">
        <v>0.01</v>
      </c>
      <c r="Z38" s="19">
        <v>0.01</v>
      </c>
      <c r="AA38" s="19">
        <v>0.01</v>
      </c>
      <c r="AB38" s="19">
        <v>0.01</v>
      </c>
      <c r="AC38" s="19">
        <v>0.01</v>
      </c>
      <c r="AD38" s="19">
        <v>0.01</v>
      </c>
      <c r="AE38" s="19">
        <v>0.01</v>
      </c>
      <c r="AF38" s="19">
        <v>0.01</v>
      </c>
      <c r="AG38" s="19">
        <v>0.01</v>
      </c>
    </row>
    <row r="39" spans="2:37" s="13" customFormat="1" x14ac:dyDescent="0.25">
      <c r="P39" s="15"/>
      <c r="AJ39" s="13" t="s">
        <v>61</v>
      </c>
      <c r="AK39" s="19">
        <v>-1.4999999999999999E-2</v>
      </c>
    </row>
    <row r="40" spans="2:37" s="13" customFormat="1" x14ac:dyDescent="0.25">
      <c r="P40" s="15"/>
      <c r="AJ40" s="13" t="s">
        <v>7</v>
      </c>
      <c r="AK40" s="19">
        <v>0.01</v>
      </c>
    </row>
    <row r="41" spans="2:37" s="13" customFormat="1" x14ac:dyDescent="0.25">
      <c r="P41" s="15"/>
      <c r="AJ41" s="13" t="s">
        <v>8</v>
      </c>
      <c r="AK41" s="19">
        <v>8.5000000000000006E-2</v>
      </c>
    </row>
    <row r="42" spans="2:37" s="13" customFormat="1" x14ac:dyDescent="0.25">
      <c r="P42" s="15"/>
      <c r="AJ42" s="13" t="s">
        <v>9</v>
      </c>
      <c r="AK42" s="13">
        <f>NPV(AK41,V16:DD16)</f>
        <v>74903.518611460153</v>
      </c>
    </row>
    <row r="43" spans="2:37" s="13" customFormat="1" x14ac:dyDescent="0.25">
      <c r="P43" s="15"/>
    </row>
    <row r="44" spans="2:37" s="13" customFormat="1" x14ac:dyDescent="0.25">
      <c r="P44" s="15"/>
    </row>
    <row r="45" spans="2:37" s="13" customFormat="1" x14ac:dyDescent="0.25">
      <c r="P45" s="15"/>
    </row>
    <row r="46" spans="2:37" s="13" customFormat="1" x14ac:dyDescent="0.25">
      <c r="P46" s="15"/>
    </row>
    <row r="47" spans="2:37" s="13" customFormat="1" x14ac:dyDescent="0.25">
      <c r="P47" s="15"/>
    </row>
    <row r="48" spans="2:37" s="13" customFormat="1" x14ac:dyDescent="0.25">
      <c r="P48" s="15"/>
    </row>
    <row r="49" spans="16:16" s="13" customFormat="1" x14ac:dyDescent="0.25">
      <c r="P49" s="15"/>
    </row>
    <row r="50" spans="16:16" s="13" customFormat="1" x14ac:dyDescent="0.25">
      <c r="P50" s="15"/>
    </row>
    <row r="51" spans="16:16" s="13" customFormat="1" x14ac:dyDescent="0.25">
      <c r="P51" s="15"/>
    </row>
    <row r="52" spans="16:16" s="13" customFormat="1" x14ac:dyDescent="0.25">
      <c r="P52" s="15"/>
    </row>
    <row r="53" spans="16:16" s="13" customFormat="1" x14ac:dyDescent="0.25">
      <c r="P53" s="15"/>
    </row>
    <row r="54" spans="16:16" s="13" customFormat="1" x14ac:dyDescent="0.25">
      <c r="P54" s="15"/>
    </row>
    <row r="55" spans="16:16" s="13" customFormat="1" x14ac:dyDescent="0.25">
      <c r="P55" s="15"/>
    </row>
    <row r="56" spans="16:16" s="13" customFormat="1" x14ac:dyDescent="0.25">
      <c r="P56" s="15"/>
    </row>
    <row r="57" spans="16:16" s="13" customFormat="1" x14ac:dyDescent="0.25">
      <c r="P57" s="15"/>
    </row>
    <row r="58" spans="16:16" s="13" customFormat="1" x14ac:dyDescent="0.25">
      <c r="P58" s="15"/>
    </row>
    <row r="59" spans="16:16" s="13" customFormat="1" x14ac:dyDescent="0.25">
      <c r="P59" s="15"/>
    </row>
    <row r="60" spans="16:16" s="13" customFormat="1" x14ac:dyDescent="0.25">
      <c r="P60" s="15"/>
    </row>
    <row r="61" spans="16:16" s="13" customFormat="1" x14ac:dyDescent="0.25">
      <c r="P61" s="15"/>
    </row>
    <row r="62" spans="16:16" s="13" customFormat="1" x14ac:dyDescent="0.25">
      <c r="P62" s="15"/>
    </row>
    <row r="63" spans="16:16" s="13" customFormat="1" x14ac:dyDescent="0.25">
      <c r="P63" s="15"/>
    </row>
    <row r="64" spans="16:16" s="13" customFormat="1" x14ac:dyDescent="0.25">
      <c r="P64" s="15"/>
    </row>
    <row r="65" spans="16:16" s="13" customFormat="1" x14ac:dyDescent="0.25">
      <c r="P65" s="15"/>
    </row>
    <row r="66" spans="16:16" s="13" customFormat="1" x14ac:dyDescent="0.25">
      <c r="P66" s="15"/>
    </row>
    <row r="67" spans="16:16" s="13" customFormat="1" x14ac:dyDescent="0.25">
      <c r="P67" s="15"/>
    </row>
    <row r="68" spans="16:16" s="13" customFormat="1" x14ac:dyDescent="0.25">
      <c r="P68" s="15"/>
    </row>
    <row r="69" spans="16:16" s="13" customFormat="1" x14ac:dyDescent="0.25">
      <c r="P69" s="15"/>
    </row>
    <row r="70" spans="16:16" s="13" customFormat="1" x14ac:dyDescent="0.25">
      <c r="P70" s="15"/>
    </row>
    <row r="71" spans="16:16" s="13" customFormat="1" x14ac:dyDescent="0.25">
      <c r="P71" s="15"/>
    </row>
    <row r="72" spans="16:16" s="13" customFormat="1" x14ac:dyDescent="0.25">
      <c r="P72" s="15"/>
    </row>
    <row r="73" spans="16:16" s="13" customFormat="1" x14ac:dyDescent="0.25">
      <c r="P73" s="15"/>
    </row>
    <row r="74" spans="16:16" s="13" customFormat="1" x14ac:dyDescent="0.25">
      <c r="P74" s="15"/>
    </row>
    <row r="75" spans="16:16" s="13" customFormat="1" x14ac:dyDescent="0.25">
      <c r="P75" s="15"/>
    </row>
    <row r="76" spans="16:16" s="13" customFormat="1" x14ac:dyDescent="0.25">
      <c r="P76" s="15"/>
    </row>
    <row r="77" spans="16:16" s="13" customFormat="1" x14ac:dyDescent="0.25">
      <c r="P77" s="15"/>
    </row>
    <row r="78" spans="16:16" s="13" customFormat="1" x14ac:dyDescent="0.25">
      <c r="P78" s="15"/>
    </row>
    <row r="79" spans="16:16" s="13" customFormat="1" x14ac:dyDescent="0.25">
      <c r="P79" s="15"/>
    </row>
    <row r="80" spans="16:16" s="13" customFormat="1" x14ac:dyDescent="0.25">
      <c r="P80" s="15"/>
    </row>
    <row r="81" spans="2:34" s="13" customFormat="1" x14ac:dyDescent="0.25">
      <c r="P81" s="15"/>
    </row>
    <row r="82" spans="2:34" s="13" customFormat="1" x14ac:dyDescent="0.25">
      <c r="P82" s="15"/>
    </row>
    <row r="83" spans="2:34" x14ac:dyDescent="0.25">
      <c r="B83" s="13"/>
    </row>
    <row r="84" spans="2:34" s="19" customFormat="1" x14ac:dyDescent="0.25">
      <c r="P84" s="20"/>
    </row>
    <row r="85" spans="2:34" x14ac:dyDescent="0.25">
      <c r="AG85" s="16"/>
      <c r="AH85" s="19"/>
    </row>
    <row r="86" spans="2:34" x14ac:dyDescent="0.25">
      <c r="AG86" s="17"/>
      <c r="AH86" s="19"/>
    </row>
    <row r="87" spans="2:34" x14ac:dyDescent="0.25">
      <c r="AH87" s="19"/>
    </row>
    <row r="88" spans="2:34" x14ac:dyDescent="0.25">
      <c r="AG88" s="17"/>
      <c r="AH88" s="2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2022-08-16T23:02:10Z</dcterms:created>
  <dcterms:modified xsi:type="dcterms:W3CDTF">2022-08-17T00:58:08Z</dcterms:modified>
</cp:coreProperties>
</file>