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Models\"/>
    </mc:Choice>
  </mc:AlternateContent>
  <xr:revisionPtr revIDLastSave="0" documentId="13_ncr:1_{272D1641-C4F3-414D-81B0-9A2C239F14F3}" xr6:coauthVersionLast="47" xr6:coauthVersionMax="47" xr10:uidLastSave="{00000000-0000-0000-0000-000000000000}"/>
  <bookViews>
    <workbookView xWindow="3690" yWindow="1350" windowWidth="19005" windowHeight="13650" xr2:uid="{0059096E-FB45-4687-8E83-CA48A4808244}"/>
  </bookViews>
  <sheets>
    <sheet name="Main" sheetId="2" r:id="rId1"/>
    <sheet name="Model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N19" i="2"/>
  <c r="H32" i="1"/>
  <c r="G32" i="1"/>
  <c r="K32" i="1"/>
  <c r="I32" i="1"/>
  <c r="L32" i="1"/>
  <c r="U32" i="1"/>
  <c r="R32" i="1"/>
  <c r="S32" i="1"/>
  <c r="T32" i="1"/>
  <c r="Q32" i="1"/>
  <c r="V3" i="1" l="1"/>
  <c r="V15" i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S33" i="1"/>
  <c r="T33" i="1"/>
  <c r="U33" i="1"/>
  <c r="T20" i="1"/>
  <c r="S20" i="1"/>
  <c r="R20" i="1"/>
  <c r="U20" i="1"/>
  <c r="V12" i="1" s="1"/>
  <c r="V33" i="1" s="1"/>
  <c r="T31" i="1"/>
  <c r="S31" i="1"/>
  <c r="R31" i="1"/>
  <c r="Q31" i="1"/>
  <c r="U31" i="1"/>
  <c r="V10" i="1" l="1"/>
  <c r="V31" i="1" s="1"/>
  <c r="T41" i="1"/>
  <c r="S41" i="1"/>
  <c r="R41" i="1"/>
  <c r="U41" i="1"/>
  <c r="T39" i="1"/>
  <c r="S39" i="1"/>
  <c r="R39" i="1"/>
  <c r="U39" i="1"/>
  <c r="U30" i="1"/>
  <c r="T30" i="1"/>
  <c r="S30" i="1"/>
  <c r="R30" i="1"/>
  <c r="Q30" i="1"/>
  <c r="T7" i="1"/>
  <c r="T6" i="1"/>
  <c r="T5" i="1"/>
  <c r="T4" i="1"/>
  <c r="U7" i="1"/>
  <c r="U6" i="1"/>
  <c r="U5" i="1"/>
  <c r="U36" i="1" s="1"/>
  <c r="U4" i="1"/>
  <c r="U35" i="1" s="1"/>
  <c r="R26" i="1"/>
  <c r="Q7" i="1"/>
  <c r="Q6" i="1"/>
  <c r="Q5" i="1"/>
  <c r="Q4" i="1"/>
  <c r="R7" i="1"/>
  <c r="R6" i="1"/>
  <c r="R5" i="1"/>
  <c r="R36" i="1" s="1"/>
  <c r="R4" i="1"/>
  <c r="S7" i="1"/>
  <c r="S6" i="1"/>
  <c r="S5" i="1"/>
  <c r="Q9" i="1"/>
  <c r="Q11" i="1" s="1"/>
  <c r="Q29" i="1" s="1"/>
  <c r="R9" i="1"/>
  <c r="R11" i="1" s="1"/>
  <c r="R14" i="1" s="1"/>
  <c r="R16" i="1" s="1"/>
  <c r="K39" i="1"/>
  <c r="I39" i="1"/>
  <c r="H39" i="1"/>
  <c r="G39" i="1"/>
  <c r="L39" i="1"/>
  <c r="K30" i="1"/>
  <c r="I30" i="1"/>
  <c r="H30" i="1"/>
  <c r="G30" i="1"/>
  <c r="E30" i="1"/>
  <c r="D30" i="1"/>
  <c r="C30" i="1"/>
  <c r="L30" i="1"/>
  <c r="J15" i="1"/>
  <c r="F15" i="1"/>
  <c r="F13" i="1"/>
  <c r="F12" i="1"/>
  <c r="F10" i="1"/>
  <c r="F8" i="1"/>
  <c r="F3" i="1"/>
  <c r="F30" i="1" s="1"/>
  <c r="J13" i="1"/>
  <c r="J12" i="1"/>
  <c r="J10" i="1"/>
  <c r="J8" i="1"/>
  <c r="J3" i="1"/>
  <c r="J32" i="1" s="1"/>
  <c r="C9" i="1"/>
  <c r="C11" i="1" s="1"/>
  <c r="C14" i="1" s="1"/>
  <c r="C16" i="1" s="1"/>
  <c r="D9" i="1"/>
  <c r="D11" i="1" s="1"/>
  <c r="D14" i="1" s="1"/>
  <c r="D16" i="1" s="1"/>
  <c r="E9" i="1"/>
  <c r="E11" i="1" s="1"/>
  <c r="E14" i="1" s="1"/>
  <c r="E16" i="1" s="1"/>
  <c r="I9" i="1"/>
  <c r="I11" i="1" s="1"/>
  <c r="I14" i="1" s="1"/>
  <c r="I16" i="1" s="1"/>
  <c r="F26" i="1"/>
  <c r="I26" i="1"/>
  <c r="T9" i="1"/>
  <c r="T11" i="1" s="1"/>
  <c r="T14" i="1" s="1"/>
  <c r="T16" i="1" s="1"/>
  <c r="U9" i="1"/>
  <c r="U11" i="1" s="1"/>
  <c r="U14" i="1" s="1"/>
  <c r="T26" i="1"/>
  <c r="S26" i="1"/>
  <c r="L26" i="1"/>
  <c r="U26" i="1"/>
  <c r="G9" i="1"/>
  <c r="G11" i="1" s="1"/>
  <c r="G14" i="1" s="1"/>
  <c r="G16" i="1" s="1"/>
  <c r="K9" i="1"/>
  <c r="K11" i="1" s="1"/>
  <c r="K14" i="1" s="1"/>
  <c r="K16" i="1" s="1"/>
  <c r="K26" i="1"/>
  <c r="J26" i="1"/>
  <c r="H9" i="1"/>
  <c r="H11" i="1" s="1"/>
  <c r="H14" i="1" s="1"/>
  <c r="H16" i="1" s="1"/>
  <c r="L9" i="1"/>
  <c r="L11" i="1" s="1"/>
  <c r="L14" i="1" s="1"/>
  <c r="L16" i="1" s="1"/>
  <c r="R35" i="1" l="1"/>
  <c r="R37" i="1"/>
  <c r="J30" i="1"/>
  <c r="U37" i="1"/>
  <c r="U38" i="1"/>
  <c r="S36" i="1"/>
  <c r="T37" i="1"/>
  <c r="T36" i="1"/>
  <c r="T38" i="1"/>
  <c r="S37" i="1"/>
  <c r="R38" i="1"/>
  <c r="V9" i="1"/>
  <c r="V11" i="1" s="1"/>
  <c r="V13" i="1"/>
  <c r="V30" i="1" s="1"/>
  <c r="S38" i="1"/>
  <c r="Q28" i="1"/>
  <c r="U16" i="1"/>
  <c r="R28" i="1"/>
  <c r="C28" i="1"/>
  <c r="K29" i="1"/>
  <c r="J39" i="1"/>
  <c r="T28" i="1"/>
  <c r="U40" i="1"/>
  <c r="L28" i="1"/>
  <c r="U28" i="1"/>
  <c r="G28" i="1"/>
  <c r="R29" i="1"/>
  <c r="G29" i="1"/>
  <c r="J9" i="1"/>
  <c r="J28" i="1" s="1"/>
  <c r="H29" i="1"/>
  <c r="L40" i="1"/>
  <c r="T29" i="1"/>
  <c r="U29" i="1"/>
  <c r="G40" i="1"/>
  <c r="H40" i="1"/>
  <c r="I28" i="1"/>
  <c r="I40" i="1"/>
  <c r="K28" i="1"/>
  <c r="K40" i="1"/>
  <c r="L29" i="1"/>
  <c r="C29" i="1"/>
  <c r="I29" i="1"/>
  <c r="D29" i="1"/>
  <c r="H28" i="1"/>
  <c r="E29" i="1"/>
  <c r="D28" i="1"/>
  <c r="E28" i="1"/>
  <c r="Q14" i="1"/>
  <c r="Q16" i="1" s="1"/>
  <c r="F9" i="1"/>
  <c r="N5" i="2"/>
  <c r="N8" i="2" s="1"/>
  <c r="V14" i="1" l="1"/>
  <c r="V29" i="1"/>
  <c r="X3" i="1"/>
  <c r="W10" i="1"/>
  <c r="W9" i="1"/>
  <c r="W11" i="1" s="1"/>
  <c r="W13" i="1"/>
  <c r="J11" i="1"/>
  <c r="J14" i="1" s="1"/>
  <c r="R40" i="1"/>
  <c r="F11" i="1"/>
  <c r="F28" i="1"/>
  <c r="J29" i="1" l="1"/>
  <c r="Y3" i="1"/>
  <c r="X9" i="1"/>
  <c r="X10" i="1"/>
  <c r="X13" i="1"/>
  <c r="V20" i="1"/>
  <c r="W12" i="1" s="1"/>
  <c r="W14" i="1" s="1"/>
  <c r="V16" i="1"/>
  <c r="F14" i="1"/>
  <c r="F16" i="1" s="1"/>
  <c r="F29" i="1"/>
  <c r="J16" i="1"/>
  <c r="W16" i="1" l="1"/>
  <c r="W20" i="1"/>
  <c r="X12" i="1" s="1"/>
  <c r="Y9" i="1"/>
  <c r="Z3" i="1"/>
  <c r="Y10" i="1"/>
  <c r="Y13" i="1"/>
  <c r="X11" i="1"/>
  <c r="J40" i="1"/>
  <c r="S9" i="1"/>
  <c r="S4" i="1"/>
  <c r="Y11" i="1" l="1"/>
  <c r="AA3" i="1"/>
  <c r="Z10" i="1"/>
  <c r="Z13" i="1"/>
  <c r="Z9" i="1"/>
  <c r="Z11" i="1" s="1"/>
  <c r="X14" i="1"/>
  <c r="S35" i="1"/>
  <c r="T35" i="1"/>
  <c r="S11" i="1"/>
  <c r="S28" i="1"/>
  <c r="X20" i="1" l="1"/>
  <c r="Y12" i="1" s="1"/>
  <c r="Y14" i="1" s="1"/>
  <c r="X16" i="1"/>
  <c r="AB3" i="1"/>
  <c r="AA10" i="1"/>
  <c r="AA9" i="1"/>
  <c r="AA11" i="1" s="1"/>
  <c r="AA13" i="1"/>
  <c r="S14" i="1"/>
  <c r="S29" i="1"/>
  <c r="AC3" i="1" l="1"/>
  <c r="AB10" i="1"/>
  <c r="AB9" i="1"/>
  <c r="AB13" i="1"/>
  <c r="Y16" i="1"/>
  <c r="Y20" i="1"/>
  <c r="Z12" i="1" s="1"/>
  <c r="Z14" i="1" s="1"/>
  <c r="Z16" i="1" s="1"/>
  <c r="S16" i="1"/>
  <c r="S40" i="1"/>
  <c r="T40" i="1"/>
  <c r="Z20" i="1" l="1"/>
  <c r="AB11" i="1"/>
  <c r="AD3" i="1"/>
  <c r="AC10" i="1"/>
  <c r="AC13" i="1"/>
  <c r="AC9" i="1"/>
  <c r="AC11" i="1" s="1"/>
  <c r="AA12" i="1"/>
  <c r="AA14" i="1" s="1"/>
  <c r="AE3" i="1" l="1"/>
  <c r="AD10" i="1"/>
  <c r="AD9" i="1"/>
  <c r="AD11" i="1" s="1"/>
  <c r="AD13" i="1"/>
  <c r="AA16" i="1"/>
  <c r="AA20" i="1"/>
  <c r="AF3" i="1" l="1"/>
  <c r="AE10" i="1"/>
  <c r="AE9" i="1"/>
  <c r="AE11" i="1" s="1"/>
  <c r="AE13" i="1"/>
  <c r="AB12" i="1"/>
  <c r="AB14" i="1" s="1"/>
  <c r="AF13" i="1" l="1"/>
  <c r="AF9" i="1"/>
  <c r="AF10" i="1"/>
  <c r="AB16" i="1"/>
  <c r="AB20" i="1"/>
  <c r="AF11" i="1" l="1"/>
  <c r="AC12" i="1"/>
  <c r="AC14" i="1" s="1"/>
  <c r="AC16" i="1" s="1"/>
  <c r="AC20" i="1" l="1"/>
  <c r="AD12" i="1" l="1"/>
  <c r="AD14" i="1" s="1"/>
  <c r="AD16" i="1" s="1"/>
  <c r="AD20" i="1" l="1"/>
  <c r="AE12" i="1" l="1"/>
  <c r="AE14" i="1" s="1"/>
  <c r="AE16" i="1" s="1"/>
  <c r="AE20" i="1" l="1"/>
  <c r="AF12" i="1" l="1"/>
  <c r="AF14" i="1" s="1"/>
  <c r="AF16" i="1" l="1"/>
  <c r="AG14" i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X47" i="1" s="1"/>
  <c r="AF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V28" authorId="0" shapeId="0" xr:uid="{1605FD99-D8F9-4E84-B663-1D14DF1CB4C3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This may fall, a lot, due to the decrease in copper price</t>
        </r>
      </text>
    </comment>
    <comment ref="U35" authorId="0" shapeId="0" xr:uid="{BFC0F881-35B6-4BE9-9774-D5599E78A1D5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Material costs cannot be that reliable imo
</t>
        </r>
      </text>
    </comment>
    <comment ref="U38" authorId="0" shapeId="0" xr:uid="{4A3288C2-3D3D-4727-8760-E264FB5416E9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Large increase in business</t>
        </r>
      </text>
    </comment>
  </commentList>
</comments>
</file>

<file path=xl/sharedStrings.xml><?xml version="1.0" encoding="utf-8"?>
<sst xmlns="http://schemas.openxmlformats.org/spreadsheetml/2006/main" count="72" uniqueCount="65">
  <si>
    <t>Encore Wire Corporation</t>
  </si>
  <si>
    <t>Single campus vertically integrated</t>
  </si>
  <si>
    <t>WIRE</t>
  </si>
  <si>
    <t>Highly focused on the industrial wire, not looking to expand into other business sectors (yet)</t>
  </si>
  <si>
    <t>Price</t>
  </si>
  <si>
    <t>ShareRepurchase to CapEx around 1.5x</t>
  </si>
  <si>
    <t>Shares</t>
  </si>
  <si>
    <t>Plans for growing market (electrify the world, electric cars, etc)</t>
  </si>
  <si>
    <t>MkCap</t>
  </si>
  <si>
    <t>Cash</t>
  </si>
  <si>
    <t>Debt</t>
  </si>
  <si>
    <t>EV</t>
  </si>
  <si>
    <t>Annual 10y Grow</t>
  </si>
  <si>
    <t>Terminal value</t>
  </si>
  <si>
    <t>Discount Rate</t>
  </si>
  <si>
    <t>NPV</t>
  </si>
  <si>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</si>
  <si>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</si>
  <si>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</si>
  <si>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</si>
  <si>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</si>
  <si>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</si>
  <si>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</si>
  <si>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</si>
  <si>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</si>
  <si>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</si>
  <si>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</si>
  <si>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</si>
  <si>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Revenue</t>
  </si>
  <si>
    <t>Copper cost</t>
  </si>
  <si>
    <t>.</t>
  </si>
  <si>
    <t>Other raw materials cost</t>
  </si>
  <si>
    <t>Depreciation cost</t>
  </si>
  <si>
    <t>Labor and overhead cost</t>
  </si>
  <si>
    <t>COGS</t>
  </si>
  <si>
    <t xml:space="preserve">Gross </t>
  </si>
  <si>
    <t>SG&amp;A</t>
  </si>
  <si>
    <t>Operating Income</t>
  </si>
  <si>
    <t>Interest and other income</t>
  </si>
  <si>
    <t>Taxes expense</t>
  </si>
  <si>
    <t>Net income</t>
  </si>
  <si>
    <t>EPS</t>
  </si>
  <si>
    <t>Net cash</t>
  </si>
  <si>
    <t>PP&amp;E at cost</t>
  </si>
  <si>
    <t>Raw Materials</t>
  </si>
  <si>
    <t>Work-in-process</t>
  </si>
  <si>
    <t>Finished goods</t>
  </si>
  <si>
    <t>LIFO adjustment</t>
  </si>
  <si>
    <t>Inventories</t>
  </si>
  <si>
    <t>Gross margin</t>
  </si>
  <si>
    <t>Operating margin</t>
  </si>
  <si>
    <t>Tax on revenue rate</t>
  </si>
  <si>
    <t>SG&amp;A rate</t>
  </si>
  <si>
    <t>Rev to PP&amp;E (at cost)</t>
  </si>
  <si>
    <t>Interest on cash</t>
  </si>
  <si>
    <t>Copper cost y/y</t>
  </si>
  <si>
    <t>Other raw cost y/y</t>
  </si>
  <si>
    <t>Depreciation  cost y/y</t>
  </si>
  <si>
    <t>Labor cost y/y</t>
  </si>
  <si>
    <t>Revenue y/y</t>
  </si>
  <si>
    <t>Net income y/y</t>
  </si>
  <si>
    <t>PP&amp;E y/y</t>
  </si>
  <si>
    <t>Residential growth y/y</t>
  </si>
  <si>
    <t>Target</t>
  </si>
  <si>
    <t>2022 Climate bill legislation also boosts potential tax credits for construction of some EV charging stations to as much as $100,000 per charger, up from $30,000 per site currently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</si>
</sst>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3" fontId="0" fillId="2" borderId="0" xfId="0" applyNumberFormat="1" applyFill="1"/>
    <xf numFmtId="9" fontId="1" fillId="0" borderId="0" xfId="0" applyNumberFormat="1" applyFont="1"/>
    <xf numFmtId="9" fontId="1" fillId="2" borderId="0" xfId="0" applyNumberFormat="1" applyFont="1" applyFill="1"/>
    <xf numFmtId="9" fontId="0" fillId="0" borderId="0" xfId="0" applyNumberFormat="1"/>
    <xf numFmtId="9" fontId="0" fillId="2" borderId="0" xfId="0" applyNumberFormat="1" applyFill="1"/>
    <xf numFmtId="44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46892</xdr:colOff>
      <xdr:row>0</xdr:row>
      <xdr:rowOff>37369</xdr:rowOff>
    </xdr:from>
    <xdr:to>
      <xdr:col>12</xdr:col>
      <xdr:colOff>46892</xdr:colOff>
      <xdr:row>50</xdr:row>
      <xdr:rowOff>15388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2345345-F0B6-4AE2-A6A9-0610AA28392A}"/>
            </a:ext>
          </a:extLst>
        </xdr:cNvPr>
        <xdr:cNvCxnSpPr/>
      </xdr:nvCxnSpPr>
      <xdr:spPr>
        <a:xfrm>
          <a:off x="8419367" y="37369"/>
          <a:ext cx="0" cy="6455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47625</xdr:colOff>
      <xdr:row>0</xdr:row>
      <xdr:rowOff>9525</xdr:rowOff>
    </xdr:from>
    <xdr:to>
      <xdr:col>21</xdr:col>
      <xdr:colOff>47625</xdr:colOff>
      <xdr:row>49</xdr:row>
      <xdr:rowOff>178044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4BF9532-F513-4B59-AFF3-65781C501A93}"/>
            </a:ext>
          </a:extLst>
        </xdr:cNvPr>
        <xdr:cNvCxnSpPr/>
      </xdr:nvCxnSpPr>
      <xdr:spPr>
        <a:xfrm>
          <a:off x="13592175" y="9525"/>
          <a:ext cx="0" cy="6455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0774-B749-4685-A014-25AB192F1EFE}">
  <dimension ref="B1:O19"/>
  <sheetViews>
    <sheetView tabSelected="1" workbookViewId="0">
      <selection activeCell="B8" sqref="B8"/>
    </sheetView>
  </sheetViews>
  <sheetFormatPr defaultRowHeight="15" x14ac:dyDescent="0.25"/>
  <cols>
    <col min="13" max="13" width="9.7109375" bestFit="1" customWidth="1"/>
  </cols>
  <sheetData>
    <row r="1" spans="2:15" x14ac:dyDescent="0.25">
      <c r="M1" t="s">
        <v>0</v>
      </c>
    </row>
    <row r="2" spans="2:15" x14ac:dyDescent="0.25">
      <c r="B2" t="s">
        <v>1</v>
      </c>
      <c r="C2" s="19"/>
      <c r="D2" s="19"/>
      <c r="E2" s="19"/>
      <c r="F2" s="19"/>
      <c r="G2" s="19"/>
      <c r="H2" s="19"/>
      <c r="I2" s="19"/>
      <c r="M2" t="s">
        <v>2</v>
      </c>
    </row>
    <row r="3" spans="2:15" x14ac:dyDescent="0.25">
      <c r="B3" t="s">
        <v>3</v>
      </c>
      <c r="M3" t="s">
        <v>4</v>
      </c>
      <c r="N3" s="15">
        <v>138.47</v>
      </c>
    </row>
    <row r="4" spans="2:15" x14ac:dyDescent="0.25">
      <c r="B4" t="s">
        <v>5</v>
      </c>
      <c r="M4" t="s">
        <v>6</v>
      </c>
      <c r="N4" s="1">
        <v>19.419</v>
      </c>
    </row>
    <row r="5" spans="2:15" x14ac:dyDescent="0.25">
      <c r="B5" t="s">
        <v>7</v>
      </c>
      <c r="M5" t="s">
        <v>8</v>
      </c>
      <c r="N5" s="1">
        <f>N3*N4</f>
        <v>2688.94893</v>
      </c>
    </row>
    <row r="6" spans="2:15" x14ac:dyDescent="0.25">
      <c r="M6" t="s">
        <v>9</v>
      </c>
      <c r="N6" s="1">
        <v>469.54</v>
      </c>
    </row>
    <row r="7" spans="2:15" x14ac:dyDescent="0.25">
      <c r="B7" t="s">
        <v>64</v>
      </c>
      <c r="M7" t="s">
        <v>10</v>
      </c>
      <c r="N7" s="1">
        <v>0</v>
      </c>
    </row>
    <row r="8" spans="2:15" x14ac:dyDescent="0.25">
      <c r="M8" t="s">
        <v>11</v>
      </c>
      <c r="N8" s="1">
        <f>N5-N6+N7</f>
        <v>2219.4089300000001</v>
      </c>
    </row>
    <row r="11" spans="2:15" x14ac:dyDescent="0.25">
      <c r="M11" s="2">
        <v>44772</v>
      </c>
    </row>
    <row r="15" spans="2:15" x14ac:dyDescent="0.25">
      <c r="M15" t="s">
        <v>12</v>
      </c>
      <c r="N15" s="16">
        <v>0.05</v>
      </c>
      <c r="O15" s="16"/>
    </row>
    <row r="16" spans="2:15" x14ac:dyDescent="0.25">
      <c r="M16" t="s">
        <v>13</v>
      </c>
      <c r="N16" s="16">
        <v>-0.01</v>
      </c>
      <c r="O16" s="16"/>
    </row>
    <row r="17" spans="13:15" x14ac:dyDescent="0.25">
      <c r="M17" t="s">
        <v>14</v>
      </c>
      <c r="N17" s="16">
        <v>0.08</v>
      </c>
      <c r="O17" s="16"/>
    </row>
    <row r="18" spans="13:15" x14ac:dyDescent="0.25">
      <c r="M18" t="s">
        <v>15</v>
      </c>
      <c r="N18" s="1">
        <v>11759.15586027935</v>
      </c>
    </row>
    <row r="19" spans="13:15" x14ac:dyDescent="0.25">
      <c r="M19" t="s">
        <v>63</v>
      </c>
      <c r="N19" s="15">
        <f>N18/N4</f>
        <v>605.54899120857669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B4B3-79B0-4A5E-8A82-3BDE2546F8D8}">
  <dimension ref="A1:GG51"/>
  <sheetViews>
    <sheetView zoomScale="85" zoomScaleNormal="85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AF3" sqref="AF3"/>
    </sheetView>
  </sheetViews>
  <sheetFormatPr defaultRowHeight="15" x14ac:dyDescent="0.25"/>
  <cols>
    <col min="2" max="2" width="23.85546875" bestFit="1" customWidth="1"/>
    <col min="3" max="14" width="9.28515625" style="1" customWidth="1"/>
    <col min="15" max="15" width="9.28515625" customWidth="1"/>
    <col min="16" max="16" width="4.42578125" style="3" customWidth="1"/>
    <col min="17" max="36" width="9.28515625" style="1" customWidth="1"/>
  </cols>
  <sheetData>
    <row r="1" spans="1:189" x14ac:dyDescent="0.25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189" x14ac:dyDescent="0.25"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</row>
    <row r="3" spans="1:189" x14ac:dyDescent="0.25">
      <c r="A3" s="4"/>
      <c r="B3" s="4" t="s">
        <v>28</v>
      </c>
      <c r="C3" s="5">
        <v>302.8</v>
      </c>
      <c r="D3" s="5">
        <v>253.631</v>
      </c>
      <c r="E3" s="5">
        <v>339.7</v>
      </c>
      <c r="F3" s="5">
        <f>T3-E3-D3-C3</f>
        <v>380.81700000000006</v>
      </c>
      <c r="G3" s="5">
        <v>444.14</v>
      </c>
      <c r="H3" s="5">
        <v>744.4</v>
      </c>
      <c r="I3" s="5">
        <v>716.32</v>
      </c>
      <c r="J3" s="5">
        <f>U3-I3-H3-G3</f>
        <v>687.83999999999958</v>
      </c>
      <c r="K3" s="5">
        <v>723.07</v>
      </c>
      <c r="L3" s="5">
        <v>838.23</v>
      </c>
      <c r="M3" s="5"/>
      <c r="N3" s="5"/>
      <c r="O3" s="4"/>
      <c r="P3" s="6"/>
      <c r="Q3" s="5">
        <v>1164.248</v>
      </c>
      <c r="R3" s="5">
        <v>1288.68</v>
      </c>
      <c r="S3" s="5">
        <v>1274.9939999999999</v>
      </c>
      <c r="T3" s="5">
        <v>1276.9480000000001</v>
      </c>
      <c r="U3" s="5">
        <v>2592.6999999999998</v>
      </c>
      <c r="V3" s="5">
        <f>U3*1.25</f>
        <v>3240.875</v>
      </c>
      <c r="W3" s="5">
        <f>V3*0.99</f>
        <v>3208.4662499999999</v>
      </c>
      <c r="X3" s="5">
        <f t="shared" ref="X3:Y3" si="0">W3*1.05</f>
        <v>3368.8895625</v>
      </c>
      <c r="Y3" s="5">
        <f t="shared" si="0"/>
        <v>3537.3340406249999</v>
      </c>
      <c r="Z3" s="5">
        <f>Y3*1.03</f>
        <v>3643.45406184375</v>
      </c>
      <c r="AA3" s="5">
        <f>Z3*1.03</f>
        <v>3752.7576836990625</v>
      </c>
      <c r="AB3" s="5">
        <f>AA3*1.03</f>
        <v>3865.3404142100344</v>
      </c>
      <c r="AC3" s="5">
        <f>AB3*1.03</f>
        <v>3981.3006266363354</v>
      </c>
      <c r="AD3" s="5">
        <f t="shared" ref="AD3:AF3" si="1">AC3*1.01</f>
        <v>4021.113632902699</v>
      </c>
      <c r="AE3" s="5">
        <f t="shared" si="1"/>
        <v>4061.3247692317259</v>
      </c>
      <c r="AF3" s="5">
        <f t="shared" si="1"/>
        <v>4101.938016924043</v>
      </c>
      <c r="AG3" s="5"/>
      <c r="AH3" s="5"/>
      <c r="AI3" s="5"/>
      <c r="AJ3" s="5"/>
    </row>
    <row r="4" spans="1:189" x14ac:dyDescent="0.25">
      <c r="B4" t="s">
        <v>29</v>
      </c>
      <c r="Q4" s="1">
        <f>+Q$3*0.603</f>
        <v>702.04154400000004</v>
      </c>
      <c r="R4" s="1">
        <f>+R$3*0.623</f>
        <v>802.84764000000007</v>
      </c>
      <c r="S4" s="1">
        <f>+S$3*0.608</f>
        <v>775.19635199999993</v>
      </c>
      <c r="T4" s="1">
        <f>+T$3*0.573</f>
        <v>731.69120399999997</v>
      </c>
      <c r="U4" s="1">
        <f>+U$3*0.467</f>
        <v>1210.7909</v>
      </c>
      <c r="V4" s="1" t="s">
        <v>30</v>
      </c>
    </row>
    <row r="5" spans="1:189" x14ac:dyDescent="0.25">
      <c r="B5" t="s">
        <v>31</v>
      </c>
      <c r="Q5" s="1">
        <f>+Q$3*0.129</f>
        <v>150.18799200000001</v>
      </c>
      <c r="R5" s="1">
        <f>+R$3*0.128</f>
        <v>164.95104000000001</v>
      </c>
      <c r="S5" s="1">
        <f>+S$3*0.14</f>
        <v>178.49916000000002</v>
      </c>
      <c r="T5" s="1">
        <f>+T$3*0.135</f>
        <v>172.38798000000003</v>
      </c>
      <c r="U5" s="1">
        <f>+U$3*0.105</f>
        <v>272.23349999999999</v>
      </c>
    </row>
    <row r="6" spans="1:189" x14ac:dyDescent="0.25">
      <c r="B6" t="s">
        <v>32</v>
      </c>
      <c r="Q6" s="1">
        <f>+Q$3*0.012</f>
        <v>13.970976</v>
      </c>
      <c r="R6" s="1">
        <f>+R$3*0.011</f>
        <v>14.17548</v>
      </c>
      <c r="S6" s="1">
        <f>+S$3*0.012</f>
        <v>15.299928</v>
      </c>
      <c r="T6" s="1">
        <f>+T$3*0.014</f>
        <v>17.877272000000001</v>
      </c>
      <c r="U6" s="1">
        <f>+U$3*0.008</f>
        <v>20.741599999999998</v>
      </c>
    </row>
    <row r="7" spans="1:189" x14ac:dyDescent="0.25">
      <c r="B7" t="s">
        <v>33</v>
      </c>
      <c r="Q7" s="1">
        <f>+Q$3*0.105</f>
        <v>122.24603999999999</v>
      </c>
      <c r="R7" s="1">
        <f>+R$3*0.096</f>
        <v>123.71328000000001</v>
      </c>
      <c r="S7" s="1">
        <f>+S$3*0.11</f>
        <v>140.24933999999999</v>
      </c>
      <c r="T7" s="1">
        <f>+T$3*0.108</f>
        <v>137.91038400000002</v>
      </c>
      <c r="U7" s="1">
        <f>+U$3*0.066</f>
        <v>171.1182</v>
      </c>
    </row>
    <row r="8" spans="1:189" x14ac:dyDescent="0.25">
      <c r="B8" t="s">
        <v>34</v>
      </c>
      <c r="C8" s="1">
        <v>257</v>
      </c>
      <c r="D8" s="1">
        <v>217.1</v>
      </c>
      <c r="E8" s="1">
        <v>286.24099999999999</v>
      </c>
      <c r="F8" s="1">
        <f>T8-E8-D8-C8</f>
        <v>322.05900000000008</v>
      </c>
      <c r="G8" s="1">
        <v>359.6</v>
      </c>
      <c r="H8" s="1">
        <v>467</v>
      </c>
      <c r="I8" s="1">
        <v>445.55</v>
      </c>
      <c r="J8" s="1">
        <f>U8-I8-H8-G8</f>
        <v>452.82000000000005</v>
      </c>
      <c r="K8" s="1">
        <v>479.32</v>
      </c>
      <c r="L8" s="1">
        <v>517.46299999999997</v>
      </c>
      <c r="Q8" s="1">
        <v>1008</v>
      </c>
      <c r="R8" s="1">
        <v>1098.96</v>
      </c>
      <c r="S8" s="1">
        <v>1109</v>
      </c>
      <c r="T8" s="1">
        <v>1082.4000000000001</v>
      </c>
      <c r="U8" s="1">
        <v>1724.97</v>
      </c>
    </row>
    <row r="9" spans="1:189" x14ac:dyDescent="0.25">
      <c r="A9" s="4"/>
      <c r="B9" s="4" t="s">
        <v>35</v>
      </c>
      <c r="C9" s="5">
        <f t="shared" ref="C9:L9" si="2">C3-C8</f>
        <v>45.800000000000011</v>
      </c>
      <c r="D9" s="5">
        <f t="shared" si="2"/>
        <v>36.531000000000006</v>
      </c>
      <c r="E9" s="5">
        <f t="shared" si="2"/>
        <v>53.459000000000003</v>
      </c>
      <c r="F9" s="5">
        <f t="shared" si="2"/>
        <v>58.757999999999981</v>
      </c>
      <c r="G9" s="5">
        <f t="shared" si="2"/>
        <v>84.539999999999964</v>
      </c>
      <c r="H9" s="5">
        <f t="shared" si="2"/>
        <v>277.39999999999998</v>
      </c>
      <c r="I9" s="5">
        <f t="shared" si="2"/>
        <v>270.77000000000004</v>
      </c>
      <c r="J9" s="5">
        <f t="shared" si="2"/>
        <v>235.01999999999953</v>
      </c>
      <c r="K9" s="5">
        <f t="shared" si="2"/>
        <v>243.75000000000006</v>
      </c>
      <c r="L9" s="5">
        <f t="shared" si="2"/>
        <v>320.76700000000005</v>
      </c>
      <c r="M9" s="5"/>
      <c r="N9" s="5"/>
      <c r="O9" s="4"/>
      <c r="P9" s="6"/>
      <c r="Q9" s="5">
        <f>Q3-Q8</f>
        <v>156.24800000000005</v>
      </c>
      <c r="R9" s="5">
        <f>R3-R8</f>
        <v>189.72000000000003</v>
      </c>
      <c r="S9" s="5">
        <f>S3-S8</f>
        <v>165.99399999999991</v>
      </c>
      <c r="T9" s="5">
        <f>T3-T8</f>
        <v>194.548</v>
      </c>
      <c r="U9" s="5">
        <f>U3-U8</f>
        <v>867.72999999999979</v>
      </c>
      <c r="V9" s="5">
        <f>V3*0.36</f>
        <v>1166.7149999999999</v>
      </c>
      <c r="W9" s="5">
        <f>W3*0.36</f>
        <v>1155.0478499999999</v>
      </c>
      <c r="X9" s="5">
        <f t="shared" ref="X9:AF9" si="3">X3*0.36</f>
        <v>1212.8002425</v>
      </c>
      <c r="Y9" s="5">
        <f t="shared" si="3"/>
        <v>1273.4402546249999</v>
      </c>
      <c r="Z9" s="5">
        <f t="shared" si="3"/>
        <v>1311.6434622637501</v>
      </c>
      <c r="AA9" s="5">
        <f t="shared" si="3"/>
        <v>1350.9927661316624</v>
      </c>
      <c r="AB9" s="5">
        <f t="shared" si="3"/>
        <v>1391.5225491156123</v>
      </c>
      <c r="AC9" s="5">
        <f t="shared" si="3"/>
        <v>1433.2682255890807</v>
      </c>
      <c r="AD9" s="5">
        <f t="shared" si="3"/>
        <v>1447.6009078449715</v>
      </c>
      <c r="AE9" s="5">
        <f t="shared" si="3"/>
        <v>1462.0769169234213</v>
      </c>
      <c r="AF9" s="5">
        <f t="shared" si="3"/>
        <v>1476.6976860926554</v>
      </c>
      <c r="AG9" s="5"/>
      <c r="AH9" s="5"/>
      <c r="AI9" s="5"/>
      <c r="AJ9" s="5"/>
    </row>
    <row r="10" spans="1:189" x14ac:dyDescent="0.25">
      <c r="B10" t="s">
        <v>36</v>
      </c>
      <c r="C10" s="1">
        <v>22.29</v>
      </c>
      <c r="D10" s="1">
        <v>20.754999999999999</v>
      </c>
      <c r="E10" s="1">
        <v>26.35</v>
      </c>
      <c r="F10" s="1">
        <f>T10-E10-D10-C10</f>
        <v>27.612999999999992</v>
      </c>
      <c r="G10" s="1">
        <v>31.15</v>
      </c>
      <c r="H10" s="1">
        <v>41.1</v>
      </c>
      <c r="I10" s="1">
        <v>43.816000000000003</v>
      </c>
      <c r="J10" s="1">
        <f>U10-I10-H10-G10</f>
        <v>52.477000000000011</v>
      </c>
      <c r="K10" s="1">
        <v>36.200000000000003</v>
      </c>
      <c r="L10" s="1">
        <v>50.4</v>
      </c>
      <c r="Q10" s="1">
        <v>76.72</v>
      </c>
      <c r="R10" s="1">
        <v>90.2</v>
      </c>
      <c r="S10" s="1">
        <v>94.44</v>
      </c>
      <c r="T10" s="1">
        <v>97.007999999999996</v>
      </c>
      <c r="U10" s="1">
        <v>168.54300000000001</v>
      </c>
      <c r="V10" s="1">
        <f>V3*0.06</f>
        <v>194.45249999999999</v>
      </c>
      <c r="W10" s="1">
        <f>W3*0.06</f>
        <v>192.50797499999999</v>
      </c>
      <c r="X10" s="1">
        <f t="shared" ref="X10:AF10" si="4">X3*0.06</f>
        <v>202.13337375</v>
      </c>
      <c r="Y10" s="1">
        <f t="shared" si="4"/>
        <v>212.24004243749999</v>
      </c>
      <c r="Z10" s="1">
        <f t="shared" si="4"/>
        <v>218.607243710625</v>
      </c>
      <c r="AA10" s="1">
        <f t="shared" si="4"/>
        <v>225.16546102194374</v>
      </c>
      <c r="AB10" s="1">
        <f t="shared" si="4"/>
        <v>231.92042485260205</v>
      </c>
      <c r="AC10" s="1">
        <f t="shared" si="4"/>
        <v>238.87803759818013</v>
      </c>
      <c r="AD10" s="1">
        <f t="shared" si="4"/>
        <v>241.26681797416194</v>
      </c>
      <c r="AE10" s="1">
        <f t="shared" si="4"/>
        <v>243.67948615390355</v>
      </c>
      <c r="AF10" s="1">
        <f t="shared" si="4"/>
        <v>246.11628101544258</v>
      </c>
    </row>
    <row r="11" spans="1:189" x14ac:dyDescent="0.25">
      <c r="A11" s="4"/>
      <c r="B11" s="4" t="s">
        <v>37</v>
      </c>
      <c r="C11" s="5">
        <f t="shared" ref="C11:L11" si="5">+C9-C10</f>
        <v>23.510000000000012</v>
      </c>
      <c r="D11" s="5">
        <f t="shared" si="5"/>
        <v>15.776000000000007</v>
      </c>
      <c r="E11" s="5">
        <f t="shared" si="5"/>
        <v>27.109000000000002</v>
      </c>
      <c r="F11" s="5">
        <f t="shared" si="5"/>
        <v>31.144999999999989</v>
      </c>
      <c r="G11" s="5">
        <f t="shared" si="5"/>
        <v>53.389999999999965</v>
      </c>
      <c r="H11" s="5">
        <f t="shared" si="5"/>
        <v>236.29999999999998</v>
      </c>
      <c r="I11" s="5">
        <f t="shared" si="5"/>
        <v>226.95400000000004</v>
      </c>
      <c r="J11" s="5">
        <f t="shared" si="5"/>
        <v>182.54299999999952</v>
      </c>
      <c r="K11" s="5">
        <f t="shared" si="5"/>
        <v>207.55000000000007</v>
      </c>
      <c r="L11" s="5">
        <f t="shared" si="5"/>
        <v>270.36700000000008</v>
      </c>
      <c r="M11" s="5"/>
      <c r="N11" s="5"/>
      <c r="O11" s="4"/>
      <c r="P11" s="6"/>
      <c r="Q11" s="5">
        <f>+Q9-Q10</f>
        <v>79.528000000000048</v>
      </c>
      <c r="R11" s="5">
        <f>+R9-R10</f>
        <v>99.520000000000024</v>
      </c>
      <c r="S11" s="5">
        <f>+S9-S10</f>
        <v>71.553999999999917</v>
      </c>
      <c r="T11" s="5">
        <f>+T9-T10</f>
        <v>97.54</v>
      </c>
      <c r="U11" s="5">
        <f>+U9-U10</f>
        <v>699.18699999999978</v>
      </c>
      <c r="V11" s="5">
        <f>V9-V10</f>
        <v>972.26249999999993</v>
      </c>
      <c r="W11" s="5">
        <f>W9-W10</f>
        <v>962.53987499999994</v>
      </c>
      <c r="X11" s="5">
        <f t="shared" ref="X11:AF11" si="6">X9-X10</f>
        <v>1010.6668687499999</v>
      </c>
      <c r="Y11" s="5">
        <f t="shared" si="6"/>
        <v>1061.2002121874998</v>
      </c>
      <c r="Z11" s="5">
        <f t="shared" si="6"/>
        <v>1093.0362185531251</v>
      </c>
      <c r="AA11" s="5">
        <f t="shared" si="6"/>
        <v>1125.8273051097187</v>
      </c>
      <c r="AB11" s="5">
        <f t="shared" si="6"/>
        <v>1159.6021242630102</v>
      </c>
      <c r="AC11" s="5">
        <f t="shared" si="6"/>
        <v>1194.3901879909006</v>
      </c>
      <c r="AD11" s="5">
        <f t="shared" si="6"/>
        <v>1206.3340898708095</v>
      </c>
      <c r="AE11" s="5">
        <f t="shared" si="6"/>
        <v>1218.3974307695178</v>
      </c>
      <c r="AF11" s="5">
        <f t="shared" si="6"/>
        <v>1230.5814050772128</v>
      </c>
      <c r="AG11" s="5"/>
      <c r="AH11" s="5"/>
      <c r="AI11" s="5"/>
      <c r="AJ11" s="5"/>
    </row>
    <row r="12" spans="1:189" x14ac:dyDescent="0.25">
      <c r="B12" t="s">
        <v>38</v>
      </c>
      <c r="C12" s="1">
        <v>0.88</v>
      </c>
      <c r="D12" s="1">
        <v>0.26700000000000002</v>
      </c>
      <c r="E12" s="1">
        <v>0</v>
      </c>
      <c r="F12" s="1">
        <f>T12-E12-D12-C12</f>
        <v>0.12199999999999978</v>
      </c>
      <c r="G12" s="1">
        <v>0</v>
      </c>
      <c r="H12" s="1">
        <v>3.7999999999999999E-2</v>
      </c>
      <c r="I12" s="1">
        <v>5.1999999999999998E-2</v>
      </c>
      <c r="J12" s="1">
        <f>U12-I12-H12-G12</f>
        <v>0.1</v>
      </c>
      <c r="K12" s="1">
        <v>0.115</v>
      </c>
      <c r="L12" s="1">
        <v>0.64700000000000002</v>
      </c>
      <c r="Q12" s="1">
        <v>0.42</v>
      </c>
      <c r="R12" s="1">
        <v>2.17</v>
      </c>
      <c r="S12" s="1">
        <v>4.1989999999999998</v>
      </c>
      <c r="T12" s="1">
        <v>1.2689999999999999</v>
      </c>
      <c r="U12" s="1">
        <v>0.19</v>
      </c>
      <c r="V12" s="1">
        <f>U20*0.01</f>
        <v>4.3898999999999999</v>
      </c>
      <c r="W12" s="1">
        <f t="shared" ref="W12:AF12" si="7">V20*0.01</f>
        <v>11.887811499999998</v>
      </c>
      <c r="X12" s="1">
        <f t="shared" si="7"/>
        <v>19.386161989999998</v>
      </c>
      <c r="Y12" s="1">
        <f t="shared" si="7"/>
        <v>27.328469603649996</v>
      </c>
      <c r="Z12" s="1">
        <f t="shared" si="7"/>
        <v>35.737622593123994</v>
      </c>
      <c r="AA12" s="1">
        <f t="shared" si="7"/>
        <v>44.474943161295862</v>
      </c>
      <c r="AB12" s="1">
        <f t="shared" si="7"/>
        <v>53.551035265416658</v>
      </c>
      <c r="AC12" s="1">
        <f t="shared" si="7"/>
        <v>62.976828570753909</v>
      </c>
      <c r="AD12" s="1">
        <f t="shared" si="7"/>
        <v>72.763588297725022</v>
      </c>
      <c r="AE12" s="1">
        <f t="shared" si="7"/>
        <v>82.739785536378477</v>
      </c>
      <c r="AF12" s="1">
        <f t="shared" si="7"/>
        <v>92.908230360975239</v>
      </c>
    </row>
    <row r="13" spans="1:189" x14ac:dyDescent="0.25">
      <c r="A13" s="4"/>
      <c r="B13" t="s">
        <v>39</v>
      </c>
      <c r="C13" s="1">
        <v>5.76</v>
      </c>
      <c r="D13" s="1">
        <v>3.66</v>
      </c>
      <c r="E13" s="1">
        <v>6.1360000000000001</v>
      </c>
      <c r="F13" s="1">
        <f>T13-E13-D13-C13</f>
        <v>7.1740000000000013</v>
      </c>
      <c r="G13" s="1">
        <v>12.18</v>
      </c>
      <c r="H13" s="1">
        <v>53.2</v>
      </c>
      <c r="I13" s="1">
        <v>51.463999999999999</v>
      </c>
      <c r="J13" s="1">
        <f>U13-I13-H13-G13</f>
        <v>41.130999999999993</v>
      </c>
      <c r="K13" s="1">
        <v>46.11</v>
      </c>
      <c r="L13" s="1">
        <v>60.475999999999999</v>
      </c>
      <c r="O13" s="4"/>
      <c r="P13" s="6"/>
      <c r="Q13" s="1">
        <v>12.859</v>
      </c>
      <c r="R13" s="1">
        <v>23.533999999999999</v>
      </c>
      <c r="S13" s="1">
        <v>17.599</v>
      </c>
      <c r="T13" s="1">
        <v>22.73</v>
      </c>
      <c r="U13" s="1">
        <v>157.97499999999999</v>
      </c>
      <c r="V13" s="1">
        <f>V3*0.07</f>
        <v>226.86125000000001</v>
      </c>
      <c r="W13" s="1">
        <f>W3*0.07</f>
        <v>224.59263750000002</v>
      </c>
      <c r="X13" s="1">
        <f t="shared" ref="X13:AF13" si="8">X3*0.07</f>
        <v>235.82226937500002</v>
      </c>
      <c r="Y13" s="1">
        <f t="shared" si="8"/>
        <v>247.61338284375003</v>
      </c>
      <c r="Z13" s="1">
        <f t="shared" si="8"/>
        <v>255.04178432906252</v>
      </c>
      <c r="AA13" s="1">
        <f t="shared" si="8"/>
        <v>262.69303785893442</v>
      </c>
      <c r="AB13" s="1">
        <f t="shared" si="8"/>
        <v>270.57382899470241</v>
      </c>
      <c r="AC13" s="1">
        <f t="shared" si="8"/>
        <v>278.69104386454353</v>
      </c>
      <c r="AD13" s="1">
        <f t="shared" si="8"/>
        <v>281.47795430318894</v>
      </c>
      <c r="AE13" s="1">
        <f t="shared" si="8"/>
        <v>284.29273384622081</v>
      </c>
      <c r="AF13" s="1">
        <f t="shared" si="8"/>
        <v>287.13566118468304</v>
      </c>
    </row>
    <row r="14" spans="1:189" x14ac:dyDescent="0.25">
      <c r="B14" s="4" t="s">
        <v>40</v>
      </c>
      <c r="C14" s="5">
        <f t="shared" ref="C14:L14" si="9">+C11+C12-C13</f>
        <v>18.63000000000001</v>
      </c>
      <c r="D14" s="5">
        <f t="shared" si="9"/>
        <v>12.383000000000006</v>
      </c>
      <c r="E14" s="5">
        <f t="shared" si="9"/>
        <v>20.973000000000003</v>
      </c>
      <c r="F14" s="5">
        <f t="shared" si="9"/>
        <v>24.092999999999989</v>
      </c>
      <c r="G14" s="5">
        <f t="shared" si="9"/>
        <v>41.209999999999965</v>
      </c>
      <c r="H14" s="5">
        <f t="shared" si="9"/>
        <v>183.13799999999998</v>
      </c>
      <c r="I14" s="5">
        <f t="shared" si="9"/>
        <v>175.54200000000003</v>
      </c>
      <c r="J14" s="5">
        <f t="shared" si="9"/>
        <v>141.51199999999952</v>
      </c>
      <c r="K14" s="5">
        <f t="shared" si="9"/>
        <v>161.55500000000006</v>
      </c>
      <c r="L14" s="5">
        <f t="shared" si="9"/>
        <v>210.53800000000007</v>
      </c>
      <c r="M14" s="5"/>
      <c r="N14" s="5"/>
      <c r="Q14" s="5">
        <f t="shared" ref="Q14:W14" si="10">+Q11+Q12-Q13</f>
        <v>67.089000000000055</v>
      </c>
      <c r="R14" s="5">
        <f t="shared" si="10"/>
        <v>78.156000000000034</v>
      </c>
      <c r="S14" s="5">
        <f t="shared" si="10"/>
        <v>58.153999999999911</v>
      </c>
      <c r="T14" s="5">
        <f t="shared" si="10"/>
        <v>76.079000000000008</v>
      </c>
      <c r="U14" s="5">
        <f t="shared" si="10"/>
        <v>541.40199999999982</v>
      </c>
      <c r="V14" s="5">
        <f t="shared" si="10"/>
        <v>749.7911499999999</v>
      </c>
      <c r="W14" s="5">
        <f t="shared" si="10"/>
        <v>749.83504899999991</v>
      </c>
      <c r="X14" s="5">
        <f t="shared" ref="X14:AF14" si="11">+X11+X12-X13</f>
        <v>794.23076136499992</v>
      </c>
      <c r="Y14" s="5">
        <f t="shared" si="11"/>
        <v>840.91529894739983</v>
      </c>
      <c r="Z14" s="5">
        <f t="shared" si="11"/>
        <v>873.7320568171865</v>
      </c>
      <c r="AA14" s="5">
        <f t="shared" si="11"/>
        <v>907.60921041208019</v>
      </c>
      <c r="AB14" s="5">
        <f t="shared" si="11"/>
        <v>942.57933053372449</v>
      </c>
      <c r="AC14" s="5">
        <f t="shared" si="11"/>
        <v>978.67597269711098</v>
      </c>
      <c r="AD14" s="5">
        <f t="shared" si="11"/>
        <v>997.61972386534558</v>
      </c>
      <c r="AE14" s="5">
        <f t="shared" si="11"/>
        <v>1016.8444824596755</v>
      </c>
      <c r="AF14" s="5">
        <f t="shared" si="11"/>
        <v>1036.3539742535049</v>
      </c>
      <c r="AG14" s="5">
        <f>AF14*(1+$X45)</f>
        <v>1025.9904345109699</v>
      </c>
      <c r="AH14" s="5">
        <f t="shared" ref="AH14:CS14" si="12">AG14*(1+$X45)</f>
        <v>1015.7305301658602</v>
      </c>
      <c r="AI14" s="5">
        <f t="shared" si="12"/>
        <v>1005.5732248642015</v>
      </c>
      <c r="AJ14" s="5">
        <f t="shared" si="12"/>
        <v>995.51749261555949</v>
      </c>
      <c r="AK14" s="5">
        <f t="shared" si="12"/>
        <v>985.56231768940393</v>
      </c>
      <c r="AL14" s="5">
        <f t="shared" si="12"/>
        <v>975.7066945125099</v>
      </c>
      <c r="AM14" s="5">
        <f t="shared" si="12"/>
        <v>965.94962756738482</v>
      </c>
      <c r="AN14" s="5">
        <f t="shared" si="12"/>
        <v>956.29013129171096</v>
      </c>
      <c r="AO14" s="5">
        <f t="shared" si="12"/>
        <v>946.72722997879384</v>
      </c>
      <c r="AP14" s="5">
        <f t="shared" si="12"/>
        <v>937.25995767900588</v>
      </c>
      <c r="AQ14" s="5">
        <f t="shared" si="12"/>
        <v>927.88735810221579</v>
      </c>
      <c r="AR14" s="5">
        <f t="shared" si="12"/>
        <v>918.60848452119365</v>
      </c>
      <c r="AS14" s="5">
        <f t="shared" si="12"/>
        <v>909.42239967598175</v>
      </c>
      <c r="AT14" s="5">
        <f t="shared" si="12"/>
        <v>900.32817567922189</v>
      </c>
      <c r="AU14" s="5">
        <f t="shared" si="12"/>
        <v>891.32489392242962</v>
      </c>
      <c r="AV14" s="5">
        <f t="shared" si="12"/>
        <v>882.41164498320529</v>
      </c>
      <c r="AW14" s="5">
        <f t="shared" si="12"/>
        <v>873.58752853337319</v>
      </c>
      <c r="AX14" s="5">
        <f t="shared" si="12"/>
        <v>864.8516532480395</v>
      </c>
      <c r="AY14" s="5">
        <f t="shared" si="12"/>
        <v>856.20313671555914</v>
      </c>
      <c r="AZ14" s="5">
        <f t="shared" si="12"/>
        <v>847.64110534840358</v>
      </c>
      <c r="BA14" s="5">
        <f t="shared" si="12"/>
        <v>839.16469429491951</v>
      </c>
      <c r="BB14" s="5">
        <f t="shared" si="12"/>
        <v>830.77304735197026</v>
      </c>
      <c r="BC14" s="5">
        <f t="shared" si="12"/>
        <v>822.46531687845061</v>
      </c>
      <c r="BD14" s="5">
        <f t="shared" si="12"/>
        <v>814.24066370966614</v>
      </c>
      <c r="BE14" s="5">
        <f t="shared" si="12"/>
        <v>806.09825707256948</v>
      </c>
      <c r="BF14" s="5">
        <f t="shared" si="12"/>
        <v>798.03727450184374</v>
      </c>
      <c r="BG14" s="5">
        <f t="shared" si="12"/>
        <v>790.05690175682525</v>
      </c>
      <c r="BH14" s="5">
        <f t="shared" si="12"/>
        <v>782.15633273925698</v>
      </c>
      <c r="BI14" s="5">
        <f t="shared" si="12"/>
        <v>774.33476941186439</v>
      </c>
      <c r="BJ14" s="5">
        <f t="shared" si="12"/>
        <v>766.59142171774579</v>
      </c>
      <c r="BK14" s="5">
        <f t="shared" si="12"/>
        <v>758.9255075005683</v>
      </c>
      <c r="BL14" s="5">
        <f t="shared" si="12"/>
        <v>751.33625242556263</v>
      </c>
      <c r="BM14" s="5">
        <f t="shared" si="12"/>
        <v>743.82288990130701</v>
      </c>
      <c r="BN14" s="5">
        <f t="shared" si="12"/>
        <v>736.38466100229391</v>
      </c>
      <c r="BO14" s="5">
        <f t="shared" si="12"/>
        <v>729.02081439227095</v>
      </c>
      <c r="BP14" s="5">
        <f t="shared" si="12"/>
        <v>721.73060624834818</v>
      </c>
      <c r="BQ14" s="5">
        <f t="shared" si="12"/>
        <v>714.51330018586464</v>
      </c>
      <c r="BR14" s="5">
        <f t="shared" si="12"/>
        <v>707.36816718400598</v>
      </c>
      <c r="BS14" s="5">
        <f t="shared" si="12"/>
        <v>700.29448551216592</v>
      </c>
      <c r="BT14" s="5">
        <f t="shared" si="12"/>
        <v>693.29154065704427</v>
      </c>
      <c r="BU14" s="5">
        <f t="shared" si="12"/>
        <v>686.35862525047378</v>
      </c>
      <c r="BV14" s="5">
        <f t="shared" si="12"/>
        <v>679.495038997969</v>
      </c>
      <c r="BW14" s="5">
        <f t="shared" si="12"/>
        <v>672.7000886079893</v>
      </c>
      <c r="BX14" s="5">
        <f t="shared" si="12"/>
        <v>665.97308772190945</v>
      </c>
      <c r="BY14" s="5">
        <f t="shared" si="12"/>
        <v>659.31335684469036</v>
      </c>
      <c r="BZ14" s="5">
        <f t="shared" si="12"/>
        <v>652.72022327624347</v>
      </c>
      <c r="CA14" s="5">
        <f t="shared" si="12"/>
        <v>646.19302104348105</v>
      </c>
      <c r="CB14" s="5">
        <f t="shared" si="12"/>
        <v>639.73109083304621</v>
      </c>
      <c r="CC14" s="5">
        <f t="shared" si="12"/>
        <v>633.33377992471571</v>
      </c>
      <c r="CD14" s="5">
        <f t="shared" si="12"/>
        <v>627.00044212546857</v>
      </c>
      <c r="CE14" s="5">
        <f t="shared" si="12"/>
        <v>620.73043770421384</v>
      </c>
      <c r="CF14" s="5">
        <f t="shared" si="12"/>
        <v>614.52313332717165</v>
      </c>
      <c r="CG14" s="5">
        <f t="shared" si="12"/>
        <v>608.37790199389997</v>
      </c>
      <c r="CH14" s="5">
        <f t="shared" si="12"/>
        <v>602.29412297396095</v>
      </c>
      <c r="CI14" s="5">
        <f t="shared" si="12"/>
        <v>596.27118174422139</v>
      </c>
      <c r="CJ14" s="5">
        <f t="shared" si="12"/>
        <v>590.30846992677914</v>
      </c>
      <c r="CK14" s="5">
        <f t="shared" si="12"/>
        <v>584.40538522751137</v>
      </c>
      <c r="CL14" s="5">
        <f t="shared" si="12"/>
        <v>578.56133137523625</v>
      </c>
      <c r="CM14" s="5">
        <f t="shared" si="12"/>
        <v>572.77571806148387</v>
      </c>
      <c r="CN14" s="5">
        <f t="shared" si="12"/>
        <v>567.04796088086903</v>
      </c>
      <c r="CO14" s="5">
        <f t="shared" si="12"/>
        <v>561.37748127206032</v>
      </c>
      <c r="CP14" s="5">
        <f t="shared" si="12"/>
        <v>555.76370645933969</v>
      </c>
      <c r="CQ14" s="5">
        <f t="shared" si="12"/>
        <v>550.20606939474624</v>
      </c>
      <c r="CR14" s="5">
        <f t="shared" si="12"/>
        <v>544.70400870079879</v>
      </c>
      <c r="CS14" s="5">
        <f t="shared" si="12"/>
        <v>539.25696861379083</v>
      </c>
      <c r="CT14" s="5">
        <f t="shared" ref="CT14:FE14" si="13">CS14*(1+$X45)</f>
        <v>533.86439892765293</v>
      </c>
      <c r="CU14" s="5">
        <f t="shared" si="13"/>
        <v>528.52575493837639</v>
      </c>
      <c r="CV14" s="5">
        <f t="shared" si="13"/>
        <v>523.24049738899259</v>
      </c>
      <c r="CW14" s="5">
        <f t="shared" si="13"/>
        <v>518.00809241510262</v>
      </c>
      <c r="CX14" s="5">
        <f t="shared" si="13"/>
        <v>512.82801149095155</v>
      </c>
      <c r="CY14" s="5">
        <f t="shared" si="13"/>
        <v>507.69973137604205</v>
      </c>
      <c r="CZ14" s="5">
        <f t="shared" si="13"/>
        <v>502.62273406228161</v>
      </c>
      <c r="DA14" s="5">
        <f t="shared" si="13"/>
        <v>497.59650672165878</v>
      </c>
      <c r="DB14" s="5">
        <f t="shared" si="13"/>
        <v>492.62054165444221</v>
      </c>
      <c r="DC14" s="5">
        <f t="shared" si="13"/>
        <v>487.6943362378978</v>
      </c>
      <c r="DD14" s="5">
        <f t="shared" si="13"/>
        <v>482.81739287551881</v>
      </c>
      <c r="DE14" s="5">
        <f t="shared" si="13"/>
        <v>477.98921894676363</v>
      </c>
      <c r="DF14" s="5">
        <f t="shared" si="13"/>
        <v>473.20932675729597</v>
      </c>
      <c r="DG14" s="5">
        <f t="shared" si="13"/>
        <v>468.47723348972301</v>
      </c>
      <c r="DH14" s="5">
        <f t="shared" si="13"/>
        <v>463.79246115482579</v>
      </c>
      <c r="DI14" s="5">
        <f t="shared" si="13"/>
        <v>459.15453654327752</v>
      </c>
      <c r="DJ14" s="5">
        <f t="shared" si="13"/>
        <v>454.56299117784471</v>
      </c>
      <c r="DK14" s="5">
        <f t="shared" si="13"/>
        <v>450.01736126606625</v>
      </c>
      <c r="DL14" s="5">
        <f t="shared" si="13"/>
        <v>445.51718765340559</v>
      </c>
      <c r="DM14" s="5">
        <f t="shared" si="13"/>
        <v>441.06201577687153</v>
      </c>
      <c r="DN14" s="5">
        <f t="shared" si="13"/>
        <v>436.6513956191028</v>
      </c>
      <c r="DO14" s="5">
        <f t="shared" si="13"/>
        <v>432.28488166291174</v>
      </c>
      <c r="DP14" s="5">
        <f t="shared" si="13"/>
        <v>427.96203284628263</v>
      </c>
      <c r="DQ14" s="5">
        <f t="shared" si="13"/>
        <v>423.68241251781978</v>
      </c>
      <c r="DR14" s="5">
        <f t="shared" si="13"/>
        <v>419.44558839264158</v>
      </c>
      <c r="DS14" s="5">
        <f t="shared" si="13"/>
        <v>415.25113250871516</v>
      </c>
      <c r="DT14" s="5">
        <f t="shared" si="13"/>
        <v>411.09862118362798</v>
      </c>
      <c r="DU14" s="5">
        <f t="shared" si="13"/>
        <v>406.98763497179169</v>
      </c>
      <c r="DV14" s="5">
        <f t="shared" si="13"/>
        <v>402.91775862207379</v>
      </c>
      <c r="DW14" s="5">
        <f t="shared" si="13"/>
        <v>398.88858103585306</v>
      </c>
      <c r="DX14" s="5">
        <f t="shared" si="13"/>
        <v>394.89969522549455</v>
      </c>
      <c r="DY14" s="5">
        <f t="shared" si="13"/>
        <v>390.9506982732396</v>
      </c>
      <c r="DZ14" s="5">
        <f t="shared" si="13"/>
        <v>387.04119129050719</v>
      </c>
      <c r="EA14" s="5">
        <f t="shared" si="13"/>
        <v>383.17077937760212</v>
      </c>
      <c r="EB14" s="5">
        <f t="shared" si="13"/>
        <v>379.33907158382607</v>
      </c>
      <c r="EC14" s="5">
        <f t="shared" si="13"/>
        <v>375.54568086798781</v>
      </c>
      <c r="ED14" s="5">
        <f t="shared" si="13"/>
        <v>371.79022405930795</v>
      </c>
      <c r="EE14" s="5">
        <f t="shared" si="13"/>
        <v>368.07232181871484</v>
      </c>
      <c r="EF14" s="5">
        <f t="shared" si="13"/>
        <v>364.39159860052769</v>
      </c>
      <c r="EG14" s="5">
        <f t="shared" si="13"/>
        <v>360.74768261452243</v>
      </c>
      <c r="EH14" s="5">
        <f t="shared" si="13"/>
        <v>357.14020578837722</v>
      </c>
      <c r="EI14" s="5">
        <f t="shared" si="13"/>
        <v>353.56880373049341</v>
      </c>
      <c r="EJ14" s="5">
        <f t="shared" si="13"/>
        <v>350.03311569318845</v>
      </c>
      <c r="EK14" s="5">
        <f t="shared" si="13"/>
        <v>346.53278453625654</v>
      </c>
      <c r="EL14" s="5">
        <f t="shared" si="13"/>
        <v>343.06745669089395</v>
      </c>
      <c r="EM14" s="5">
        <f t="shared" si="13"/>
        <v>339.63678212398503</v>
      </c>
      <c r="EN14" s="5">
        <f t="shared" si="13"/>
        <v>336.24041430274519</v>
      </c>
      <c r="EO14" s="5">
        <f t="shared" si="13"/>
        <v>332.87801015971775</v>
      </c>
      <c r="EP14" s="5">
        <f t="shared" si="13"/>
        <v>329.54923005812054</v>
      </c>
      <c r="EQ14" s="5">
        <f t="shared" si="13"/>
        <v>326.25373775753934</v>
      </c>
      <c r="ER14" s="5">
        <f t="shared" si="13"/>
        <v>322.99120037996397</v>
      </c>
      <c r="ES14" s="5">
        <f t="shared" si="13"/>
        <v>319.76128837616432</v>
      </c>
      <c r="ET14" s="5">
        <f t="shared" si="13"/>
        <v>316.56367549240269</v>
      </c>
      <c r="EU14" s="5">
        <f t="shared" si="13"/>
        <v>313.39803873747866</v>
      </c>
      <c r="EV14" s="5">
        <f t="shared" si="13"/>
        <v>310.26405835010388</v>
      </c>
      <c r="EW14" s="5">
        <f t="shared" si="13"/>
        <v>307.16141776660282</v>
      </c>
      <c r="EX14" s="5">
        <f t="shared" si="13"/>
        <v>304.08980358893677</v>
      </c>
      <c r="EY14" s="5">
        <f t="shared" si="13"/>
        <v>301.0489055530474</v>
      </c>
      <c r="EZ14" s="5">
        <f t="shared" si="13"/>
        <v>298.03841649751695</v>
      </c>
      <c r="FA14" s="5">
        <f t="shared" si="13"/>
        <v>295.05803233254176</v>
      </c>
      <c r="FB14" s="5">
        <f t="shared" si="13"/>
        <v>292.10745200921633</v>
      </c>
      <c r="FC14" s="5">
        <f t="shared" si="13"/>
        <v>289.18637748912414</v>
      </c>
      <c r="FD14" s="5">
        <f t="shared" si="13"/>
        <v>286.29451371423289</v>
      </c>
      <c r="FE14" s="5">
        <f t="shared" si="13"/>
        <v>283.43156857709056</v>
      </c>
      <c r="FF14" s="5">
        <f t="shared" ref="FF14:GG14" si="14">FE14*(1+$X45)</f>
        <v>280.59725289131967</v>
      </c>
      <c r="FG14" s="5">
        <f t="shared" si="14"/>
        <v>277.7912803624065</v>
      </c>
      <c r="FH14" s="5">
        <f t="shared" si="14"/>
        <v>275.01336755878242</v>
      </c>
      <c r="FI14" s="5">
        <f t="shared" si="14"/>
        <v>272.26323388319457</v>
      </c>
      <c r="FJ14" s="5">
        <f t="shared" si="14"/>
        <v>269.54060154436263</v>
      </c>
      <c r="FK14" s="5">
        <f t="shared" si="14"/>
        <v>266.84519552891902</v>
      </c>
      <c r="FL14" s="5">
        <f t="shared" si="14"/>
        <v>264.17674357362984</v>
      </c>
      <c r="FM14" s="5">
        <f t="shared" si="14"/>
        <v>261.53497613789352</v>
      </c>
      <c r="FN14" s="5">
        <f t="shared" si="14"/>
        <v>258.9196263765146</v>
      </c>
      <c r="FO14" s="5">
        <f t="shared" si="14"/>
        <v>256.33043011274947</v>
      </c>
      <c r="FP14" s="5">
        <f t="shared" si="14"/>
        <v>253.76712581162198</v>
      </c>
      <c r="FQ14" s="5">
        <f t="shared" si="14"/>
        <v>251.22945455350575</v>
      </c>
      <c r="FR14" s="5">
        <f t="shared" si="14"/>
        <v>248.71716000797068</v>
      </c>
      <c r="FS14" s="5">
        <f t="shared" si="14"/>
        <v>246.22998840789097</v>
      </c>
      <c r="FT14" s="5">
        <f t="shared" si="14"/>
        <v>243.76768852381207</v>
      </c>
      <c r="FU14" s="5">
        <f t="shared" si="14"/>
        <v>241.33001163857395</v>
      </c>
      <c r="FV14" s="5">
        <f t="shared" si="14"/>
        <v>238.91671152218819</v>
      </c>
      <c r="FW14" s="5">
        <f t="shared" si="14"/>
        <v>236.52754440696631</v>
      </c>
      <c r="FX14" s="5">
        <f t="shared" si="14"/>
        <v>234.16226896289666</v>
      </c>
      <c r="FY14" s="5">
        <f t="shared" si="14"/>
        <v>231.8206462732677</v>
      </c>
      <c r="FZ14" s="5">
        <f t="shared" si="14"/>
        <v>229.50243981053501</v>
      </c>
      <c r="GA14" s="5">
        <f t="shared" si="14"/>
        <v>227.20741541242967</v>
      </c>
      <c r="GB14" s="5">
        <f t="shared" si="14"/>
        <v>224.93534125830536</v>
      </c>
      <c r="GC14" s="5">
        <f t="shared" si="14"/>
        <v>222.68598784572231</v>
      </c>
      <c r="GD14" s="5">
        <f t="shared" si="14"/>
        <v>220.45912796726509</v>
      </c>
      <c r="GE14" s="5">
        <f t="shared" si="14"/>
        <v>218.25453668759243</v>
      </c>
      <c r="GF14" s="5">
        <f t="shared" si="14"/>
        <v>216.07199132071651</v>
      </c>
      <c r="GG14" s="5">
        <f t="shared" si="14"/>
        <v>213.91127140750933</v>
      </c>
    </row>
    <row r="15" spans="1:189" x14ac:dyDescent="0.25">
      <c r="A15" s="4"/>
      <c r="B15" t="s">
        <v>6</v>
      </c>
      <c r="C15" s="1">
        <v>20.79</v>
      </c>
      <c r="D15" s="1">
        <v>20.495999999999999</v>
      </c>
      <c r="E15" s="1">
        <v>20.547999999999998</v>
      </c>
      <c r="F15" s="1">
        <f>E15</f>
        <v>20.547999999999998</v>
      </c>
      <c r="G15" s="1">
        <v>20.568000000000001</v>
      </c>
      <c r="H15" s="1">
        <v>20.58</v>
      </c>
      <c r="I15" s="1">
        <v>20.420999999999999</v>
      </c>
      <c r="J15" s="1">
        <f>I15</f>
        <v>20.420999999999999</v>
      </c>
      <c r="K15" s="1">
        <v>20</v>
      </c>
      <c r="L15" s="1">
        <v>19.419</v>
      </c>
      <c r="O15" s="4"/>
      <c r="P15" s="6"/>
      <c r="Q15" s="1">
        <v>20.766999999999999</v>
      </c>
      <c r="R15" s="1">
        <v>20.844999999999999</v>
      </c>
      <c r="S15" s="1">
        <v>20.904</v>
      </c>
      <c r="T15" s="1">
        <v>20.599</v>
      </c>
      <c r="U15" s="1">
        <v>20.439</v>
      </c>
      <c r="V15" s="5">
        <f>U15</f>
        <v>20.439</v>
      </c>
      <c r="W15" s="5">
        <f>V15</f>
        <v>20.439</v>
      </c>
      <c r="X15" s="5">
        <f t="shared" ref="X15:AF15" si="15">W15</f>
        <v>20.439</v>
      </c>
      <c r="Y15" s="5">
        <f t="shared" si="15"/>
        <v>20.439</v>
      </c>
      <c r="Z15" s="5">
        <f t="shared" si="15"/>
        <v>20.439</v>
      </c>
      <c r="AA15" s="5">
        <f t="shared" si="15"/>
        <v>20.439</v>
      </c>
      <c r="AB15" s="5">
        <f t="shared" si="15"/>
        <v>20.439</v>
      </c>
      <c r="AC15" s="5">
        <f t="shared" si="15"/>
        <v>20.439</v>
      </c>
      <c r="AD15" s="5">
        <f t="shared" si="15"/>
        <v>20.439</v>
      </c>
      <c r="AE15" s="5">
        <f t="shared" si="15"/>
        <v>20.439</v>
      </c>
      <c r="AF15" s="5">
        <f t="shared" si="15"/>
        <v>20.439</v>
      </c>
      <c r="AG15" s="5"/>
      <c r="AH15" s="5"/>
      <c r="AI15" s="5"/>
      <c r="AJ15" s="5"/>
    </row>
    <row r="16" spans="1:189" x14ac:dyDescent="0.25">
      <c r="A16" s="7"/>
      <c r="B16" s="8" t="s">
        <v>41</v>
      </c>
      <c r="C16" s="7">
        <f t="shared" ref="C16:L16" si="16">C14/C15</f>
        <v>0.89610389610389662</v>
      </c>
      <c r="D16" s="7">
        <f t="shared" si="16"/>
        <v>0.60416666666666696</v>
      </c>
      <c r="E16" s="7">
        <f t="shared" si="16"/>
        <v>1.0206832781779251</v>
      </c>
      <c r="F16" s="7">
        <f t="shared" si="16"/>
        <v>1.1725228732723376</v>
      </c>
      <c r="G16" s="7">
        <f t="shared" si="16"/>
        <v>2.0035978218591968</v>
      </c>
      <c r="H16" s="7">
        <f t="shared" si="16"/>
        <v>8.8988338192419825</v>
      </c>
      <c r="I16" s="7">
        <f t="shared" si="16"/>
        <v>8.5961510210077883</v>
      </c>
      <c r="J16" s="7">
        <f t="shared" si="16"/>
        <v>6.9297292003329671</v>
      </c>
      <c r="K16" s="7">
        <f t="shared" si="16"/>
        <v>8.0777500000000035</v>
      </c>
      <c r="L16" s="7">
        <f t="shared" si="16"/>
        <v>10.841855914310729</v>
      </c>
      <c r="M16" s="7"/>
      <c r="N16" s="7"/>
      <c r="O16" s="7"/>
      <c r="P16" s="9"/>
      <c r="Q16" s="7">
        <f t="shared" ref="Q16:W16" si="17">Q14/Q15</f>
        <v>3.2305580969807894</v>
      </c>
      <c r="R16" s="7">
        <f t="shared" si="17"/>
        <v>3.749388342528186</v>
      </c>
      <c r="S16" s="7">
        <f t="shared" si="17"/>
        <v>2.7819556065824682</v>
      </c>
      <c r="T16" s="7">
        <f t="shared" si="17"/>
        <v>3.6933346278945582</v>
      </c>
      <c r="U16" s="7">
        <f t="shared" si="17"/>
        <v>26.488673614168981</v>
      </c>
      <c r="V16" s="7">
        <f t="shared" si="17"/>
        <v>36.684336317823764</v>
      </c>
      <c r="W16" s="7">
        <f t="shared" si="17"/>
        <v>36.6864841234894</v>
      </c>
      <c r="X16" s="7">
        <f t="shared" ref="X16:AF16" si="18">X14/X15</f>
        <v>38.858591974411659</v>
      </c>
      <c r="Y16" s="7">
        <f t="shared" si="18"/>
        <v>41.142683054327506</v>
      </c>
      <c r="Z16" s="7">
        <f t="shared" si="18"/>
        <v>42.748278135778975</v>
      </c>
      <c r="AA16" s="7">
        <f t="shared" si="18"/>
        <v>44.405754215572202</v>
      </c>
      <c r="AB16" s="7">
        <f t="shared" si="18"/>
        <v>46.116704855116417</v>
      </c>
      <c r="AC16" s="7">
        <f t="shared" si="18"/>
        <v>47.882771793977739</v>
      </c>
      <c r="AD16" s="7">
        <f t="shared" si="18"/>
        <v>48.809615140923995</v>
      </c>
      <c r="AE16" s="7">
        <f t="shared" si="18"/>
        <v>49.750207077629803</v>
      </c>
      <c r="AF16" s="7">
        <f t="shared" si="18"/>
        <v>50.704729891555601</v>
      </c>
      <c r="AG16" s="7"/>
      <c r="AH16" s="7"/>
      <c r="AI16" s="7"/>
      <c r="AJ16" s="7"/>
    </row>
    <row r="17" spans="1:36" x14ac:dyDescent="0.25">
      <c r="A17" s="1"/>
      <c r="B17" s="1"/>
      <c r="O17" s="1"/>
      <c r="P17" s="10"/>
    </row>
    <row r="18" spans="1:36" x14ac:dyDescent="0.25">
      <c r="B18" t="s">
        <v>9</v>
      </c>
      <c r="F18" s="1">
        <v>183</v>
      </c>
      <c r="I18" s="1">
        <v>294.86</v>
      </c>
      <c r="J18" s="1">
        <v>438.99</v>
      </c>
      <c r="K18" s="1">
        <v>466.09</v>
      </c>
      <c r="L18" s="1">
        <v>469.54</v>
      </c>
      <c r="R18" s="1">
        <v>178.4</v>
      </c>
      <c r="S18" s="1">
        <v>230.965</v>
      </c>
      <c r="T18" s="1">
        <v>183</v>
      </c>
      <c r="U18" s="1">
        <v>438.99</v>
      </c>
    </row>
    <row r="19" spans="1:36" x14ac:dyDescent="0.25">
      <c r="B19" t="s">
        <v>10</v>
      </c>
      <c r="F19" s="1">
        <v>0</v>
      </c>
      <c r="I19" s="1">
        <v>0</v>
      </c>
      <c r="J19" s="1">
        <v>0</v>
      </c>
      <c r="K19" s="1">
        <v>0</v>
      </c>
      <c r="L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36" s="4" customFormat="1" x14ac:dyDescent="0.25">
      <c r="B20" s="4" t="s">
        <v>42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P20" s="6"/>
      <c r="Q20" s="5"/>
      <c r="R20" s="5">
        <f t="shared" ref="R20:T20" si="19">R18-R19</f>
        <v>178.4</v>
      </c>
      <c r="S20" s="5">
        <f t="shared" si="19"/>
        <v>230.965</v>
      </c>
      <c r="T20" s="5">
        <f t="shared" si="19"/>
        <v>183</v>
      </c>
      <c r="U20" s="5">
        <f>U18-U19</f>
        <v>438.99</v>
      </c>
      <c r="V20" s="5">
        <f>V14+U20</f>
        <v>1188.7811499999998</v>
      </c>
      <c r="W20" s="5">
        <f t="shared" ref="W20:AF20" si="20">W14+V20</f>
        <v>1938.6161989999996</v>
      </c>
      <c r="X20" s="5">
        <f t="shared" si="20"/>
        <v>2732.8469603649996</v>
      </c>
      <c r="Y20" s="5">
        <f t="shared" si="20"/>
        <v>3573.7622593123997</v>
      </c>
      <c r="Z20" s="5">
        <f t="shared" si="20"/>
        <v>4447.494316129586</v>
      </c>
      <c r="AA20" s="5">
        <f t="shared" si="20"/>
        <v>5355.1035265416658</v>
      </c>
      <c r="AB20" s="5">
        <f t="shared" si="20"/>
        <v>6297.6828570753905</v>
      </c>
      <c r="AC20" s="5">
        <f t="shared" si="20"/>
        <v>7276.3588297725018</v>
      </c>
      <c r="AD20" s="5">
        <f t="shared" si="20"/>
        <v>8273.9785536378477</v>
      </c>
      <c r="AE20" s="5">
        <f t="shared" si="20"/>
        <v>9290.8230360975231</v>
      </c>
      <c r="AF20" s="5">
        <f t="shared" si="20"/>
        <v>10327.177010351028</v>
      </c>
      <c r="AG20" s="5"/>
      <c r="AH20" s="5"/>
      <c r="AI20" s="5"/>
      <c r="AJ20" s="5"/>
    </row>
    <row r="21" spans="1:36" x14ac:dyDescent="0.25">
      <c r="B21" t="s">
        <v>43</v>
      </c>
      <c r="F21" s="1">
        <v>695</v>
      </c>
      <c r="G21" s="1">
        <v>718</v>
      </c>
      <c r="H21" s="1">
        <v>736</v>
      </c>
      <c r="I21" s="1">
        <v>754</v>
      </c>
      <c r="J21" s="1">
        <v>760</v>
      </c>
      <c r="K21" s="1">
        <v>795</v>
      </c>
      <c r="L21" s="1">
        <v>837.86800000000005</v>
      </c>
      <c r="Q21" s="1">
        <v>525</v>
      </c>
      <c r="R21" s="1">
        <v>551.4</v>
      </c>
      <c r="S21" s="1">
        <v>600</v>
      </c>
      <c r="T21" s="1">
        <v>695</v>
      </c>
      <c r="U21" s="1">
        <v>760</v>
      </c>
    </row>
    <row r="22" spans="1:36" x14ac:dyDescent="0.25">
      <c r="B22" t="s">
        <v>44</v>
      </c>
      <c r="F22" s="1">
        <v>40.840000000000003</v>
      </c>
      <c r="I22" s="1">
        <v>55.088000000000001</v>
      </c>
      <c r="J22" s="1">
        <v>54</v>
      </c>
      <c r="K22" s="1">
        <v>43.06</v>
      </c>
      <c r="L22" s="1">
        <v>34.875</v>
      </c>
      <c r="R22" s="1">
        <v>28.454999999999998</v>
      </c>
      <c r="S22" s="1">
        <v>25.88</v>
      </c>
      <c r="T22" s="1">
        <v>40.840000000000003</v>
      </c>
      <c r="U22" s="1">
        <v>54</v>
      </c>
    </row>
    <row r="23" spans="1:36" x14ac:dyDescent="0.25">
      <c r="B23" t="s">
        <v>45</v>
      </c>
      <c r="F23" s="1">
        <v>31.31</v>
      </c>
      <c r="I23" s="1">
        <v>48.442999999999998</v>
      </c>
      <c r="J23" s="1">
        <v>40.4</v>
      </c>
      <c r="K23" s="1">
        <v>46.15</v>
      </c>
      <c r="L23" s="1">
        <v>57.5</v>
      </c>
      <c r="R23" s="1">
        <v>30.52</v>
      </c>
      <c r="S23" s="1">
        <v>25.38</v>
      </c>
      <c r="T23" s="1">
        <v>31.31</v>
      </c>
      <c r="U23" s="1">
        <v>40.4</v>
      </c>
    </row>
    <row r="24" spans="1:36" x14ac:dyDescent="0.25">
      <c r="B24" t="s">
        <v>46</v>
      </c>
      <c r="F24" s="1">
        <v>88.54</v>
      </c>
      <c r="I24" s="1">
        <v>101.203</v>
      </c>
      <c r="J24" s="1">
        <v>123.4</v>
      </c>
      <c r="K24" s="1">
        <v>156.977</v>
      </c>
      <c r="L24" s="1">
        <v>147.42099999999999</v>
      </c>
      <c r="R24" s="1">
        <v>88.7</v>
      </c>
      <c r="S24" s="1">
        <v>83.22</v>
      </c>
      <c r="T24" s="1">
        <v>88.54</v>
      </c>
      <c r="U24" s="1">
        <v>123.4</v>
      </c>
    </row>
    <row r="25" spans="1:36" x14ac:dyDescent="0.25">
      <c r="B25" t="s">
        <v>47</v>
      </c>
      <c r="F25" s="1">
        <v>-67.400000000000006</v>
      </c>
      <c r="I25" s="1">
        <v>-114</v>
      </c>
      <c r="J25" s="1">
        <v>-117.01900000000001</v>
      </c>
      <c r="K25" s="1">
        <v>-129.86000000000001</v>
      </c>
      <c r="L25" s="1">
        <v>-118.4</v>
      </c>
      <c r="R25" s="1">
        <v>-45.325000000000003</v>
      </c>
      <c r="S25" s="1">
        <v>-44.801000000000002</v>
      </c>
      <c r="T25" s="1">
        <v>-67.400000000000006</v>
      </c>
      <c r="U25" s="1">
        <v>-117.01900000000001</v>
      </c>
    </row>
    <row r="26" spans="1:36" x14ac:dyDescent="0.25">
      <c r="B26" s="4" t="s">
        <v>48</v>
      </c>
      <c r="F26" s="1">
        <f t="shared" ref="F26" si="21">SUM(F22:F25)</f>
        <v>93.289999999999992</v>
      </c>
      <c r="I26" s="1">
        <f>SUM(I22:I25)</f>
        <v>90.734000000000009</v>
      </c>
      <c r="J26" s="1">
        <f>SUM(J22:J25)</f>
        <v>100.78100000000001</v>
      </c>
      <c r="K26" s="1">
        <f>SUM(K22:K25)</f>
        <v>116.327</v>
      </c>
      <c r="L26" s="1">
        <f>SUM(L22:L25)</f>
        <v>121.39599999999999</v>
      </c>
      <c r="R26" s="1">
        <f t="shared" ref="R26:T26" si="22">SUM(R22:R25)</f>
        <v>102.35000000000001</v>
      </c>
      <c r="S26" s="1">
        <f t="shared" si="22"/>
        <v>89.678999999999988</v>
      </c>
      <c r="T26" s="1">
        <f t="shared" si="22"/>
        <v>93.289999999999992</v>
      </c>
      <c r="U26" s="1">
        <f>SUM(U22:U25)</f>
        <v>100.78100000000001</v>
      </c>
    </row>
    <row r="28" spans="1:36" x14ac:dyDescent="0.25">
      <c r="A28" s="11"/>
      <c r="B28" s="11" t="s">
        <v>49</v>
      </c>
      <c r="C28" s="11">
        <f t="shared" ref="C28:K28" si="23">C9/C3</f>
        <v>0.15125495376486134</v>
      </c>
      <c r="D28" s="11">
        <f t="shared" si="23"/>
        <v>0.1440320780977089</v>
      </c>
      <c r="E28" s="11">
        <f t="shared" si="23"/>
        <v>0.15737120989108039</v>
      </c>
      <c r="F28" s="11">
        <f t="shared" si="23"/>
        <v>0.15429458243723357</v>
      </c>
      <c r="G28" s="11">
        <f t="shared" si="23"/>
        <v>0.19034538658981395</v>
      </c>
      <c r="H28" s="11">
        <f t="shared" si="23"/>
        <v>0.37264911337990325</v>
      </c>
      <c r="I28" s="11">
        <f t="shared" si="23"/>
        <v>0.37800145186508827</v>
      </c>
      <c r="J28" s="11">
        <f t="shared" si="23"/>
        <v>0.34167829727843635</v>
      </c>
      <c r="K28" s="11">
        <f t="shared" si="23"/>
        <v>0.33710429142406689</v>
      </c>
      <c r="L28" s="11">
        <f>L9/L3</f>
        <v>0.38267182038342706</v>
      </c>
      <c r="M28" s="11"/>
      <c r="N28" s="11"/>
      <c r="O28" s="11"/>
      <c r="P28" s="12"/>
      <c r="Q28" s="11">
        <f t="shared" ref="Q28:U28" si="24">Q9/Q3</f>
        <v>0.13420508345301005</v>
      </c>
      <c r="R28" s="11">
        <f t="shared" si="24"/>
        <v>0.14722041158394639</v>
      </c>
      <c r="S28" s="11">
        <f t="shared" si="24"/>
        <v>0.13019198521718528</v>
      </c>
      <c r="T28" s="11">
        <f t="shared" si="24"/>
        <v>0.15235389381556649</v>
      </c>
      <c r="U28" s="11">
        <f t="shared" si="24"/>
        <v>0.33468199174605617</v>
      </c>
      <c r="V28" s="11">
        <v>0.36</v>
      </c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1:36" x14ac:dyDescent="0.25">
      <c r="A29" s="13"/>
      <c r="B29" s="13" t="s">
        <v>50</v>
      </c>
      <c r="C29" s="13">
        <f t="shared" ref="C29:K29" si="25">C11/C3</f>
        <v>7.7642007926023812E-2</v>
      </c>
      <c r="D29" s="13">
        <f t="shared" si="25"/>
        <v>6.220059850728029E-2</v>
      </c>
      <c r="E29" s="13">
        <f t="shared" si="25"/>
        <v>7.9802767147483078E-2</v>
      </c>
      <c r="F29" s="13">
        <f t="shared" si="25"/>
        <v>8.1784689233936461E-2</v>
      </c>
      <c r="G29" s="13">
        <f t="shared" si="25"/>
        <v>0.12020984374296385</v>
      </c>
      <c r="H29" s="13">
        <f t="shared" si="25"/>
        <v>0.3174368619022031</v>
      </c>
      <c r="I29" s="13">
        <f t="shared" si="25"/>
        <v>0.31683325887871344</v>
      </c>
      <c r="J29" s="13">
        <f t="shared" si="25"/>
        <v>0.26538584554547517</v>
      </c>
      <c r="K29" s="13">
        <f t="shared" si="25"/>
        <v>0.28703998229770294</v>
      </c>
      <c r="L29" s="13">
        <f>L11/L3</f>
        <v>0.32254512484640263</v>
      </c>
      <c r="M29" s="13"/>
      <c r="N29" s="13"/>
      <c r="O29" s="13"/>
      <c r="P29" s="14"/>
      <c r="Q29" s="13">
        <f t="shared" ref="Q29:V29" si="26">Q11/Q3</f>
        <v>6.8308470360266924E-2</v>
      </c>
      <c r="R29" s="13">
        <f t="shared" si="26"/>
        <v>7.7226309091473461E-2</v>
      </c>
      <c r="S29" s="13">
        <f t="shared" si="26"/>
        <v>5.6121048412776785E-2</v>
      </c>
      <c r="T29" s="13">
        <f t="shared" si="26"/>
        <v>7.6385256095001519E-2</v>
      </c>
      <c r="U29" s="13">
        <f t="shared" si="26"/>
        <v>0.26967524202568743</v>
      </c>
      <c r="V29" s="13">
        <f t="shared" si="26"/>
        <v>0.3</v>
      </c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x14ac:dyDescent="0.25">
      <c r="A30" s="13"/>
      <c r="B30" s="13" t="s">
        <v>51</v>
      </c>
      <c r="C30" s="13">
        <f t="shared" ref="C30:K30" si="27">C13/C3</f>
        <v>1.9022457067371202E-2</v>
      </c>
      <c r="D30" s="13">
        <f t="shared" si="27"/>
        <v>1.4430412686146411E-2</v>
      </c>
      <c r="E30" s="13">
        <f t="shared" si="27"/>
        <v>1.806299676184869E-2</v>
      </c>
      <c r="F30" s="13">
        <f t="shared" si="27"/>
        <v>1.8838444712289629E-2</v>
      </c>
      <c r="G30" s="13">
        <f t="shared" si="27"/>
        <v>2.7423785292925655E-2</v>
      </c>
      <c r="H30" s="13">
        <f t="shared" si="27"/>
        <v>7.1466953250940365E-2</v>
      </c>
      <c r="I30" s="13">
        <f t="shared" si="27"/>
        <v>7.1844985481349113E-2</v>
      </c>
      <c r="J30" s="13">
        <f t="shared" si="27"/>
        <v>5.9797336589904652E-2</v>
      </c>
      <c r="K30" s="13">
        <f t="shared" si="27"/>
        <v>6.3769759497697309E-2</v>
      </c>
      <c r="L30" s="13">
        <f>L13/L3</f>
        <v>7.2147262684466071E-2</v>
      </c>
      <c r="M30" s="13"/>
      <c r="N30" s="13"/>
      <c r="O30" s="13"/>
      <c r="P30" s="14"/>
      <c r="Q30" s="13">
        <f t="shared" ref="Q30:V30" si="28">Q13/Q3</f>
        <v>1.1044897650672365E-2</v>
      </c>
      <c r="R30" s="13">
        <f t="shared" si="28"/>
        <v>1.8262097650308843E-2</v>
      </c>
      <c r="S30" s="13">
        <f t="shared" si="28"/>
        <v>1.3803202211147661E-2</v>
      </c>
      <c r="T30" s="13">
        <f t="shared" si="28"/>
        <v>1.7800254982975029E-2</v>
      </c>
      <c r="U30" s="13">
        <f t="shared" si="28"/>
        <v>6.0930690014270837E-2</v>
      </c>
      <c r="V30" s="13">
        <f t="shared" si="28"/>
        <v>7.0000000000000007E-2</v>
      </c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x14ac:dyDescent="0.25">
      <c r="A31" s="13"/>
      <c r="B31" s="13" t="s">
        <v>52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/>
      <c r="Q31" s="13">
        <f t="shared" ref="Q31:T31" si="29">Q10/Q3</f>
        <v>6.5896613092743125E-2</v>
      </c>
      <c r="R31" s="13">
        <f t="shared" si="29"/>
        <v>6.9994102492472912E-2</v>
      </c>
      <c r="S31" s="13">
        <f t="shared" si="29"/>
        <v>7.4070936804408488E-2</v>
      </c>
      <c r="T31" s="13">
        <f t="shared" si="29"/>
        <v>7.596863772056496E-2</v>
      </c>
      <c r="U31" s="13">
        <f>U10/U3</f>
        <v>6.5006749720368739E-2</v>
      </c>
      <c r="V31" s="13">
        <f>V10/V3</f>
        <v>0.06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 x14ac:dyDescent="0.25">
      <c r="A32" s="13"/>
      <c r="B32" s="13" t="s">
        <v>53</v>
      </c>
      <c r="C32" s="13"/>
      <c r="D32" s="13"/>
      <c r="E32" s="13"/>
      <c r="F32" s="13"/>
      <c r="G32" s="13">
        <f t="shared" ref="G32:K32" si="30">G3/G21</f>
        <v>0.61857938718662953</v>
      </c>
      <c r="H32" s="13">
        <f t="shared" si="30"/>
        <v>1.0114130434782609</v>
      </c>
      <c r="I32" s="13">
        <f t="shared" si="30"/>
        <v>0.95002652519893904</v>
      </c>
      <c r="J32" s="13">
        <f t="shared" si="30"/>
        <v>0.90505263157894678</v>
      </c>
      <c r="K32" s="13">
        <f t="shared" si="30"/>
        <v>0.90952201257861642</v>
      </c>
      <c r="L32" s="13">
        <f>L3/L21</f>
        <v>1.0004320489623664</v>
      </c>
      <c r="M32" s="13"/>
      <c r="N32" s="13"/>
      <c r="O32" s="13"/>
      <c r="P32" s="14"/>
      <c r="Q32" s="13">
        <f>Q3/Q21</f>
        <v>2.2176152380952381</v>
      </c>
      <c r="R32" s="13">
        <f t="shared" ref="R32:U32" si="31">R3/R21</f>
        <v>2.3371055495103374</v>
      </c>
      <c r="S32" s="13">
        <f t="shared" si="31"/>
        <v>2.1249899999999999</v>
      </c>
      <c r="T32" s="13">
        <f t="shared" si="31"/>
        <v>1.8373352517985613</v>
      </c>
      <c r="U32" s="13">
        <f t="shared" si="31"/>
        <v>3.4114473684210522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s="16" customFormat="1" x14ac:dyDescent="0.25">
      <c r="B33" s="16" t="s">
        <v>54</v>
      </c>
      <c r="P33" s="17"/>
      <c r="S33" s="16">
        <f>S12/R18</f>
        <v>2.3536995515695065E-2</v>
      </c>
      <c r="T33" s="16">
        <f>T12/S18</f>
        <v>5.4943389691078726E-3</v>
      </c>
      <c r="U33" s="16">
        <f>U12/T18</f>
        <v>1.0382513661202186E-3</v>
      </c>
      <c r="V33" s="16">
        <f>V12/U18</f>
        <v>0.01</v>
      </c>
    </row>
    <row r="34" spans="1:36" x14ac:dyDescent="0.25">
      <c r="B34" s="13"/>
    </row>
    <row r="35" spans="1:36" x14ac:dyDescent="0.25">
      <c r="B35" s="13" t="s">
        <v>55</v>
      </c>
      <c r="J35" s="13"/>
      <c r="K35" s="13"/>
      <c r="L35" s="13"/>
      <c r="M35" s="13"/>
      <c r="N35" s="13"/>
      <c r="O35" s="13"/>
      <c r="P35" s="14"/>
      <c r="Q35" s="13"/>
      <c r="R35" s="13">
        <f t="shared" ref="R35:U37" si="32">R4/Q4-1</f>
        <v>0.14358992977201934</v>
      </c>
      <c r="S35" s="13">
        <f t="shared" si="32"/>
        <v>-3.4441513709874139E-2</v>
      </c>
      <c r="T35" s="13">
        <f t="shared" si="32"/>
        <v>-5.6121456051434038E-2</v>
      </c>
      <c r="U35" s="13">
        <f t="shared" si="32"/>
        <v>0.65478400366283473</v>
      </c>
      <c r="V35" s="13"/>
    </row>
    <row r="36" spans="1:36" x14ac:dyDescent="0.25">
      <c r="B36" s="13" t="s">
        <v>56</v>
      </c>
      <c r="J36" s="13"/>
      <c r="K36" s="13"/>
      <c r="L36" s="13"/>
      <c r="M36" s="13"/>
      <c r="N36" s="13"/>
      <c r="O36" s="13"/>
      <c r="P36" s="14"/>
      <c r="Q36" s="13"/>
      <c r="R36" s="13">
        <f t="shared" si="32"/>
        <v>9.829712617770392E-2</v>
      </c>
      <c r="S36" s="13">
        <f t="shared" si="32"/>
        <v>8.2134189635906685E-2</v>
      </c>
      <c r="T36" s="13">
        <f t="shared" si="32"/>
        <v>-3.4236463633778413E-2</v>
      </c>
      <c r="U36" s="13">
        <f t="shared" si="32"/>
        <v>0.57919073011935018</v>
      </c>
      <c r="V36" s="13"/>
    </row>
    <row r="37" spans="1:36" x14ac:dyDescent="0.25">
      <c r="B37" s="13" t="s">
        <v>57</v>
      </c>
      <c r="J37" s="13"/>
      <c r="K37" s="13"/>
      <c r="L37" s="13"/>
      <c r="M37" s="13"/>
      <c r="N37" s="13"/>
      <c r="O37" s="13"/>
      <c r="P37" s="14"/>
      <c r="Q37" s="13"/>
      <c r="R37" s="13">
        <f t="shared" si="32"/>
        <v>1.463777476963668E-2</v>
      </c>
      <c r="S37" s="13">
        <f t="shared" si="32"/>
        <v>7.9323451481007945E-2</v>
      </c>
      <c r="T37" s="13">
        <f t="shared" si="32"/>
        <v>0.16845464893691009</v>
      </c>
      <c r="U37" s="13">
        <f t="shared" si="32"/>
        <v>0.16022176090401241</v>
      </c>
      <c r="V37" s="13"/>
    </row>
    <row r="38" spans="1:36" x14ac:dyDescent="0.25">
      <c r="B38" s="13" t="s">
        <v>58</v>
      </c>
      <c r="J38" s="13"/>
      <c r="K38" s="13"/>
      <c r="L38" s="13"/>
      <c r="M38" s="13"/>
      <c r="N38" s="13"/>
      <c r="O38" s="13"/>
      <c r="P38" s="14"/>
      <c r="Q38" s="13"/>
      <c r="R38" s="13">
        <f t="shared" ref="R38:U38" si="33">R7/Q7-1</f>
        <v>1.2002351978027459E-2</v>
      </c>
      <c r="S38" s="13">
        <f t="shared" si="33"/>
        <v>0.1336643891423781</v>
      </c>
      <c r="T38" s="13">
        <f t="shared" si="33"/>
        <v>-1.6677126608937831E-2</v>
      </c>
      <c r="U38" s="13">
        <f t="shared" si="33"/>
        <v>0.24079271652234668</v>
      </c>
      <c r="V38" s="13"/>
    </row>
    <row r="39" spans="1:36" x14ac:dyDescent="0.25">
      <c r="A39" s="11"/>
      <c r="B39" s="11" t="s">
        <v>59</v>
      </c>
      <c r="C39" s="11"/>
      <c r="D39" s="11"/>
      <c r="E39" s="11"/>
      <c r="F39" s="11"/>
      <c r="G39" s="11">
        <f t="shared" ref="G39:K39" si="34">G3/C3-1</f>
        <v>0.4667767503302509</v>
      </c>
      <c r="H39" s="11">
        <f t="shared" si="34"/>
        <v>1.9349724599910894</v>
      </c>
      <c r="I39" s="11">
        <f t="shared" si="34"/>
        <v>1.1086841330585813</v>
      </c>
      <c r="J39" s="11">
        <f t="shared" si="34"/>
        <v>0.80622188610277234</v>
      </c>
      <c r="K39" s="11">
        <f t="shared" si="34"/>
        <v>0.62802269554644941</v>
      </c>
      <c r="L39" s="11">
        <f>L3/H3-1</f>
        <v>0.12604782375067169</v>
      </c>
      <c r="M39" s="11"/>
      <c r="N39" s="11"/>
      <c r="O39" s="11"/>
      <c r="P39" s="12"/>
      <c r="Q39" s="11"/>
      <c r="R39" s="11">
        <f t="shared" ref="R39:T39" si="35">R3/Q3-1</f>
        <v>0.10687757247596741</v>
      </c>
      <c r="S39" s="11">
        <f t="shared" si="35"/>
        <v>-1.0620169475742736E-2</v>
      </c>
      <c r="T39" s="11">
        <f t="shared" si="35"/>
        <v>1.5325562316372832E-3</v>
      </c>
      <c r="U39" s="11">
        <f>U3/T3-1</f>
        <v>1.0303880815820219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1:36" x14ac:dyDescent="0.25">
      <c r="A40" s="11"/>
      <c r="B40" s="11" t="s">
        <v>60</v>
      </c>
      <c r="C40" s="11"/>
      <c r="D40" s="11"/>
      <c r="E40" s="11"/>
      <c r="F40" s="11"/>
      <c r="G40" s="11">
        <f t="shared" ref="G40:K40" si="36">G14/C14-1</f>
        <v>1.2120236178207162</v>
      </c>
      <c r="H40" s="11">
        <f t="shared" si="36"/>
        <v>13.789469433901306</v>
      </c>
      <c r="I40" s="11">
        <f t="shared" si="36"/>
        <v>7.3699041624946364</v>
      </c>
      <c r="J40" s="11">
        <f t="shared" si="36"/>
        <v>4.8735732370397864</v>
      </c>
      <c r="K40" s="11">
        <f t="shared" si="36"/>
        <v>2.9202863382674158</v>
      </c>
      <c r="L40" s="11">
        <f>L14/H14-1</f>
        <v>0.14961395232010877</v>
      </c>
      <c r="M40" s="11"/>
      <c r="N40" s="11"/>
      <c r="O40" s="11"/>
      <c r="P40" s="12"/>
      <c r="Q40" s="11"/>
      <c r="R40" s="11">
        <f t="shared" ref="R40:T40" si="37">R14/Q14-1</f>
        <v>0.16495997853597411</v>
      </c>
      <c r="S40" s="11">
        <f t="shared" si="37"/>
        <v>-0.25592404933722446</v>
      </c>
      <c r="T40" s="11">
        <f t="shared" si="37"/>
        <v>0.30823331155208789</v>
      </c>
      <c r="U40" s="11">
        <f>U14/T14-1</f>
        <v>6.1163133059056998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 spans="1:36" x14ac:dyDescent="0.25">
      <c r="A41" s="13"/>
      <c r="B41" s="13" t="s">
        <v>61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4"/>
      <c r="Q41" s="13"/>
      <c r="R41" s="13">
        <f t="shared" ref="R41:T41" si="38">R21/Q21-1</f>
        <v>5.0285714285714267E-2</v>
      </c>
      <c r="S41" s="13">
        <f t="shared" si="38"/>
        <v>8.8139281828073957E-2</v>
      </c>
      <c r="T41" s="13">
        <f t="shared" si="38"/>
        <v>0.15833333333333344</v>
      </c>
      <c r="U41" s="13">
        <f>U21/T21-1</f>
        <v>9.3525179856115193E-2</v>
      </c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4" spans="1:36" x14ac:dyDescent="0.25">
      <c r="W44" s="1" t="s">
        <v>12</v>
      </c>
      <c r="X44" s="18">
        <v>0.05</v>
      </c>
      <c r="Y44" s="18"/>
    </row>
    <row r="45" spans="1:36" x14ac:dyDescent="0.25">
      <c r="W45" s="1" t="s">
        <v>13</v>
      </c>
      <c r="X45" s="18">
        <v>-0.01</v>
      </c>
      <c r="Y45" s="18"/>
    </row>
    <row r="46" spans="1:36" x14ac:dyDescent="0.25">
      <c r="W46" s="1" t="s">
        <v>14</v>
      </c>
      <c r="X46" s="18">
        <v>0.08</v>
      </c>
      <c r="Y46" s="18"/>
    </row>
    <row r="47" spans="1:36" x14ac:dyDescent="0.25">
      <c r="W47" s="1" t="s">
        <v>15</v>
      </c>
      <c r="X47" s="1">
        <f>NPV(X46,V14:GG14)</f>
        <v>11134.76861191131</v>
      </c>
    </row>
    <row r="51" spans="2:12" x14ac:dyDescent="0.25">
      <c r="B51" t="s">
        <v>62</v>
      </c>
      <c r="G51" s="1">
        <v>34</v>
      </c>
      <c r="K51" s="1">
        <v>30.8</v>
      </c>
      <c r="L51" s="1">
        <v>30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PC</cp:lastModifiedBy>
  <cp:revision/>
  <dcterms:created xsi:type="dcterms:W3CDTF">2022-07-29T15:39:37Z</dcterms:created>
  <dcterms:modified xsi:type="dcterms:W3CDTF">2022-08-09T03:55:55Z</dcterms:modified>
  <cp:category/>
  <cp:contentStatus/>
</cp:coreProperties>
</file>