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7BAB79DF-178F-464C-99AA-646CDA6AAF9E}" xr6:coauthVersionLast="47" xr6:coauthVersionMax="47" xr10:uidLastSave="{00000000-0000-0000-0000-000000000000}"/>
  <bookViews>
    <workbookView xWindow="25860" yWindow="6480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7" l="1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L9" i="3" l="1"/>
  <c r="K9" i="3"/>
  <c r="J9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L8" i="3"/>
  <c r="K8" i="3"/>
  <c r="J8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L7" i="3"/>
  <c r="K7" i="3"/>
  <c r="J7" i="3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7" i="1"/>
  <c r="C21" i="1"/>
  <c r="C22" i="1" s="1"/>
  <c r="N2" i="7" l="1"/>
  <c r="H3" i="4"/>
  <c r="H2" i="3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5" i="4" l="1"/>
  <c r="H4" i="4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<sst xmlns="http://schemas.openxmlformats.org/spreadsheetml/2006/main" count="202" uniqueCount="127">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</sst>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K8" sqref="K8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44831</v>
      </c>
      <c r="C2" s="65">
        <v>0.4375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3682.72</v>
      </c>
      <c r="E5" s="3" t="s">
        <v>15</v>
      </c>
      <c r="F5" s="27">
        <f>(C9-C18)/(C17-C18)</f>
        <v>0.74502479403446709</v>
      </c>
      <c r="G5" s="25">
        <v>0.4</v>
      </c>
      <c r="H5" s="21"/>
    </row>
    <row r="6" spans="2:11" x14ac:dyDescent="0.25">
      <c r="B6" s="3" t="s">
        <v>4</v>
      </c>
      <c r="C6" s="13">
        <v>3655.52</v>
      </c>
      <c r="E6" s="3" t="s">
        <v>16</v>
      </c>
      <c r="F6" s="27">
        <f>(C9-C23)/(C22-C23)</f>
        <v>0.56728667959101653</v>
      </c>
      <c r="G6" s="25">
        <v>0.33</v>
      </c>
      <c r="H6" s="21"/>
    </row>
    <row r="7" spans="2:11" ht="15.75" thickBot="1" x14ac:dyDescent="0.3">
      <c r="B7" s="3" t="s">
        <v>12</v>
      </c>
      <c r="C7" s="13">
        <v>3674.37</v>
      </c>
      <c r="E7" s="5" t="s">
        <v>17</v>
      </c>
      <c r="F7" s="28">
        <f>(C9-C28)/(C27-C28)</f>
        <v>0.27675799239404836</v>
      </c>
      <c r="G7" s="26">
        <v>0.27</v>
      </c>
      <c r="H7" s="21"/>
    </row>
    <row r="8" spans="2:11" ht="15.75" thickBot="1" x14ac:dyDescent="0.3">
      <c r="B8" s="5" t="s">
        <v>10</v>
      </c>
      <c r="C8" s="13">
        <v>3750.52</v>
      </c>
      <c r="E8" s="23" t="s">
        <v>18</v>
      </c>
      <c r="F8" s="29">
        <f>F5*G5+F6*G6+F7*G7</f>
        <v>0.55993917982521535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3686.44</v>
      </c>
      <c r="F9" s="1"/>
      <c r="G9" s="1"/>
    </row>
    <row r="10" spans="2:11" ht="15.75" thickBot="1" x14ac:dyDescent="0.3">
      <c r="B10" s="3" t="s">
        <v>1</v>
      </c>
      <c r="C10" s="13"/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/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0.27400000000000002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63.095655527110871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3718.6156555271109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3592.4243444728891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89.690857636045607</v>
      </c>
    </row>
    <row r="22" spans="2:7" x14ac:dyDescent="0.25">
      <c r="B22" s="3" t="s">
        <v>7</v>
      </c>
      <c r="C22" s="4">
        <f>C7+C21</f>
        <v>3764.0608576360455</v>
      </c>
    </row>
    <row r="23" spans="2:7" ht="15.75" thickBot="1" x14ac:dyDescent="0.3">
      <c r="B23" s="5" t="s">
        <v>8</v>
      </c>
      <c r="C23" s="6">
        <f>C7-C21</f>
        <v>3584.6791423639543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143.52137549557563</v>
      </c>
    </row>
    <row r="27" spans="2:7" x14ac:dyDescent="0.25">
      <c r="B27" s="3" t="s">
        <v>7</v>
      </c>
      <c r="C27" s="4">
        <f>C8+C26</f>
        <v>3894.0413754955757</v>
      </c>
    </row>
    <row r="28" spans="2:7" ht="15.75" thickBot="1" x14ac:dyDescent="0.3">
      <c r="B28" s="5" t="s">
        <v>8</v>
      </c>
      <c r="C28" s="6">
        <f>C8-C26</f>
        <v>3606.9986245044242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M8" sqref="M8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66</v>
      </c>
      <c r="C2" s="17">
        <v>2022</v>
      </c>
      <c r="F2" s="84" t="s">
        <v>83</v>
      </c>
      <c r="G2" s="84" t="s">
        <v>85</v>
      </c>
      <c r="H2" s="71" t="s">
        <v>84</v>
      </c>
      <c r="I2" s="22"/>
      <c r="J2" s="22"/>
      <c r="K2" s="70" t="s">
        <v>68</v>
      </c>
      <c r="L2" s="71" t="s">
        <v>6</v>
      </c>
      <c r="M2" s="22"/>
      <c r="N2" s="22"/>
    </row>
    <row r="3" spans="2:14" x14ac:dyDescent="0.25">
      <c r="B3" s="22" t="s">
        <v>67</v>
      </c>
      <c r="C3" s="75">
        <v>44824</v>
      </c>
      <c r="E3" s="22" t="s">
        <v>80</v>
      </c>
      <c r="F3" s="78">
        <f>COUNTA(Tracker!K:K)-1</f>
        <v>5</v>
      </c>
      <c r="G3" s="80" t="s">
        <v>27</v>
      </c>
      <c r="H3" s="72">
        <f>C7/F3</f>
        <v>284.99999999999989</v>
      </c>
      <c r="J3" s="22" t="s">
        <v>86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70</v>
      </c>
      <c r="C4" s="72">
        <v>23681.65</v>
      </c>
      <c r="E4" s="22" t="s">
        <v>81</v>
      </c>
      <c r="F4" s="78">
        <f>COUNTIF(Tracker!J:J, "&gt;0")</f>
        <v>4</v>
      </c>
      <c r="G4" s="81">
        <f>F4/F3</f>
        <v>0.8</v>
      </c>
      <c r="H4" s="72">
        <f>(SUMIF(Tracker!H:H, "&gt;0", Tracker!H:H)-SUMIF(Tracker!H2,"&gt;0", Tracker!H2))/F4*100</f>
        <v>853.00000000000011</v>
      </c>
      <c r="J4" s="22" t="s">
        <v>87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69</v>
      </c>
      <c r="C5" s="72">
        <v>23681.65</v>
      </c>
      <c r="E5" s="22" t="s">
        <v>82</v>
      </c>
      <c r="F5" s="78">
        <f>COUNTIF(Tracker!J:J, "&lt;0")</f>
        <v>1</v>
      </c>
      <c r="G5" s="81">
        <f>F5/F3</f>
        <v>0.2</v>
      </c>
      <c r="H5" s="72">
        <f>IFERROR((SUMIF(Tracker!H:H, "&lt;0", Tracker!H:H)-SUMIF(Tracker!H2,"&lt;0", Tracker!H2))/F5*100, 0)</f>
        <v>-1987.0000000000005</v>
      </c>
      <c r="J5" s="22" t="s">
        <v>88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42</v>
      </c>
      <c r="C7" s="72">
        <f>INDEX(Tracker!K:K, COUNTA(Tracker!K:K)+3,1)</f>
        <v>1424.9999999999995</v>
      </c>
      <c r="E7" s="22" t="s">
        <v>71</v>
      </c>
      <c r="F7" s="76">
        <f>C7/C4</f>
        <v>6.0173172055156605E-2</v>
      </c>
      <c r="G7" s="76"/>
      <c r="J7" s="22" t="s">
        <v>75</v>
      </c>
      <c r="K7" s="82">
        <v>20</v>
      </c>
      <c r="L7" s="82">
        <v>25</v>
      </c>
    </row>
    <row r="8" spans="2:14" x14ac:dyDescent="0.25">
      <c r="B8" s="22" t="s">
        <v>73</v>
      </c>
      <c r="C8" s="72">
        <f>INDEX(Tracker!L:L, COUNTA(Tracker!L:L)+3,1)</f>
        <v>4811</v>
      </c>
      <c r="E8" s="22" t="s">
        <v>76</v>
      </c>
      <c r="F8" s="76">
        <f>(1+F7)^(365/(Indicator!B2-Dashboard!C3+1))-1</f>
        <v>13.381923052175734</v>
      </c>
      <c r="G8" s="76"/>
      <c r="J8" s="22" t="s">
        <v>79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72</v>
      </c>
      <c r="C9" s="76">
        <f>C7/C8</f>
        <v>0.29619621700270204</v>
      </c>
      <c r="E9" s="22" t="s">
        <v>77</v>
      </c>
      <c r="F9" s="76">
        <f>(1+F7)^((44927-C3)/(Indicator!B2-Dashboard!C3+1))-1</f>
        <v>1.1219074130035542</v>
      </c>
      <c r="G9" s="76"/>
      <c r="J9" s="22" t="s">
        <v>78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9"/>
  <sheetViews>
    <sheetView workbookViewId="0">
      <selection activeCell="J8" sqref="J8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44831</v>
      </c>
      <c r="B2" s="43">
        <f>Indicator!$C$9</f>
        <v>3686.44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0.27400000000000002</v>
      </c>
      <c r="G2" s="44">
        <f>Indicator!$F$8</f>
        <v>0.55993917982521535</v>
      </c>
      <c r="H2" s="59">
        <f>SUMIF(Trades!A:A,Tracker!A2,Trades!H:H)</f>
        <v>13.58</v>
      </c>
      <c r="I2" s="60">
        <f>SUMIFS(Trades!H:H,  Trades!A:A,Tracker!A2,  Trades!C:C, "STO")</f>
        <v>13.58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7" t="s">
        <v>64</v>
      </c>
      <c r="L4" s="47" t="s">
        <v>74</v>
      </c>
      <c r="M4" s="74" t="s">
        <v>48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49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  <row r="8" spans="1:13" x14ac:dyDescent="0.25">
      <c r="A8" s="58">
        <v>44827</v>
      </c>
      <c r="B8" s="42">
        <v>3727.14</v>
      </c>
      <c r="C8" s="42">
        <v>3693.49</v>
      </c>
      <c r="D8" s="42">
        <v>3725.74</v>
      </c>
      <c r="E8" s="42">
        <v>3799.45</v>
      </c>
      <c r="F8" s="41">
        <v>0.26400000000000001</v>
      </c>
      <c r="G8" s="41">
        <v>0.22597893531506713</v>
      </c>
      <c r="H8" s="17">
        <v>-19.870000000000005</v>
      </c>
      <c r="I8" s="61">
        <v>12.66</v>
      </c>
      <c r="J8" s="21">
        <f>H8/I8</f>
        <v>-1.5695102685624016</v>
      </c>
      <c r="K8" s="66">
        <f>K7+H8*100</f>
        <v>96.999999999999545</v>
      </c>
      <c r="L8">
        <f>I8*100+L7</f>
        <v>3483</v>
      </c>
      <c r="M8" s="17" t="s">
        <v>118</v>
      </c>
    </row>
    <row r="9" spans="1:13" x14ac:dyDescent="0.25">
      <c r="A9" s="58">
        <v>44830</v>
      </c>
      <c r="B9" s="42">
        <v>3682.72</v>
      </c>
      <c r="C9" s="42">
        <v>3655.52</v>
      </c>
      <c r="D9" s="42">
        <v>3674.37</v>
      </c>
      <c r="E9" s="42">
        <v>3750.52</v>
      </c>
      <c r="F9" s="41">
        <v>0.27800000000000002</v>
      </c>
      <c r="G9" s="41">
        <v>0.28269041759555957</v>
      </c>
      <c r="H9" s="17">
        <v>13.28</v>
      </c>
      <c r="I9" s="61">
        <v>13.28</v>
      </c>
      <c r="J9" s="21">
        <f>H9/I9</f>
        <v>1</v>
      </c>
      <c r="K9" s="66">
        <f>K8+H9*100</f>
        <v>1424.9999999999995</v>
      </c>
      <c r="L9">
        <f>I9*100+L8</f>
        <v>4811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18"/>
  <sheetViews>
    <sheetView workbookViewId="0">
      <selection activeCell="I23" sqref="I23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</row>
    <row r="2" spans="1:12" x14ac:dyDescent="0.25">
      <c r="A2" s="48">
        <v>44824</v>
      </c>
      <c r="B2" s="49">
        <v>949</v>
      </c>
      <c r="C2" s="31" t="s">
        <v>44</v>
      </c>
      <c r="D2" s="17" t="s">
        <v>45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-I2*G2</f>
        <v>-12.809999999999999</v>
      </c>
    </row>
    <row r="3" spans="1:12" x14ac:dyDescent="0.25">
      <c r="A3" s="48">
        <v>44824</v>
      </c>
      <c r="B3" s="49">
        <v>950</v>
      </c>
      <c r="C3" s="31" t="s">
        <v>44</v>
      </c>
      <c r="D3" s="17" t="s">
        <v>46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44</v>
      </c>
      <c r="D4" s="17" t="s">
        <v>50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44</v>
      </c>
      <c r="D6" s="69" t="s">
        <v>90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 t="shared" ref="J6:J9" si="2">-I6*G6</f>
        <v>-14.91</v>
      </c>
    </row>
    <row r="7" spans="1:12" x14ac:dyDescent="0.25">
      <c r="A7" s="48">
        <v>44826</v>
      </c>
      <c r="B7" s="49">
        <v>946</v>
      </c>
      <c r="C7" s="31" t="s">
        <v>44</v>
      </c>
      <c r="D7" s="69" t="s">
        <v>89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 t="shared" si="2"/>
        <v>-7.11</v>
      </c>
    </row>
    <row r="8" spans="1:12" x14ac:dyDescent="0.25">
      <c r="A8" s="48">
        <v>44827</v>
      </c>
      <c r="B8" s="49">
        <v>936</v>
      </c>
      <c r="C8" s="31" t="s">
        <v>44</v>
      </c>
      <c r="D8" s="69" t="s">
        <v>113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 t="shared" si="2"/>
        <v>-19.41</v>
      </c>
    </row>
    <row r="9" spans="1:12" x14ac:dyDescent="0.25">
      <c r="A9" s="48">
        <v>44827</v>
      </c>
      <c r="B9" s="49">
        <v>949</v>
      </c>
      <c r="C9" s="31" t="s">
        <v>44</v>
      </c>
      <c r="D9" s="69" t="s">
        <v>114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 t="shared" si="2"/>
        <v>-11.91</v>
      </c>
    </row>
    <row r="10" spans="1:12" x14ac:dyDescent="0.25">
      <c r="A10" s="48">
        <v>44827</v>
      </c>
      <c r="B10" s="49">
        <v>240</v>
      </c>
      <c r="C10" s="31" t="s">
        <v>115</v>
      </c>
      <c r="D10" s="69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2" x14ac:dyDescent="0.25">
      <c r="A11" s="48">
        <v>44827</v>
      </c>
      <c r="B11" s="49">
        <v>255</v>
      </c>
      <c r="C11" s="31" t="s">
        <v>115</v>
      </c>
      <c r="D11" s="69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2" x14ac:dyDescent="0.25">
      <c r="A12" s="48">
        <v>44827</v>
      </c>
      <c r="B12" s="49">
        <v>311</v>
      </c>
      <c r="C12" s="31" t="s">
        <v>44</v>
      </c>
      <c r="D12" s="69" t="s">
        <v>117</v>
      </c>
      <c r="E12" s="102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3">
        <f>-I12*G12</f>
        <v>-6.66</v>
      </c>
    </row>
    <row r="13" spans="1:12" x14ac:dyDescent="0.25">
      <c r="A13" s="48">
        <v>44830</v>
      </c>
      <c r="B13" s="49">
        <v>942</v>
      </c>
      <c r="C13" s="31" t="s">
        <v>44</v>
      </c>
      <c r="D13" s="69" t="s">
        <v>122</v>
      </c>
      <c r="E13" s="102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3">
        <f>-I13*G13</f>
        <v>-12.809999999999999</v>
      </c>
    </row>
    <row r="14" spans="1:12" x14ac:dyDescent="0.25">
      <c r="A14" s="48">
        <v>44830</v>
      </c>
      <c r="B14" s="49">
        <v>942</v>
      </c>
      <c r="C14" s="31" t="s">
        <v>44</v>
      </c>
      <c r="D14" s="69" t="s">
        <v>119</v>
      </c>
      <c r="E14" s="102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3">
        <f t="shared" ref="J14:J15" si="4">-I14*G14</f>
        <v>-9.81</v>
      </c>
    </row>
    <row r="15" spans="1:12" x14ac:dyDescent="0.25">
      <c r="A15" s="48">
        <v>44830</v>
      </c>
      <c r="B15" s="49">
        <v>1015</v>
      </c>
      <c r="C15" s="31" t="s">
        <v>44</v>
      </c>
      <c r="D15" s="69" t="s">
        <v>121</v>
      </c>
      <c r="E15" s="102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3">
        <f t="shared" si="4"/>
        <v>-4.41</v>
      </c>
    </row>
    <row r="16" spans="1:12" x14ac:dyDescent="0.25">
      <c r="A16" s="48">
        <v>44831</v>
      </c>
      <c r="B16" s="49">
        <v>950</v>
      </c>
      <c r="C16" s="31" t="s">
        <v>44</v>
      </c>
      <c r="D16" s="103" t="s">
        <v>124</v>
      </c>
      <c r="E16" s="102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3">
        <f t="shared" ref="J16:J18" si="5">-I16*G16</f>
        <v>-10.11</v>
      </c>
    </row>
    <row r="17" spans="1:10" x14ac:dyDescent="0.25">
      <c r="A17" s="48">
        <v>44831</v>
      </c>
      <c r="B17" s="49">
        <v>940</v>
      </c>
      <c r="C17" s="31" t="s">
        <v>44</v>
      </c>
      <c r="D17" s="103" t="s">
        <v>125</v>
      </c>
      <c r="E17" s="102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3">
        <f t="shared" si="5"/>
        <v>-11.61</v>
      </c>
    </row>
    <row r="18" spans="1:10" x14ac:dyDescent="0.25">
      <c r="A18" s="48">
        <v>44831</v>
      </c>
      <c r="B18" s="49">
        <v>1006</v>
      </c>
      <c r="C18" s="31" t="s">
        <v>44</v>
      </c>
      <c r="D18" s="103" t="s">
        <v>126</v>
      </c>
      <c r="E18" s="102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3">
        <f t="shared" si="5"/>
        <v>-8.91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5"/>
  <sheetViews>
    <sheetView workbookViewId="0">
      <selection activeCell="G6" sqref="G6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  <c r="N1" s="99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9" t="s">
        <v>120</v>
      </c>
      <c r="E2" s="102">
        <v>-0.15</v>
      </c>
      <c r="F2" s="31">
        <v>1</v>
      </c>
      <c r="G2" s="50">
        <v>4.2699999999999996</v>
      </c>
      <c r="H2" s="51">
        <f t="shared" ref="H2:H5" si="0">G2*F2</f>
        <v>4.2699999999999996</v>
      </c>
      <c r="I2" s="52">
        <v>3</v>
      </c>
      <c r="J2" s="73">
        <f t="shared" ref="J2:J3" si="1">-I2*H2</f>
        <v>-12.809999999999999</v>
      </c>
      <c r="N2" s="73">
        <f>SUM(H:H)</f>
        <v>14.33</v>
      </c>
    </row>
    <row r="3" spans="1:14" x14ac:dyDescent="0.25">
      <c r="A3" s="48">
        <v>44830</v>
      </c>
      <c r="B3" s="49">
        <v>942</v>
      </c>
      <c r="C3" s="31" t="s">
        <v>44</v>
      </c>
      <c r="D3" s="69" t="s">
        <v>119</v>
      </c>
      <c r="E3" s="102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3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3" t="s">
        <v>124</v>
      </c>
      <c r="E4" s="102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3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3" t="s">
        <v>125</v>
      </c>
      <c r="E5" s="102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3">
        <f t="shared" si="2"/>
        <v>-10.26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5"/>
  <sheetViews>
    <sheetView topLeftCell="A2" workbookViewId="0">
      <selection activeCell="B31" sqref="B31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  <c r="N1" s="99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9" t="s">
        <v>120</v>
      </c>
      <c r="E2" s="102">
        <v>-0.15</v>
      </c>
      <c r="F2" s="31">
        <v>1</v>
      </c>
      <c r="G2" s="50">
        <v>4.2699999999999996</v>
      </c>
      <c r="H2" s="51">
        <f t="shared" ref="H2:H5" si="0">G2*F2</f>
        <v>4.2699999999999996</v>
      </c>
      <c r="I2" s="52">
        <v>3</v>
      </c>
      <c r="J2" s="73">
        <f t="shared" ref="J2" si="1">-I2*H2</f>
        <v>-12.809999999999999</v>
      </c>
      <c r="N2" s="73">
        <f>SUM(H:H)</f>
        <v>12.53</v>
      </c>
    </row>
    <row r="3" spans="1:14" x14ac:dyDescent="0.25">
      <c r="A3" s="48">
        <v>44830</v>
      </c>
      <c r="B3" s="49">
        <v>1015</v>
      </c>
      <c r="C3" s="31" t="s">
        <v>44</v>
      </c>
      <c r="D3" s="69" t="s">
        <v>121</v>
      </c>
      <c r="E3" s="102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3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3" t="s">
        <v>124</v>
      </c>
      <c r="E4" s="102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3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3" t="s">
        <v>126</v>
      </c>
      <c r="E5" s="102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3">
        <f t="shared" si="3"/>
        <v>-10.26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2"/>
      <c r="C6" s="92" t="s">
        <v>94</v>
      </c>
      <c r="D6" s="92" t="s">
        <v>95</v>
      </c>
      <c r="E6" s="92" t="s">
        <v>96</v>
      </c>
      <c r="F6" s="92" t="s">
        <v>97</v>
      </c>
      <c r="G6" s="92" t="s">
        <v>98</v>
      </c>
      <c r="H6" s="92" t="s">
        <v>94</v>
      </c>
      <c r="I6" s="92"/>
    </row>
    <row r="7" spans="2:9" x14ac:dyDescent="0.25">
      <c r="B7" s="92" t="s">
        <v>99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101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42</v>
      </c>
      <c r="C10" s="95">
        <v>-350</v>
      </c>
      <c r="D10" s="95">
        <v>0</v>
      </c>
      <c r="E10" s="95">
        <v>350</v>
      </c>
      <c r="F10" s="95">
        <v>350</v>
      </c>
      <c r="G10" s="95">
        <v>0</v>
      </c>
      <c r="H10" s="95">
        <v>-350</v>
      </c>
    </row>
    <row r="13" spans="2:9" x14ac:dyDescent="0.25">
      <c r="B13" s="92" t="s">
        <v>102</v>
      </c>
      <c r="C13" s="99" t="s">
        <v>42</v>
      </c>
      <c r="D13" s="99" t="s">
        <v>101</v>
      </c>
      <c r="E13" s="99" t="s">
        <v>103</v>
      </c>
      <c r="F13" s="99"/>
      <c r="G13" s="92"/>
    </row>
    <row r="14" spans="2:9" x14ac:dyDescent="0.25">
      <c r="B14" t="s">
        <v>104</v>
      </c>
      <c r="C14" s="96">
        <f>E10</f>
        <v>350</v>
      </c>
      <c r="D14" s="94">
        <f>F9-E9</f>
        <v>0.68259999999999998</v>
      </c>
      <c r="E14" s="96">
        <f>C14*D14</f>
        <v>238.91</v>
      </c>
      <c r="F14" s="94"/>
    </row>
    <row r="15" spans="2:9" x14ac:dyDescent="0.25">
      <c r="B15" t="s">
        <v>105</v>
      </c>
      <c r="C15" s="96">
        <f>C10*1.05</f>
        <v>-367.5</v>
      </c>
      <c r="D15" s="94">
        <f>100%+C9-H9</f>
        <v>0.1336</v>
      </c>
      <c r="E15" s="96">
        <f>D15*C15</f>
        <v>-49.097999999999999</v>
      </c>
      <c r="F15" s="94"/>
    </row>
    <row r="16" spans="2:9" x14ac:dyDescent="0.25">
      <c r="B16" t="s">
        <v>106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107</v>
      </c>
      <c r="C17" s="96">
        <f>C15</f>
        <v>-367.5</v>
      </c>
      <c r="D17" s="94">
        <f>(H9-G9)*2</f>
        <v>0.13779999999999992</v>
      </c>
      <c r="E17" s="96">
        <f t="shared" si="0"/>
        <v>-50.641499999999972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108</v>
      </c>
      <c r="C20" s="100" t="s">
        <v>109</v>
      </c>
      <c r="D20" s="100" t="s">
        <v>110</v>
      </c>
      <c r="E20" s="100" t="s">
        <v>111</v>
      </c>
    </row>
    <row r="21" spans="2:6" x14ac:dyDescent="0.25">
      <c r="B21" s="92" t="s">
        <v>112</v>
      </c>
      <c r="C21" s="96">
        <f>SUM(E14:E17)</f>
        <v>139.17050000000003</v>
      </c>
      <c r="D21" s="97">
        <f>C21*21</f>
        <v>2922.5805000000005</v>
      </c>
      <c r="E21" s="96">
        <f>C21*252</f>
        <v>35070.966000000008</v>
      </c>
    </row>
    <row r="22" spans="2:6" x14ac:dyDescent="0.25">
      <c r="B22" s="92" t="s">
        <v>73</v>
      </c>
      <c r="C22" s="96">
        <f>E10</f>
        <v>350</v>
      </c>
      <c r="D22" s="97">
        <f>C22*21</f>
        <v>7350</v>
      </c>
      <c r="E22" s="96">
        <f>C22*252</f>
        <v>88200</v>
      </c>
    </row>
    <row r="23" spans="2:6" x14ac:dyDescent="0.25">
      <c r="B23" s="92" t="s">
        <v>72</v>
      </c>
      <c r="C23" s="98">
        <f>C21/C22</f>
        <v>0.39763000000000009</v>
      </c>
      <c r="D23" s="98">
        <f>D21/D22</f>
        <v>0.39763000000000004</v>
      </c>
      <c r="E23" s="98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2022-09-27T14:29:40Z</dcterms:modified>
</cp:coreProperties>
</file>