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ED2D4EB9-711A-4022-AC89-AD7326313CB6}" xr6:coauthVersionLast="47" xr6:coauthVersionMax="47" xr10:uidLastSave="{00000000-0000-0000-0000-000000000000}"/>
  <bookViews>
    <workbookView xWindow="3090" yWindow="285" windowWidth="21915" windowHeight="136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6" i="1" l="1"/>
  <c r="V18" i="1" s="1"/>
  <c r="V14" i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V10" i="1"/>
  <c r="V12" i="1" s="1"/>
  <c r="W8" i="1"/>
  <c r="X8" i="1" s="1"/>
  <c r="Y8" i="1" s="1"/>
  <c r="Z8" i="1" s="1"/>
  <c r="AA8" i="1" s="1"/>
  <c r="AB8" i="1" s="1"/>
  <c r="AC8" i="1" s="1"/>
  <c r="AD8" i="1" s="1"/>
  <c r="AE8" i="1" s="1"/>
  <c r="AF8" i="1" s="1"/>
  <c r="V8" i="1"/>
  <c r="U26" i="1"/>
  <c r="T26" i="1"/>
  <c r="L30" i="1"/>
  <c r="S30" i="1"/>
  <c r="T30" i="1"/>
  <c r="U30" i="1"/>
  <c r="H14" i="1"/>
  <c r="H9" i="1"/>
  <c r="H7" i="1"/>
  <c r="L14" i="1"/>
  <c r="L9" i="1"/>
  <c r="L7" i="1"/>
  <c r="L12" i="1" s="1"/>
  <c r="L22" i="1"/>
  <c r="S11" i="1"/>
  <c r="S9" i="1"/>
  <c r="S7" i="1"/>
  <c r="T11" i="1"/>
  <c r="T12" i="1" s="1"/>
  <c r="T9" i="1"/>
  <c r="T7" i="1"/>
  <c r="U20" i="1"/>
  <c r="U18" i="1"/>
  <c r="U16" i="1"/>
  <c r="U14" i="1"/>
  <c r="U12" i="1"/>
  <c r="U11" i="1"/>
  <c r="U9" i="1"/>
  <c r="U7" i="1"/>
  <c r="U22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V3" i="1"/>
  <c r="W3" i="1" s="1"/>
  <c r="L40" i="1"/>
  <c r="L36" i="1"/>
  <c r="L35" i="1"/>
  <c r="L34" i="1"/>
  <c r="L32" i="1"/>
  <c r="L31" i="1"/>
  <c r="N17" i="2"/>
  <c r="N16" i="2"/>
  <c r="N15" i="2"/>
  <c r="W12" i="1" l="1"/>
  <c r="H12" i="1"/>
  <c r="H16" i="1" s="1"/>
  <c r="H18" i="1" s="1"/>
  <c r="H20" i="1" s="1"/>
  <c r="L16" i="1"/>
  <c r="L18" i="1" s="1"/>
  <c r="L20" i="1" s="1"/>
  <c r="S12" i="1"/>
  <c r="S16" i="1" s="1"/>
  <c r="S18" i="1" s="1"/>
  <c r="S20" i="1" s="1"/>
  <c r="T16" i="1"/>
  <c r="T18" i="1" s="1"/>
  <c r="T20" i="1" s="1"/>
  <c r="X3" i="1"/>
  <c r="W5" i="1"/>
  <c r="V5" i="1"/>
  <c r="L29" i="1"/>
  <c r="L28" i="1"/>
  <c r="K30" i="1"/>
  <c r="J30" i="1"/>
  <c r="I30" i="1"/>
  <c r="H30" i="1"/>
  <c r="G30" i="1"/>
  <c r="E30" i="1"/>
  <c r="R30" i="1"/>
  <c r="J40" i="1"/>
  <c r="K40" i="1"/>
  <c r="X12" i="1" l="1"/>
  <c r="L37" i="1"/>
  <c r="V17" i="1"/>
  <c r="V7" i="1"/>
  <c r="V9" i="1"/>
  <c r="F30" i="1"/>
  <c r="W7" i="1"/>
  <c r="W9" i="1"/>
  <c r="W17" i="1"/>
  <c r="Y3" i="1"/>
  <c r="X5" i="1"/>
  <c r="V36" i="1"/>
  <c r="U36" i="1"/>
  <c r="T36" i="1"/>
  <c r="S36" i="1"/>
  <c r="U35" i="1"/>
  <c r="T35" i="1"/>
  <c r="S35" i="1"/>
  <c r="T34" i="1"/>
  <c r="S34" i="1"/>
  <c r="U34" i="1"/>
  <c r="Y12" i="1" l="1"/>
  <c r="X7" i="1"/>
  <c r="X9" i="1"/>
  <c r="X17" i="1"/>
  <c r="Z3" i="1"/>
  <c r="Y5" i="1"/>
  <c r="Y36" i="1" s="1"/>
  <c r="X36" i="1"/>
  <c r="W36" i="1"/>
  <c r="W29" i="1"/>
  <c r="K35" i="1"/>
  <c r="J35" i="1"/>
  <c r="I35" i="1"/>
  <c r="K34" i="1"/>
  <c r="J34" i="1"/>
  <c r="I34" i="1"/>
  <c r="K36" i="1"/>
  <c r="I36" i="1"/>
  <c r="U32" i="1"/>
  <c r="T32" i="1"/>
  <c r="S32" i="1"/>
  <c r="R32" i="1"/>
  <c r="U31" i="1"/>
  <c r="T31" i="1"/>
  <c r="S31" i="1"/>
  <c r="K32" i="1"/>
  <c r="I32" i="1"/>
  <c r="H32" i="1"/>
  <c r="G32" i="1"/>
  <c r="E32" i="1"/>
  <c r="K31" i="1"/>
  <c r="I31" i="1"/>
  <c r="T40" i="1"/>
  <c r="U40" i="1"/>
  <c r="N5" i="2"/>
  <c r="N8" i="2" s="1"/>
  <c r="Z12" i="1" l="1"/>
  <c r="Y9" i="1"/>
  <c r="Y7" i="1"/>
  <c r="Y17" i="1"/>
  <c r="V29" i="1"/>
  <c r="AA3" i="1"/>
  <c r="Z5" i="1"/>
  <c r="X29" i="1"/>
  <c r="S37" i="1"/>
  <c r="U37" i="1"/>
  <c r="T37" i="1"/>
  <c r="E28" i="1"/>
  <c r="H29" i="1"/>
  <c r="I29" i="1"/>
  <c r="R28" i="1"/>
  <c r="I37" i="1"/>
  <c r="S28" i="1"/>
  <c r="I28" i="1"/>
  <c r="T28" i="1"/>
  <c r="H28" i="1"/>
  <c r="R29" i="1"/>
  <c r="U28" i="1"/>
  <c r="S29" i="1"/>
  <c r="T29" i="1"/>
  <c r="K37" i="1"/>
  <c r="K28" i="1"/>
  <c r="U29" i="1"/>
  <c r="G29" i="1"/>
  <c r="K29" i="1"/>
  <c r="G28" i="1"/>
  <c r="E29" i="1"/>
  <c r="AA12" i="1" l="1"/>
  <c r="Y29" i="1"/>
  <c r="Z9" i="1"/>
  <c r="Z7" i="1"/>
  <c r="Z17" i="1"/>
  <c r="AB3" i="1"/>
  <c r="AA5" i="1"/>
  <c r="V26" i="1"/>
  <c r="W14" i="1" s="1"/>
  <c r="W16" i="1" s="1"/>
  <c r="W18" i="1" s="1"/>
  <c r="V37" i="1"/>
  <c r="Z36" i="1"/>
  <c r="F32" i="1"/>
  <c r="AB12" i="1" l="1"/>
  <c r="Z29" i="1"/>
  <c r="W37" i="1"/>
  <c r="W40" i="1"/>
  <c r="AA9" i="1"/>
  <c r="AA17" i="1"/>
  <c r="AA7" i="1"/>
  <c r="AC3" i="1"/>
  <c r="AB5" i="1"/>
  <c r="AA36" i="1"/>
  <c r="F28" i="1"/>
  <c r="J37" i="1"/>
  <c r="AC12" i="1" l="1"/>
  <c r="AB9" i="1"/>
  <c r="AB7" i="1"/>
  <c r="AB17" i="1"/>
  <c r="AD3" i="1"/>
  <c r="AC5" i="1"/>
  <c r="W26" i="1"/>
  <c r="X14" i="1" s="1"/>
  <c r="X16" i="1" s="1"/>
  <c r="X18" i="1" s="1"/>
  <c r="AB36" i="1"/>
  <c r="F29" i="1"/>
  <c r="AD12" i="1" l="1"/>
  <c r="AC9" i="1"/>
  <c r="AC17" i="1"/>
  <c r="AC7" i="1"/>
  <c r="AE3" i="1"/>
  <c r="AD5" i="1"/>
  <c r="AC36" i="1"/>
  <c r="AA29" i="1"/>
  <c r="X40" i="1"/>
  <c r="AF12" i="1" l="1"/>
  <c r="AE12" i="1"/>
  <c r="X26" i="1"/>
  <c r="AF3" i="1"/>
  <c r="AF5" i="1" s="1"/>
  <c r="AE5" i="1"/>
  <c r="AD9" i="1"/>
  <c r="AD17" i="1"/>
  <c r="AD7" i="1"/>
  <c r="AD36" i="1"/>
  <c r="AB29" i="1"/>
  <c r="X37" i="1"/>
  <c r="Y14" i="1" l="1"/>
  <c r="Y16" i="1" s="1"/>
  <c r="Y18" i="1" s="1"/>
  <c r="Y26" i="1" s="1"/>
  <c r="AF17" i="1"/>
  <c r="AF7" i="1"/>
  <c r="AF9" i="1"/>
  <c r="AE17" i="1"/>
  <c r="AE7" i="1"/>
  <c r="AE9" i="1"/>
  <c r="AE36" i="1"/>
  <c r="AC29" i="1"/>
  <c r="Z14" i="1" l="1"/>
  <c r="Z16" i="1" s="1"/>
  <c r="Z18" i="1" s="1"/>
  <c r="Z26" i="1" s="1"/>
  <c r="AF36" i="1"/>
  <c r="AD29" i="1"/>
  <c r="Y40" i="1"/>
  <c r="AA14" i="1" l="1"/>
  <c r="AA16" i="1" s="1"/>
  <c r="AA18" i="1" s="1"/>
  <c r="AA26" i="1" s="1"/>
  <c r="AE29" i="1"/>
  <c r="AF29" i="1"/>
  <c r="Y37" i="1"/>
  <c r="AB14" i="1" l="1"/>
  <c r="AB16" i="1" s="1"/>
  <c r="AB18" i="1" s="1"/>
  <c r="AB26" i="1" s="1"/>
  <c r="AC14" i="1" s="1"/>
  <c r="AC16" i="1" s="1"/>
  <c r="AC18" i="1" s="1"/>
  <c r="AC26" i="1" s="1"/>
  <c r="AD14" i="1" s="1"/>
  <c r="AD16" i="1" s="1"/>
  <c r="AD18" i="1" s="1"/>
  <c r="AD26" i="1" s="1"/>
  <c r="AE14" i="1" s="1"/>
  <c r="AE16" i="1" s="1"/>
  <c r="AE18" i="1" s="1"/>
  <c r="AE26" i="1" s="1"/>
  <c r="AF14" i="1" s="1"/>
  <c r="AF16" i="1" s="1"/>
  <c r="AF18" i="1" s="1"/>
  <c r="Z40" i="1"/>
  <c r="AG18" i="1" l="1"/>
  <c r="AF26" i="1"/>
  <c r="AH18" i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AI44" i="1" s="1"/>
  <c r="N18" i="2" s="1"/>
  <c r="N19" i="2" s="1"/>
  <c r="Z37" i="1"/>
  <c r="AA40" i="1" l="1"/>
  <c r="AA37" i="1" l="1"/>
  <c r="AB40" i="1" l="1"/>
  <c r="AB37" i="1" l="1"/>
  <c r="AC40" i="1" l="1"/>
  <c r="AC37" i="1" l="1"/>
  <c r="AD40" i="1" l="1"/>
  <c r="AD37" i="1" l="1"/>
  <c r="AE40" i="1" l="1"/>
  <c r="AE37" i="1" l="1"/>
  <c r="AF40" i="1" l="1"/>
  <c r="AF37" i="1" l="1"/>
  <c r="J29" i="1"/>
  <c r="J36" i="1"/>
  <c r="J31" i="1"/>
  <c r="J28" i="1"/>
  <c r="J32" i="1"/>
  <c r="V40" i="1"/>
</calcChain>
</file>

<file path=xl/sharedStrings.xml><?xml version="1.0" encoding="utf-8"?>
<sst xmlns="http://schemas.openxmlformats.org/spreadsheetml/2006/main" count="67" uniqueCount="60">
  <si>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</si>
  <si>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</si>
  <si>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</si>
  <si>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</si>
  <si>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</si>
  <si>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</si>
  <si>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</si>
  <si>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</si>
  <si>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</si>
  <si>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</si>
  <si>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</si>
  <si>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</si>
  <si>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</si>
  <si>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</si>
  <si>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</si>
  <si>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</si>
  <si>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</si>
  <si>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</si>
  <si>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</si>
  <si>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</si>
  <si>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</si>
  <si>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</si>
  <si>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</si>
  <si>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</si>
  <si>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</si>
  <si>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</si>
  <si>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</si>
  <si>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</si>
  <si>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</si>
  <si>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</si>
  <si>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</si>
  <si>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</si>
  <si>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</si>
  <si>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</si>
  <si>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</si>
  <si>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</si>
  <si>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</si>
  <si>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</si>
  <si>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</si>
  <si>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Target</t>
  </si>
  <si>
    <t>Fixed assets</t>
  </si>
  <si>
    <t>AR</t>
  </si>
  <si>
    <t>Product development</t>
  </si>
  <si>
    <t>Depreciation</t>
  </si>
  <si>
    <t>Income from equity</t>
  </si>
  <si>
    <t>Impairments of investments</t>
  </si>
  <si>
    <t>Impairments on operations</t>
  </si>
  <si>
    <t>Income before tax</t>
  </si>
  <si>
    <t>Interest income</t>
  </si>
  <si>
    <t>Dice</t>
  </si>
  <si>
    <t>ClearanceJobs</t>
  </si>
  <si>
    <t>DHX</t>
  </si>
  <si>
    <t>DHI Group</t>
  </si>
  <si>
    <t>Dice y/y</t>
  </si>
  <si>
    <t>ClearanceJobs y/y</t>
  </si>
  <si>
    <t>Poor brand value</t>
  </si>
  <si>
    <t>Blue collars go to indeed.</t>
  </si>
  <si>
    <t>White collars go to linkedin</t>
  </si>
  <si>
    <t>Does not have the advertising power to compete with indeed or linkedin</t>
  </si>
  <si>
    <t>Research at glassdoor (same owner as indeed 6098)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</si>
</sst>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3" fontId="1" fillId="2" borderId="0" xfId="0" applyNumberFormat="1" applyFont="1" applyFill="1"/>
    <xf numFmtId="0" fontId="2" fillId="0" borderId="0" xfId="0" applyFon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43165</xdr:colOff>
      <xdr:row>0</xdr:row>
      <xdr:rowOff>24848</xdr:rowOff>
    </xdr:from>
    <xdr:to>
      <xdr:col>12</xdr:col>
      <xdr:colOff>43165</xdr:colOff>
      <xdr:row>41</xdr:row>
      <xdr:rowOff>2867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880708" y="24848"/>
          <a:ext cx="0" cy="7788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41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B1:N19"/>
  <sheetViews>
    <sheetView tabSelected="1" workbookViewId="0">
      <selection activeCell="R22" sqref="R22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2:14" ht="18" x14ac:dyDescent="0.25">
      <c r="M1" s="21" t="s">
        <v>52</v>
      </c>
    </row>
    <row r="2" spans="2:14" x14ac:dyDescent="0.25">
      <c r="B2" t="s">
        <v>55</v>
      </c>
      <c r="M2" t="s">
        <v>51</v>
      </c>
    </row>
    <row r="3" spans="2:14" x14ac:dyDescent="0.25">
      <c r="B3" t="s">
        <v>56</v>
      </c>
      <c r="M3" t="s">
        <v>25</v>
      </c>
      <c r="N3" s="17">
        <v>4.43</v>
      </c>
    </row>
    <row r="4" spans="2:14" x14ac:dyDescent="0.25">
      <c r="B4" t="s">
        <v>57</v>
      </c>
      <c r="M4" t="s">
        <v>18</v>
      </c>
      <c r="N4" s="1">
        <v>44.682000000000002</v>
      </c>
    </row>
    <row r="5" spans="2:14" x14ac:dyDescent="0.25">
      <c r="B5" t="s">
        <v>58</v>
      </c>
      <c r="M5" t="s">
        <v>26</v>
      </c>
      <c r="N5" s="1">
        <f>N3*N4</f>
        <v>197.94126</v>
      </c>
    </row>
    <row r="6" spans="2:14" x14ac:dyDescent="0.25">
      <c r="B6" t="s">
        <v>59</v>
      </c>
      <c r="M6" t="s">
        <v>27</v>
      </c>
      <c r="N6" s="1">
        <v>10.847999999999999</v>
      </c>
    </row>
    <row r="7" spans="2:14" x14ac:dyDescent="0.25">
      <c r="M7" t="s">
        <v>28</v>
      </c>
      <c r="N7" s="1">
        <v>30</v>
      </c>
    </row>
    <row r="8" spans="2:14" x14ac:dyDescent="0.25">
      <c r="M8" t="s">
        <v>29</v>
      </c>
      <c r="N8" s="1">
        <f>N5-N6+N7</f>
        <v>217.09325999999999</v>
      </c>
    </row>
    <row r="11" spans="2:14" x14ac:dyDescent="0.25">
      <c r="M11" s="2">
        <v>44777</v>
      </c>
    </row>
    <row r="15" spans="2:14" x14ac:dyDescent="0.25">
      <c r="M15" s="10" t="s">
        <v>34</v>
      </c>
      <c r="N15" s="18">
        <f>Model!AI41</f>
        <v>-1.4999999999999999E-2</v>
      </c>
    </row>
    <row r="16" spans="2:14" x14ac:dyDescent="0.25">
      <c r="M16" s="15" t="s">
        <v>35</v>
      </c>
      <c r="N16" s="18">
        <f>Model!AI42</f>
        <v>-0.01</v>
      </c>
    </row>
    <row r="17" spans="13:14" x14ac:dyDescent="0.25">
      <c r="M17" t="s">
        <v>36</v>
      </c>
      <c r="N17" s="18">
        <f>Model!AI43</f>
        <v>0.08</v>
      </c>
    </row>
    <row r="18" spans="13:14" x14ac:dyDescent="0.25">
      <c r="M18" s="15" t="s">
        <v>37</v>
      </c>
      <c r="N18" s="1">
        <f>Model!AI44</f>
        <v>42.225188935657137</v>
      </c>
    </row>
    <row r="19" spans="13:14" x14ac:dyDescent="0.25">
      <c r="M19" t="s">
        <v>39</v>
      </c>
      <c r="N19" s="17">
        <f>N18/N4</f>
        <v>0.9450156424434254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2:DE44"/>
  <sheetViews>
    <sheetView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51" sqref="W51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2" spans="1:37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37" s="1" customFormat="1" x14ac:dyDescent="0.25">
      <c r="B3" s="1" t="s">
        <v>49</v>
      </c>
      <c r="H3" s="1">
        <v>20.582999999999998</v>
      </c>
      <c r="L3" s="1">
        <v>26.823</v>
      </c>
      <c r="P3" s="11"/>
      <c r="S3" s="1">
        <v>92.527000000000001</v>
      </c>
      <c r="T3" s="1">
        <v>82.19</v>
      </c>
      <c r="U3" s="1">
        <v>86.257000000000005</v>
      </c>
      <c r="V3" s="1">
        <f t="shared" ref="V3:AF3" si="0">U3*(1+V34)</f>
        <v>96.60784000000001</v>
      </c>
      <c r="W3" s="1">
        <f t="shared" si="0"/>
        <v>82.116664</v>
      </c>
      <c r="X3" s="1">
        <f t="shared" si="0"/>
        <v>80.474330719999998</v>
      </c>
      <c r="Y3" s="1">
        <f t="shared" si="0"/>
        <v>98.178683478399989</v>
      </c>
      <c r="Z3" s="1">
        <f t="shared" si="0"/>
        <v>107.01476499145599</v>
      </c>
      <c r="AA3" s="1">
        <f t="shared" si="0"/>
        <v>114.50579854085791</v>
      </c>
      <c r="AB3" s="1">
        <f t="shared" si="0"/>
        <v>120.2310884679008</v>
      </c>
      <c r="AC3" s="1">
        <f t="shared" si="0"/>
        <v>123.83802112193783</v>
      </c>
      <c r="AD3" s="1">
        <f t="shared" si="0"/>
        <v>127.55316175559597</v>
      </c>
      <c r="AE3" s="1">
        <f t="shared" si="0"/>
        <v>131.37975660826385</v>
      </c>
      <c r="AF3" s="1">
        <f t="shared" si="0"/>
        <v>135.32114930651176</v>
      </c>
    </row>
    <row r="4" spans="1:37" s="1" customFormat="1" x14ac:dyDescent="0.25">
      <c r="B4" s="1" t="s">
        <v>50</v>
      </c>
      <c r="H4" s="1">
        <v>8.1379999999999999</v>
      </c>
      <c r="L4" s="1">
        <v>10.234</v>
      </c>
      <c r="P4" s="11"/>
      <c r="S4" s="1">
        <v>24.745000000000001</v>
      </c>
      <c r="T4" s="1">
        <v>28.977</v>
      </c>
      <c r="U4" s="1">
        <v>33.646000000000001</v>
      </c>
      <c r="V4" s="1">
        <f t="shared" ref="V4:AF4" si="1">U4*(1+V35)</f>
        <v>39.029359999999997</v>
      </c>
      <c r="W4" s="1">
        <f t="shared" si="1"/>
        <v>37.468185599999998</v>
      </c>
      <c r="X4" s="1">
        <f t="shared" si="1"/>
        <v>37.093503743999996</v>
      </c>
      <c r="Y4" s="1">
        <f t="shared" si="1"/>
        <v>43.77033441791999</v>
      </c>
      <c r="Z4" s="1">
        <f t="shared" si="1"/>
        <v>50.335884580607988</v>
      </c>
      <c r="AA4" s="1">
        <f t="shared" si="1"/>
        <v>56.376190730280953</v>
      </c>
      <c r="AB4" s="1">
        <f t="shared" si="1"/>
        <v>62.013809803309051</v>
      </c>
      <c r="AC4" s="1">
        <f t="shared" si="1"/>
        <v>66.974914587573778</v>
      </c>
      <c r="AD4" s="1">
        <f t="shared" si="1"/>
        <v>70.993409462828211</v>
      </c>
      <c r="AE4" s="1">
        <f t="shared" si="1"/>
        <v>74.543079935969629</v>
      </c>
      <c r="AF4" s="1">
        <f t="shared" si="1"/>
        <v>78.270233932768107</v>
      </c>
    </row>
    <row r="5" spans="1:37" x14ac:dyDescent="0.25">
      <c r="A5" s="4"/>
      <c r="B5" s="4" t="s">
        <v>12</v>
      </c>
      <c r="C5" s="5"/>
      <c r="D5" s="5"/>
      <c r="E5" s="5"/>
      <c r="F5" s="5"/>
      <c r="G5" s="5"/>
      <c r="H5" s="5">
        <v>28.721</v>
      </c>
      <c r="I5" s="5"/>
      <c r="J5" s="5"/>
      <c r="K5" s="5"/>
      <c r="L5" s="5">
        <v>37.057000000000002</v>
      </c>
      <c r="M5" s="5"/>
      <c r="N5" s="5"/>
      <c r="O5" s="5"/>
      <c r="P5" s="6"/>
      <c r="Q5" s="5"/>
      <c r="R5" s="5"/>
      <c r="S5" s="5">
        <v>117.27200000000001</v>
      </c>
      <c r="T5" s="5">
        <v>111.167</v>
      </c>
      <c r="U5" s="5">
        <v>119.9</v>
      </c>
      <c r="V5" s="5">
        <f>SUM(V3:V4)</f>
        <v>135.63720000000001</v>
      </c>
      <c r="W5" s="5">
        <f t="shared" ref="W5:AF5" si="2">SUM(W3:W4)</f>
        <v>119.5848496</v>
      </c>
      <c r="X5" s="5">
        <f t="shared" si="2"/>
        <v>117.56783446399999</v>
      </c>
      <c r="Y5" s="5">
        <f t="shared" si="2"/>
        <v>141.94901789631999</v>
      </c>
      <c r="Z5" s="5">
        <f t="shared" si="2"/>
        <v>157.35064957206399</v>
      </c>
      <c r="AA5" s="5">
        <f t="shared" si="2"/>
        <v>170.88198927113888</v>
      </c>
      <c r="AB5" s="5">
        <f t="shared" si="2"/>
        <v>182.24489827120985</v>
      </c>
      <c r="AC5" s="5">
        <f t="shared" si="2"/>
        <v>190.81293570951161</v>
      </c>
      <c r="AD5" s="5">
        <f t="shared" si="2"/>
        <v>198.54657121842416</v>
      </c>
      <c r="AE5" s="5">
        <f t="shared" si="2"/>
        <v>205.92283654423346</v>
      </c>
      <c r="AF5" s="5">
        <f t="shared" si="2"/>
        <v>213.59138323927988</v>
      </c>
      <c r="AG5" s="5"/>
      <c r="AH5" s="5"/>
      <c r="AI5" s="5"/>
      <c r="AJ5" s="5"/>
      <c r="AK5" s="5"/>
    </row>
    <row r="6" spans="1:37" s="1" customFormat="1" x14ac:dyDescent="0.25">
      <c r="B6" s="1" t="s">
        <v>13</v>
      </c>
      <c r="H6" s="1">
        <v>3.593</v>
      </c>
      <c r="L6" s="1">
        <v>4.181</v>
      </c>
      <c r="P6" s="11"/>
      <c r="S6" s="1">
        <v>13.532999999999999</v>
      </c>
      <c r="T6" s="1">
        <v>14.286</v>
      </c>
      <c r="U6" s="1">
        <v>15.087999999999999</v>
      </c>
    </row>
    <row r="7" spans="1:37" x14ac:dyDescent="0.25">
      <c r="A7" s="4"/>
      <c r="B7" s="4" t="s">
        <v>30</v>
      </c>
      <c r="C7" s="5"/>
      <c r="D7" s="5"/>
      <c r="E7" s="5"/>
      <c r="F7" s="5"/>
      <c r="G7" s="5"/>
      <c r="H7" s="5">
        <f>+H5-H6</f>
        <v>25.128</v>
      </c>
      <c r="I7" s="5"/>
      <c r="J7" s="5"/>
      <c r="K7" s="5"/>
      <c r="L7" s="5">
        <f>+L5-L6</f>
        <v>32.876000000000005</v>
      </c>
      <c r="M7" s="5"/>
      <c r="N7" s="5"/>
      <c r="O7" s="5"/>
      <c r="P7" s="6"/>
      <c r="Q7" s="5"/>
      <c r="R7" s="5"/>
      <c r="S7" s="5">
        <f>+S5-S6</f>
        <v>103.739</v>
      </c>
      <c r="T7" s="5">
        <f>+T5-T6</f>
        <v>96.881</v>
      </c>
      <c r="U7" s="5">
        <f>+U5-U6</f>
        <v>104.81200000000001</v>
      </c>
      <c r="V7" s="5">
        <f t="shared" ref="V7:AF7" si="3">+V5*V28</f>
        <v>119.360736</v>
      </c>
      <c r="W7" s="5">
        <f t="shared" si="3"/>
        <v>104.038819152</v>
      </c>
      <c r="X7" s="5">
        <f t="shared" si="3"/>
        <v>102.28401598367999</v>
      </c>
      <c r="Y7" s="5">
        <f t="shared" si="3"/>
        <v>123.49564556979838</v>
      </c>
      <c r="Z7" s="5">
        <f t="shared" si="3"/>
        <v>136.89506512769566</v>
      </c>
      <c r="AA7" s="5">
        <f t="shared" si="3"/>
        <v>148.66733066589083</v>
      </c>
      <c r="AB7" s="5">
        <f t="shared" si="3"/>
        <v>158.55306149595256</v>
      </c>
      <c r="AC7" s="5">
        <f t="shared" si="3"/>
        <v>166.00725406727508</v>
      </c>
      <c r="AD7" s="5">
        <f t="shared" si="3"/>
        <v>172.73551696002903</v>
      </c>
      <c r="AE7" s="5">
        <f t="shared" si="3"/>
        <v>179.15286779348313</v>
      </c>
      <c r="AF7" s="5">
        <f t="shared" si="3"/>
        <v>185.82450341817349</v>
      </c>
      <c r="AG7" s="5"/>
      <c r="AH7" s="5"/>
      <c r="AI7" s="5"/>
      <c r="AJ7" s="5"/>
      <c r="AK7" s="5"/>
    </row>
    <row r="8" spans="1:37" x14ac:dyDescent="0.25">
      <c r="B8" t="s">
        <v>42</v>
      </c>
      <c r="H8" s="1">
        <v>3.51</v>
      </c>
      <c r="L8" s="1">
        <v>4.3600000000000003</v>
      </c>
      <c r="Q8" s="1"/>
      <c r="R8" s="1"/>
      <c r="S8" s="1">
        <v>14.7</v>
      </c>
      <c r="T8" s="1">
        <v>14.887</v>
      </c>
      <c r="U8" s="1">
        <v>16.02</v>
      </c>
      <c r="V8" s="1">
        <f>U8*1.04</f>
        <v>16.660800000000002</v>
      </c>
      <c r="W8" s="1">
        <f t="shared" ref="W8:AF8" si="4">V8*1.04</f>
        <v>17.327232000000002</v>
      </c>
      <c r="X8" s="1">
        <f t="shared" si="4"/>
        <v>18.020321280000005</v>
      </c>
      <c r="Y8" s="1">
        <f t="shared" si="4"/>
        <v>18.741134131200006</v>
      </c>
      <c r="Z8" s="1">
        <f t="shared" si="4"/>
        <v>19.490779496448006</v>
      </c>
      <c r="AA8" s="1">
        <f t="shared" si="4"/>
        <v>20.270410676305929</v>
      </c>
      <c r="AB8" s="1">
        <f t="shared" si="4"/>
        <v>21.081227103358167</v>
      </c>
      <c r="AC8" s="1">
        <f t="shared" si="4"/>
        <v>21.924476187492495</v>
      </c>
      <c r="AD8" s="1">
        <f t="shared" si="4"/>
        <v>22.801455234992194</v>
      </c>
      <c r="AE8" s="1">
        <f t="shared" si="4"/>
        <v>23.713513444391882</v>
      </c>
      <c r="AF8" s="1">
        <f t="shared" si="4"/>
        <v>24.66205398216756</v>
      </c>
      <c r="AG8" s="1"/>
      <c r="AH8" s="1"/>
      <c r="AI8" s="1"/>
      <c r="AJ8" s="1"/>
      <c r="AK8" s="1"/>
    </row>
    <row r="9" spans="1:37" x14ac:dyDescent="0.25">
      <c r="B9" t="s">
        <v>14</v>
      </c>
      <c r="H9" s="1">
        <f>10.151+6.939</f>
        <v>17.09</v>
      </c>
      <c r="L9" s="1">
        <f>14.274+9.109</f>
        <v>23.382999999999999</v>
      </c>
      <c r="Q9" s="1"/>
      <c r="R9" s="1"/>
      <c r="S9" s="1">
        <f>42.7+25.827</f>
        <v>68.527000000000001</v>
      </c>
      <c r="T9" s="1">
        <f>39.69+26.625</f>
        <v>66.314999999999998</v>
      </c>
      <c r="U9" s="1">
        <f>43.7+28.58</f>
        <v>72.28</v>
      </c>
      <c r="V9" s="1">
        <f t="shared" ref="V9:AF9" si="5">V5*V32</f>
        <v>85.451436000000001</v>
      </c>
      <c r="W9" s="1">
        <f t="shared" si="5"/>
        <v>69.359212767999992</v>
      </c>
      <c r="X9" s="1">
        <f t="shared" si="5"/>
        <v>77.594770746239988</v>
      </c>
      <c r="Y9" s="1">
        <f t="shared" si="5"/>
        <v>89.427881274681596</v>
      </c>
      <c r="Z9" s="1">
        <f t="shared" si="5"/>
        <v>94.410389743238383</v>
      </c>
      <c r="AA9" s="1">
        <f t="shared" si="5"/>
        <v>99.111553777260539</v>
      </c>
      <c r="AB9" s="1">
        <f t="shared" si="5"/>
        <v>105.70204099730171</v>
      </c>
      <c r="AC9" s="1">
        <f t="shared" si="5"/>
        <v>110.67150271151672</v>
      </c>
      <c r="AD9" s="1">
        <f t="shared" si="5"/>
        <v>115.157011306686</v>
      </c>
      <c r="AE9" s="1">
        <f t="shared" si="5"/>
        <v>119.4352451956554</v>
      </c>
      <c r="AF9" s="1">
        <f t="shared" si="5"/>
        <v>123.88300227878231</v>
      </c>
      <c r="AG9" s="1"/>
      <c r="AH9" s="1"/>
      <c r="AI9" s="1"/>
      <c r="AJ9" s="1"/>
      <c r="AK9" s="1"/>
    </row>
    <row r="10" spans="1:37" x14ac:dyDescent="0.25">
      <c r="B10" t="s">
        <v>43</v>
      </c>
      <c r="H10" s="1">
        <v>4.04</v>
      </c>
      <c r="L10" s="1">
        <v>4.2279999999999998</v>
      </c>
      <c r="Q10" s="1"/>
      <c r="R10" s="1"/>
      <c r="S10" s="1">
        <v>8.4280000000000008</v>
      </c>
      <c r="T10" s="1">
        <v>10.259</v>
      </c>
      <c r="U10" s="1">
        <v>16.344000000000001</v>
      </c>
      <c r="V10" s="1">
        <f>+U10*1.03</f>
        <v>16.834320000000002</v>
      </c>
      <c r="W10" s="1">
        <f t="shared" ref="W10:AF10" si="6">+V10*1.03</f>
        <v>17.339349600000002</v>
      </c>
      <c r="X10" s="1">
        <f t="shared" si="6"/>
        <v>17.859530088000003</v>
      </c>
      <c r="Y10" s="1">
        <f t="shared" si="6"/>
        <v>18.395315990640004</v>
      </c>
      <c r="Z10" s="1">
        <f t="shared" si="6"/>
        <v>18.947175470359205</v>
      </c>
      <c r="AA10" s="1">
        <f t="shared" si="6"/>
        <v>19.515590734469981</v>
      </c>
      <c r="AB10" s="1">
        <f t="shared" si="6"/>
        <v>20.101058456504081</v>
      </c>
      <c r="AC10" s="1">
        <f t="shared" si="6"/>
        <v>20.704090210199205</v>
      </c>
      <c r="AD10" s="1">
        <f t="shared" si="6"/>
        <v>21.32521291650518</v>
      </c>
      <c r="AE10" s="1">
        <f t="shared" si="6"/>
        <v>21.964969304000334</v>
      </c>
      <c r="AF10" s="1">
        <f t="shared" si="6"/>
        <v>22.623918383120344</v>
      </c>
      <c r="AG10" s="1"/>
      <c r="AH10" s="1"/>
      <c r="AI10" s="1"/>
      <c r="AJ10" s="1"/>
      <c r="AK10" s="1"/>
    </row>
    <row r="11" spans="1:37" x14ac:dyDescent="0.25">
      <c r="B11" t="s">
        <v>46</v>
      </c>
      <c r="H11" s="1">
        <v>0</v>
      </c>
      <c r="L11" s="1">
        <v>0</v>
      </c>
      <c r="Q11" s="1"/>
      <c r="R11" s="1"/>
      <c r="S11" s="1">
        <f>1.4+0.5</f>
        <v>1.9</v>
      </c>
      <c r="T11" s="1">
        <f>15.2+22.6</f>
        <v>37.799999999999997</v>
      </c>
      <c r="U11" s="1">
        <f>0+0+1.919+0</f>
        <v>1.919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4"/>
      <c r="B12" s="4" t="s">
        <v>15</v>
      </c>
      <c r="C12" s="5"/>
      <c r="D12" s="5"/>
      <c r="E12" s="5"/>
      <c r="F12" s="5"/>
      <c r="G12" s="5"/>
      <c r="H12" s="5">
        <f>+H7-H8-H9-H10-H11</f>
        <v>0.48800000000000221</v>
      </c>
      <c r="I12" s="5"/>
      <c r="J12" s="5"/>
      <c r="K12" s="5"/>
      <c r="L12" s="5">
        <f>+L7-L8-L9-L10-L11</f>
        <v>0.90500000000000647</v>
      </c>
      <c r="M12" s="5"/>
      <c r="N12" s="5"/>
      <c r="O12" s="5"/>
      <c r="P12" s="6"/>
      <c r="Q12" s="5"/>
      <c r="R12" s="5"/>
      <c r="S12" s="5">
        <f>+S7-S8-S9-S10-S11</f>
        <v>10.183999999999999</v>
      </c>
      <c r="T12" s="5">
        <f>+T7-T8-T9-T10-T11</f>
        <v>-32.379999999999995</v>
      </c>
      <c r="U12" s="5">
        <f>+U7-U8-U9-U10-U11</f>
        <v>-1.7509999999999866</v>
      </c>
      <c r="V12" s="5">
        <f>+V7-V8-V9-V10-V11</f>
        <v>0.41418000000000532</v>
      </c>
      <c r="W12" s="5">
        <f t="shared" ref="W12:AF12" si="7">+W7-W8-W9-W10-W11</f>
        <v>1.3024783999998846E-2</v>
      </c>
      <c r="X12" s="5">
        <f t="shared" si="7"/>
        <v>-11.190606130560003</v>
      </c>
      <c r="Y12" s="5">
        <f t="shared" si="7"/>
        <v>-3.0686858267232289</v>
      </c>
      <c r="Z12" s="5">
        <f t="shared" si="7"/>
        <v>4.0467204176500715</v>
      </c>
      <c r="AA12" s="5">
        <f t="shared" si="7"/>
        <v>9.7697754778543668</v>
      </c>
      <c r="AB12" s="5">
        <f t="shared" si="7"/>
        <v>11.668734938788599</v>
      </c>
      <c r="AC12" s="5">
        <f t="shared" si="7"/>
        <v>12.707184958066655</v>
      </c>
      <c r="AD12" s="5">
        <f t="shared" si="7"/>
        <v>13.451837501845645</v>
      </c>
      <c r="AE12" s="5">
        <f t="shared" si="7"/>
        <v>14.039139849435514</v>
      </c>
      <c r="AF12" s="5">
        <f t="shared" si="7"/>
        <v>14.655528774103285</v>
      </c>
      <c r="AG12" s="5"/>
      <c r="AH12" s="5"/>
      <c r="AI12" s="5"/>
      <c r="AJ12" s="5"/>
      <c r="AK12" s="5"/>
    </row>
    <row r="13" spans="1:37" x14ac:dyDescent="0.25">
      <c r="B13" t="s">
        <v>44</v>
      </c>
      <c r="H13" s="1">
        <v>0</v>
      </c>
      <c r="L13" s="1">
        <v>0.36099999999999999</v>
      </c>
      <c r="Q13" s="1"/>
      <c r="R13" s="1"/>
      <c r="S13" s="1">
        <v>0</v>
      </c>
      <c r="T13" s="1">
        <v>0</v>
      </c>
      <c r="U13" s="1">
        <v>0.19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B14" t="s">
        <v>48</v>
      </c>
      <c r="H14" s="1">
        <f>-0.674+-0.087</f>
        <v>-0.76100000000000001</v>
      </c>
      <c r="L14" s="1">
        <f>0.32+-0.298</f>
        <v>2.200000000000002E-2</v>
      </c>
      <c r="Q14" s="1"/>
      <c r="R14" s="1"/>
      <c r="S14" s="1">
        <v>-0.4</v>
      </c>
      <c r="T14" s="1">
        <v>-0.83</v>
      </c>
      <c r="U14" s="1">
        <f>1.2+-0.667</f>
        <v>0.53299999999999992</v>
      </c>
      <c r="V14" s="1">
        <f t="shared" ref="V14:AF14" si="8">U26*-0.04</f>
        <v>0.5756</v>
      </c>
      <c r="W14" s="1">
        <f t="shared" si="8"/>
        <v>0.68792246399999979</v>
      </c>
      <c r="X14" s="1">
        <f t="shared" si="8"/>
        <v>0.79381960563199983</v>
      </c>
      <c r="Y14" s="1">
        <f t="shared" si="8"/>
        <v>1.3413670412287999</v>
      </c>
      <c r="Z14" s="1">
        <f t="shared" si="8"/>
        <v>1.580798614124161</v>
      </c>
      <c r="AA14" s="1">
        <f t="shared" si="8"/>
        <v>1.5445186323396687</v>
      </c>
      <c r="AB14" s="1">
        <f t="shared" si="8"/>
        <v>1.2970052550572739</v>
      </c>
      <c r="AC14" s="1">
        <f t="shared" si="8"/>
        <v>1.0116491170905877</v>
      </c>
      <c r="AD14" s="1">
        <f t="shared" si="8"/>
        <v>0.70713631179247283</v>
      </c>
      <c r="AE14" s="1">
        <f t="shared" si="8"/>
        <v>0.39491697040653106</v>
      </c>
      <c r="AF14" s="1">
        <f t="shared" si="8"/>
        <v>9.7609755313006807E-2</v>
      </c>
      <c r="AG14" s="1"/>
      <c r="AH14" s="1"/>
      <c r="AI14" s="1"/>
      <c r="AJ14" s="1"/>
      <c r="AK14" s="1"/>
    </row>
    <row r="15" spans="1:37" x14ac:dyDescent="0.25">
      <c r="B15" t="s">
        <v>45</v>
      </c>
      <c r="H15" s="1">
        <v>-6.0999999999999999E-2</v>
      </c>
      <c r="L15" s="1">
        <v>0</v>
      </c>
      <c r="Q15" s="1"/>
      <c r="R15" s="1"/>
      <c r="S15" s="1">
        <v>0</v>
      </c>
      <c r="T15" s="1">
        <v>2</v>
      </c>
      <c r="U15" s="1">
        <v>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4"/>
      <c r="B16" s="4" t="s">
        <v>47</v>
      </c>
      <c r="C16" s="5"/>
      <c r="D16" s="5"/>
      <c r="E16" s="5"/>
      <c r="F16" s="5"/>
      <c r="G16" s="5"/>
      <c r="H16" s="5">
        <f>+H12+H13+H14-H15</f>
        <v>-0.2119999999999978</v>
      </c>
      <c r="I16" s="5"/>
      <c r="J16" s="5"/>
      <c r="K16" s="5"/>
      <c r="L16" s="5">
        <f>+L12+L13+L14-L15</f>
        <v>1.2880000000000065</v>
      </c>
      <c r="M16" s="5"/>
      <c r="N16" s="5"/>
      <c r="O16" s="5"/>
      <c r="P16" s="6"/>
      <c r="Q16" s="5"/>
      <c r="R16" s="5"/>
      <c r="S16" s="5">
        <f>+S12+S13+S14-S15</f>
        <v>9.7839999999999989</v>
      </c>
      <c r="T16" s="5">
        <f>+T12+T13+T14-T15</f>
        <v>-35.209999999999994</v>
      </c>
      <c r="U16" s="5">
        <f>+U12+U13+U14-U15</f>
        <v>-1.0279999999999867</v>
      </c>
      <c r="V16" s="5">
        <f t="shared" ref="V16:AF16" si="9">+V12+V13+V14-V15</f>
        <v>0.98978000000000532</v>
      </c>
      <c r="W16" s="5">
        <f t="shared" si="9"/>
        <v>0.70094724799999863</v>
      </c>
      <c r="X16" s="5">
        <f t="shared" si="9"/>
        <v>-10.396786524928002</v>
      </c>
      <c r="Y16" s="5">
        <f t="shared" si="9"/>
        <v>-1.727318785494429</v>
      </c>
      <c r="Z16" s="5">
        <f t="shared" si="9"/>
        <v>5.6275190317742325</v>
      </c>
      <c r="AA16" s="5">
        <f t="shared" si="9"/>
        <v>11.314294110194036</v>
      </c>
      <c r="AB16" s="5">
        <f t="shared" si="9"/>
        <v>12.965740193845873</v>
      </c>
      <c r="AC16" s="5">
        <f t="shared" si="9"/>
        <v>13.718834075157243</v>
      </c>
      <c r="AD16" s="5">
        <f t="shared" si="9"/>
        <v>14.158973813638118</v>
      </c>
      <c r="AE16" s="5">
        <f t="shared" si="9"/>
        <v>14.434056819842045</v>
      </c>
      <c r="AF16" s="5">
        <f t="shared" si="9"/>
        <v>14.753138529416292</v>
      </c>
      <c r="AG16" s="5"/>
      <c r="AH16" s="5"/>
      <c r="AI16" s="5"/>
      <c r="AJ16" s="5"/>
      <c r="AK16" s="5"/>
    </row>
    <row r="17" spans="1:109" x14ac:dyDescent="0.25">
      <c r="A17" s="4"/>
      <c r="B17" t="s">
        <v>16</v>
      </c>
      <c r="H17" s="1">
        <v>-0.16200000000000001</v>
      </c>
      <c r="L17" s="1">
        <v>-0.16200000000000001</v>
      </c>
      <c r="P17" s="6"/>
      <c r="Q17" s="1"/>
      <c r="R17" s="1"/>
      <c r="S17" s="1">
        <v>2.794</v>
      </c>
      <c r="T17" s="1">
        <v>-2.8260000000000001</v>
      </c>
      <c r="U17" s="1">
        <v>-0.629</v>
      </c>
      <c r="V17" s="1">
        <f t="shared" ref="V17:AF17" si="10">V5*V30</f>
        <v>3.7978416000000004</v>
      </c>
      <c r="W17" s="1">
        <f t="shared" si="10"/>
        <v>3.3483757887999999</v>
      </c>
      <c r="X17" s="1">
        <f t="shared" si="10"/>
        <v>3.2918993649919996</v>
      </c>
      <c r="Y17" s="1">
        <f t="shared" si="10"/>
        <v>4.2584705368895994</v>
      </c>
      <c r="Z17" s="1">
        <f t="shared" si="10"/>
        <v>4.7205194871619192</v>
      </c>
      <c r="AA17" s="1">
        <f t="shared" si="10"/>
        <v>5.1264596781341663</v>
      </c>
      <c r="AB17" s="1">
        <f t="shared" si="10"/>
        <v>5.8318367446787152</v>
      </c>
      <c r="AC17" s="1">
        <f t="shared" si="10"/>
        <v>6.1060139427043714</v>
      </c>
      <c r="AD17" s="1">
        <f t="shared" si="10"/>
        <v>6.3534902789895735</v>
      </c>
      <c r="AE17" s="1">
        <f t="shared" si="10"/>
        <v>7.001376442503938</v>
      </c>
      <c r="AF17" s="1">
        <f t="shared" si="10"/>
        <v>7.2621070301355166</v>
      </c>
      <c r="AG17" s="1"/>
      <c r="AH17" s="1"/>
      <c r="AI17" s="1"/>
      <c r="AJ17" s="1"/>
      <c r="AK17" s="1"/>
    </row>
    <row r="18" spans="1:109" x14ac:dyDescent="0.25">
      <c r="B18" s="4" t="s">
        <v>17</v>
      </c>
      <c r="C18" s="5"/>
      <c r="D18" s="5"/>
      <c r="E18" s="5"/>
      <c r="F18" s="5"/>
      <c r="G18" s="5"/>
      <c r="H18" s="5">
        <f>+H16-H17</f>
        <v>-4.9999999999997796E-2</v>
      </c>
      <c r="I18" s="5"/>
      <c r="J18" s="5"/>
      <c r="K18" s="5"/>
      <c r="L18" s="5">
        <f>+L16-L17</f>
        <v>1.4500000000000064</v>
      </c>
      <c r="M18" s="5"/>
      <c r="N18" s="5"/>
      <c r="O18" s="5"/>
      <c r="Q18" s="5"/>
      <c r="R18" s="5"/>
      <c r="S18" s="5">
        <f>+S16-S17</f>
        <v>6.9899999999999984</v>
      </c>
      <c r="T18" s="5">
        <f>+T16-T17</f>
        <v>-32.383999999999993</v>
      </c>
      <c r="U18" s="5">
        <f>+U16-U17</f>
        <v>-0.3989999999999867</v>
      </c>
      <c r="V18" s="5">
        <f t="shared" ref="V18:AF18" si="11">+V16-V17</f>
        <v>-2.8080615999999949</v>
      </c>
      <c r="W18" s="5">
        <f t="shared" si="11"/>
        <v>-2.6474285408000013</v>
      </c>
      <c r="X18" s="5">
        <f t="shared" si="11"/>
        <v>-13.688685889920002</v>
      </c>
      <c r="Y18" s="5">
        <f t="shared" si="11"/>
        <v>-5.9857893223840284</v>
      </c>
      <c r="Z18" s="5">
        <f t="shared" si="11"/>
        <v>0.90699954461231336</v>
      </c>
      <c r="AA18" s="5">
        <f t="shared" si="11"/>
        <v>6.1878344320598693</v>
      </c>
      <c r="AB18" s="5">
        <f t="shared" si="11"/>
        <v>7.1339034491671578</v>
      </c>
      <c r="AC18" s="5">
        <f t="shared" si="11"/>
        <v>7.6128201324528719</v>
      </c>
      <c r="AD18" s="5">
        <f t="shared" si="11"/>
        <v>7.8054835346485447</v>
      </c>
      <c r="AE18" s="5">
        <f t="shared" si="11"/>
        <v>7.4326803773381069</v>
      </c>
      <c r="AF18" s="5">
        <f t="shared" si="11"/>
        <v>7.4910314992807754</v>
      </c>
      <c r="AG18" s="5">
        <f>+AF18*(1+$AI$41)</f>
        <v>7.3786660267915636</v>
      </c>
      <c r="AH18" s="5">
        <f t="shared" ref="AH18:CS18" si="12">+AG18*(1+$AI$41)</f>
        <v>7.26798603638969</v>
      </c>
      <c r="AI18" s="5">
        <f t="shared" si="12"/>
        <v>7.1589662458438443</v>
      </c>
      <c r="AJ18" s="5">
        <f t="shared" si="12"/>
        <v>7.0515817521561868</v>
      </c>
      <c r="AK18" s="5">
        <f t="shared" si="12"/>
        <v>6.9458080258738439</v>
      </c>
      <c r="AL18" s="5">
        <f t="shared" si="12"/>
        <v>6.841620905485736</v>
      </c>
      <c r="AM18" s="5">
        <f t="shared" si="12"/>
        <v>6.73899659190345</v>
      </c>
      <c r="AN18" s="5">
        <f t="shared" si="12"/>
        <v>6.6379116430248981</v>
      </c>
      <c r="AO18" s="5">
        <f t="shared" si="12"/>
        <v>6.5383429683795242</v>
      </c>
      <c r="AP18" s="5">
        <f t="shared" si="12"/>
        <v>6.4402678238538309</v>
      </c>
      <c r="AQ18" s="5">
        <f t="shared" si="12"/>
        <v>6.3436638064960231</v>
      </c>
      <c r="AR18" s="5">
        <f t="shared" si="12"/>
        <v>6.2485088493985828</v>
      </c>
      <c r="AS18" s="5">
        <f t="shared" si="12"/>
        <v>6.1547812166576037</v>
      </c>
      <c r="AT18" s="5">
        <f t="shared" si="12"/>
        <v>6.0624594984077396</v>
      </c>
      <c r="AU18" s="5">
        <f t="shared" si="12"/>
        <v>5.9715226059316233</v>
      </c>
      <c r="AV18" s="5">
        <f t="shared" si="12"/>
        <v>5.8819497668426486</v>
      </c>
      <c r="AW18" s="5">
        <f t="shared" si="12"/>
        <v>5.7937205203400088</v>
      </c>
      <c r="AX18" s="5">
        <f t="shared" si="12"/>
        <v>5.7068147125349089</v>
      </c>
      <c r="AY18" s="5">
        <f t="shared" si="12"/>
        <v>5.6212124918468849</v>
      </c>
      <c r="AZ18" s="5">
        <f t="shared" si="12"/>
        <v>5.5368943044691816</v>
      </c>
      <c r="BA18" s="5">
        <f t="shared" si="12"/>
        <v>5.4538408899021436</v>
      </c>
      <c r="BB18" s="5">
        <f t="shared" si="12"/>
        <v>5.3720332765536112</v>
      </c>
      <c r="BC18" s="5">
        <f t="shared" si="12"/>
        <v>5.2914527774053068</v>
      </c>
      <c r="BD18" s="5">
        <f t="shared" si="12"/>
        <v>5.212080985744227</v>
      </c>
      <c r="BE18" s="5">
        <f t="shared" si="12"/>
        <v>5.1338997709580632</v>
      </c>
      <c r="BF18" s="5">
        <f t="shared" si="12"/>
        <v>5.056891274393692</v>
      </c>
      <c r="BG18" s="5">
        <f t="shared" si="12"/>
        <v>4.9810379052777867</v>
      </c>
      <c r="BH18" s="5">
        <f t="shared" si="12"/>
        <v>4.9063223366986195</v>
      </c>
      <c r="BI18" s="5">
        <f t="shared" si="12"/>
        <v>4.8327275016481401</v>
      </c>
      <c r="BJ18" s="5">
        <f t="shared" si="12"/>
        <v>4.7602365891234184</v>
      </c>
      <c r="BK18" s="5">
        <f t="shared" si="12"/>
        <v>4.6888330402865668</v>
      </c>
      <c r="BL18" s="5">
        <f t="shared" si="12"/>
        <v>4.6185005446822682</v>
      </c>
      <c r="BM18" s="5">
        <f t="shared" si="12"/>
        <v>4.5492230365120339</v>
      </c>
      <c r="BN18" s="5">
        <f t="shared" si="12"/>
        <v>4.4809846909643536</v>
      </c>
      <c r="BO18" s="5">
        <f t="shared" si="12"/>
        <v>4.4137699205998882</v>
      </c>
      <c r="BP18" s="5">
        <f t="shared" si="12"/>
        <v>4.3475633717908897</v>
      </c>
      <c r="BQ18" s="5">
        <f t="shared" si="12"/>
        <v>4.2823499212140259</v>
      </c>
      <c r="BR18" s="5">
        <f t="shared" si="12"/>
        <v>4.2181146723958154</v>
      </c>
      <c r="BS18" s="5">
        <f t="shared" si="12"/>
        <v>4.1548429523098784</v>
      </c>
      <c r="BT18" s="5">
        <f t="shared" si="12"/>
        <v>4.0925203080252306</v>
      </c>
      <c r="BU18" s="5">
        <f t="shared" si="12"/>
        <v>4.0311325034048524</v>
      </c>
      <c r="BV18" s="5">
        <f t="shared" si="12"/>
        <v>3.9706655158537796</v>
      </c>
      <c r="BW18" s="5">
        <f t="shared" si="12"/>
        <v>3.9111055331159728</v>
      </c>
      <c r="BX18" s="5">
        <f t="shared" si="12"/>
        <v>3.8524389501192333</v>
      </c>
      <c r="BY18" s="5">
        <f t="shared" si="12"/>
        <v>3.7946523658674449</v>
      </c>
      <c r="BZ18" s="5">
        <f t="shared" si="12"/>
        <v>3.7377325803794332</v>
      </c>
      <c r="CA18" s="5">
        <f t="shared" si="12"/>
        <v>3.6816665916737419</v>
      </c>
      <c r="CB18" s="5">
        <f t="shared" si="12"/>
        <v>3.6264415927986358</v>
      </c>
      <c r="CC18" s="5">
        <f t="shared" si="12"/>
        <v>3.5720449689066562</v>
      </c>
      <c r="CD18" s="5">
        <f t="shared" si="12"/>
        <v>3.5184642943730564</v>
      </c>
      <c r="CE18" s="5">
        <f t="shared" si="12"/>
        <v>3.4656873299574604</v>
      </c>
      <c r="CF18" s="5">
        <f t="shared" si="12"/>
        <v>3.4137020200080985</v>
      </c>
      <c r="CG18" s="5">
        <f t="shared" si="12"/>
        <v>3.362496489707977</v>
      </c>
      <c r="CH18" s="5">
        <f t="shared" si="12"/>
        <v>3.3120590423623573</v>
      </c>
      <c r="CI18" s="5">
        <f t="shared" si="12"/>
        <v>3.2623781567269217</v>
      </c>
      <c r="CJ18" s="5">
        <f t="shared" si="12"/>
        <v>3.2134424843760176</v>
      </c>
      <c r="CK18" s="5">
        <f t="shared" si="12"/>
        <v>3.1652408471103772</v>
      </c>
      <c r="CL18" s="5">
        <f t="shared" si="12"/>
        <v>3.1177622344037217</v>
      </c>
      <c r="CM18" s="5">
        <f t="shared" si="12"/>
        <v>3.0709958008876659</v>
      </c>
      <c r="CN18" s="5">
        <f t="shared" si="12"/>
        <v>3.0249308638743511</v>
      </c>
      <c r="CO18" s="5">
        <f t="shared" si="12"/>
        <v>2.9795569009162359</v>
      </c>
      <c r="CP18" s="5">
        <f t="shared" si="12"/>
        <v>2.9348635474024922</v>
      </c>
      <c r="CQ18" s="5">
        <f t="shared" si="12"/>
        <v>2.890840594191455</v>
      </c>
      <c r="CR18" s="5">
        <f t="shared" si="12"/>
        <v>2.8474779852785832</v>
      </c>
      <c r="CS18" s="5">
        <f t="shared" si="12"/>
        <v>2.8047658154994046</v>
      </c>
      <c r="CT18" s="5">
        <f t="shared" ref="CT18:DD18" si="13">+CS18*(1+$AI$41)</f>
        <v>2.7626943282669134</v>
      </c>
      <c r="CU18" s="5">
        <f t="shared" si="13"/>
        <v>2.7212539133429097</v>
      </c>
      <c r="CV18" s="5">
        <f t="shared" si="13"/>
        <v>2.6804351046427661</v>
      </c>
      <c r="CW18" s="5">
        <f t="shared" si="13"/>
        <v>2.6402285780731245</v>
      </c>
      <c r="CX18" s="5">
        <f t="shared" si="13"/>
        <v>2.6006251494020276</v>
      </c>
      <c r="CY18" s="5">
        <f t="shared" si="13"/>
        <v>2.5616157721609971</v>
      </c>
      <c r="CZ18" s="5">
        <f t="shared" si="13"/>
        <v>2.5231915355785821</v>
      </c>
      <c r="DA18" s="5">
        <f t="shared" si="13"/>
        <v>2.4853436625449032</v>
      </c>
      <c r="DB18" s="5">
        <f t="shared" si="13"/>
        <v>2.4480635076067299</v>
      </c>
      <c r="DC18" s="5">
        <f t="shared" si="13"/>
        <v>2.4113425549926291</v>
      </c>
      <c r="DD18" s="5">
        <f t="shared" si="13"/>
        <v>2.3751724166677395</v>
      </c>
      <c r="DE18" s="5"/>
    </row>
    <row r="19" spans="1:109" s="1" customFormat="1" x14ac:dyDescent="0.25">
      <c r="A19" s="5"/>
      <c r="B19" s="1" t="s">
        <v>18</v>
      </c>
      <c r="H19" s="1">
        <v>47.226999999999997</v>
      </c>
      <c r="L19" s="1">
        <v>44.682000000000002</v>
      </c>
      <c r="P19" s="20"/>
      <c r="S19" s="1">
        <v>48.738999999999997</v>
      </c>
      <c r="T19" s="1">
        <v>48.277999999999999</v>
      </c>
      <c r="U19" s="1">
        <v>46.332999999999998</v>
      </c>
    </row>
    <row r="20" spans="1:109" x14ac:dyDescent="0.25">
      <c r="A20" s="7"/>
      <c r="B20" s="8" t="s">
        <v>19</v>
      </c>
      <c r="C20" s="7"/>
      <c r="D20" s="7"/>
      <c r="E20" s="7"/>
      <c r="F20" s="7"/>
      <c r="G20" s="7"/>
      <c r="H20" s="7">
        <f>+H18/H19</f>
        <v>-1.0587164122217757E-3</v>
      </c>
      <c r="I20" s="7"/>
      <c r="J20" s="7"/>
      <c r="K20" s="7"/>
      <c r="L20" s="7">
        <f>+L18/L19</f>
        <v>3.2451546484042935E-2</v>
      </c>
      <c r="M20" s="7"/>
      <c r="N20" s="7"/>
      <c r="O20" s="7"/>
      <c r="P20" s="9"/>
      <c r="Q20" s="7"/>
      <c r="R20" s="7"/>
      <c r="S20" s="7">
        <f>+S18/S19</f>
        <v>0.14341697613820553</v>
      </c>
      <c r="T20" s="7">
        <f>+T18/T19</f>
        <v>-0.67078172252371671</v>
      </c>
      <c r="U20" s="7">
        <f>+U18/U19</f>
        <v>-8.6115727451273761E-3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109" x14ac:dyDescent="0.25">
      <c r="A21" s="1"/>
      <c r="B21" s="1"/>
      <c r="C21" s="10"/>
      <c r="D21" s="10"/>
      <c r="E21" s="10"/>
      <c r="F21" s="10"/>
      <c r="G21" s="10"/>
      <c r="H21" s="10"/>
      <c r="I21" s="10"/>
      <c r="J21" s="10"/>
      <c r="L21" s="10"/>
      <c r="M21" s="10"/>
      <c r="N21" s="10"/>
      <c r="O21" s="10"/>
      <c r="P21" s="1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109" s="1" customFormat="1" x14ac:dyDescent="0.25">
      <c r="B22" s="1" t="s">
        <v>27</v>
      </c>
      <c r="L22" s="1">
        <f>3.615+4.233+3</f>
        <v>10.847999999999999</v>
      </c>
      <c r="P22" s="11"/>
      <c r="T22" s="1">
        <v>4.54</v>
      </c>
      <c r="U22" s="1">
        <f>1.54+3.8+3</f>
        <v>8.34</v>
      </c>
    </row>
    <row r="23" spans="1:109" s="1" customFormat="1" x14ac:dyDescent="0.25">
      <c r="B23" s="1" t="s">
        <v>41</v>
      </c>
      <c r="L23" s="1">
        <v>18.341999999999999</v>
      </c>
      <c r="P23" s="11"/>
      <c r="T23" s="1">
        <v>16.13</v>
      </c>
      <c r="U23" s="1">
        <v>18.385000000000002</v>
      </c>
    </row>
    <row r="24" spans="1:109" s="1" customFormat="1" x14ac:dyDescent="0.25">
      <c r="B24" s="1" t="s">
        <v>40</v>
      </c>
      <c r="L24" s="1">
        <v>20.940999999999999</v>
      </c>
      <c r="P24" s="11"/>
      <c r="T24" s="1">
        <v>23.03</v>
      </c>
      <c r="U24" s="1">
        <v>20.58</v>
      </c>
    </row>
    <row r="25" spans="1:109" s="1" customFormat="1" x14ac:dyDescent="0.25">
      <c r="B25" s="1" t="s">
        <v>28</v>
      </c>
      <c r="L25" s="1">
        <v>30</v>
      </c>
      <c r="P25" s="11"/>
      <c r="T25" s="1">
        <v>19.582999999999998</v>
      </c>
      <c r="U25" s="1">
        <v>22.73</v>
      </c>
    </row>
    <row r="26" spans="1:109" s="1" customFormat="1" x14ac:dyDescent="0.25">
      <c r="B26" s="5" t="s">
        <v>31</v>
      </c>
      <c r="P26" s="11"/>
      <c r="T26" s="1">
        <f>T22-T25</f>
        <v>-15.042999999999999</v>
      </c>
      <c r="U26" s="1">
        <f>U22-U25</f>
        <v>-14.39</v>
      </c>
      <c r="V26" s="1">
        <f>V18+U26</f>
        <v>-17.198061599999996</v>
      </c>
      <c r="W26" s="1">
        <f t="shared" ref="W26:AF26" si="14">W18+V26</f>
        <v>-19.845490140799996</v>
      </c>
      <c r="X26" s="1">
        <f t="shared" si="14"/>
        <v>-33.534176030719998</v>
      </c>
      <c r="Y26" s="1">
        <f t="shared" si="14"/>
        <v>-39.519965353104027</v>
      </c>
      <c r="Z26" s="1">
        <f t="shared" si="14"/>
        <v>-38.612965808491715</v>
      </c>
      <c r="AA26" s="1">
        <f t="shared" si="14"/>
        <v>-32.42513137643185</v>
      </c>
      <c r="AB26" s="1">
        <f t="shared" si="14"/>
        <v>-25.291227927264693</v>
      </c>
      <c r="AC26" s="1">
        <f t="shared" si="14"/>
        <v>-17.678407794811822</v>
      </c>
      <c r="AD26" s="1">
        <f t="shared" si="14"/>
        <v>-9.872924260163277</v>
      </c>
      <c r="AE26" s="1">
        <f t="shared" si="14"/>
        <v>-2.44024388282517</v>
      </c>
      <c r="AF26" s="1">
        <f t="shared" si="14"/>
        <v>5.0507876164556054</v>
      </c>
    </row>
    <row r="27" spans="1:109" x14ac:dyDescent="0.25">
      <c r="A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2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109" x14ac:dyDescent="0.25">
      <c r="A28" s="13"/>
      <c r="B28" s="13" t="s">
        <v>20</v>
      </c>
      <c r="C28" s="13"/>
      <c r="D28" s="13"/>
      <c r="E28" s="13" t="e">
        <f t="shared" ref="E28:L28" si="15">E7/E5</f>
        <v>#DIV/0!</v>
      </c>
      <c r="F28" s="13" t="e">
        <f t="shared" si="15"/>
        <v>#DIV/0!</v>
      </c>
      <c r="G28" s="13" t="e">
        <f t="shared" si="15"/>
        <v>#DIV/0!</v>
      </c>
      <c r="H28" s="13">
        <f t="shared" si="15"/>
        <v>0.87489989902858534</v>
      </c>
      <c r="I28" s="13" t="e">
        <f t="shared" si="15"/>
        <v>#DIV/0!</v>
      </c>
      <c r="J28" s="13" t="e">
        <f t="shared" si="15"/>
        <v>#DIV/0!</v>
      </c>
      <c r="K28" s="13" t="e">
        <f t="shared" si="15"/>
        <v>#DIV/0!</v>
      </c>
      <c r="L28" s="13">
        <f t="shared" si="15"/>
        <v>0.88717381331462353</v>
      </c>
      <c r="M28" s="13"/>
      <c r="N28" s="13"/>
      <c r="O28" s="13"/>
      <c r="P28" s="14"/>
      <c r="Q28" s="13"/>
      <c r="R28" s="13" t="e">
        <f>R7/R5</f>
        <v>#DIV/0!</v>
      </c>
      <c r="S28" s="13">
        <f>S7/S5</f>
        <v>0.88460160993246473</v>
      </c>
      <c r="T28" s="13">
        <f>T7/T5</f>
        <v>0.8714906402079754</v>
      </c>
      <c r="U28" s="13">
        <f>U7/U5</f>
        <v>0.87416180150125111</v>
      </c>
      <c r="V28" s="13">
        <v>0.88</v>
      </c>
      <c r="W28" s="13">
        <v>0.87</v>
      </c>
      <c r="X28" s="13">
        <v>0.87</v>
      </c>
      <c r="Y28" s="13">
        <v>0.87</v>
      </c>
      <c r="Z28" s="13">
        <v>0.87</v>
      </c>
      <c r="AA28" s="13">
        <v>0.87</v>
      </c>
      <c r="AB28" s="13">
        <v>0.87</v>
      </c>
      <c r="AC28" s="13">
        <v>0.87</v>
      </c>
      <c r="AD28" s="13">
        <v>0.87</v>
      </c>
      <c r="AE28" s="13">
        <v>0.87</v>
      </c>
      <c r="AF28" s="13">
        <v>0.87</v>
      </c>
      <c r="AG28" s="13"/>
      <c r="AH28" s="13"/>
      <c r="AI28" s="13"/>
      <c r="AJ28" s="13"/>
      <c r="AK28" s="13"/>
    </row>
    <row r="29" spans="1:109" x14ac:dyDescent="0.25">
      <c r="A29" s="15"/>
      <c r="B29" s="15" t="s">
        <v>21</v>
      </c>
      <c r="C29" s="15"/>
      <c r="D29" s="15"/>
      <c r="E29" s="15" t="e">
        <f t="shared" ref="E29:L29" si="16">E12/E5</f>
        <v>#DIV/0!</v>
      </c>
      <c r="F29" s="15" t="e">
        <f t="shared" si="16"/>
        <v>#DIV/0!</v>
      </c>
      <c r="G29" s="15" t="e">
        <f t="shared" si="16"/>
        <v>#DIV/0!</v>
      </c>
      <c r="H29" s="15">
        <f t="shared" si="16"/>
        <v>1.6991051843598837E-2</v>
      </c>
      <c r="I29" s="15" t="e">
        <f t="shared" si="16"/>
        <v>#DIV/0!</v>
      </c>
      <c r="J29" s="15" t="e">
        <f t="shared" si="16"/>
        <v>#DIV/0!</v>
      </c>
      <c r="K29" s="15" t="e">
        <f t="shared" si="16"/>
        <v>#DIV/0!</v>
      </c>
      <c r="L29" s="15">
        <f t="shared" si="16"/>
        <v>2.4421836630056572E-2</v>
      </c>
      <c r="M29" s="15"/>
      <c r="N29" s="15"/>
      <c r="O29" s="15"/>
      <c r="P29" s="16"/>
      <c r="Q29" s="15"/>
      <c r="R29" s="15" t="e">
        <f t="shared" ref="R29:AF29" si="17">R12/R5</f>
        <v>#DIV/0!</v>
      </c>
      <c r="S29" s="15">
        <f t="shared" si="17"/>
        <v>8.6840848625417827E-2</v>
      </c>
      <c r="T29" s="15">
        <f t="shared" si="17"/>
        <v>-0.29127348943481424</v>
      </c>
      <c r="U29" s="15">
        <f t="shared" si="17"/>
        <v>-1.4603836530441922E-2</v>
      </c>
      <c r="V29" s="15">
        <f t="shared" si="17"/>
        <v>3.053587069034198E-3</v>
      </c>
      <c r="W29" s="15">
        <f t="shared" si="17"/>
        <v>1.089166733375132E-4</v>
      </c>
      <c r="X29" s="15">
        <f t="shared" si="17"/>
        <v>-9.5184249855232619E-2</v>
      </c>
      <c r="Y29" s="15">
        <f t="shared" si="17"/>
        <v>-2.1618225136045721E-2</v>
      </c>
      <c r="Z29" s="15">
        <f t="shared" si="17"/>
        <v>2.5717850092488757E-2</v>
      </c>
      <c r="AA29" s="15">
        <f t="shared" si="17"/>
        <v>5.7172645985251493E-2</v>
      </c>
      <c r="AB29" s="15">
        <f t="shared" si="17"/>
        <v>6.4027772790784171E-2</v>
      </c>
      <c r="AC29" s="15">
        <f t="shared" si="17"/>
        <v>6.6594986921702862E-2</v>
      </c>
      <c r="AD29" s="15">
        <f t="shared" si="17"/>
        <v>6.7751547756758138E-2</v>
      </c>
      <c r="AE29" s="15">
        <f t="shared" si="17"/>
        <v>6.8176701938640116E-2</v>
      </c>
      <c r="AF29" s="15">
        <f t="shared" si="17"/>
        <v>6.8614794060700215E-2</v>
      </c>
      <c r="AG29" s="15"/>
      <c r="AH29" s="15"/>
      <c r="AI29" s="15"/>
      <c r="AJ29" s="15"/>
      <c r="AK29" s="15"/>
    </row>
    <row r="30" spans="1:109" s="18" customFormat="1" x14ac:dyDescent="0.25">
      <c r="B30" s="18" t="s">
        <v>22</v>
      </c>
      <c r="E30" s="18" t="e">
        <f t="shared" ref="E30:L30" si="18">E17/E5</f>
        <v>#DIV/0!</v>
      </c>
      <c r="F30" s="18" t="e">
        <f t="shared" si="18"/>
        <v>#DIV/0!</v>
      </c>
      <c r="G30" s="18" t="e">
        <f t="shared" si="18"/>
        <v>#DIV/0!</v>
      </c>
      <c r="H30" s="18">
        <f t="shared" si="18"/>
        <v>-5.6404721284077858E-3</v>
      </c>
      <c r="I30" s="18" t="e">
        <f t="shared" si="18"/>
        <v>#DIV/0!</v>
      </c>
      <c r="J30" s="18" t="e">
        <f t="shared" si="18"/>
        <v>#DIV/0!</v>
      </c>
      <c r="K30" s="18" t="e">
        <f t="shared" si="18"/>
        <v>#DIV/0!</v>
      </c>
      <c r="L30" s="18">
        <f t="shared" si="18"/>
        <v>-4.3716436840542947E-3</v>
      </c>
      <c r="P30" s="19"/>
      <c r="R30" s="18" t="e">
        <f>R17/R5</f>
        <v>#DIV/0!</v>
      </c>
      <c r="S30" s="18">
        <f>S17/S5</f>
        <v>2.3824953953202811E-2</v>
      </c>
      <c r="T30" s="18">
        <f>T17/T5</f>
        <v>-2.5421213129795714E-2</v>
      </c>
      <c r="U30" s="18">
        <f>U17/U5</f>
        <v>-5.2460383653044201E-3</v>
      </c>
      <c r="V30" s="18">
        <v>2.8000000000000001E-2</v>
      </c>
      <c r="W30" s="18">
        <v>2.8000000000000001E-2</v>
      </c>
      <c r="X30" s="18">
        <v>2.8000000000000001E-2</v>
      </c>
      <c r="Y30" s="18">
        <v>0.03</v>
      </c>
      <c r="Z30" s="18">
        <v>0.03</v>
      </c>
      <c r="AA30" s="18">
        <v>0.03</v>
      </c>
      <c r="AB30" s="18">
        <v>3.2000000000000001E-2</v>
      </c>
      <c r="AC30" s="18">
        <v>3.2000000000000001E-2</v>
      </c>
      <c r="AD30" s="18">
        <v>3.2000000000000001E-2</v>
      </c>
      <c r="AE30" s="18">
        <v>3.4000000000000002E-2</v>
      </c>
      <c r="AF30" s="18">
        <v>3.4000000000000002E-2</v>
      </c>
    </row>
    <row r="31" spans="1:109" x14ac:dyDescent="0.25">
      <c r="A31" s="15"/>
      <c r="B31" s="15" t="s">
        <v>32</v>
      </c>
      <c r="C31" s="15"/>
      <c r="D31" s="15"/>
      <c r="E31" s="15"/>
      <c r="F31" s="15"/>
      <c r="G31" s="15"/>
      <c r="H31" s="15"/>
      <c r="I31" s="15" t="e">
        <f>I5/I24</f>
        <v>#DIV/0!</v>
      </c>
      <c r="J31" s="15" t="e">
        <f>J5/J24</f>
        <v>#DIV/0!</v>
      </c>
      <c r="K31" s="15" t="e">
        <f>K5/K24</f>
        <v>#DIV/0!</v>
      </c>
      <c r="L31" s="15">
        <f>L5/L24</f>
        <v>1.7695907549782726</v>
      </c>
      <c r="M31" s="15"/>
      <c r="N31" s="15"/>
      <c r="O31" s="15"/>
      <c r="P31" s="16"/>
      <c r="Q31" s="15"/>
      <c r="R31" s="15"/>
      <c r="S31" s="15" t="e">
        <f>S5/S24</f>
        <v>#DIV/0!</v>
      </c>
      <c r="T31" s="15">
        <f>T5/T24</f>
        <v>4.8270516717325229</v>
      </c>
      <c r="U31" s="15">
        <f>U5/U24</f>
        <v>5.8260447035957244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109" x14ac:dyDescent="0.25">
      <c r="A32" s="15"/>
      <c r="B32" s="15" t="s">
        <v>38</v>
      </c>
      <c r="C32" s="15"/>
      <c r="D32" s="15"/>
      <c r="E32" s="15" t="e">
        <f t="shared" ref="E32:L32" si="19">E9/E5</f>
        <v>#DIV/0!</v>
      </c>
      <c r="F32" s="15" t="e">
        <f t="shared" si="19"/>
        <v>#DIV/0!</v>
      </c>
      <c r="G32" s="15" t="e">
        <f t="shared" si="19"/>
        <v>#DIV/0!</v>
      </c>
      <c r="H32" s="15">
        <f t="shared" si="19"/>
        <v>0.59503499181783359</v>
      </c>
      <c r="I32" s="15" t="e">
        <f t="shared" si="19"/>
        <v>#DIV/0!</v>
      </c>
      <c r="J32" s="15" t="e">
        <f t="shared" si="19"/>
        <v>#DIV/0!</v>
      </c>
      <c r="K32" s="15" t="e">
        <f t="shared" si="19"/>
        <v>#DIV/0!</v>
      </c>
      <c r="L32" s="15">
        <f t="shared" si="19"/>
        <v>0.63100089052000963</v>
      </c>
      <c r="M32" s="15"/>
      <c r="N32" s="15"/>
      <c r="O32" s="15"/>
      <c r="P32" s="16"/>
      <c r="Q32" s="15"/>
      <c r="R32" s="15" t="e">
        <f>R9/R5</f>
        <v>#DIV/0!</v>
      </c>
      <c r="S32" s="15">
        <f>S9/S5</f>
        <v>0.58434238351865742</v>
      </c>
      <c r="T32" s="15">
        <f>T9/T5</f>
        <v>0.59653494292370934</v>
      </c>
      <c r="U32" s="15">
        <f>U9/U5</f>
        <v>0.60283569641367807</v>
      </c>
      <c r="V32" s="15">
        <v>0.63</v>
      </c>
      <c r="W32" s="15">
        <v>0.57999999999999996</v>
      </c>
      <c r="X32" s="15">
        <v>0.66</v>
      </c>
      <c r="Y32" s="15">
        <v>0.63</v>
      </c>
      <c r="Z32" s="15">
        <v>0.6</v>
      </c>
      <c r="AA32" s="15">
        <v>0.57999999999999996</v>
      </c>
      <c r="AB32" s="15">
        <v>0.57999999999999996</v>
      </c>
      <c r="AC32" s="15">
        <v>0.57999999999999996</v>
      </c>
      <c r="AD32" s="15">
        <v>0.57999999999999996</v>
      </c>
      <c r="AE32" s="15">
        <v>0.57999999999999996</v>
      </c>
      <c r="AF32" s="15">
        <v>0.57999999999999996</v>
      </c>
      <c r="AG32" s="15"/>
      <c r="AH32" s="15"/>
      <c r="AI32" s="15"/>
      <c r="AJ32" s="15"/>
      <c r="AK32" s="15"/>
    </row>
    <row r="33" spans="1:37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s="15" customFormat="1" x14ac:dyDescent="0.25">
      <c r="B34" s="1" t="s">
        <v>53</v>
      </c>
      <c r="I34" s="15" t="e">
        <f t="shared" ref="I34:L36" si="20">I3/E3-1</f>
        <v>#DIV/0!</v>
      </c>
      <c r="J34" s="15" t="e">
        <f t="shared" si="20"/>
        <v>#DIV/0!</v>
      </c>
      <c r="K34" s="15" t="e">
        <f t="shared" si="20"/>
        <v>#DIV/0!</v>
      </c>
      <c r="L34" s="15">
        <f t="shared" si="20"/>
        <v>0.30316280425593956</v>
      </c>
      <c r="P34" s="16"/>
      <c r="S34" s="15" t="e">
        <f t="shared" ref="S34:U36" si="21">S3/R3-1</f>
        <v>#DIV/0!</v>
      </c>
      <c r="T34" s="15">
        <f t="shared" si="21"/>
        <v>-0.11171874155651862</v>
      </c>
      <c r="U34" s="15">
        <f t="shared" si="21"/>
        <v>4.9482905462951754E-2</v>
      </c>
      <c r="V34" s="15">
        <v>0.12</v>
      </c>
      <c r="W34" s="15">
        <v>-0.15</v>
      </c>
      <c r="X34" s="15">
        <v>-0.02</v>
      </c>
      <c r="Y34" s="15">
        <v>0.22</v>
      </c>
      <c r="Z34" s="15">
        <v>0.09</v>
      </c>
      <c r="AA34" s="15">
        <v>7.0000000000000007E-2</v>
      </c>
      <c r="AB34" s="15">
        <v>0.05</v>
      </c>
      <c r="AC34" s="15">
        <v>0.03</v>
      </c>
      <c r="AD34" s="15">
        <v>0.03</v>
      </c>
      <c r="AE34" s="15">
        <v>0.03</v>
      </c>
      <c r="AF34" s="15">
        <v>0.03</v>
      </c>
    </row>
    <row r="35" spans="1:37" s="15" customFormat="1" x14ac:dyDescent="0.25">
      <c r="B35" s="1" t="s">
        <v>54</v>
      </c>
      <c r="I35" s="15" t="e">
        <f t="shared" si="20"/>
        <v>#DIV/0!</v>
      </c>
      <c r="J35" s="15" t="e">
        <f t="shared" si="20"/>
        <v>#DIV/0!</v>
      </c>
      <c r="K35" s="15" t="e">
        <f t="shared" si="20"/>
        <v>#DIV/0!</v>
      </c>
      <c r="L35" s="15">
        <f t="shared" si="20"/>
        <v>0.25755713934627678</v>
      </c>
      <c r="P35" s="16"/>
      <c r="S35" s="15" t="e">
        <f t="shared" si="21"/>
        <v>#DIV/0!</v>
      </c>
      <c r="T35" s="15">
        <f t="shared" si="21"/>
        <v>0.17102444938371386</v>
      </c>
      <c r="U35" s="15">
        <f t="shared" si="21"/>
        <v>0.16112779100666041</v>
      </c>
      <c r="V35" s="15">
        <v>0.16</v>
      </c>
      <c r="W35" s="15">
        <v>-0.04</v>
      </c>
      <c r="X35" s="15">
        <v>-0.01</v>
      </c>
      <c r="Y35" s="15">
        <v>0.18</v>
      </c>
      <c r="Z35" s="15">
        <v>0.15</v>
      </c>
      <c r="AA35" s="15">
        <v>0.12</v>
      </c>
      <c r="AB35" s="15">
        <v>0.1</v>
      </c>
      <c r="AC35" s="15">
        <v>0.08</v>
      </c>
      <c r="AD35" s="15">
        <v>0.06</v>
      </c>
      <c r="AE35" s="15">
        <v>0.05</v>
      </c>
      <c r="AF35" s="15">
        <v>0.05</v>
      </c>
    </row>
    <row r="36" spans="1:37" s="4" customFormat="1" x14ac:dyDescent="0.25">
      <c r="A36" s="13"/>
      <c r="B36" s="13" t="s">
        <v>23</v>
      </c>
      <c r="C36" s="13"/>
      <c r="D36" s="13"/>
      <c r="E36" s="13"/>
      <c r="F36" s="13"/>
      <c r="G36" s="13"/>
      <c r="H36" s="13"/>
      <c r="I36" s="13" t="e">
        <f t="shared" si="20"/>
        <v>#DIV/0!</v>
      </c>
      <c r="J36" s="13" t="e">
        <f t="shared" si="20"/>
        <v>#DIV/0!</v>
      </c>
      <c r="K36" s="13" t="e">
        <f t="shared" si="20"/>
        <v>#DIV/0!</v>
      </c>
      <c r="L36" s="13">
        <f t="shared" si="20"/>
        <v>0.29024059050868711</v>
      </c>
      <c r="M36" s="13"/>
      <c r="N36" s="13"/>
      <c r="O36" s="13"/>
      <c r="P36" s="14"/>
      <c r="Q36" s="13"/>
      <c r="R36" s="13"/>
      <c r="S36" s="13" t="e">
        <f t="shared" si="21"/>
        <v>#DIV/0!</v>
      </c>
      <c r="T36" s="13">
        <f t="shared" si="21"/>
        <v>-5.2058462378061332E-2</v>
      </c>
      <c r="U36" s="13">
        <f t="shared" si="21"/>
        <v>7.8557485584750841E-2</v>
      </c>
      <c r="V36" s="13">
        <f t="shared" ref="V36:AF36" si="22">V5/U5-1</f>
        <v>0.13125271059216015</v>
      </c>
      <c r="W36" s="13">
        <f t="shared" si="22"/>
        <v>-0.1183476981241135</v>
      </c>
      <c r="X36" s="13">
        <f t="shared" si="22"/>
        <v>-1.6866811663406645E-2</v>
      </c>
      <c r="Y36" s="13">
        <f t="shared" si="22"/>
        <v>0.20737971013479606</v>
      </c>
      <c r="Z36" s="13">
        <f t="shared" si="22"/>
        <v>0.10850114994802862</v>
      </c>
      <c r="AA36" s="13">
        <f t="shared" si="22"/>
        <v>8.5994813087045818E-2</v>
      </c>
      <c r="AB36" s="13">
        <f t="shared" si="22"/>
        <v>6.6495650293732389E-2</v>
      </c>
      <c r="AC36" s="13">
        <f t="shared" si="22"/>
        <v>4.7013867162147616E-2</v>
      </c>
      <c r="AD36" s="13">
        <f t="shared" si="22"/>
        <v>4.0529933047547928E-2</v>
      </c>
      <c r="AE36" s="13">
        <f t="shared" si="22"/>
        <v>3.7151310549173644E-2</v>
      </c>
      <c r="AF36" s="13">
        <f t="shared" si="22"/>
        <v>3.7239904149237724E-2</v>
      </c>
      <c r="AG36" s="13"/>
      <c r="AH36" s="13"/>
      <c r="AI36" s="13"/>
      <c r="AJ36" s="13"/>
      <c r="AK36" s="13"/>
    </row>
    <row r="37" spans="1:37" x14ac:dyDescent="0.25">
      <c r="A37" s="13"/>
      <c r="B37" s="13" t="s">
        <v>24</v>
      </c>
      <c r="C37" s="13"/>
      <c r="D37" s="13"/>
      <c r="E37" s="13"/>
      <c r="F37" s="13"/>
      <c r="G37" s="13"/>
      <c r="H37" s="13"/>
      <c r="I37" s="13" t="e">
        <f>+I12/E12-1</f>
        <v>#DIV/0!</v>
      </c>
      <c r="J37" s="13" t="e">
        <f>+J12/F12-1</f>
        <v>#DIV/0!</v>
      </c>
      <c r="K37" s="13" t="e">
        <f>+K12/G12-1</f>
        <v>#DIV/0!</v>
      </c>
      <c r="L37" s="13">
        <f>+L12/H12-1</f>
        <v>0.85450819672131639</v>
      </c>
      <c r="M37" s="13"/>
      <c r="N37" s="13"/>
      <c r="O37" s="13"/>
      <c r="P37" s="14"/>
      <c r="Q37" s="13"/>
      <c r="R37" s="13"/>
      <c r="S37" s="13" t="e">
        <f t="shared" ref="S37:T37" si="23">S18/R18-1</f>
        <v>#DIV/0!</v>
      </c>
      <c r="T37" s="13">
        <f t="shared" si="23"/>
        <v>-5.632904148783977</v>
      </c>
      <c r="U37" s="13">
        <f>U18/T18-1</f>
        <v>-0.98767910079051424</v>
      </c>
      <c r="V37" s="13">
        <f t="shared" ref="V37:AF37" si="24">V18/U18-1</f>
        <v>6.0377483709275399</v>
      </c>
      <c r="W37" s="13">
        <f t="shared" si="24"/>
        <v>-5.7204250505043741E-2</v>
      </c>
      <c r="X37" s="13">
        <f t="shared" si="24"/>
        <v>4.1705591591845375</v>
      </c>
      <c r="Y37" s="13">
        <f t="shared" si="24"/>
        <v>-0.56271994473977882</v>
      </c>
      <c r="Z37" s="13">
        <f t="shared" si="24"/>
        <v>-1.1515254707045173</v>
      </c>
      <c r="AA37" s="13">
        <f t="shared" si="24"/>
        <v>5.8223126117497541</v>
      </c>
      <c r="AB37" s="13">
        <f t="shared" si="24"/>
        <v>0.15289177942538323</v>
      </c>
      <c r="AC37" s="13">
        <f t="shared" si="24"/>
        <v>6.7132487382013162E-2</v>
      </c>
      <c r="AD37" s="13">
        <f t="shared" si="24"/>
        <v>2.5307757026120203E-2</v>
      </c>
      <c r="AE37" s="13">
        <f t="shared" si="24"/>
        <v>-4.7761699279175285E-2</v>
      </c>
      <c r="AF37" s="13">
        <f t="shared" si="24"/>
        <v>7.8506163295515297E-3</v>
      </c>
      <c r="AG37" s="13"/>
      <c r="AH37" s="13"/>
      <c r="AI37" s="13"/>
      <c r="AJ37" s="13"/>
      <c r="AK37" s="13"/>
    </row>
    <row r="38" spans="1:3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5">
      <c r="B39" s="1"/>
    </row>
    <row r="40" spans="1:37" s="18" customFormat="1" x14ac:dyDescent="0.25">
      <c r="B40" s="18" t="s">
        <v>33</v>
      </c>
      <c r="J40" s="18" t="e">
        <f>(1+J14/I26)^4-1</f>
        <v>#DIV/0!</v>
      </c>
      <c r="K40" s="18" t="e">
        <f>(1+K14/J26)^4-1</f>
        <v>#DIV/0!</v>
      </c>
      <c r="L40" s="18" t="e">
        <f>(1+L14/K26)^4-1</f>
        <v>#DIV/0!</v>
      </c>
      <c r="P40" s="19"/>
      <c r="T40" s="18" t="e">
        <f t="shared" ref="T40:AF40" si="25">T14/S26</f>
        <v>#DIV/0!</v>
      </c>
      <c r="U40" s="18">
        <f t="shared" si="25"/>
        <v>-3.5431762281459812E-2</v>
      </c>
      <c r="V40" s="18">
        <f t="shared" si="25"/>
        <v>-0.04</v>
      </c>
      <c r="W40" s="18">
        <f t="shared" si="25"/>
        <v>-0.04</v>
      </c>
      <c r="X40" s="18">
        <f t="shared" si="25"/>
        <v>-0.04</v>
      </c>
      <c r="Y40" s="18">
        <f t="shared" si="25"/>
        <v>-0.04</v>
      </c>
      <c r="Z40" s="18">
        <f t="shared" si="25"/>
        <v>-0.04</v>
      </c>
      <c r="AA40" s="18">
        <f t="shared" si="25"/>
        <v>-0.04</v>
      </c>
      <c r="AB40" s="18">
        <f t="shared" si="25"/>
        <v>-0.04</v>
      </c>
      <c r="AC40" s="18">
        <f t="shared" si="25"/>
        <v>-0.04</v>
      </c>
      <c r="AD40" s="18">
        <f t="shared" si="25"/>
        <v>-0.04</v>
      </c>
      <c r="AE40" s="18">
        <f t="shared" si="25"/>
        <v>-0.04</v>
      </c>
      <c r="AF40" s="18">
        <f t="shared" si="25"/>
        <v>-0.04</v>
      </c>
    </row>
    <row r="41" spans="1:37" x14ac:dyDescent="0.25">
      <c r="AH41" s="10" t="s">
        <v>34</v>
      </c>
      <c r="AI41" s="18">
        <v>-1.4999999999999999E-2</v>
      </c>
    </row>
    <row r="42" spans="1:37" x14ac:dyDescent="0.25">
      <c r="AH42" s="15" t="s">
        <v>35</v>
      </c>
      <c r="AI42" s="18">
        <v>-0.01</v>
      </c>
    </row>
    <row r="43" spans="1:37" x14ac:dyDescent="0.25">
      <c r="AH43" t="s">
        <v>36</v>
      </c>
      <c r="AI43" s="18">
        <v>0.08</v>
      </c>
    </row>
    <row r="44" spans="1:37" x14ac:dyDescent="0.25">
      <c r="AH44" s="15" t="s">
        <v>37</v>
      </c>
      <c r="AI44" s="22">
        <f>NPV(AI43,W18:DD18)</f>
        <v>42.225188935657137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2022-08-05T05:39:00Z</dcterms:modified>
</cp:coreProperties>
</file>