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BAC7E6F2-6AC4-45EC-BB35-AC68F1CDDF98}" xr6:coauthVersionLast="47" xr6:coauthVersionMax="47" xr10:uidLastSave="{00000000-0000-0000-0000-000000000000}"/>
  <bookViews>
    <workbookView xWindow="22245" yWindow="3645" windowWidth="19035" windowHeight="17100" xr2:uid="{70494AAA-D256-49B2-A3DF-05E6F986F6A3}"/>
  </bookViews>
  <sheets>
    <sheet name="Indicator" sheetId="1" r:id="rId1"/>
    <sheet name="Dashboard" sheetId="4" r:id="rId2"/>
    <sheet name="Tracker" sheetId="3" r:id="rId3"/>
    <sheet name="Trades" sheetId="2" r:id="rId4"/>
    <sheet name="Delta15" sheetId="6" r:id="rId5"/>
    <sheet name="DeltaM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F23" i="3"/>
  <c r="F22" i="3"/>
  <c r="F21" i="3"/>
  <c r="F20" i="3"/>
  <c r="F19" i="3"/>
  <c r="F18" i="3"/>
  <c r="F17" i="3"/>
  <c r="F16" i="3"/>
  <c r="C24" i="3"/>
  <c r="C29" i="1" s="1"/>
  <c r="C32" i="1" s="1"/>
  <c r="I9" i="1"/>
  <c r="C16" i="1"/>
  <c r="J13" i="6"/>
  <c r="H13" i="6"/>
  <c r="J12" i="6"/>
  <c r="H12" i="6"/>
  <c r="J30" i="2"/>
  <c r="J28" i="2"/>
  <c r="J27" i="2"/>
  <c r="J26" i="2"/>
  <c r="H31" i="2"/>
  <c r="J31" i="2"/>
  <c r="H32" i="2"/>
  <c r="J32" i="2"/>
  <c r="H33" i="2"/>
  <c r="J33" i="2"/>
  <c r="F9" i="1" l="1"/>
  <c r="C28" i="1"/>
  <c r="C33" i="1" s="1"/>
  <c r="C31" i="1"/>
  <c r="F4" i="1" l="1"/>
  <c r="I23" i="3" l="1"/>
  <c r="J11" i="6" l="1"/>
  <c r="J10" i="6"/>
  <c r="J11" i="7"/>
  <c r="J10" i="7"/>
  <c r="H11" i="7"/>
  <c r="H10" i="7"/>
  <c r="H11" i="6"/>
  <c r="H10" i="6"/>
  <c r="H30" i="2"/>
  <c r="H29" i="2"/>
  <c r="H28" i="2"/>
  <c r="H27" i="2"/>
  <c r="H26" i="2"/>
  <c r="I22" i="3"/>
  <c r="H9" i="7"/>
  <c r="H9" i="6"/>
  <c r="J25" i="2"/>
  <c r="H25" i="2"/>
  <c r="H24" i="2"/>
  <c r="J8" i="7"/>
  <c r="H8" i="7"/>
  <c r="J7" i="7"/>
  <c r="H7" i="7"/>
  <c r="J8" i="6"/>
  <c r="H8" i="6"/>
  <c r="J7" i="6"/>
  <c r="H7" i="6"/>
  <c r="J23" i="2"/>
  <c r="J22" i="2"/>
  <c r="J21" i="2"/>
  <c r="H23" i="2"/>
  <c r="H22" i="2"/>
  <c r="H21" i="2"/>
  <c r="J20" i="2"/>
  <c r="I21" i="3"/>
  <c r="H6" i="7"/>
  <c r="H6" i="6"/>
  <c r="H20" i="2"/>
  <c r="H19" i="2"/>
  <c r="J5" i="7"/>
  <c r="H5" i="7"/>
  <c r="J4" i="7"/>
  <c r="H4" i="7"/>
  <c r="J5" i="6"/>
  <c r="H5" i="6"/>
  <c r="J4" i="6"/>
  <c r="H4" i="6"/>
  <c r="J18" i="2"/>
  <c r="J17" i="2"/>
  <c r="J16" i="2"/>
  <c r="H18" i="2"/>
  <c r="H17" i="2"/>
  <c r="H16" i="2"/>
  <c r="I20" i="3" l="1"/>
  <c r="J4" i="2"/>
  <c r="J3" i="2"/>
  <c r="J2" i="2"/>
  <c r="J9" i="2"/>
  <c r="J8" i="2"/>
  <c r="J7" i="2"/>
  <c r="J6" i="2"/>
  <c r="J15" i="2"/>
  <c r="J14" i="2"/>
  <c r="J12" i="2"/>
  <c r="J13" i="2"/>
  <c r="N2" i="6"/>
  <c r="J3" i="7"/>
  <c r="H3" i="7"/>
  <c r="H2" i="7"/>
  <c r="J2" i="7" s="1"/>
  <c r="H3" i="6"/>
  <c r="J3" i="6" s="1"/>
  <c r="H2" i="6"/>
  <c r="J2" i="6" s="1"/>
  <c r="H15" i="2"/>
  <c r="H14" i="2"/>
  <c r="H13" i="2"/>
  <c r="I19" i="3"/>
  <c r="H12" i="2"/>
  <c r="H11" i="2"/>
  <c r="H10" i="2"/>
  <c r="H9" i="2"/>
  <c r="H8" i="2"/>
  <c r="I18" i="3"/>
  <c r="H7" i="2"/>
  <c r="H6" i="2"/>
  <c r="K5" i="4"/>
  <c r="K4" i="4"/>
  <c r="L4" i="4"/>
  <c r="L5" i="4" s="1"/>
  <c r="K3" i="4"/>
  <c r="L8" i="4"/>
  <c r="L9" i="4" s="1"/>
  <c r="K8" i="4"/>
  <c r="K9" i="4" s="1"/>
  <c r="L3" i="4"/>
  <c r="K16" i="3"/>
  <c r="J16" i="3"/>
  <c r="I17" i="3"/>
  <c r="H5" i="2"/>
  <c r="L4" i="2"/>
  <c r="H4" i="2"/>
  <c r="I16" i="3"/>
  <c r="E24" i="3"/>
  <c r="B24" i="3"/>
  <c r="C26" i="1" s="1"/>
  <c r="A24" i="3"/>
  <c r="H3" i="2"/>
  <c r="H2" i="2"/>
  <c r="C17" i="1"/>
  <c r="C24" i="1" l="1"/>
  <c r="C25" i="1" s="1"/>
  <c r="C13" i="1" s="1"/>
  <c r="F10" i="1" s="1"/>
  <c r="K17" i="3"/>
  <c r="K18" i="3" s="1"/>
  <c r="K19" i="3" s="1"/>
  <c r="K20" i="3" s="1"/>
  <c r="K21" i="3" s="1"/>
  <c r="K22" i="3" s="1"/>
  <c r="K23" i="3" s="1"/>
  <c r="J17" i="3"/>
  <c r="N2" i="7"/>
  <c r="G24" i="3"/>
  <c r="H24" i="3"/>
  <c r="C18" i="1"/>
  <c r="D24" i="3" l="1"/>
  <c r="F24" i="3" s="1"/>
  <c r="I10" i="1"/>
  <c r="I7" i="1" s="1"/>
  <c r="F7" i="1"/>
  <c r="K24" i="3"/>
  <c r="C8" i="4" s="1"/>
  <c r="I24" i="3"/>
  <c r="J18" i="3"/>
  <c r="F5" i="4" l="1"/>
  <c r="H5" i="4" s="1"/>
  <c r="F4" i="4"/>
  <c r="H4" i="4" s="1"/>
  <c r="J19" i="3"/>
  <c r="J20" i="3" s="1"/>
  <c r="J21" i="3" s="1"/>
  <c r="J22" i="3" s="1"/>
  <c r="J23" i="3" s="1"/>
  <c r="J24" i="3" s="1"/>
  <c r="C7" i="4" l="1"/>
  <c r="F7" i="4" s="1"/>
  <c r="F3" i="4"/>
  <c r="G5" i="4" s="1"/>
  <c r="G4" i="4" l="1"/>
  <c r="C9" i="4"/>
  <c r="H3" i="4"/>
  <c r="F8" i="4"/>
  <c r="F9" i="4"/>
</calcChain>
</file>

<file path=xl/sharedStrings.xml><?xml version="1.0" encoding="utf-8"?>
<sst xmlns="http://schemas.openxmlformats.org/spreadsheetml/2006/main" count="225" uniqueCount="116">
  <si>
    <t>SPX Open</t>
  </si>
  <si>
    <t>SPX Close</t>
  </si>
  <si>
    <t>Updated</t>
  </si>
  <si>
    <t>SPX Prior Open</t>
  </si>
  <si>
    <t>SPX Prior Close</t>
  </si>
  <si>
    <t>IV Last</t>
  </si>
  <si>
    <t>Value</t>
  </si>
  <si>
    <t>1STD SPX Upper</t>
  </si>
  <si>
    <t>1STD SPX Lower</t>
  </si>
  <si>
    <t>E. Price Move</t>
  </si>
  <si>
    <t>SPX Information</t>
  </si>
  <si>
    <t>-</t>
  </si>
  <si>
    <t>Open</t>
  </si>
  <si>
    <t>Date</t>
  </si>
  <si>
    <t>Status</t>
  </si>
  <si>
    <t>Spread</t>
  </si>
  <si>
    <t>Time (EST)</t>
  </si>
  <si>
    <t>Delta</t>
  </si>
  <si>
    <t>Qty</t>
  </si>
  <si>
    <t>P/L ea.</t>
  </si>
  <si>
    <t>Close</t>
  </si>
  <si>
    <t>IV</t>
  </si>
  <si>
    <t>P/L</t>
  </si>
  <si>
    <t>STO</t>
  </si>
  <si>
    <t>Sep20 3830/3805 @ -4.30 BullPut</t>
  </si>
  <si>
    <t>Sep20 3895/3925 @ -3.00 BearCall</t>
  </si>
  <si>
    <t>Capture %</t>
  </si>
  <si>
    <t>Notes</t>
  </si>
  <si>
    <t>High volitility expected, betting that market goes up overall</t>
  </si>
  <si>
    <t>Sep21 3815/3790 @ -5.20 BullPut</t>
  </si>
  <si>
    <t>Stop Loss Value</t>
  </si>
  <si>
    <t>Stop Loss %</t>
  </si>
  <si>
    <t>Sep21 3815/3790 @ -1.30 BullPut</t>
  </si>
  <si>
    <t>BTC PT</t>
  </si>
  <si>
    <t>Profit Take %</t>
  </si>
  <si>
    <t>Profit Take Value</t>
  </si>
  <si>
    <t>P. Max.</t>
  </si>
  <si>
    <t>Portfolio P/L</t>
  </si>
  <si>
    <t>(EST)</t>
  </si>
  <si>
    <t>Current Year</t>
  </si>
  <si>
    <t>Starting Date</t>
  </si>
  <si>
    <t>% N. Liquid</t>
  </si>
  <si>
    <t>Starting N. Liquid</t>
  </si>
  <si>
    <t>Current N. Liquid</t>
  </si>
  <si>
    <t>P/L %</t>
  </si>
  <si>
    <t>Premium Capture %</t>
  </si>
  <si>
    <t>Premium Sold</t>
  </si>
  <si>
    <t>P. Max Total</t>
  </si>
  <si>
    <t>Spread Strike Width</t>
  </si>
  <si>
    <t>P/L % Annualized</t>
  </si>
  <si>
    <t>P/L % Projected 2022End</t>
  </si>
  <si>
    <t>Margin Required Total</t>
  </si>
  <si>
    <t>Number of Spreads per Side</t>
  </si>
  <si>
    <t>Number of Trade Days</t>
  </si>
  <si>
    <t>Number of Wins</t>
  </si>
  <si>
    <t>Number of Losses</t>
  </si>
  <si>
    <t>Count</t>
  </si>
  <si>
    <t>Avg. P/(L)</t>
  </si>
  <si>
    <t>Rate %</t>
  </si>
  <si>
    <t>Premium Target per Day</t>
  </si>
  <si>
    <t>Stop Loss Target per Day</t>
  </si>
  <si>
    <t>Avg. Risk Target per Day</t>
  </si>
  <si>
    <t>Sep22 3820/3845 @ -2.40 Bear Call</t>
  </si>
  <si>
    <t>Sep22 3745/3720 @ -5.00 Bull Put</t>
  </si>
  <si>
    <t>Sep23 3685/3660 @ -6.50 Bull Put</t>
  </si>
  <si>
    <t>Sep23 3665/3640 @ -4.00 Bull Put</t>
  </si>
  <si>
    <t>BTC SL</t>
  </si>
  <si>
    <t>Sep23 3665/3640 @ -12.40 Bull Put</t>
  </si>
  <si>
    <t>Sep23 3655/3640 @ -2.25 Bull Put</t>
  </si>
  <si>
    <t>Discovered IBKR-Web does not live update Delta; deviated from strategy; high volitility triggered SL</t>
  </si>
  <si>
    <t>Sep26 3740/3765 Bear Call @ -3.30</t>
  </si>
  <si>
    <t>Sep26 3650/3625 Bull Put @-4.30</t>
  </si>
  <si>
    <t>Sep26 3760/3785 Bear Call @ -1.50</t>
  </si>
  <si>
    <t>Sep26 3650/3625 Bull Put @ -4.30</t>
  </si>
  <si>
    <t>1 Day - Price Expectations</t>
  </si>
  <si>
    <t>Sep27 3655/3630 Bull Put @ -3.40</t>
  </si>
  <si>
    <t>Sep27 3750/3775 Bear Call @ -3.90</t>
  </si>
  <si>
    <t>Sep27 3730/3755 Bear Call @ -3.00</t>
  </si>
  <si>
    <t>Sep27 3655/3630 Bull Put @ -14.1</t>
  </si>
  <si>
    <t>Sep27 3660/3685 Bear Call @ -4.55</t>
  </si>
  <si>
    <t>Triggered around 3650</t>
  </si>
  <si>
    <t>Sep28 3690/3715 Bear Call @ -4.3</t>
  </si>
  <si>
    <t>Sep28 3605/3580 Bull Put @ -5.3</t>
  </si>
  <si>
    <t>Sep28 3590/3565 Bull Put @ -3.9</t>
  </si>
  <si>
    <t>Sep28 3730/3755 Bear Call @-4.0</t>
  </si>
  <si>
    <t>Sep28 3690/3715 Bear Call @ -13.2</t>
  </si>
  <si>
    <t>SPX Trigger</t>
  </si>
  <si>
    <t>Sep29 3715/3740 Bear Call @-4.3</t>
  </si>
  <si>
    <t>Sep29 3610/3585 Bull Put @ -3.9</t>
  </si>
  <si>
    <t>Sep29 3595/3570 Bull Put @ -2.5</t>
  </si>
  <si>
    <t>Sep29 3610/3585 Bull Put @ -7.2</t>
  </si>
  <si>
    <t>BTC</t>
  </si>
  <si>
    <t>Sep29 3580/3555 Bull Put @ -2.8</t>
  </si>
  <si>
    <t>Sep30 3580/3555 Bull Put @ -4.9</t>
  </si>
  <si>
    <t>Sep30 3670/3695 Bear Call @-5.0</t>
  </si>
  <si>
    <t>Sep30 3685/3710 Bear Call @-3.2</t>
  </si>
  <si>
    <t>20D slope</t>
  </si>
  <si>
    <t>open+wtSlope</t>
  </si>
  <si>
    <t>E. Close</t>
  </si>
  <si>
    <t>Derived Close</t>
  </si>
  <si>
    <t>Day P/L</t>
  </si>
  <si>
    <t>HiVol</t>
  </si>
  <si>
    <t>3D, 3L</t>
  </si>
  <si>
    <t>3D, 2L</t>
  </si>
  <si>
    <t>4D, 3L</t>
  </si>
  <si>
    <t>New indicator trials</t>
  </si>
  <si>
    <t>Suggested Strike</t>
  </si>
  <si>
    <t>Strike from Open</t>
  </si>
  <si>
    <t>Strike from Derived</t>
  </si>
  <si>
    <t>Intraday - Price Expectations</t>
  </si>
  <si>
    <t>Calls</t>
  </si>
  <si>
    <t>Puts</t>
  </si>
  <si>
    <t>4day loss count</t>
  </si>
  <si>
    <t>3day loss count</t>
  </si>
  <si>
    <t>linear 2day 4cast</t>
  </si>
  <si>
    <t>Suggested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</si>
</sst>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6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2" xfId="0" applyNumberFormat="1" applyBorder="1" applyProtection="1">
      <protection locked="0"/>
    </xf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0" xfId="0" applyBorder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0" fillId="0" borderId="0" xfId="0" applyNumberFormat="1" applyFill="1" applyBorder="1" applyProtection="1">
      <protection locked="0"/>
    </xf>
    <xf numFmtId="4" fontId="0" fillId="0" borderId="0" xfId="0" applyNumberFormat="1" applyBorder="1" applyProtection="1">
      <protection locked="0"/>
    </xf>
    <xf numFmtId="4" fontId="1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4" fontId="1" fillId="0" borderId="0" xfId="0" applyNumberFormat="1" applyFont="1" applyFill="1" applyBorder="1" applyAlignment="1" applyProtection="1">
      <alignment horizontal="right"/>
      <protection locked="0"/>
    </xf>
    <xf numFmtId="14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9" fontId="0" fillId="0" borderId="0" xfId="0" applyNumberFormat="1"/>
    <xf numFmtId="14" fontId="0" fillId="0" borderId="3" xfId="0" applyNumberFormat="1" applyBorder="1"/>
    <xf numFmtId="0" fontId="0" fillId="0" borderId="4" xfId="0" applyBorder="1"/>
    <xf numFmtId="14" fontId="1" fillId="0" borderId="3" xfId="0" applyNumberFormat="1" applyFont="1" applyBorder="1"/>
    <xf numFmtId="4" fontId="1" fillId="0" borderId="4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10" fontId="0" fillId="0" borderId="0" xfId="0" applyNumberFormat="1" applyBorder="1"/>
    <xf numFmtId="0" fontId="0" fillId="0" borderId="0" xfId="0" applyFill="1" applyBorder="1"/>
    <xf numFmtId="1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42" fontId="0" fillId="0" borderId="0" xfId="0" applyNumberFormat="1" applyBorder="1"/>
    <xf numFmtId="2" fontId="0" fillId="0" borderId="0" xfId="0" applyNumberFormat="1"/>
    <xf numFmtId="4" fontId="1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Border="1"/>
    <xf numFmtId="164" fontId="0" fillId="0" borderId="0" xfId="0" applyNumberFormat="1" applyBorder="1"/>
    <xf numFmtId="44" fontId="0" fillId="0" borderId="0" xfId="0" applyNumberFormat="1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0" quotePrefix="1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2" fontId="1" fillId="0" borderId="7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39" fontId="1" fillId="0" borderId="7" xfId="0" applyNumberFormat="1" applyFont="1" applyBorder="1" applyAlignment="1">
      <alignment horizontal="right"/>
    </xf>
    <xf numFmtId="39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1" fontId="0" fillId="0" borderId="0" xfId="0" applyNumberFormat="1" applyAlignment="1" applyProtection="1">
      <alignment horizontal="left"/>
      <protection locked="0"/>
    </xf>
    <xf numFmtId="3" fontId="0" fillId="0" borderId="0" xfId="0" applyNumberFormat="1"/>
    <xf numFmtId="3" fontId="1" fillId="0" borderId="0" xfId="0" applyNumberFormat="1" applyFont="1" applyFill="1" applyBorder="1" applyAlignment="1" applyProtection="1">
      <alignment horizontal="right"/>
      <protection locked="0"/>
    </xf>
    <xf numFmtId="14" fontId="0" fillId="2" borderId="3" xfId="0" applyNumberFormat="1" applyFill="1" applyBorder="1"/>
    <xf numFmtId="4" fontId="0" fillId="2" borderId="0" xfId="0" applyNumberFormat="1" applyFill="1" applyBorder="1" applyProtection="1"/>
    <xf numFmtId="164" fontId="0" fillId="2" borderId="0" xfId="0" applyNumberFormat="1" applyFill="1" applyBorder="1" applyProtection="1"/>
    <xf numFmtId="2" fontId="0" fillId="2" borderId="0" xfId="0" applyNumberFormat="1" applyFill="1" applyBorder="1" applyProtection="1"/>
    <xf numFmtId="0" fontId="0" fillId="2" borderId="4" xfId="0" applyFill="1" applyBorder="1" applyProtection="1"/>
    <xf numFmtId="9" fontId="0" fillId="2" borderId="0" xfId="0" applyNumberFormat="1" applyFill="1" applyBorder="1"/>
    <xf numFmtId="37" fontId="0" fillId="2" borderId="0" xfId="0" applyNumberFormat="1" applyFill="1"/>
    <xf numFmtId="3" fontId="0" fillId="2" borderId="0" xfId="0" applyNumberFormat="1" applyFill="1"/>
    <xf numFmtId="0" fontId="0" fillId="2" borderId="0" xfId="0" applyFill="1"/>
    <xf numFmtId="1" fontId="1" fillId="0" borderId="0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 applyFill="1" applyBorder="1" applyAlignment="1" applyProtection="1">
      <alignment horizontal="center"/>
      <protection locked="0"/>
    </xf>
    <xf numFmtId="1" fontId="0" fillId="2" borderId="0" xfId="0" applyNumberFormat="1" applyFill="1" applyBorder="1" applyAlignment="1" applyProtection="1">
      <alignment horizontal="center"/>
      <protection locked="0"/>
    </xf>
    <xf numFmtId="3" fontId="0" fillId="0" borderId="4" xfId="0" applyNumberFormat="1" applyBorder="1"/>
    <xf numFmtId="3" fontId="0" fillId="0" borderId="6" xfId="0" applyNumberFormat="1" applyBorder="1"/>
    <xf numFmtId="3" fontId="0" fillId="0" borderId="0" xfId="0" applyNumberFormat="1" applyBorder="1"/>
    <xf numFmtId="3" fontId="0" fillId="3" borderId="0" xfId="0" applyNumberFormat="1" applyFill="1" applyBorder="1"/>
    <xf numFmtId="0" fontId="0" fillId="3" borderId="0" xfId="0" applyFill="1" applyBorder="1"/>
    <xf numFmtId="3" fontId="0" fillId="0" borderId="8" xfId="0" applyNumberFormat="1" applyBorder="1"/>
    <xf numFmtId="3" fontId="0" fillId="3" borderId="8" xfId="0" applyNumberFormat="1" applyFill="1" applyBorder="1"/>
    <xf numFmtId="0" fontId="0" fillId="0" borderId="8" xfId="0" applyBorder="1"/>
    <xf numFmtId="0" fontId="0" fillId="0" borderId="11" xfId="0" applyBorder="1"/>
    <xf numFmtId="0" fontId="1" fillId="0" borderId="10" xfId="0" applyFont="1" applyBorder="1"/>
    <xf numFmtId="0" fontId="1" fillId="3" borderId="10" xfId="0" applyFont="1" applyFill="1" applyBorder="1"/>
    <xf numFmtId="0" fontId="2" fillId="0" borderId="0" xfId="0" applyFont="1"/>
    <xf numFmtId="166" fontId="2" fillId="0" borderId="0" xfId="0" applyNumberFormat="1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Tracker!$J$1</c:f>
              <c:strCache>
                <c:ptCount val="1"/>
                <c:pt idx="0">
                  <c:v>Portfolio P/L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Tracker!$A$16:$A$711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</c:numCache>
            </c:numRef>
          </c:cat>
          <c:val>
            <c:numRef>
              <c:f>Tracker!$J$16:$J$711</c:f>
              <c:numCache>
                <c:formatCode>#,##0_);\(#,##0\)</c:formatCode>
                <c:ptCount val="696"/>
                <c:pt idx="0">
                  <c:v>728.99999999999989</c:v>
                </c:pt>
                <c:pt idx="1">
                  <c:v>1113</c:v>
                </c:pt>
                <c:pt idx="2">
                  <c:v>2084</c:v>
                </c:pt>
                <c:pt idx="3">
                  <c:v>96.999999999999545</c:v>
                </c:pt>
                <c:pt idx="4">
                  <c:v>1424.9999999999995</c:v>
                </c:pt>
                <c:pt idx="5">
                  <c:v>866.99999999999955</c:v>
                </c:pt>
                <c:pt idx="6">
                  <c:v>385.99999999999949</c:v>
                </c:pt>
                <c:pt idx="7">
                  <c:v>1427.9999999999995</c:v>
                </c:pt>
                <c:pt idx="8">
                  <c:v>3250.9999999999995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209-9688-99EAB6BA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37584"/>
        <c:axId val="159073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Tracker!$G$1</c15:sqref>
                        </c15:formulaRef>
                      </c:ext>
                    </c:extLst>
                    <c:strCache>
                      <c:ptCount val="1"/>
                      <c:pt idx="0">
                        <c:v>Day P/L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Tracker!$A$16:$A$711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Tracker!$G$16:$G$711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  <c:pt idx="8" formatCode="0.00">
                        <c:v>18.23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A3-4209-9688-99EAB6BA8C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Tracker!$H$1</c15:sqref>
                        </c15:formulaRef>
                      </c:ext>
                    </c:extLst>
                    <c:strCache>
                      <c:ptCount val="1"/>
                      <c:pt idx="0">
                        <c:v>P. Max.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Tracker!$A$16:$A$711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Tracker!$H$16:$H$711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  <c:pt idx="8">
                        <c:v>18.23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A3-4209-9688-99EAB6BA8C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Tracker!$I$1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Tracker!$A$16:$A$711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Tracker!$I$16:$I$711</c15:sqref>
                        </c15:formulaRef>
                      </c:ext>
                    </c:extLst>
                    <c:numCache>
                      <c:formatCode>0%</c:formatCode>
                      <c:ptCount val="696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  <c:pt idx="8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3-4209-9688-99EAB6BA8CEA}"/>
                  </c:ext>
                </c:extLst>
              </c15:ser>
            </c15:filteredLineSeries>
          </c:ext>
        </c:extLst>
      </c:line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Premium Sold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Tracker!$A$16:$A$711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</c:numCache>
              <c:extLst xmlns:c15="http://schemas.microsoft.com/office/drawing/2012/chart"/>
            </c:numRef>
          </c:cat>
          <c:val>
            <c:numRef>
              <c:f>Tracker!$H$16:$H$711</c:f>
              <c:numCache>
                <c:formatCode>General</c:formatCode>
                <c:ptCount val="696"/>
                <c:pt idx="0">
                  <c:v>7.2899999999999991</c:v>
                </c:pt>
                <c:pt idx="1">
                  <c:v>5.17</c:v>
                </c:pt>
                <c:pt idx="2">
                  <c:v>9.7100000000000009</c:v>
                </c:pt>
                <c:pt idx="3">
                  <c:v>12.66</c:v>
                </c:pt>
                <c:pt idx="4">
                  <c:v>13.28</c:v>
                </c:pt>
                <c:pt idx="5">
                  <c:v>22.619999999999997</c:v>
                </c:pt>
                <c:pt idx="6">
                  <c:v>21.65</c:v>
                </c:pt>
                <c:pt idx="7">
                  <c:v>17.650000000000002</c:v>
                </c:pt>
                <c:pt idx="8">
                  <c:v>18.23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Tracker!$I$1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Tracker!$A$16:$A$711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Tracker!$I$16:$I$711</c15:sqref>
                        </c15:formulaRef>
                      </c:ext>
                    </c:extLst>
                    <c:numCache>
                      <c:formatCode>0%</c:formatCode>
                      <c:ptCount val="696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  <c:pt idx="8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8A7-4CF3-92F1-579C12FDEE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Tracker!$J$1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Tracker!$A$16:$A$711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Tracker!$J$16:$J$711</c15:sqref>
                        </c15:formulaRef>
                      </c:ext>
                    </c:extLst>
                    <c:numCache>
                      <c:formatCode>#,##0_);\(#,##0\)</c:formatCode>
                      <c:ptCount val="696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  <c:pt idx="8">
                        <c:v>3250.9999999999995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A7-4CF3-92F1-579C12FDEE2D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0"/>
          <c:order val="0"/>
          <c:tx>
            <c:v>Premium Captured</c:v>
          </c:tx>
          <c:spPr>
            <a:solidFill>
              <a:srgbClr val="70AD47"/>
            </a:solidFill>
            <a:ln w="25400">
              <a:noFill/>
            </a:ln>
            <a:effectLst/>
          </c:spPr>
          <c:invertIfNegative val="1"/>
          <c:cat>
            <c:numRef>
              <c:f>Tracker!$A$16:$A$711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</c:numCache>
              <c:extLst xmlns:c15="http://schemas.microsoft.com/office/drawing/2012/chart"/>
            </c:numRef>
          </c:cat>
          <c:val>
            <c:numRef>
              <c:f>Tracker!$G$16:$G$711</c:f>
              <c:numCache>
                <c:formatCode>General</c:formatCode>
                <c:ptCount val="696"/>
                <c:pt idx="0">
                  <c:v>7.2899999999999991</c:v>
                </c:pt>
                <c:pt idx="1">
                  <c:v>3.84</c:v>
                </c:pt>
                <c:pt idx="2">
                  <c:v>9.7100000000000009</c:v>
                </c:pt>
                <c:pt idx="3">
                  <c:v>-19.870000000000005</c:v>
                </c:pt>
                <c:pt idx="4">
                  <c:v>13.28</c:v>
                </c:pt>
                <c:pt idx="5">
                  <c:v>-5.58</c:v>
                </c:pt>
                <c:pt idx="6">
                  <c:v>-4.8100000000000005</c:v>
                </c:pt>
                <c:pt idx="7">
                  <c:v>10.42</c:v>
                </c:pt>
                <c:pt idx="8" formatCode="0.00">
                  <c:v>18.23</c:v>
                </c:pt>
              </c:numCache>
              <c:extLst xmlns:c15="http://schemas.microsoft.com/office/drawing/2012/chart"/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 w="2540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date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 Capture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Tracker!$I$1</c:f>
              <c:strCache>
                <c:ptCount val="1"/>
                <c:pt idx="0">
                  <c:v>Capture %</c:v>
                </c:pt>
              </c:strCache>
              <c:extLst xmlns:c15="http://schemas.microsoft.com/office/drawing/2012/chart"/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Tracker!$A$16:$A$711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</c:numCache>
              <c:extLst xmlns:c15="http://schemas.microsoft.com/office/drawing/2012/chart"/>
            </c:numRef>
          </c:cat>
          <c:val>
            <c:numRef>
              <c:f>Tracker!$I$16:$I$711</c:f>
              <c:numCache>
                <c:formatCode>0%</c:formatCode>
                <c:ptCount val="696"/>
                <c:pt idx="0">
                  <c:v>1</c:v>
                </c:pt>
                <c:pt idx="1">
                  <c:v>0.74274661508704065</c:v>
                </c:pt>
                <c:pt idx="2">
                  <c:v>1</c:v>
                </c:pt>
                <c:pt idx="3">
                  <c:v>-1.5695102685624016</c:v>
                </c:pt>
                <c:pt idx="4">
                  <c:v>1</c:v>
                </c:pt>
                <c:pt idx="5">
                  <c:v>-0.24668435013262602</c:v>
                </c:pt>
                <c:pt idx="6">
                  <c:v>-0.22217090069284068</c:v>
                </c:pt>
                <c:pt idx="7">
                  <c:v>0.59036827195467412</c:v>
                </c:pt>
                <c:pt idx="8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2A-493E-AAB0-7630A20C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Premium Sold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Tracker!$A$16:$A$711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Tracker!$H$16:$H$711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  <c:pt idx="8">
                        <c:v>18.23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A-493E-AAB0-7630A20C3F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Tracker!$J$1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Tracker!$A$16:$A$711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Tracker!$J$16:$J$711</c15:sqref>
                        </c15:formulaRef>
                      </c:ext>
                    </c:extLst>
                    <c:numCache>
                      <c:formatCode>#,##0_);\(#,##0\)</c:formatCode>
                      <c:ptCount val="696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  <c:pt idx="8">
                        <c:v>3250.9999999999995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A-493E-AAB0-7630A20C3FBE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Premium Captured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Tracker!$A$16:$A$711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Tracker!$G$16:$G$711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  <c:pt idx="8" formatCode="0.00">
                        <c:v>18.23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A-493E-AAB0-7630A20C3FBE}"/>
                  </c:ext>
                </c:extLst>
              </c15:ser>
            </c15:filteredBarSeries>
          </c:ext>
        </c:extLst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cat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10</xdr:col>
      <xdr:colOff>762000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EF669-1C23-4810-84D8-786C37B3B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762000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9E96-3EF9-4BFC-9649-6CD80CAA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11</xdr:col>
      <xdr:colOff>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89618-1FDA-489A-BC86-59DC472B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dimension ref="A1:J33"/>
  <sheetViews>
    <sheetView tabSelected="1" zoomScale="115" zoomScaleNormal="115" workbookViewId="0">
      <selection activeCell="E21" sqref="E21"/>
    </sheetView>
  </sheetViews>
  <sheetFormatPr defaultRowHeight="15" x14ac:dyDescent="0.25"/>
  <cols>
    <col min="1" max="1" width="9.140625" style="14"/>
    <col min="2" max="2" width="15.42578125" customWidth="1"/>
    <col min="3" max="3" width="10.5703125" customWidth="1"/>
    <col min="5" max="5" width="18.5703125" bestFit="1" customWidth="1"/>
    <col min="6" max="6" width="6.140625" bestFit="1" customWidth="1"/>
    <col min="7" max="7" width="0.7109375" customWidth="1"/>
    <col min="8" max="8" width="18.5703125" bestFit="1" customWidth="1"/>
    <col min="9" max="9" width="6.140625" bestFit="1" customWidth="1"/>
    <col min="10" max="10" width="18.5703125" bestFit="1" customWidth="1"/>
  </cols>
  <sheetData>
    <row r="1" spans="2:9" x14ac:dyDescent="0.25">
      <c r="B1" s="35" t="s">
        <v>2</v>
      </c>
      <c r="C1" s="15" t="s">
        <v>38</v>
      </c>
    </row>
    <row r="2" spans="2:9" x14ac:dyDescent="0.25">
      <c r="B2" s="16">
        <v>44834</v>
      </c>
      <c r="C2" s="68">
        <v>1339</v>
      </c>
    </row>
    <row r="3" spans="2:9" ht="15.75" thickBot="1" x14ac:dyDescent="0.3">
      <c r="E3" s="14"/>
    </row>
    <row r="4" spans="2:9" ht="15.75" thickBot="1" x14ac:dyDescent="0.3">
      <c r="B4" s="9" t="s">
        <v>10</v>
      </c>
      <c r="C4" s="10" t="s">
        <v>6</v>
      </c>
      <c r="E4" s="9" t="s">
        <v>115</v>
      </c>
      <c r="F4" s="91">
        <f>SUM(C31:C33)</f>
        <v>0</v>
      </c>
    </row>
    <row r="5" spans="2:9" ht="15.75" thickBot="1" x14ac:dyDescent="0.3">
      <c r="B5" s="1" t="s">
        <v>3</v>
      </c>
      <c r="C5" s="11">
        <v>3687.01</v>
      </c>
    </row>
    <row r="6" spans="2:9" ht="15.75" thickBot="1" x14ac:dyDescent="0.3">
      <c r="B6" s="2" t="s">
        <v>4</v>
      </c>
      <c r="C6" s="12">
        <v>3640.71</v>
      </c>
      <c r="E6" s="9" t="s">
        <v>110</v>
      </c>
      <c r="F6" s="92"/>
      <c r="G6" s="93"/>
      <c r="H6" s="92" t="s">
        <v>111</v>
      </c>
      <c r="I6" s="10"/>
    </row>
    <row r="7" spans="2:9" x14ac:dyDescent="0.25">
      <c r="B7" s="1" t="s">
        <v>0</v>
      </c>
      <c r="C7" s="11">
        <v>3633.48</v>
      </c>
      <c r="E7" s="2" t="s">
        <v>106</v>
      </c>
      <c r="F7" s="85">
        <f>MAX(F9:F10)</f>
        <v>3675</v>
      </c>
      <c r="G7" s="86"/>
      <c r="H7" s="14" t="s">
        <v>106</v>
      </c>
      <c r="I7" s="83">
        <f>MIN(I9:I10)</f>
        <v>3580</v>
      </c>
    </row>
    <row r="8" spans="2:9" ht="15.75" thickBot="1" x14ac:dyDescent="0.3">
      <c r="B8" s="2" t="s">
        <v>1</v>
      </c>
      <c r="C8" s="12"/>
      <c r="E8" s="2"/>
      <c r="F8" s="14"/>
      <c r="G8" s="87"/>
      <c r="H8" s="14"/>
      <c r="I8" s="32"/>
    </row>
    <row r="9" spans="2:9" ht="15.75" thickBot="1" x14ac:dyDescent="0.3">
      <c r="B9" s="6" t="s">
        <v>5</v>
      </c>
      <c r="C9" s="13">
        <v>0.28199999999999997</v>
      </c>
      <c r="E9" s="2" t="s">
        <v>107</v>
      </c>
      <c r="F9" s="85">
        <f>MROUND(C7+C12, 5)</f>
        <v>3675</v>
      </c>
      <c r="G9" s="86"/>
      <c r="H9" s="14" t="s">
        <v>107</v>
      </c>
      <c r="I9" s="83">
        <f>C7-C12</f>
        <v>3589.7819221882778</v>
      </c>
    </row>
    <row r="10" spans="2:9" ht="15.75" thickBot="1" x14ac:dyDescent="0.3">
      <c r="E10" s="4" t="s">
        <v>108</v>
      </c>
      <c r="F10" s="88">
        <f>MROUND(C13+C12*0.9, 5)</f>
        <v>3660</v>
      </c>
      <c r="G10" s="89"/>
      <c r="H10" s="90" t="s">
        <v>108</v>
      </c>
      <c r="I10" s="84">
        <f>MROUND(C13-C12*0.9, 5)</f>
        <v>3580</v>
      </c>
    </row>
    <row r="11" spans="2:9" x14ac:dyDescent="0.25">
      <c r="B11" s="7" t="s">
        <v>109</v>
      </c>
      <c r="C11" s="8"/>
    </row>
    <row r="12" spans="2:9" x14ac:dyDescent="0.25">
      <c r="B12" s="2" t="s">
        <v>9</v>
      </c>
      <c r="C12" s="3">
        <f>$C$7*C$9*SQRT((11/24)/252)</f>
        <v>43.698077811722364</v>
      </c>
    </row>
    <row r="13" spans="2:9" ht="15.75" thickBot="1" x14ac:dyDescent="0.3">
      <c r="B13" s="4" t="s">
        <v>99</v>
      </c>
      <c r="C13" s="5">
        <f>C25*0.65+C26*0.35</f>
        <v>3618.3890153948123</v>
      </c>
    </row>
    <row r="14" spans="2:9" ht="15.75" thickBot="1" x14ac:dyDescent="0.3"/>
    <row r="15" spans="2:9" x14ac:dyDescent="0.25">
      <c r="B15" s="7" t="s">
        <v>74</v>
      </c>
      <c r="C15" s="8"/>
    </row>
    <row r="16" spans="2:9" x14ac:dyDescent="0.25">
      <c r="B16" s="2" t="s">
        <v>9</v>
      </c>
      <c r="C16" s="3">
        <f>C6*C$9*SQRT((24/24)/252)</f>
        <v>64.674774716882908</v>
      </c>
    </row>
    <row r="17" spans="2:3" x14ac:dyDescent="0.25">
      <c r="B17" s="2" t="s">
        <v>7</v>
      </c>
      <c r="C17" s="3">
        <f>C6+C16</f>
        <v>3705.3847747168829</v>
      </c>
    </row>
    <row r="18" spans="2:3" ht="15.75" thickBot="1" x14ac:dyDescent="0.3">
      <c r="B18" s="4" t="s">
        <v>8</v>
      </c>
      <c r="C18" s="5">
        <f>C6-C16</f>
        <v>3576.0352252831171</v>
      </c>
    </row>
    <row r="24" spans="2:3" x14ac:dyDescent="0.25">
      <c r="B24" s="94" t="s">
        <v>96</v>
      </c>
      <c r="C24" s="95">
        <f>SLOPE(INDEX(Tracker!C:C,COUNTA(Tracker!C:C)-20):INDEX(Tracker!C:C,COUNTA(Tracker!C:C)-1),  INDEX(Tracker!A:A,COUNTA(Tracker!A:A)-20):INDEX(Tracker!A:A,COUNTA(Tracker!A:A)-1))</f>
        <v>-13.4818008204838</v>
      </c>
    </row>
    <row r="25" spans="2:3" x14ac:dyDescent="0.25">
      <c r="B25" s="94" t="s">
        <v>97</v>
      </c>
      <c r="C25" s="96">
        <f>$C$7+C24*0.76</f>
        <v>3623.2338313764321</v>
      </c>
    </row>
    <row r="26" spans="2:3" x14ac:dyDescent="0.25">
      <c r="B26" s="94" t="s">
        <v>114</v>
      </c>
      <c r="C26" s="96">
        <f>_xlfn.FORECAST.LINEAR(B2+0.45, INDEX(Tracker!B:B,COUNTA(Tracker!B:B)-1):INDEX(Tracker!B:B,COUNTA(Tracker!B:B)), INDEX(Tracker!A:A,COUNTA(Tracker!A:A)-1):INDEX(Tracker!A:A,COUNTA(Tracker!A:A)))</f>
        <v>3609.3915000003763</v>
      </c>
    </row>
    <row r="27" spans="2:3" x14ac:dyDescent="0.25">
      <c r="B27" s="94"/>
      <c r="C27" s="94"/>
    </row>
    <row r="28" spans="2:3" x14ac:dyDescent="0.25">
      <c r="B28" s="94" t="s">
        <v>112</v>
      </c>
      <c r="C28" s="96">
        <f>SUM(INDEX(Tracker!C:F,COUNTA(Tracker!C:C)-4,4):INDEX(Tracker!C:F,COUNTA(Tracker!C:C)-1,4))</f>
        <v>3</v>
      </c>
    </row>
    <row r="29" spans="2:3" x14ac:dyDescent="0.25">
      <c r="B29" s="94" t="s">
        <v>113</v>
      </c>
      <c r="C29" s="96">
        <f>SUM(INDEX(Tracker!C:F,COUNTA(Tracker!C:C)-3,4):INDEX(Tracker!C:F,COUNTA(Tracker!C:C)-1,4))</f>
        <v>3</v>
      </c>
    </row>
    <row r="30" spans="2:3" x14ac:dyDescent="0.25">
      <c r="B30" s="94"/>
      <c r="C30" s="94"/>
    </row>
    <row r="31" spans="2:3" x14ac:dyDescent="0.25">
      <c r="B31" s="94" t="s">
        <v>102</v>
      </c>
      <c r="C31" s="94">
        <f>IF(C29=3, 0, 1)</f>
        <v>0</v>
      </c>
    </row>
    <row r="32" spans="2:3" x14ac:dyDescent="0.25">
      <c r="B32" s="94" t="s">
        <v>103</v>
      </c>
      <c r="C32" s="94">
        <f>IF(C29&gt;=2, 0, 1)</f>
        <v>0</v>
      </c>
    </row>
    <row r="33" spans="2:3" x14ac:dyDescent="0.25">
      <c r="B33" s="94" t="s">
        <v>104</v>
      </c>
      <c r="C33" s="94">
        <f>IF(C28&gt;=3, 0, 1)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A24-2033-402A-BBD4-215D07AF7C50}">
  <dimension ref="B1:N27"/>
  <sheetViews>
    <sheetView zoomScaleNormal="100" workbookViewId="0">
      <selection activeCell="H5" sqref="H5"/>
    </sheetView>
  </sheetViews>
  <sheetFormatPr defaultRowHeight="15" x14ac:dyDescent="0.25"/>
  <cols>
    <col min="1" max="1" width="9.140625" style="14"/>
    <col min="2" max="2" width="16.28515625" style="14" bestFit="1" customWidth="1"/>
    <col min="3" max="3" width="11.28515625" style="14" customWidth="1"/>
    <col min="4" max="4" width="9.140625" style="14"/>
    <col min="5" max="5" width="23" style="14" bestFit="1" customWidth="1"/>
    <col min="6" max="6" width="6.85546875" style="38" customWidth="1"/>
    <col min="7" max="7" width="7" style="38" bestFit="1" customWidth="1"/>
    <col min="8" max="8" width="9.5703125" style="14" bestFit="1" customWidth="1"/>
    <col min="9" max="9" width="9.140625" style="14"/>
    <col min="10" max="10" width="26.28515625" style="14" bestFit="1" customWidth="1"/>
    <col min="11" max="12" width="10.85546875" style="14" customWidth="1"/>
    <col min="13" max="16384" width="9.140625" style="14"/>
  </cols>
  <sheetData>
    <row r="1" spans="2:14" x14ac:dyDescent="0.25">
      <c r="C1" s="45"/>
      <c r="F1" s="14"/>
      <c r="G1" s="14"/>
    </row>
    <row r="2" spans="2:14" x14ac:dyDescent="0.25">
      <c r="B2" s="18" t="s">
        <v>39</v>
      </c>
      <c r="C2" s="14">
        <v>2022</v>
      </c>
      <c r="F2" s="54" t="s">
        <v>56</v>
      </c>
      <c r="G2" s="54" t="s">
        <v>58</v>
      </c>
      <c r="H2" s="41" t="s">
        <v>57</v>
      </c>
      <c r="I2" s="18"/>
      <c r="J2" s="18"/>
      <c r="K2" s="40" t="s">
        <v>41</v>
      </c>
      <c r="L2" s="41" t="s">
        <v>6</v>
      </c>
      <c r="M2" s="18"/>
      <c r="N2" s="18"/>
    </row>
    <row r="3" spans="2:14" x14ac:dyDescent="0.25">
      <c r="B3" s="18" t="s">
        <v>40</v>
      </c>
      <c r="C3" s="45">
        <v>44824</v>
      </c>
      <c r="E3" s="18" t="s">
        <v>53</v>
      </c>
      <c r="F3" s="48">
        <f>COUNTA(Tracker!J:J)-1</f>
        <v>9</v>
      </c>
      <c r="G3" s="50" t="s">
        <v>11</v>
      </c>
      <c r="H3" s="42">
        <f>C7/F3</f>
        <v>158.66666666666663</v>
      </c>
      <c r="J3" s="18" t="s">
        <v>59</v>
      </c>
      <c r="K3" s="38">
        <f>2*1.25%</f>
        <v>2.5000000000000001E-2</v>
      </c>
      <c r="L3" s="42">
        <f>K3*C5</f>
        <v>592.0412500000001</v>
      </c>
      <c r="M3" s="47"/>
    </row>
    <row r="4" spans="2:14" x14ac:dyDescent="0.25">
      <c r="B4" s="18" t="s">
        <v>43</v>
      </c>
      <c r="C4" s="42">
        <v>23681.65</v>
      </c>
      <c r="E4" s="18" t="s">
        <v>54</v>
      </c>
      <c r="F4" s="48">
        <f>COUNTIF(Tracker!I:I, "&gt;0")</f>
        <v>6</v>
      </c>
      <c r="G4" s="51">
        <f>F4/F3</f>
        <v>0.66666666666666663</v>
      </c>
      <c r="H4" s="42">
        <f>(SUMIF(Tracker!G:G, "&gt;0", Tracker!G:G)-SUMIF(Tracker!G24,"&gt;0", Tracker!G24))/F4*100</f>
        <v>742.33333333333326</v>
      </c>
      <c r="J4" s="18" t="s">
        <v>60</v>
      </c>
      <c r="K4" s="38">
        <f>-3.75%</f>
        <v>-3.7499999999999999E-2</v>
      </c>
      <c r="L4" s="42">
        <f>K4*C5</f>
        <v>-888.06187499999999</v>
      </c>
    </row>
    <row r="5" spans="2:14" x14ac:dyDescent="0.25">
      <c r="B5" s="18" t="s">
        <v>42</v>
      </c>
      <c r="C5" s="42">
        <v>23681.65</v>
      </c>
      <c r="E5" s="18" t="s">
        <v>55</v>
      </c>
      <c r="F5" s="48">
        <f>COUNTIF(Tracker!I:I, "&lt;0")</f>
        <v>3</v>
      </c>
      <c r="G5" s="51">
        <f>F5/F3</f>
        <v>0.33333333333333331</v>
      </c>
      <c r="H5" s="42">
        <f>IFERROR((SUMIF(Tracker!G:G, "&lt;0", Tracker!G:G)-SUMIF(Tracker!G24,"&lt;0", Tracker!G24))/F5*100, 0)</f>
        <v>-1008.6666666666667</v>
      </c>
      <c r="J5" s="18" t="s">
        <v>61</v>
      </c>
      <c r="K5" s="38">
        <f>+K3+K4</f>
        <v>-1.2499999999999997E-2</v>
      </c>
      <c r="L5" s="42">
        <f>+L3+L4</f>
        <v>-296.02062499999988</v>
      </c>
      <c r="M5" s="47"/>
    </row>
    <row r="6" spans="2:14" x14ac:dyDescent="0.25">
      <c r="B6" s="18"/>
      <c r="E6" s="18"/>
    </row>
    <row r="7" spans="2:14" x14ac:dyDescent="0.25">
      <c r="B7" s="18" t="s">
        <v>22</v>
      </c>
      <c r="C7" s="42">
        <f>INDEX(Tracker!J:J, COUNTA(Tracker!J:J)+13)</f>
        <v>1427.9999999999995</v>
      </c>
      <c r="E7" s="18" t="s">
        <v>44</v>
      </c>
      <c r="F7" s="46">
        <f>C7/C4</f>
        <v>6.0299852417377987E-2</v>
      </c>
      <c r="G7" s="46"/>
      <c r="J7" s="18" t="s">
        <v>48</v>
      </c>
      <c r="K7" s="52">
        <v>20</v>
      </c>
      <c r="L7" s="52">
        <v>25</v>
      </c>
    </row>
    <row r="8" spans="2:14" x14ac:dyDescent="0.25">
      <c r="B8" s="18" t="s">
        <v>46</v>
      </c>
      <c r="C8" s="42">
        <f>INDEX(Tracker!K:K, COUNTA(Tracker!K:K)+13)</f>
        <v>11003</v>
      </c>
      <c r="E8" s="18" t="s">
        <v>49</v>
      </c>
      <c r="F8" s="46">
        <f>(1+F7)^(365/(Indicator!B2-Dashboard!C3+1))-1</f>
        <v>5.9786357641098817</v>
      </c>
      <c r="G8" s="46"/>
      <c r="J8" s="18" t="s">
        <v>52</v>
      </c>
      <c r="K8" s="52">
        <f>FLOOR(MROUND(C4/1000, 5)/20, 1)</f>
        <v>1</v>
      </c>
      <c r="L8" s="49">
        <f>FLOOR(MROUND(C4/1000, 5)/25, 1)</f>
        <v>1</v>
      </c>
    </row>
    <row r="9" spans="2:14" x14ac:dyDescent="0.25">
      <c r="B9" s="18" t="s">
        <v>45</v>
      </c>
      <c r="C9" s="46">
        <f>C7/C8</f>
        <v>0.1297827865127692</v>
      </c>
      <c r="E9" s="18" t="s">
        <v>50</v>
      </c>
      <c r="F9" s="46">
        <f>(1+F7)^((44927-C3)/(Indicator!B2-Dashboard!C3+1))-1</f>
        <v>0.73023506409867101</v>
      </c>
      <c r="G9" s="46"/>
      <c r="J9" s="18" t="s">
        <v>51</v>
      </c>
      <c r="K9" s="53">
        <f>K7*K8*100*2</f>
        <v>4000</v>
      </c>
      <c r="L9" s="53">
        <f>L7*L8*100*2</f>
        <v>5000</v>
      </c>
    </row>
    <row r="24" spans="11:12" x14ac:dyDescent="0.25">
      <c r="K24" s="39"/>
      <c r="L24" s="39"/>
    </row>
    <row r="25" spans="11:12" x14ac:dyDescent="0.25">
      <c r="K25" s="39"/>
      <c r="L25" s="39"/>
    </row>
    <row r="26" spans="11:12" x14ac:dyDescent="0.25">
      <c r="K26" s="39"/>
      <c r="L26" s="39"/>
    </row>
    <row r="27" spans="11:12" x14ac:dyDescent="0.25">
      <c r="K27" s="39"/>
      <c r="L27" s="3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2D01-CC02-4066-B9D6-9DFF5A0A89C9}">
  <dimension ref="A1:L24"/>
  <sheetViews>
    <sheetView workbookViewId="0">
      <pane ySplit="1" topLeftCell="A2" activePane="bottomLeft" state="frozen"/>
      <selection pane="bottomLeft" activeCell="F24" sqref="F24"/>
    </sheetView>
  </sheetViews>
  <sheetFormatPr defaultRowHeight="15" x14ac:dyDescent="0.25"/>
  <cols>
    <col min="1" max="1" width="9.7109375" style="31" bestFit="1" customWidth="1"/>
    <col min="2" max="4" width="8.140625" style="22" bestFit="1" customWidth="1"/>
    <col min="5" max="5" width="6.140625" style="21" bestFit="1" customWidth="1"/>
    <col min="6" max="6" width="5.85546875" style="81" bestFit="1" customWidth="1"/>
    <col min="7" max="7" width="7.5703125" style="14" bestFit="1" customWidth="1"/>
    <col min="8" max="8" width="7.5703125" style="32" bestFit="1" customWidth="1"/>
    <col min="9" max="9" width="10" style="14" bestFit="1" customWidth="1"/>
    <col min="10" max="10" width="12.140625" style="36" bestFit="1" customWidth="1"/>
    <col min="11" max="11" width="11.85546875" style="69" bestFit="1" customWidth="1"/>
    <col min="12" max="12" width="55.140625" style="14" bestFit="1" customWidth="1"/>
    <col min="13" max="16384" width="9.140625" style="14"/>
  </cols>
  <sheetData>
    <row r="1" spans="1:12" x14ac:dyDescent="0.25">
      <c r="A1" s="33" t="s">
        <v>13</v>
      </c>
      <c r="B1" s="23" t="s">
        <v>12</v>
      </c>
      <c r="C1" s="23" t="s">
        <v>20</v>
      </c>
      <c r="D1" s="23" t="s">
        <v>98</v>
      </c>
      <c r="E1" s="24" t="s">
        <v>21</v>
      </c>
      <c r="F1" s="80" t="s">
        <v>101</v>
      </c>
      <c r="G1" s="25" t="s">
        <v>100</v>
      </c>
      <c r="H1" s="34" t="s">
        <v>36</v>
      </c>
      <c r="I1" s="25" t="s">
        <v>26</v>
      </c>
      <c r="J1" s="37" t="s">
        <v>37</v>
      </c>
      <c r="K1" s="70" t="s">
        <v>47</v>
      </c>
      <c r="L1" s="44" t="s">
        <v>27</v>
      </c>
    </row>
    <row r="2" spans="1:12" x14ac:dyDescent="0.25">
      <c r="A2" s="31">
        <v>44803</v>
      </c>
      <c r="B2" s="22">
        <v>4041.25</v>
      </c>
      <c r="C2" s="22">
        <v>3986.16</v>
      </c>
    </row>
    <row r="3" spans="1:12" x14ac:dyDescent="0.25">
      <c r="A3" s="31">
        <v>44804</v>
      </c>
      <c r="B3" s="22">
        <v>4000.67</v>
      </c>
      <c r="C3" s="22">
        <v>3955</v>
      </c>
    </row>
    <row r="4" spans="1:12" x14ac:dyDescent="0.25">
      <c r="A4" s="31">
        <v>44805</v>
      </c>
      <c r="B4" s="22">
        <v>3936.73</v>
      </c>
      <c r="C4" s="22">
        <v>3966.85</v>
      </c>
    </row>
    <row r="5" spans="1:12" x14ac:dyDescent="0.25">
      <c r="A5" s="31">
        <v>44806</v>
      </c>
      <c r="B5" s="22">
        <v>3994.66</v>
      </c>
      <c r="C5" s="22">
        <v>3924.26</v>
      </c>
    </row>
    <row r="6" spans="1:12" x14ac:dyDescent="0.25">
      <c r="A6" s="31">
        <v>44810</v>
      </c>
      <c r="B6" s="22">
        <v>3930.89</v>
      </c>
      <c r="C6" s="22">
        <v>3908.19</v>
      </c>
    </row>
    <row r="7" spans="1:12" x14ac:dyDescent="0.25">
      <c r="A7" s="31">
        <v>44811</v>
      </c>
      <c r="B7" s="22">
        <v>3909.43</v>
      </c>
      <c r="C7" s="22">
        <v>3979.87</v>
      </c>
    </row>
    <row r="8" spans="1:12" x14ac:dyDescent="0.25">
      <c r="A8" s="31">
        <v>44812</v>
      </c>
      <c r="B8" s="22">
        <v>3959.94</v>
      </c>
      <c r="C8" s="22">
        <v>4006.18</v>
      </c>
    </row>
    <row r="9" spans="1:12" x14ac:dyDescent="0.25">
      <c r="A9" s="31">
        <v>44813</v>
      </c>
      <c r="B9" s="22">
        <v>4022.94</v>
      </c>
      <c r="C9" s="22">
        <v>4067.36</v>
      </c>
    </row>
    <row r="10" spans="1:12" x14ac:dyDescent="0.25">
      <c r="A10" s="31">
        <v>44816</v>
      </c>
      <c r="B10" s="22">
        <v>4083.67</v>
      </c>
      <c r="C10" s="22">
        <v>4110.41</v>
      </c>
    </row>
    <row r="11" spans="1:12" x14ac:dyDescent="0.25">
      <c r="A11" s="31">
        <v>44817</v>
      </c>
      <c r="B11" s="22">
        <v>4037.12</v>
      </c>
      <c r="C11" s="22">
        <v>3932.69</v>
      </c>
    </row>
    <row r="12" spans="1:12" x14ac:dyDescent="0.25">
      <c r="A12" s="31">
        <v>44818</v>
      </c>
      <c r="B12" s="22">
        <v>3940.73</v>
      </c>
      <c r="C12" s="22">
        <v>3946.01</v>
      </c>
    </row>
    <row r="13" spans="1:12" x14ac:dyDescent="0.25">
      <c r="A13" s="31">
        <v>44819</v>
      </c>
      <c r="B13" s="22">
        <v>3932.41</v>
      </c>
      <c r="C13" s="22">
        <v>3901.35</v>
      </c>
    </row>
    <row r="14" spans="1:12" x14ac:dyDescent="0.25">
      <c r="A14" s="31">
        <v>44820</v>
      </c>
      <c r="B14" s="22">
        <v>3880.95</v>
      </c>
      <c r="C14" s="22">
        <v>3873.33</v>
      </c>
    </row>
    <row r="15" spans="1:12" x14ac:dyDescent="0.25">
      <c r="A15" s="31">
        <v>44823</v>
      </c>
      <c r="B15" s="22">
        <v>3849.91</v>
      </c>
      <c r="C15" s="22">
        <v>3899.89</v>
      </c>
    </row>
    <row r="16" spans="1:12" x14ac:dyDescent="0.25">
      <c r="A16" s="31">
        <v>44824</v>
      </c>
      <c r="B16" s="22">
        <v>3876.23</v>
      </c>
      <c r="C16" s="22">
        <v>3856.04</v>
      </c>
      <c r="D16" s="22">
        <v>3876.6161446932838</v>
      </c>
      <c r="E16" s="21">
        <v>0.24099999999999999</v>
      </c>
      <c r="F16" s="81">
        <f>IF(ABS(D16-C16)&gt;=SQRT((7/24)/252)*E16*B16,       1, 0)</f>
        <v>0</v>
      </c>
      <c r="G16" s="14">
        <v>7.2899999999999991</v>
      </c>
      <c r="H16" s="32">
        <v>7.2899999999999991</v>
      </c>
      <c r="I16" s="17">
        <f t="shared" ref="I16:I21" si="0">G16/H16</f>
        <v>1</v>
      </c>
      <c r="J16" s="36">
        <f>G16*100</f>
        <v>728.99999999999989</v>
      </c>
      <c r="K16" s="69">
        <f>H16*100</f>
        <v>728.99999999999989</v>
      </c>
    </row>
    <row r="17" spans="1:12" x14ac:dyDescent="0.25">
      <c r="A17" s="31">
        <v>44825</v>
      </c>
      <c r="B17" s="22">
        <v>3871.4</v>
      </c>
      <c r="C17" s="22">
        <v>3789.93</v>
      </c>
      <c r="D17" s="22">
        <v>3866.8762955705743</v>
      </c>
      <c r="E17" s="21">
        <v>0.249</v>
      </c>
      <c r="F17" s="81">
        <f t="shared" ref="F17:F24" si="1">IF(ABS(D17-C17)&gt;=SQRT((7/24)/252)*E17*B17,       1, 0)</f>
        <v>1</v>
      </c>
      <c r="G17" s="14">
        <v>3.84</v>
      </c>
      <c r="H17" s="32">
        <v>5.17</v>
      </c>
      <c r="I17" s="17">
        <f t="shared" si="0"/>
        <v>0.74274661508704065</v>
      </c>
      <c r="J17" s="36">
        <f t="shared" ref="J17:J22" si="2">J16+G17*100</f>
        <v>1113</v>
      </c>
      <c r="K17" s="69">
        <f t="shared" ref="K17:K22" si="3">H17*100+K16</f>
        <v>1246</v>
      </c>
      <c r="L17" s="14" t="s">
        <v>28</v>
      </c>
    </row>
    <row r="18" spans="1:12" x14ac:dyDescent="0.25">
      <c r="A18" s="31">
        <v>44826</v>
      </c>
      <c r="B18" s="22">
        <v>3782.36</v>
      </c>
      <c r="C18" s="22">
        <v>3757.99</v>
      </c>
      <c r="D18" s="22">
        <v>3764.3371002659705</v>
      </c>
      <c r="E18" s="21">
        <v>0.25900000000000001</v>
      </c>
      <c r="F18" s="81">
        <f t="shared" si="1"/>
        <v>0</v>
      </c>
      <c r="G18" s="14">
        <v>9.7100000000000009</v>
      </c>
      <c r="H18" s="32">
        <v>9.7100000000000009</v>
      </c>
      <c r="I18" s="17">
        <f t="shared" si="0"/>
        <v>1</v>
      </c>
      <c r="J18" s="36">
        <f t="shared" si="2"/>
        <v>2084</v>
      </c>
      <c r="K18" s="69">
        <f t="shared" si="3"/>
        <v>2217</v>
      </c>
    </row>
    <row r="19" spans="1:12" x14ac:dyDescent="0.25">
      <c r="A19" s="31">
        <v>44827</v>
      </c>
      <c r="B19" s="22">
        <v>3727.14</v>
      </c>
      <c r="C19" s="22">
        <v>3693.49</v>
      </c>
      <c r="D19" s="22">
        <v>3714.2677975626962</v>
      </c>
      <c r="E19" s="21">
        <v>0.26400000000000001</v>
      </c>
      <c r="F19" s="81">
        <f t="shared" si="1"/>
        <v>0</v>
      </c>
      <c r="G19" s="14">
        <v>-19.870000000000005</v>
      </c>
      <c r="H19" s="32">
        <v>12.66</v>
      </c>
      <c r="I19" s="17">
        <f t="shared" si="0"/>
        <v>-1.5695102685624016</v>
      </c>
      <c r="J19" s="36">
        <f t="shared" si="2"/>
        <v>96.999999999999545</v>
      </c>
      <c r="K19" s="69">
        <f t="shared" si="3"/>
        <v>3483</v>
      </c>
      <c r="L19" s="14" t="s">
        <v>69</v>
      </c>
    </row>
    <row r="20" spans="1:12" x14ac:dyDescent="0.25">
      <c r="A20" s="31">
        <v>44830</v>
      </c>
      <c r="B20" s="22">
        <v>3682.72</v>
      </c>
      <c r="C20" s="22">
        <v>3655.52</v>
      </c>
      <c r="D20" s="22">
        <v>3676.2315448980103</v>
      </c>
      <c r="E20" s="21">
        <v>0.27800000000000002</v>
      </c>
      <c r="F20" s="81">
        <f t="shared" si="1"/>
        <v>0</v>
      </c>
      <c r="G20" s="14">
        <v>13.28</v>
      </c>
      <c r="H20" s="32">
        <v>13.28</v>
      </c>
      <c r="I20" s="17">
        <f t="shared" si="0"/>
        <v>1</v>
      </c>
      <c r="J20" s="36">
        <f t="shared" si="2"/>
        <v>1424.9999999999995</v>
      </c>
      <c r="K20" s="69">
        <f t="shared" si="3"/>
        <v>4811</v>
      </c>
    </row>
    <row r="21" spans="1:12" x14ac:dyDescent="0.25">
      <c r="A21" s="31">
        <v>44831</v>
      </c>
      <c r="B21" s="22">
        <v>3686.44</v>
      </c>
      <c r="C21" s="22">
        <v>3647.29</v>
      </c>
      <c r="D21" s="22">
        <v>3682.1677437929629</v>
      </c>
      <c r="E21" s="21">
        <v>0.27400000000000002</v>
      </c>
      <c r="F21" s="81">
        <f t="shared" si="1"/>
        <v>1</v>
      </c>
      <c r="G21" s="14">
        <v>-5.58</v>
      </c>
      <c r="H21" s="32">
        <v>22.619999999999997</v>
      </c>
      <c r="I21" s="17">
        <f t="shared" si="0"/>
        <v>-0.24668435013262602</v>
      </c>
      <c r="J21" s="36">
        <f t="shared" si="2"/>
        <v>866.99999999999955</v>
      </c>
      <c r="K21" s="69">
        <f t="shared" si="3"/>
        <v>7073</v>
      </c>
      <c r="L21" s="14" t="s">
        <v>80</v>
      </c>
    </row>
    <row r="22" spans="1:12" x14ac:dyDescent="0.25">
      <c r="A22" s="31">
        <v>44832</v>
      </c>
      <c r="B22" s="22">
        <v>3651.94</v>
      </c>
      <c r="C22" s="22">
        <v>3719.04</v>
      </c>
      <c r="D22" s="22">
        <v>3641.0415148431239</v>
      </c>
      <c r="E22" s="21">
        <v>0.29499999999999998</v>
      </c>
      <c r="F22" s="81">
        <f t="shared" si="1"/>
        <v>1</v>
      </c>
      <c r="G22" s="14">
        <v>-4.8100000000000005</v>
      </c>
      <c r="H22" s="32">
        <v>21.65</v>
      </c>
      <c r="I22" s="17">
        <f t="shared" ref="I22" si="4">G22/H22</f>
        <v>-0.22217090069284068</v>
      </c>
      <c r="J22" s="36">
        <f t="shared" si="2"/>
        <v>385.99999999999949</v>
      </c>
      <c r="K22" s="69">
        <f t="shared" si="3"/>
        <v>9238</v>
      </c>
      <c r="L22" s="39" t="s">
        <v>105</v>
      </c>
    </row>
    <row r="23" spans="1:12" x14ac:dyDescent="0.25">
      <c r="A23" s="31">
        <v>44833</v>
      </c>
      <c r="B23" s="22">
        <v>3687.01</v>
      </c>
      <c r="C23" s="22">
        <v>3640.71</v>
      </c>
      <c r="D23" s="22">
        <v>3686.7087244033005</v>
      </c>
      <c r="E23" s="21">
        <v>0.28199999999999997</v>
      </c>
      <c r="F23" s="81">
        <f t="shared" si="1"/>
        <v>1</v>
      </c>
      <c r="G23" s="14">
        <v>10.42</v>
      </c>
      <c r="H23" s="32">
        <v>17.650000000000002</v>
      </c>
      <c r="I23" s="17">
        <f t="shared" ref="I23" si="5">G23/H23</f>
        <v>0.59036827195467412</v>
      </c>
      <c r="J23" s="36">
        <f t="shared" ref="J23" si="6">J22+G23*100</f>
        <v>1427.9999999999995</v>
      </c>
      <c r="K23" s="69">
        <f t="shared" ref="K23" si="7">H23*100+K22</f>
        <v>11003</v>
      </c>
    </row>
    <row r="24" spans="1:12" s="79" customFormat="1" x14ac:dyDescent="0.25">
      <c r="A24" s="71">
        <f>Indicator!B2</f>
        <v>44834</v>
      </c>
      <c r="B24" s="72">
        <f>Indicator!$C$7</f>
        <v>3633.48</v>
      </c>
      <c r="C24" s="72">
        <f>Indicator!$C$8</f>
        <v>0</v>
      </c>
      <c r="D24" s="72">
        <f>Indicator!C13</f>
        <v>3618.3890153948123</v>
      </c>
      <c r="E24" s="73">
        <f>Indicator!$C$9</f>
        <v>0.28199999999999997</v>
      </c>
      <c r="F24" s="82">
        <f t="shared" si="1"/>
        <v>1</v>
      </c>
      <c r="G24" s="74">
        <f>SUMIF(Trades!A:A,Tracker!A24,Trades!H:H)</f>
        <v>18.23</v>
      </c>
      <c r="H24" s="75">
        <f>SUMIFS(Trades!H:H,  Trades!A:A,Tracker!A24,  Trades!C:C, "STO")</f>
        <v>18.23</v>
      </c>
      <c r="I24" s="76">
        <f t="shared" ref="I24" si="8">G24/H24</f>
        <v>1</v>
      </c>
      <c r="J24" s="77">
        <f>J23+G24*100</f>
        <v>3250.9999999999995</v>
      </c>
      <c r="K24" s="78">
        <f>H24*100+K23</f>
        <v>12826</v>
      </c>
    </row>
  </sheetData>
  <sortState xmlns:xlrd2="http://schemas.microsoft.com/office/spreadsheetml/2017/richdata2" ref="A2:C15">
    <sortCondition ref="A2:A15"/>
  </sortState>
  <pageMargins left="0.7" right="0.7" top="0.75" bottom="0.75" header="0.3" footer="0.3"/>
  <pageSetup orientation="portrait" horizontalDpi="1200" verticalDpi="1200" r:id="rId1"/>
  <ignoredErrors>
    <ignoredError sqref="F16:F24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dimension ref="A1:M33"/>
  <sheetViews>
    <sheetView workbookViewId="0">
      <pane ySplit="1" topLeftCell="A2" activePane="bottomLeft" state="frozen"/>
      <selection pane="bottomLeft" activeCell="D37" sqref="D37"/>
    </sheetView>
  </sheetViews>
  <sheetFormatPr defaultRowHeight="15" x14ac:dyDescent="0.25"/>
  <cols>
    <col min="1" max="1" width="9.7109375" style="26" bestFit="1" customWidth="1"/>
    <col min="2" max="2" width="9.7109375" style="27" customWidth="1"/>
    <col min="3" max="3" width="6.85546875" style="19" bestFit="1" customWidth="1"/>
    <col min="4" max="4" width="31.5703125" style="14" bestFit="1" customWidth="1"/>
    <col min="5" max="5" width="6.28515625" style="65" bestFit="1" customWidth="1"/>
    <col min="6" max="6" width="4.140625" style="19" bestFit="1" customWidth="1"/>
    <col min="7" max="7" width="7.140625" style="28" customWidth="1"/>
    <col min="8" max="8" width="7.140625" style="29" customWidth="1"/>
    <col min="9" max="9" width="11.140625" style="30" bestFit="1" customWidth="1"/>
    <col min="10" max="10" width="14.85546875" style="43" bestFit="1" customWidth="1"/>
    <col min="11" max="11" width="12.5703125" style="30" bestFit="1" customWidth="1"/>
    <col min="12" max="12" width="16.28515625" style="43" bestFit="1" customWidth="1"/>
    <col min="13" max="13" width="10.85546875" bestFit="1" customWidth="1"/>
  </cols>
  <sheetData>
    <row r="1" spans="1:13" s="62" customFormat="1" x14ac:dyDescent="0.25">
      <c r="A1" s="55" t="s">
        <v>13</v>
      </c>
      <c r="B1" s="56" t="s">
        <v>16</v>
      </c>
      <c r="C1" s="20" t="s">
        <v>14</v>
      </c>
      <c r="D1" s="57" t="s">
        <v>15</v>
      </c>
      <c r="E1" s="64" t="s">
        <v>17</v>
      </c>
      <c r="F1" s="20" t="s">
        <v>18</v>
      </c>
      <c r="G1" s="58" t="s">
        <v>19</v>
      </c>
      <c r="H1" s="59" t="s">
        <v>22</v>
      </c>
      <c r="I1" s="60" t="s">
        <v>31</v>
      </c>
      <c r="J1" s="61" t="s">
        <v>30</v>
      </c>
      <c r="K1" s="60" t="s">
        <v>34</v>
      </c>
      <c r="L1" s="61" t="s">
        <v>35</v>
      </c>
      <c r="M1" s="62" t="s">
        <v>86</v>
      </c>
    </row>
    <row r="2" spans="1:13" x14ac:dyDescent="0.25">
      <c r="A2" s="26">
        <v>44824</v>
      </c>
      <c r="B2" s="27">
        <v>949</v>
      </c>
      <c r="C2" s="19" t="s">
        <v>23</v>
      </c>
      <c r="D2" s="14" t="s">
        <v>24</v>
      </c>
      <c r="E2" s="65">
        <v>-0.15</v>
      </c>
      <c r="F2" s="19">
        <v>1</v>
      </c>
      <c r="G2" s="28">
        <v>4.2699999999999996</v>
      </c>
      <c r="H2" s="29">
        <f t="shared" ref="H2:H9" si="0">G2*F2</f>
        <v>4.2699999999999996</v>
      </c>
      <c r="I2" s="30">
        <v>3</v>
      </c>
      <c r="J2" s="43">
        <f t="shared" ref="J2:J4" si="1">-I2*G2</f>
        <v>-12.809999999999999</v>
      </c>
    </row>
    <row r="3" spans="1:13" x14ac:dyDescent="0.25">
      <c r="A3" s="26">
        <v>44824</v>
      </c>
      <c r="B3" s="27">
        <v>950</v>
      </c>
      <c r="C3" s="19" t="s">
        <v>23</v>
      </c>
      <c r="D3" s="14" t="s">
        <v>25</v>
      </c>
      <c r="E3" s="65">
        <v>0.09</v>
      </c>
      <c r="F3" s="19">
        <v>1</v>
      </c>
      <c r="G3" s="28">
        <v>3.02</v>
      </c>
      <c r="H3" s="29">
        <f t="shared" si="0"/>
        <v>3.02</v>
      </c>
      <c r="I3" s="30">
        <v>3</v>
      </c>
      <c r="J3" s="43">
        <f t="shared" si="1"/>
        <v>-9.06</v>
      </c>
    </row>
    <row r="4" spans="1:13" x14ac:dyDescent="0.25">
      <c r="A4" s="26">
        <v>44825</v>
      </c>
      <c r="B4" s="27">
        <v>944</v>
      </c>
      <c r="C4" s="19" t="s">
        <v>23</v>
      </c>
      <c r="D4" s="14" t="s">
        <v>29</v>
      </c>
      <c r="E4" s="65">
        <v>-0.15</v>
      </c>
      <c r="F4" s="19">
        <v>1</v>
      </c>
      <c r="G4" s="28">
        <v>5.17</v>
      </c>
      <c r="H4" s="29">
        <f t="shared" si="0"/>
        <v>5.17</v>
      </c>
      <c r="I4" s="30">
        <v>2.5</v>
      </c>
      <c r="J4" s="43">
        <f t="shared" si="1"/>
        <v>-12.925000000000001</v>
      </c>
      <c r="K4" s="30">
        <v>0.75</v>
      </c>
      <c r="L4" s="43">
        <f>-G4+K4*G4</f>
        <v>-1.2925</v>
      </c>
    </row>
    <row r="5" spans="1:13" x14ac:dyDescent="0.25">
      <c r="A5" s="26">
        <v>44825</v>
      </c>
      <c r="B5" s="27">
        <v>243</v>
      </c>
      <c r="C5" s="19" t="s">
        <v>33</v>
      </c>
      <c r="D5" s="14" t="s">
        <v>32</v>
      </c>
      <c r="F5" s="19">
        <v>1</v>
      </c>
      <c r="G5" s="28">
        <v>-1.33</v>
      </c>
      <c r="H5" s="29">
        <f t="shared" si="0"/>
        <v>-1.33</v>
      </c>
    </row>
    <row r="6" spans="1:13" x14ac:dyDescent="0.25">
      <c r="A6" s="26">
        <v>44826</v>
      </c>
      <c r="B6" s="27">
        <v>937</v>
      </c>
      <c r="C6" s="19" t="s">
        <v>23</v>
      </c>
      <c r="D6" s="39" t="s">
        <v>63</v>
      </c>
      <c r="E6" s="65">
        <v>-0.16</v>
      </c>
      <c r="F6" s="19">
        <v>1</v>
      </c>
      <c r="G6" s="28">
        <v>4.97</v>
      </c>
      <c r="H6" s="29">
        <f t="shared" si="0"/>
        <v>4.97</v>
      </c>
      <c r="I6" s="30">
        <v>3</v>
      </c>
      <c r="J6" s="43">
        <f t="shared" ref="J6:J9" si="2">-I6*G6</f>
        <v>-14.91</v>
      </c>
    </row>
    <row r="7" spans="1:13" x14ac:dyDescent="0.25">
      <c r="A7" s="26">
        <v>44826</v>
      </c>
      <c r="B7" s="27">
        <v>946</v>
      </c>
      <c r="C7" s="19" t="s">
        <v>23</v>
      </c>
      <c r="D7" s="39" t="s">
        <v>62</v>
      </c>
      <c r="E7" s="65">
        <v>0.13</v>
      </c>
      <c r="F7" s="19">
        <v>2</v>
      </c>
      <c r="G7" s="28">
        <v>2.37</v>
      </c>
      <c r="H7" s="29">
        <f t="shared" si="0"/>
        <v>4.74</v>
      </c>
      <c r="I7" s="30">
        <v>3</v>
      </c>
      <c r="J7" s="43">
        <f t="shared" si="2"/>
        <v>-7.11</v>
      </c>
    </row>
    <row r="8" spans="1:13" x14ac:dyDescent="0.25">
      <c r="A8" s="26">
        <v>44827</v>
      </c>
      <c r="B8" s="27">
        <v>936</v>
      </c>
      <c r="C8" s="19" t="s">
        <v>23</v>
      </c>
      <c r="D8" s="39" t="s">
        <v>64</v>
      </c>
      <c r="E8" s="65">
        <v>-0.3</v>
      </c>
      <c r="F8" s="19">
        <v>1</v>
      </c>
      <c r="G8" s="28">
        <v>6.47</v>
      </c>
      <c r="H8" s="29">
        <f t="shared" si="0"/>
        <v>6.47</v>
      </c>
      <c r="I8" s="30">
        <v>3</v>
      </c>
      <c r="J8" s="43">
        <f t="shared" si="2"/>
        <v>-19.41</v>
      </c>
    </row>
    <row r="9" spans="1:13" x14ac:dyDescent="0.25">
      <c r="A9" s="26">
        <v>44827</v>
      </c>
      <c r="B9" s="27">
        <v>949</v>
      </c>
      <c r="C9" s="19" t="s">
        <v>23</v>
      </c>
      <c r="D9" s="39" t="s">
        <v>65</v>
      </c>
      <c r="E9" s="65">
        <v>-0.19</v>
      </c>
      <c r="F9" s="19">
        <v>1</v>
      </c>
      <c r="G9" s="28">
        <v>3.97</v>
      </c>
      <c r="H9" s="29">
        <f t="shared" si="0"/>
        <v>3.97</v>
      </c>
      <c r="I9" s="30">
        <v>3</v>
      </c>
      <c r="J9" s="43">
        <f t="shared" si="2"/>
        <v>-11.91</v>
      </c>
    </row>
    <row r="10" spans="1:13" x14ac:dyDescent="0.25">
      <c r="A10" s="26">
        <v>44827</v>
      </c>
      <c r="B10" s="27">
        <v>240</v>
      </c>
      <c r="C10" s="19" t="s">
        <v>66</v>
      </c>
      <c r="D10" s="39" t="s">
        <v>67</v>
      </c>
      <c r="F10" s="19">
        <v>1</v>
      </c>
      <c r="G10" s="28">
        <v>-12.43</v>
      </c>
      <c r="H10" s="29">
        <f t="shared" ref="H10:H18" si="3">G10*F10</f>
        <v>-12.43</v>
      </c>
    </row>
    <row r="11" spans="1:13" x14ac:dyDescent="0.25">
      <c r="A11" s="26">
        <v>44827</v>
      </c>
      <c r="B11" s="27">
        <v>255</v>
      </c>
      <c r="C11" s="19" t="s">
        <v>66</v>
      </c>
      <c r="D11" s="39" t="s">
        <v>64</v>
      </c>
      <c r="F11" s="19">
        <v>1</v>
      </c>
      <c r="G11" s="28">
        <v>-20.100000000000001</v>
      </c>
      <c r="H11" s="29">
        <f t="shared" si="3"/>
        <v>-20.100000000000001</v>
      </c>
    </row>
    <row r="12" spans="1:13" x14ac:dyDescent="0.25">
      <c r="A12" s="26">
        <v>44827</v>
      </c>
      <c r="B12" s="27">
        <v>311</v>
      </c>
      <c r="C12" s="19" t="s">
        <v>23</v>
      </c>
      <c r="D12" s="39" t="s">
        <v>68</v>
      </c>
      <c r="E12" s="65">
        <v>-0.19</v>
      </c>
      <c r="F12" s="19">
        <v>1</v>
      </c>
      <c r="G12" s="28">
        <v>2.2200000000000002</v>
      </c>
      <c r="H12" s="29">
        <f t="shared" si="3"/>
        <v>2.2200000000000002</v>
      </c>
      <c r="I12" s="30">
        <v>3</v>
      </c>
      <c r="J12" s="43">
        <f>-I12*G12</f>
        <v>-6.66</v>
      </c>
    </row>
    <row r="13" spans="1:13" x14ac:dyDescent="0.25">
      <c r="A13" s="26">
        <v>44830</v>
      </c>
      <c r="B13" s="27">
        <v>942</v>
      </c>
      <c r="C13" s="19" t="s">
        <v>23</v>
      </c>
      <c r="D13" s="39" t="s">
        <v>73</v>
      </c>
      <c r="E13" s="65">
        <v>-0.15</v>
      </c>
      <c r="F13" s="19">
        <v>2</v>
      </c>
      <c r="G13" s="28">
        <v>4.2699999999999996</v>
      </c>
      <c r="H13" s="29">
        <f t="shared" si="3"/>
        <v>8.5399999999999991</v>
      </c>
      <c r="I13" s="30">
        <v>3</v>
      </c>
      <c r="J13" s="43">
        <f>-I13*G13</f>
        <v>-12.809999999999999</v>
      </c>
    </row>
    <row r="14" spans="1:13" x14ac:dyDescent="0.25">
      <c r="A14" s="26">
        <v>44830</v>
      </c>
      <c r="B14" s="27">
        <v>942</v>
      </c>
      <c r="C14" s="19" t="s">
        <v>23</v>
      </c>
      <c r="D14" s="39" t="s">
        <v>70</v>
      </c>
      <c r="E14" s="65">
        <v>0.15</v>
      </c>
      <c r="F14" s="19">
        <v>1</v>
      </c>
      <c r="G14" s="28">
        <v>3.27</v>
      </c>
      <c r="H14" s="29">
        <f t="shared" si="3"/>
        <v>3.27</v>
      </c>
      <c r="I14" s="30">
        <v>3</v>
      </c>
      <c r="J14" s="43">
        <f t="shared" ref="J14:J15" si="4">-I14*G14</f>
        <v>-9.81</v>
      </c>
    </row>
    <row r="15" spans="1:13" x14ac:dyDescent="0.25">
      <c r="A15" s="26">
        <v>44830</v>
      </c>
      <c r="B15" s="27">
        <v>1015</v>
      </c>
      <c r="C15" s="19" t="s">
        <v>23</v>
      </c>
      <c r="D15" s="39" t="s">
        <v>72</v>
      </c>
      <c r="E15" s="65">
        <v>0.11</v>
      </c>
      <c r="F15" s="19">
        <v>1</v>
      </c>
      <c r="G15" s="28">
        <v>1.47</v>
      </c>
      <c r="H15" s="29">
        <f t="shared" si="3"/>
        <v>1.47</v>
      </c>
      <c r="I15" s="30">
        <v>3</v>
      </c>
      <c r="J15" s="43">
        <f t="shared" si="4"/>
        <v>-4.41</v>
      </c>
    </row>
    <row r="16" spans="1:13" x14ac:dyDescent="0.25">
      <c r="A16" s="26">
        <v>44831</v>
      </c>
      <c r="B16" s="27">
        <v>950</v>
      </c>
      <c r="C16" s="19" t="s">
        <v>23</v>
      </c>
      <c r="D16" s="66" t="s">
        <v>75</v>
      </c>
      <c r="E16" s="65">
        <v>-0.16</v>
      </c>
      <c r="F16" s="19">
        <v>2</v>
      </c>
      <c r="G16" s="28">
        <v>3.37</v>
      </c>
      <c r="H16" s="29">
        <f t="shared" si="3"/>
        <v>6.74</v>
      </c>
      <c r="I16" s="30">
        <v>3</v>
      </c>
      <c r="J16" s="43">
        <f t="shared" ref="J16:J18" si="5">-I16*G16</f>
        <v>-10.11</v>
      </c>
    </row>
    <row r="17" spans="1:13" x14ac:dyDescent="0.25">
      <c r="A17" s="26">
        <v>44831</v>
      </c>
      <c r="B17" s="27">
        <v>940</v>
      </c>
      <c r="C17" s="19" t="s">
        <v>23</v>
      </c>
      <c r="D17" s="66" t="s">
        <v>76</v>
      </c>
      <c r="E17" s="65">
        <v>0.17</v>
      </c>
      <c r="F17" s="19">
        <v>1</v>
      </c>
      <c r="G17" s="28">
        <v>3.87</v>
      </c>
      <c r="H17" s="29">
        <f t="shared" si="3"/>
        <v>3.87</v>
      </c>
      <c r="I17" s="30">
        <v>3</v>
      </c>
      <c r="J17" s="43">
        <f t="shared" si="5"/>
        <v>-11.61</v>
      </c>
    </row>
    <row r="18" spans="1:13" x14ac:dyDescent="0.25">
      <c r="A18" s="26">
        <v>44831</v>
      </c>
      <c r="B18" s="27">
        <v>1006</v>
      </c>
      <c r="C18" s="19" t="s">
        <v>23</v>
      </c>
      <c r="D18" s="66" t="s">
        <v>77</v>
      </c>
      <c r="E18" s="65">
        <v>0.14000000000000001</v>
      </c>
      <c r="F18" s="19">
        <v>1</v>
      </c>
      <c r="G18" s="28">
        <v>2.97</v>
      </c>
      <c r="H18" s="29">
        <f t="shared" si="3"/>
        <v>2.97</v>
      </c>
      <c r="I18" s="30">
        <v>3</v>
      </c>
      <c r="J18" s="43">
        <f t="shared" si="5"/>
        <v>-8.91</v>
      </c>
    </row>
    <row r="19" spans="1:13" x14ac:dyDescent="0.25">
      <c r="A19" s="26">
        <v>44831</v>
      </c>
      <c r="B19" s="27">
        <v>1218</v>
      </c>
      <c r="C19" s="19" t="s">
        <v>66</v>
      </c>
      <c r="D19" s="66" t="s">
        <v>78</v>
      </c>
      <c r="F19" s="19">
        <v>2</v>
      </c>
      <c r="G19" s="28">
        <v>-14.1</v>
      </c>
      <c r="H19" s="29">
        <f t="shared" ref="H19:H30" si="6">G19*F19</f>
        <v>-28.2</v>
      </c>
    </row>
    <row r="20" spans="1:13" x14ac:dyDescent="0.25">
      <c r="A20" s="26">
        <v>44831</v>
      </c>
      <c r="B20" s="27">
        <v>1224</v>
      </c>
      <c r="C20" s="19" t="s">
        <v>23</v>
      </c>
      <c r="D20" s="67" t="s">
        <v>79</v>
      </c>
      <c r="E20" s="65">
        <v>0.15</v>
      </c>
      <c r="F20" s="19">
        <v>2</v>
      </c>
      <c r="G20" s="28">
        <v>4.5199999999999996</v>
      </c>
      <c r="H20" s="29">
        <f t="shared" si="6"/>
        <v>9.0399999999999991</v>
      </c>
      <c r="I20" s="30">
        <v>3</v>
      </c>
      <c r="J20" s="43">
        <f t="shared" ref="J20" si="7">-I20*G20</f>
        <v>-13.559999999999999</v>
      </c>
    </row>
    <row r="21" spans="1:13" x14ac:dyDescent="0.25">
      <c r="A21" s="26">
        <v>44832</v>
      </c>
      <c r="B21" s="27">
        <v>934</v>
      </c>
      <c r="C21" s="19" t="s">
        <v>23</v>
      </c>
      <c r="D21" s="67" t="s">
        <v>81</v>
      </c>
      <c r="E21" s="65">
        <v>0.15</v>
      </c>
      <c r="F21" s="19">
        <v>2</v>
      </c>
      <c r="G21" s="28">
        <v>4.2699999999999996</v>
      </c>
      <c r="H21" s="29">
        <f t="shared" si="6"/>
        <v>8.5399999999999991</v>
      </c>
      <c r="I21" s="30">
        <v>3</v>
      </c>
      <c r="J21" s="43">
        <f t="shared" ref="J21:J23" si="8">-I21*G21</f>
        <v>-12.809999999999999</v>
      </c>
    </row>
    <row r="22" spans="1:13" x14ac:dyDescent="0.25">
      <c r="A22" s="26">
        <v>44832</v>
      </c>
      <c r="B22" s="27">
        <v>938</v>
      </c>
      <c r="C22" s="19" t="s">
        <v>23</v>
      </c>
      <c r="D22" s="67" t="s">
        <v>82</v>
      </c>
      <c r="E22" s="65">
        <v>-0.15</v>
      </c>
      <c r="F22" s="19">
        <v>1</v>
      </c>
      <c r="G22" s="28">
        <v>5.27</v>
      </c>
      <c r="H22" s="29">
        <f t="shared" si="6"/>
        <v>5.27</v>
      </c>
      <c r="I22" s="30">
        <v>3</v>
      </c>
      <c r="J22" s="43">
        <f t="shared" si="8"/>
        <v>-15.809999999999999</v>
      </c>
    </row>
    <row r="23" spans="1:13" x14ac:dyDescent="0.25">
      <c r="A23" s="26">
        <v>44832</v>
      </c>
      <c r="B23" s="27">
        <v>940</v>
      </c>
      <c r="C23" s="19" t="s">
        <v>23</v>
      </c>
      <c r="D23" s="67" t="s">
        <v>83</v>
      </c>
      <c r="E23" s="65">
        <v>-0.09</v>
      </c>
      <c r="F23" s="19">
        <v>1</v>
      </c>
      <c r="G23" s="28">
        <v>3.87</v>
      </c>
      <c r="H23" s="29">
        <f t="shared" si="6"/>
        <v>3.87</v>
      </c>
      <c r="I23" s="30">
        <v>3</v>
      </c>
      <c r="J23" s="43">
        <f t="shared" si="8"/>
        <v>-11.61</v>
      </c>
    </row>
    <row r="24" spans="1:13" x14ac:dyDescent="0.25">
      <c r="A24" s="26">
        <v>44832</v>
      </c>
      <c r="B24" s="27">
        <v>1212</v>
      </c>
      <c r="C24" s="19" t="s">
        <v>66</v>
      </c>
      <c r="D24" s="67" t="s">
        <v>85</v>
      </c>
      <c r="F24" s="19">
        <v>2</v>
      </c>
      <c r="G24" s="28">
        <v>-13.23</v>
      </c>
      <c r="H24" s="29">
        <f t="shared" si="6"/>
        <v>-26.46</v>
      </c>
      <c r="M24">
        <v>3702</v>
      </c>
    </row>
    <row r="25" spans="1:13" x14ac:dyDescent="0.25">
      <c r="A25" s="26">
        <v>44832</v>
      </c>
      <c r="B25" s="27">
        <v>1318</v>
      </c>
      <c r="C25" s="19" t="s">
        <v>23</v>
      </c>
      <c r="D25" s="67" t="s">
        <v>84</v>
      </c>
      <c r="E25" s="65">
        <v>0.3</v>
      </c>
      <c r="F25" s="19">
        <v>1</v>
      </c>
      <c r="G25" s="28">
        <v>3.97</v>
      </c>
      <c r="H25" s="29">
        <f t="shared" si="6"/>
        <v>3.97</v>
      </c>
      <c r="I25" s="30">
        <v>3</v>
      </c>
      <c r="J25" s="43">
        <f t="shared" ref="J25" si="9">-I25*G25</f>
        <v>-11.91</v>
      </c>
    </row>
    <row r="26" spans="1:13" x14ac:dyDescent="0.25">
      <c r="A26" s="26">
        <v>44833</v>
      </c>
      <c r="B26" s="27">
        <v>933</v>
      </c>
      <c r="C26" s="19" t="s">
        <v>23</v>
      </c>
      <c r="D26" s="67" t="s">
        <v>87</v>
      </c>
      <c r="E26" s="65">
        <v>-0.15</v>
      </c>
      <c r="F26" s="19">
        <v>2</v>
      </c>
      <c r="G26" s="28">
        <v>4.2699999999999996</v>
      </c>
      <c r="H26" s="29">
        <f t="shared" si="6"/>
        <v>8.5399999999999991</v>
      </c>
      <c r="I26" s="30">
        <v>3</v>
      </c>
      <c r="J26" s="43">
        <f t="shared" ref="J26:J28" si="10">-I26*G26</f>
        <v>-12.809999999999999</v>
      </c>
    </row>
    <row r="27" spans="1:13" x14ac:dyDescent="0.25">
      <c r="A27" s="26">
        <v>44833</v>
      </c>
      <c r="B27" s="27">
        <v>943</v>
      </c>
      <c r="C27" s="19" t="s">
        <v>23</v>
      </c>
      <c r="D27" s="67" t="s">
        <v>88</v>
      </c>
      <c r="E27" s="65">
        <v>0.15</v>
      </c>
      <c r="F27" s="19">
        <v>1</v>
      </c>
      <c r="G27" s="28">
        <v>3.87</v>
      </c>
      <c r="H27" s="29">
        <f t="shared" si="6"/>
        <v>3.87</v>
      </c>
      <c r="I27" s="30">
        <v>3</v>
      </c>
      <c r="J27" s="43">
        <f t="shared" si="10"/>
        <v>-11.61</v>
      </c>
    </row>
    <row r="28" spans="1:13" x14ac:dyDescent="0.25">
      <c r="A28" s="26">
        <v>44833</v>
      </c>
      <c r="B28" s="27">
        <v>944</v>
      </c>
      <c r="C28" s="19" t="s">
        <v>23</v>
      </c>
      <c r="D28" s="67" t="s">
        <v>89</v>
      </c>
      <c r="E28" s="65">
        <v>0.09</v>
      </c>
      <c r="F28" s="19">
        <v>1</v>
      </c>
      <c r="G28" s="28">
        <v>2.4700000000000002</v>
      </c>
      <c r="H28" s="29">
        <f t="shared" si="6"/>
        <v>2.4700000000000002</v>
      </c>
      <c r="I28" s="30">
        <v>3</v>
      </c>
      <c r="J28" s="43">
        <f t="shared" si="10"/>
        <v>-7.41</v>
      </c>
    </row>
    <row r="29" spans="1:13" x14ac:dyDescent="0.25">
      <c r="A29" s="26">
        <v>44833</v>
      </c>
      <c r="B29" s="27">
        <v>1016</v>
      </c>
      <c r="C29" s="19" t="s">
        <v>91</v>
      </c>
      <c r="D29" s="67" t="s">
        <v>90</v>
      </c>
      <c r="F29" s="19">
        <v>1</v>
      </c>
      <c r="G29" s="28">
        <v>-7.23</v>
      </c>
      <c r="H29" s="29">
        <f t="shared" si="6"/>
        <v>-7.23</v>
      </c>
    </row>
    <row r="30" spans="1:13" x14ac:dyDescent="0.25">
      <c r="A30" s="26">
        <v>44833</v>
      </c>
      <c r="B30" s="27">
        <v>1035</v>
      </c>
      <c r="C30" s="19" t="s">
        <v>23</v>
      </c>
      <c r="D30" s="67" t="s">
        <v>92</v>
      </c>
      <c r="E30" s="65">
        <v>0.15</v>
      </c>
      <c r="F30" s="19">
        <v>1</v>
      </c>
      <c r="G30" s="28">
        <v>2.77</v>
      </c>
      <c r="H30" s="29">
        <f t="shared" si="6"/>
        <v>2.77</v>
      </c>
      <c r="I30" s="30">
        <v>3</v>
      </c>
      <c r="J30" s="43">
        <f t="shared" ref="J30" si="11">-I30*G30</f>
        <v>-8.31</v>
      </c>
    </row>
    <row r="31" spans="1:13" x14ac:dyDescent="0.25">
      <c r="A31" s="26">
        <v>44834</v>
      </c>
      <c r="B31" s="27">
        <v>937</v>
      </c>
      <c r="C31" s="19" t="s">
        <v>23</v>
      </c>
      <c r="D31" s="67" t="s">
        <v>93</v>
      </c>
      <c r="E31" s="65">
        <v>-0.15</v>
      </c>
      <c r="F31" s="19">
        <v>2</v>
      </c>
      <c r="G31" s="28">
        <v>4.87</v>
      </c>
      <c r="H31" s="29">
        <f>G31*F31</f>
        <v>9.74</v>
      </c>
      <c r="I31" s="30">
        <v>3</v>
      </c>
      <c r="J31" s="43">
        <f>-I31*G31</f>
        <v>-14.61</v>
      </c>
    </row>
    <row r="32" spans="1:13" x14ac:dyDescent="0.25">
      <c r="A32" s="26">
        <v>44834</v>
      </c>
      <c r="B32" s="27">
        <v>942</v>
      </c>
      <c r="C32" s="19" t="s">
        <v>23</v>
      </c>
      <c r="D32" s="67" t="s">
        <v>94</v>
      </c>
      <c r="E32" s="65">
        <v>0.15</v>
      </c>
      <c r="F32" s="19">
        <v>1</v>
      </c>
      <c r="G32" s="28">
        <v>5.32</v>
      </c>
      <c r="H32" s="29">
        <f>G32*F32</f>
        <v>5.32</v>
      </c>
      <c r="I32" s="30">
        <v>3</v>
      </c>
      <c r="J32" s="43">
        <f>-I32*G32</f>
        <v>-15.96</v>
      </c>
    </row>
    <row r="33" spans="1:10" x14ac:dyDescent="0.25">
      <c r="A33" s="26">
        <v>44834</v>
      </c>
      <c r="B33" s="27">
        <v>943</v>
      </c>
      <c r="C33" s="19" t="s">
        <v>23</v>
      </c>
      <c r="D33" s="67" t="s">
        <v>95</v>
      </c>
      <c r="E33" s="65">
        <v>0.09</v>
      </c>
      <c r="F33" s="19">
        <v>1</v>
      </c>
      <c r="G33" s="28">
        <v>3.17</v>
      </c>
      <c r="H33" s="29">
        <f>G33*F33</f>
        <v>3.17</v>
      </c>
      <c r="I33" s="30">
        <v>3</v>
      </c>
      <c r="J33" s="43">
        <f>-I33*G33</f>
        <v>-9.51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BC4F-EB6D-4F7C-A4AB-32C246F0D899}">
  <dimension ref="A1:N13"/>
  <sheetViews>
    <sheetView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9.7109375" style="26" bestFit="1" customWidth="1"/>
    <col min="2" max="2" width="9.7109375" style="27" customWidth="1"/>
    <col min="3" max="3" width="6.85546875" style="19" bestFit="1" customWidth="1"/>
    <col min="4" max="4" width="31.42578125" style="14" bestFit="1" customWidth="1"/>
    <col min="5" max="5" width="6.28515625" style="65" bestFit="1" customWidth="1"/>
    <col min="6" max="6" width="4.140625" style="19" bestFit="1" customWidth="1"/>
    <col min="7" max="7" width="7.140625" style="28" customWidth="1"/>
    <col min="8" max="8" width="7.140625" style="29" customWidth="1"/>
    <col min="9" max="9" width="11.140625" style="30" bestFit="1" customWidth="1"/>
    <col min="10" max="10" width="14.85546875" style="43" bestFit="1" customWidth="1"/>
    <col min="11" max="11" width="12.5703125" style="30" bestFit="1" customWidth="1"/>
    <col min="12" max="12" width="16.28515625" style="43" bestFit="1" customWidth="1"/>
  </cols>
  <sheetData>
    <row r="1" spans="1:14" s="62" customFormat="1" x14ac:dyDescent="0.25">
      <c r="A1" s="55" t="s">
        <v>13</v>
      </c>
      <c r="B1" s="56" t="s">
        <v>16</v>
      </c>
      <c r="C1" s="20" t="s">
        <v>14</v>
      </c>
      <c r="D1" s="57" t="s">
        <v>15</v>
      </c>
      <c r="E1" s="64" t="s">
        <v>17</v>
      </c>
      <c r="F1" s="20" t="s">
        <v>18</v>
      </c>
      <c r="G1" s="58" t="s">
        <v>19</v>
      </c>
      <c r="H1" s="59" t="s">
        <v>22</v>
      </c>
      <c r="I1" s="60" t="s">
        <v>31</v>
      </c>
      <c r="J1" s="61" t="s">
        <v>30</v>
      </c>
      <c r="K1" s="60" t="s">
        <v>34</v>
      </c>
      <c r="L1" s="61" t="s">
        <v>35</v>
      </c>
      <c r="N1" s="63" t="s">
        <v>22</v>
      </c>
    </row>
    <row r="2" spans="1:14" x14ac:dyDescent="0.25">
      <c r="A2" s="26">
        <v>44830</v>
      </c>
      <c r="B2" s="27">
        <v>942</v>
      </c>
      <c r="C2" s="19" t="s">
        <v>23</v>
      </c>
      <c r="D2" s="39" t="s">
        <v>71</v>
      </c>
      <c r="E2" s="65">
        <v>-0.15</v>
      </c>
      <c r="F2" s="19">
        <v>1</v>
      </c>
      <c r="G2" s="28">
        <v>4.2699999999999996</v>
      </c>
      <c r="H2" s="29">
        <f>G2*F2</f>
        <v>4.2699999999999996</v>
      </c>
      <c r="I2" s="30">
        <v>3</v>
      </c>
      <c r="J2" s="43">
        <f t="shared" ref="J2:J3" si="0">-I2*H2</f>
        <v>-12.809999999999999</v>
      </c>
      <c r="N2" s="43">
        <f>SUM(H:H)</f>
        <v>18.54</v>
      </c>
    </row>
    <row r="3" spans="1:14" x14ac:dyDescent="0.25">
      <c r="A3" s="26">
        <v>44830</v>
      </c>
      <c r="B3" s="27">
        <v>942</v>
      </c>
      <c r="C3" s="19" t="s">
        <v>23</v>
      </c>
      <c r="D3" s="39" t="s">
        <v>70</v>
      </c>
      <c r="E3" s="65">
        <v>0.15</v>
      </c>
      <c r="F3" s="19">
        <v>1</v>
      </c>
      <c r="G3" s="28">
        <v>3.27</v>
      </c>
      <c r="H3" s="29">
        <f>G3*F3</f>
        <v>3.27</v>
      </c>
      <c r="I3" s="30">
        <v>3</v>
      </c>
      <c r="J3" s="43">
        <f t="shared" si="0"/>
        <v>-9.81</v>
      </c>
    </row>
    <row r="4" spans="1:14" x14ac:dyDescent="0.25">
      <c r="A4" s="26">
        <v>44831</v>
      </c>
      <c r="B4" s="27">
        <v>950</v>
      </c>
      <c r="C4" s="19" t="s">
        <v>23</v>
      </c>
      <c r="D4" s="66" t="s">
        <v>75</v>
      </c>
      <c r="E4" s="65">
        <v>-0.16</v>
      </c>
      <c r="F4" s="19">
        <v>1</v>
      </c>
      <c r="G4" s="28">
        <v>3.37</v>
      </c>
      <c r="H4" s="29">
        <f>G4*F4</f>
        <v>3.37</v>
      </c>
      <c r="I4" s="30">
        <v>3</v>
      </c>
      <c r="J4" s="43">
        <f t="shared" ref="J4:J5" si="1">-I4*G4</f>
        <v>-10.11</v>
      </c>
    </row>
    <row r="5" spans="1:14" x14ac:dyDescent="0.25">
      <c r="A5" s="26">
        <v>44831</v>
      </c>
      <c r="B5" s="27">
        <v>940</v>
      </c>
      <c r="C5" s="19" t="s">
        <v>23</v>
      </c>
      <c r="D5" s="66" t="s">
        <v>76</v>
      </c>
      <c r="E5" s="65">
        <v>0.17</v>
      </c>
      <c r="F5" s="19">
        <v>1</v>
      </c>
      <c r="G5" s="28">
        <v>3.42</v>
      </c>
      <c r="H5" s="29">
        <f>G5*F5</f>
        <v>3.42</v>
      </c>
      <c r="I5" s="30">
        <v>3</v>
      </c>
      <c r="J5" s="43">
        <f t="shared" si="1"/>
        <v>-10.26</v>
      </c>
    </row>
    <row r="6" spans="1:14" x14ac:dyDescent="0.25">
      <c r="A6" s="26">
        <v>44831</v>
      </c>
      <c r="B6" s="27">
        <v>1218</v>
      </c>
      <c r="C6" s="19" t="s">
        <v>66</v>
      </c>
      <c r="D6" s="66" t="s">
        <v>78</v>
      </c>
      <c r="F6" s="19">
        <v>1</v>
      </c>
      <c r="G6" s="28">
        <v>-10.43</v>
      </c>
      <c r="H6" s="29">
        <f>G6*F6</f>
        <v>-10.43</v>
      </c>
    </row>
    <row r="7" spans="1:14" x14ac:dyDescent="0.25">
      <c r="A7" s="26">
        <v>44832</v>
      </c>
      <c r="B7" s="27">
        <v>934</v>
      </c>
      <c r="C7" s="19" t="s">
        <v>23</v>
      </c>
      <c r="D7" s="67" t="s">
        <v>81</v>
      </c>
      <c r="E7" s="65">
        <v>0.15</v>
      </c>
      <c r="F7" s="19">
        <v>1</v>
      </c>
      <c r="G7" s="28">
        <v>4.2699999999999996</v>
      </c>
      <c r="H7" s="29">
        <f>G7*F7</f>
        <v>4.2699999999999996</v>
      </c>
      <c r="I7" s="30">
        <v>3</v>
      </c>
      <c r="J7" s="43">
        <f t="shared" ref="J7:J8" si="2">-I7*G7</f>
        <v>-12.809999999999999</v>
      </c>
    </row>
    <row r="8" spans="1:14" x14ac:dyDescent="0.25">
      <c r="A8" s="26">
        <v>44832</v>
      </c>
      <c r="B8" s="27">
        <v>938</v>
      </c>
      <c r="C8" s="19" t="s">
        <v>23</v>
      </c>
      <c r="D8" s="67" t="s">
        <v>82</v>
      </c>
      <c r="E8" s="65">
        <v>-0.15</v>
      </c>
      <c r="F8" s="19">
        <v>1</v>
      </c>
      <c r="G8" s="28">
        <v>5.27</v>
      </c>
      <c r="H8" s="29">
        <f>G8*F8</f>
        <v>5.27</v>
      </c>
      <c r="I8" s="30">
        <v>3</v>
      </c>
      <c r="J8" s="43">
        <f t="shared" si="2"/>
        <v>-15.809999999999999</v>
      </c>
    </row>
    <row r="9" spans="1:14" x14ac:dyDescent="0.25">
      <c r="A9" s="26">
        <v>44832</v>
      </c>
      <c r="B9" s="27">
        <v>1212</v>
      </c>
      <c r="C9" s="19" t="s">
        <v>66</v>
      </c>
      <c r="D9" s="67" t="s">
        <v>85</v>
      </c>
      <c r="F9" s="19">
        <v>1</v>
      </c>
      <c r="G9" s="28">
        <v>-13.23</v>
      </c>
      <c r="H9" s="29">
        <f>G9*F9</f>
        <v>-13.23</v>
      </c>
    </row>
    <row r="10" spans="1:14" x14ac:dyDescent="0.25">
      <c r="A10" s="26">
        <v>44833</v>
      </c>
      <c r="B10" s="27">
        <v>933</v>
      </c>
      <c r="C10" s="19" t="s">
        <v>23</v>
      </c>
      <c r="D10" s="67" t="s">
        <v>87</v>
      </c>
      <c r="E10" s="65">
        <v>-0.15</v>
      </c>
      <c r="F10" s="19">
        <v>1</v>
      </c>
      <c r="G10" s="28">
        <v>4.2699999999999996</v>
      </c>
      <c r="H10" s="29">
        <f>G10*F10</f>
        <v>4.2699999999999996</v>
      </c>
      <c r="I10" s="30">
        <v>3</v>
      </c>
      <c r="J10" s="43">
        <f t="shared" ref="J10:J11" si="3">-I10*G10</f>
        <v>-12.809999999999999</v>
      </c>
    </row>
    <row r="11" spans="1:14" x14ac:dyDescent="0.25">
      <c r="A11" s="26">
        <v>44833</v>
      </c>
      <c r="B11" s="27">
        <v>943</v>
      </c>
      <c r="C11" s="19" t="s">
        <v>23</v>
      </c>
      <c r="D11" s="67" t="s">
        <v>88</v>
      </c>
      <c r="E11" s="65">
        <v>0.15</v>
      </c>
      <c r="F11" s="19">
        <v>1</v>
      </c>
      <c r="G11" s="28">
        <v>3.87</v>
      </c>
      <c r="H11" s="29">
        <f>G11*F11</f>
        <v>3.87</v>
      </c>
      <c r="I11" s="30">
        <v>3</v>
      </c>
      <c r="J11" s="43">
        <f t="shared" si="3"/>
        <v>-11.61</v>
      </c>
    </row>
    <row r="12" spans="1:14" x14ac:dyDescent="0.25">
      <c r="A12" s="26">
        <v>44834</v>
      </c>
      <c r="B12" s="27">
        <v>937</v>
      </c>
      <c r="C12" s="19" t="s">
        <v>23</v>
      </c>
      <c r="D12" s="67" t="s">
        <v>93</v>
      </c>
      <c r="E12" s="65">
        <v>-0.15</v>
      </c>
      <c r="F12" s="19">
        <v>1</v>
      </c>
      <c r="G12" s="28">
        <v>4.87</v>
      </c>
      <c r="H12" s="29">
        <f>G12*F12</f>
        <v>4.87</v>
      </c>
      <c r="I12" s="30">
        <v>3</v>
      </c>
      <c r="J12" s="43">
        <f>-I12*G12</f>
        <v>-14.61</v>
      </c>
    </row>
    <row r="13" spans="1:14" x14ac:dyDescent="0.25">
      <c r="A13" s="26">
        <v>44834</v>
      </c>
      <c r="B13" s="27">
        <v>942</v>
      </c>
      <c r="C13" s="19" t="s">
        <v>23</v>
      </c>
      <c r="D13" s="67" t="s">
        <v>94</v>
      </c>
      <c r="E13" s="65">
        <v>0.15</v>
      </c>
      <c r="F13" s="19">
        <v>1</v>
      </c>
      <c r="G13" s="28">
        <v>5.32</v>
      </c>
      <c r="H13" s="29">
        <f>G13*F13</f>
        <v>5.32</v>
      </c>
      <c r="I13" s="30">
        <v>3</v>
      </c>
      <c r="J13" s="43">
        <f>-I13*G13</f>
        <v>-15.96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4B5F-C3CE-4821-8081-9385439A4F7E}">
  <dimension ref="A1:N13"/>
  <sheetViews>
    <sheetView workbookViewId="0">
      <pane ySplit="1" topLeftCell="A2" activePane="bottomLeft" state="frozen"/>
      <selection pane="bottomLeft" activeCell="F17" sqref="F17"/>
    </sheetView>
  </sheetViews>
  <sheetFormatPr defaultRowHeight="15" x14ac:dyDescent="0.25"/>
  <cols>
    <col min="1" max="1" width="9.7109375" style="26" bestFit="1" customWidth="1"/>
    <col min="2" max="2" width="9.7109375" style="27" customWidth="1"/>
    <col min="3" max="3" width="6.85546875" style="19" bestFit="1" customWidth="1"/>
    <col min="4" max="4" width="31.42578125" style="14" bestFit="1" customWidth="1"/>
    <col min="5" max="5" width="6.28515625" style="65" bestFit="1" customWidth="1"/>
    <col min="6" max="6" width="4.140625" style="19" bestFit="1" customWidth="1"/>
    <col min="7" max="7" width="7.140625" style="28" customWidth="1"/>
    <col min="8" max="8" width="7.140625" style="29" customWidth="1"/>
    <col min="9" max="9" width="11.140625" style="30" bestFit="1" customWidth="1"/>
    <col min="10" max="10" width="14.85546875" style="43" bestFit="1" customWidth="1"/>
    <col min="11" max="11" width="12.5703125" style="30" bestFit="1" customWidth="1"/>
    <col min="12" max="12" width="16.28515625" style="43" bestFit="1" customWidth="1"/>
  </cols>
  <sheetData>
    <row r="1" spans="1:14" s="62" customFormat="1" x14ac:dyDescent="0.25">
      <c r="A1" s="55" t="s">
        <v>13</v>
      </c>
      <c r="B1" s="56" t="s">
        <v>16</v>
      </c>
      <c r="C1" s="20" t="s">
        <v>14</v>
      </c>
      <c r="D1" s="57" t="s">
        <v>15</v>
      </c>
      <c r="E1" s="64" t="s">
        <v>17</v>
      </c>
      <c r="F1" s="20" t="s">
        <v>18</v>
      </c>
      <c r="G1" s="58" t="s">
        <v>19</v>
      </c>
      <c r="H1" s="59" t="s">
        <v>22</v>
      </c>
      <c r="I1" s="60" t="s">
        <v>31</v>
      </c>
      <c r="J1" s="61" t="s">
        <v>30</v>
      </c>
      <c r="K1" s="60" t="s">
        <v>34</v>
      </c>
      <c r="L1" s="61" t="s">
        <v>35</v>
      </c>
      <c r="N1" s="63" t="s">
        <v>22</v>
      </c>
    </row>
    <row r="2" spans="1:14" x14ac:dyDescent="0.25">
      <c r="A2" s="26">
        <v>44830</v>
      </c>
      <c r="B2" s="27">
        <v>942</v>
      </c>
      <c r="C2" s="19" t="s">
        <v>23</v>
      </c>
      <c r="D2" s="39" t="s">
        <v>71</v>
      </c>
      <c r="E2" s="65">
        <v>-0.15</v>
      </c>
      <c r="F2" s="19">
        <v>1</v>
      </c>
      <c r="G2" s="28">
        <v>4.2699999999999996</v>
      </c>
      <c r="H2" s="29">
        <f t="shared" ref="H2:H11" si="0">G2*F2</f>
        <v>4.2699999999999996</v>
      </c>
      <c r="I2" s="30">
        <v>3</v>
      </c>
      <c r="J2" s="43">
        <f t="shared" ref="J2" si="1">-I2*H2</f>
        <v>-12.809999999999999</v>
      </c>
      <c r="N2" s="43">
        <f>SUM(H:H)</f>
        <v>16.659999999999997</v>
      </c>
    </row>
    <row r="3" spans="1:14" x14ac:dyDescent="0.25">
      <c r="A3" s="26">
        <v>44830</v>
      </c>
      <c r="B3" s="27">
        <v>1015</v>
      </c>
      <c r="C3" s="19" t="s">
        <v>23</v>
      </c>
      <c r="D3" s="39" t="s">
        <v>72</v>
      </c>
      <c r="E3" s="65">
        <v>0.11</v>
      </c>
      <c r="F3" s="19">
        <v>1</v>
      </c>
      <c r="G3" s="28">
        <v>1.47</v>
      </c>
      <c r="H3" s="29">
        <f t="shared" si="0"/>
        <v>1.47</v>
      </c>
      <c r="I3" s="30">
        <v>3</v>
      </c>
      <c r="J3" s="43">
        <f t="shared" ref="J3" si="2">-I3*H3</f>
        <v>-4.41</v>
      </c>
    </row>
    <row r="4" spans="1:14" x14ac:dyDescent="0.25">
      <c r="A4" s="26">
        <v>44831</v>
      </c>
      <c r="B4" s="27">
        <v>950</v>
      </c>
      <c r="C4" s="19" t="s">
        <v>23</v>
      </c>
      <c r="D4" s="66" t="s">
        <v>75</v>
      </c>
      <c r="E4" s="65">
        <v>-0.16</v>
      </c>
      <c r="F4" s="19">
        <v>1</v>
      </c>
      <c r="G4" s="28">
        <v>3.37</v>
      </c>
      <c r="H4" s="29">
        <f t="shared" si="0"/>
        <v>3.37</v>
      </c>
      <c r="I4" s="30">
        <v>3</v>
      </c>
      <c r="J4" s="43">
        <f t="shared" ref="J4:J5" si="3">-I4*G4</f>
        <v>-10.11</v>
      </c>
    </row>
    <row r="5" spans="1:14" x14ac:dyDescent="0.25">
      <c r="A5" s="26">
        <v>44831</v>
      </c>
      <c r="B5" s="27">
        <v>1006</v>
      </c>
      <c r="C5" s="19" t="s">
        <v>23</v>
      </c>
      <c r="D5" s="66" t="s">
        <v>77</v>
      </c>
      <c r="E5" s="65">
        <v>0.14000000000000001</v>
      </c>
      <c r="F5" s="19">
        <v>1</v>
      </c>
      <c r="G5" s="28">
        <v>3.42</v>
      </c>
      <c r="H5" s="29">
        <f t="shared" si="0"/>
        <v>3.42</v>
      </c>
      <c r="I5" s="30">
        <v>3</v>
      </c>
      <c r="J5" s="43">
        <f t="shared" si="3"/>
        <v>-10.26</v>
      </c>
    </row>
    <row r="6" spans="1:14" x14ac:dyDescent="0.25">
      <c r="A6" s="26">
        <v>44831</v>
      </c>
      <c r="B6" s="27">
        <v>1218</v>
      </c>
      <c r="C6" s="19" t="s">
        <v>66</v>
      </c>
      <c r="D6" s="66" t="s">
        <v>78</v>
      </c>
      <c r="F6" s="19">
        <v>1</v>
      </c>
      <c r="G6" s="28">
        <v>-10.43</v>
      </c>
      <c r="H6" s="29">
        <f t="shared" si="0"/>
        <v>-10.43</v>
      </c>
    </row>
    <row r="7" spans="1:14" x14ac:dyDescent="0.25">
      <c r="A7" s="26">
        <v>44832</v>
      </c>
      <c r="B7" s="27">
        <v>934</v>
      </c>
      <c r="C7" s="19" t="s">
        <v>23</v>
      </c>
      <c r="D7" s="67" t="s">
        <v>81</v>
      </c>
      <c r="E7" s="65">
        <v>0.15</v>
      </c>
      <c r="F7" s="19">
        <v>1</v>
      </c>
      <c r="G7" s="28">
        <v>4.2699999999999996</v>
      </c>
      <c r="H7" s="29">
        <f t="shared" si="0"/>
        <v>4.2699999999999996</v>
      </c>
      <c r="I7" s="30">
        <v>3</v>
      </c>
      <c r="J7" s="43">
        <f t="shared" ref="J7:J8" si="4">-I7*G7</f>
        <v>-12.809999999999999</v>
      </c>
    </row>
    <row r="8" spans="1:14" x14ac:dyDescent="0.25">
      <c r="A8" s="26">
        <v>44832</v>
      </c>
      <c r="B8" s="27">
        <v>940</v>
      </c>
      <c r="C8" s="19" t="s">
        <v>23</v>
      </c>
      <c r="D8" s="67" t="s">
        <v>83</v>
      </c>
      <c r="E8" s="65">
        <v>-0.09</v>
      </c>
      <c r="F8" s="19">
        <v>1</v>
      </c>
      <c r="G8" s="28">
        <v>3.87</v>
      </c>
      <c r="H8" s="29">
        <f t="shared" si="0"/>
        <v>3.87</v>
      </c>
      <c r="I8" s="30">
        <v>3</v>
      </c>
      <c r="J8" s="43">
        <f t="shared" si="4"/>
        <v>-11.61</v>
      </c>
    </row>
    <row r="9" spans="1:14" x14ac:dyDescent="0.25">
      <c r="A9" s="26">
        <v>44832</v>
      </c>
      <c r="B9" s="27">
        <v>1212</v>
      </c>
      <c r="C9" s="19" t="s">
        <v>66</v>
      </c>
      <c r="D9" s="67" t="s">
        <v>85</v>
      </c>
      <c r="F9" s="19">
        <v>1</v>
      </c>
      <c r="G9" s="28">
        <v>-13.23</v>
      </c>
      <c r="H9" s="29">
        <f t="shared" si="0"/>
        <v>-13.23</v>
      </c>
    </row>
    <row r="10" spans="1:14" x14ac:dyDescent="0.25">
      <c r="A10" s="26">
        <v>44833</v>
      </c>
      <c r="B10" s="27">
        <v>933</v>
      </c>
      <c r="C10" s="19" t="s">
        <v>23</v>
      </c>
      <c r="D10" s="67" t="s">
        <v>87</v>
      </c>
      <c r="E10" s="65">
        <v>-0.15</v>
      </c>
      <c r="F10" s="19">
        <v>1</v>
      </c>
      <c r="G10" s="28">
        <v>4.2699999999999996</v>
      </c>
      <c r="H10" s="29">
        <f t="shared" si="0"/>
        <v>4.2699999999999996</v>
      </c>
      <c r="I10" s="30">
        <v>3</v>
      </c>
      <c r="J10" s="43">
        <f t="shared" ref="J10:J11" si="5">-I10*G10</f>
        <v>-12.809999999999999</v>
      </c>
    </row>
    <row r="11" spans="1:14" x14ac:dyDescent="0.25">
      <c r="A11" s="26">
        <v>44833</v>
      </c>
      <c r="B11" s="27">
        <v>944</v>
      </c>
      <c r="C11" s="19" t="s">
        <v>23</v>
      </c>
      <c r="D11" s="67" t="s">
        <v>89</v>
      </c>
      <c r="E11" s="65">
        <v>0.09</v>
      </c>
      <c r="F11" s="19">
        <v>1</v>
      </c>
      <c r="G11" s="28">
        <v>2.4700000000000002</v>
      </c>
      <c r="H11" s="29">
        <f t="shared" si="0"/>
        <v>2.4700000000000002</v>
      </c>
      <c r="I11" s="30">
        <v>3</v>
      </c>
      <c r="J11" s="43">
        <f t="shared" si="5"/>
        <v>-7.41</v>
      </c>
    </row>
    <row r="12" spans="1:14" x14ac:dyDescent="0.25">
      <c r="A12" s="26">
        <v>44834</v>
      </c>
      <c r="B12" s="27">
        <v>937</v>
      </c>
      <c r="C12" s="19" t="s">
        <v>23</v>
      </c>
      <c r="D12" s="67" t="s">
        <v>93</v>
      </c>
      <c r="E12" s="65">
        <v>-0.15</v>
      </c>
      <c r="F12" s="19">
        <v>1</v>
      </c>
      <c r="G12" s="28">
        <v>4.87</v>
      </c>
      <c r="H12" s="29">
        <v>9.74</v>
      </c>
      <c r="I12" s="30">
        <v>3</v>
      </c>
      <c r="J12" s="43">
        <v>-14.61</v>
      </c>
    </row>
    <row r="13" spans="1:14" x14ac:dyDescent="0.25">
      <c r="A13" s="26">
        <v>44834</v>
      </c>
      <c r="B13" s="27">
        <v>943</v>
      </c>
      <c r="C13" s="19" t="s">
        <v>23</v>
      </c>
      <c r="D13" s="67" t="s">
        <v>95</v>
      </c>
      <c r="E13" s="65">
        <v>0.09</v>
      </c>
      <c r="F13" s="19">
        <v>1</v>
      </c>
      <c r="G13" s="28">
        <v>3.17</v>
      </c>
      <c r="H13" s="29">
        <v>3.17</v>
      </c>
      <c r="I13" s="30">
        <v>3</v>
      </c>
      <c r="J13" s="43">
        <v>-9.51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Indicator</vt:lpstr>
      <vt:lpstr>Dashboard</vt:lpstr>
      <vt:lpstr>Tracker</vt:lpstr>
      <vt:lpstr>Trades</vt:lpstr>
      <vt:lpstr>Delta15</vt:lpstr>
      <vt:lpstr>DeltaMR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2022-09-30T17:49:48Z</dcterms:modified>
</cp:coreProperties>
</file>