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Models\"/>
    </mc:Choice>
  </mc:AlternateContent>
  <xr:revisionPtr revIDLastSave="0" documentId="13_ncr:1_{36ED92BA-DA39-42E2-9EE1-9D72CB339BDA}" xr6:coauthVersionLast="47" xr6:coauthVersionMax="47" xr10:uidLastSave="{00000000-0000-0000-0000-000000000000}"/>
  <bookViews>
    <workbookView xWindow="13200" yWindow="5955" windowWidth="33990" windowHeight="13650" activeTab="1" xr2:uid="{F1620845-D3A1-42C3-B09D-9C0C2CC1B833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8" i="1" l="1"/>
  <c r="AJ62" i="1"/>
  <c r="U27" i="1"/>
  <c r="V27" i="1"/>
  <c r="W9" i="1" s="1"/>
  <c r="V9" i="1"/>
  <c r="T27" i="1"/>
  <c r="S27" i="1"/>
  <c r="R27" i="1"/>
  <c r="W27" i="1" l="1"/>
  <c r="U57" i="1"/>
  <c r="T57" i="1"/>
  <c r="S57" i="1"/>
  <c r="R57" i="1"/>
  <c r="Q57" i="1"/>
  <c r="I57" i="1"/>
  <c r="H57" i="1"/>
  <c r="G57" i="1"/>
  <c r="E57" i="1"/>
  <c r="D57" i="1"/>
  <c r="C57" i="1"/>
  <c r="K57" i="1"/>
  <c r="V3" i="1"/>
  <c r="O30" i="2"/>
  <c r="P34" i="2" s="1"/>
  <c r="W3" i="1"/>
  <c r="L30" i="2"/>
  <c r="M34" i="2" s="1"/>
  <c r="I34" i="2"/>
  <c r="G34" i="2"/>
  <c r="F33" i="2"/>
  <c r="I33" i="2" s="1"/>
  <c r="G30" i="2"/>
  <c r="F31" i="2"/>
  <c r="G31" i="2" s="1"/>
  <c r="K53" i="1"/>
  <c r="U53" i="1"/>
  <c r="T53" i="1"/>
  <c r="S53" i="1"/>
  <c r="R53" i="1"/>
  <c r="I53" i="1"/>
  <c r="H53" i="1"/>
  <c r="G53" i="1"/>
  <c r="U51" i="1"/>
  <c r="W51" i="1" s="1"/>
  <c r="X51" i="1" s="1"/>
  <c r="T51" i="1"/>
  <c r="S51" i="1"/>
  <c r="R51" i="1"/>
  <c r="Q51" i="1"/>
  <c r="K51" i="1"/>
  <c r="I51" i="1"/>
  <c r="H51" i="1"/>
  <c r="G51" i="1"/>
  <c r="E51" i="1"/>
  <c r="D51" i="1"/>
  <c r="C51" i="1"/>
  <c r="R50" i="1"/>
  <c r="F42" i="1"/>
  <c r="E42" i="1"/>
  <c r="D42" i="1"/>
  <c r="F41" i="1"/>
  <c r="E41" i="1"/>
  <c r="D41" i="1"/>
  <c r="F40" i="1"/>
  <c r="E40" i="1"/>
  <c r="D40" i="1"/>
  <c r="F39" i="1"/>
  <c r="E39" i="1"/>
  <c r="D39" i="1"/>
  <c r="I42" i="1"/>
  <c r="H42" i="1"/>
  <c r="I41" i="1"/>
  <c r="I43" i="1" s="1"/>
  <c r="H41" i="1"/>
  <c r="H43" i="1" s="1"/>
  <c r="I40" i="1"/>
  <c r="H40" i="1"/>
  <c r="I39" i="1"/>
  <c r="H39" i="1"/>
  <c r="J42" i="1"/>
  <c r="J41" i="1"/>
  <c r="J43" i="1" s="1"/>
  <c r="J40" i="1"/>
  <c r="J39" i="1"/>
  <c r="J44" i="1" s="1"/>
  <c r="C44" i="1"/>
  <c r="C43" i="1"/>
  <c r="C45" i="1" s="1"/>
  <c r="G44" i="1"/>
  <c r="G43" i="1"/>
  <c r="G45" i="1" s="1"/>
  <c r="K44" i="1"/>
  <c r="K43" i="1"/>
  <c r="K45" i="1" s="1"/>
  <c r="U44" i="1"/>
  <c r="T44" i="1"/>
  <c r="S44" i="1"/>
  <c r="R44" i="1"/>
  <c r="Q44" i="1"/>
  <c r="U43" i="1"/>
  <c r="U45" i="1" s="1"/>
  <c r="T43" i="1"/>
  <c r="T45" i="1" s="1"/>
  <c r="S43" i="1"/>
  <c r="S45" i="1" s="1"/>
  <c r="R43" i="1"/>
  <c r="R45" i="1" s="1"/>
  <c r="Q43" i="1"/>
  <c r="Q45" i="1" s="1"/>
  <c r="F36" i="1"/>
  <c r="F35" i="1"/>
  <c r="F37" i="1" s="1"/>
  <c r="J36" i="1"/>
  <c r="J35" i="1"/>
  <c r="J37" i="1" s="1"/>
  <c r="F14" i="1"/>
  <c r="F12" i="1"/>
  <c r="F11" i="1"/>
  <c r="F9" i="1"/>
  <c r="F8" i="1"/>
  <c r="F7" i="1"/>
  <c r="F6" i="1"/>
  <c r="F4" i="1"/>
  <c r="F3" i="1"/>
  <c r="F5" i="1" s="1"/>
  <c r="F50" i="1" s="1"/>
  <c r="J14" i="1"/>
  <c r="J57" i="1" s="1"/>
  <c r="J12" i="1"/>
  <c r="J11" i="1"/>
  <c r="J9" i="1"/>
  <c r="J8" i="1"/>
  <c r="J7" i="1"/>
  <c r="J6" i="1"/>
  <c r="J51" i="1" s="1"/>
  <c r="J4" i="1"/>
  <c r="J3" i="1"/>
  <c r="J5" i="1" s="1"/>
  <c r="J50" i="1" s="1"/>
  <c r="C36" i="1"/>
  <c r="C35" i="1"/>
  <c r="C37" i="1" s="1"/>
  <c r="C5" i="1"/>
  <c r="C10" i="1" s="1"/>
  <c r="C13" i="1" s="1"/>
  <c r="C15" i="1" s="1"/>
  <c r="C17" i="1" s="1"/>
  <c r="G28" i="1"/>
  <c r="G19" i="1"/>
  <c r="D36" i="1"/>
  <c r="D35" i="1"/>
  <c r="D37" i="1" s="1"/>
  <c r="H35" i="1"/>
  <c r="H37" i="1" s="1"/>
  <c r="H36" i="1"/>
  <c r="G35" i="1"/>
  <c r="G37" i="1" s="1"/>
  <c r="G36" i="1"/>
  <c r="D5" i="1"/>
  <c r="D10" i="1" s="1"/>
  <c r="D13" i="1" s="1"/>
  <c r="D15" i="1" s="1"/>
  <c r="D17" i="1" s="1"/>
  <c r="H5" i="1"/>
  <c r="H10" i="1" s="1"/>
  <c r="H13" i="1" s="1"/>
  <c r="H15" i="1" s="1"/>
  <c r="H17" i="1" s="1"/>
  <c r="H28" i="1"/>
  <c r="H19" i="1"/>
  <c r="H29" i="1" s="1"/>
  <c r="I56" i="1" s="1"/>
  <c r="E36" i="1"/>
  <c r="E35" i="1"/>
  <c r="E37" i="1" s="1"/>
  <c r="I36" i="1"/>
  <c r="I35" i="1"/>
  <c r="I37" i="1" s="1"/>
  <c r="E5" i="1"/>
  <c r="E10" i="1" s="1"/>
  <c r="E13" i="1" s="1"/>
  <c r="E58" i="1" s="1"/>
  <c r="F28" i="1"/>
  <c r="F19" i="1"/>
  <c r="F29" i="1" s="1"/>
  <c r="G56" i="1" s="1"/>
  <c r="I5" i="1"/>
  <c r="I10" i="1" s="1"/>
  <c r="I13" i="1" s="1"/>
  <c r="I15" i="1" s="1"/>
  <c r="I17" i="1" s="1"/>
  <c r="I28" i="1"/>
  <c r="I19" i="1"/>
  <c r="I29" i="1" s="1"/>
  <c r="K36" i="1"/>
  <c r="K35" i="1"/>
  <c r="K37" i="1" s="1"/>
  <c r="G5" i="1"/>
  <c r="G10" i="1" s="1"/>
  <c r="G13" i="1" s="1"/>
  <c r="G15" i="1" s="1"/>
  <c r="G17" i="1" s="1"/>
  <c r="K5" i="1"/>
  <c r="K10" i="1" s="1"/>
  <c r="K13" i="1" s="1"/>
  <c r="K15" i="1" s="1"/>
  <c r="K17" i="1" s="1"/>
  <c r="J28" i="1"/>
  <c r="J19" i="1"/>
  <c r="K28" i="1"/>
  <c r="K19" i="1"/>
  <c r="K29" i="1" s="1"/>
  <c r="Q36" i="1"/>
  <c r="Q35" i="1"/>
  <c r="Q37" i="1" s="1"/>
  <c r="R36" i="1"/>
  <c r="R35" i="1"/>
  <c r="R37" i="1" s="1"/>
  <c r="Q5" i="1"/>
  <c r="Q10" i="1" s="1"/>
  <c r="Q13" i="1" s="1"/>
  <c r="Q15" i="1" s="1"/>
  <c r="Q17" i="1" s="1"/>
  <c r="R5" i="1"/>
  <c r="R10" i="1" s="1"/>
  <c r="R13" i="1" s="1"/>
  <c r="R15" i="1" s="1"/>
  <c r="R17" i="1" s="1"/>
  <c r="R28" i="1"/>
  <c r="R19" i="1"/>
  <c r="S28" i="1"/>
  <c r="S19" i="1"/>
  <c r="S29" i="1" s="1"/>
  <c r="T56" i="1" s="1"/>
  <c r="S36" i="1"/>
  <c r="S35" i="1"/>
  <c r="S37" i="1" s="1"/>
  <c r="T36" i="1"/>
  <c r="U36" i="1"/>
  <c r="T35" i="1"/>
  <c r="T37" i="1" s="1"/>
  <c r="U35" i="1"/>
  <c r="U37" i="1" s="1"/>
  <c r="S5" i="1"/>
  <c r="S10" i="1" s="1"/>
  <c r="S13" i="1" s="1"/>
  <c r="S15" i="1" s="1"/>
  <c r="S17" i="1" s="1"/>
  <c r="T5" i="1"/>
  <c r="T10" i="1" s="1"/>
  <c r="T13" i="1" s="1"/>
  <c r="T15" i="1" s="1"/>
  <c r="T17" i="1" s="1"/>
  <c r="U5" i="1"/>
  <c r="U10" i="1" s="1"/>
  <c r="U13" i="1" s="1"/>
  <c r="U15" i="1" s="1"/>
  <c r="U17" i="1" s="1"/>
  <c r="T28" i="1"/>
  <c r="U28" i="1"/>
  <c r="T19" i="1"/>
  <c r="U19" i="1"/>
  <c r="J5" i="2"/>
  <c r="J8" i="2" s="1"/>
  <c r="J17" i="2"/>
  <c r="J16" i="2"/>
  <c r="J15" i="2"/>
  <c r="X27" i="1" l="1"/>
  <c r="X9" i="1"/>
  <c r="R54" i="1"/>
  <c r="S54" i="1"/>
  <c r="G29" i="1"/>
  <c r="H56" i="1" s="1"/>
  <c r="F43" i="1"/>
  <c r="U29" i="1"/>
  <c r="V11" i="1" s="1"/>
  <c r="F51" i="1"/>
  <c r="C50" i="1"/>
  <c r="G58" i="1"/>
  <c r="T29" i="1"/>
  <c r="U56" i="1" s="1"/>
  <c r="K50" i="1"/>
  <c r="Q50" i="1"/>
  <c r="J56" i="1"/>
  <c r="T54" i="1"/>
  <c r="F57" i="1"/>
  <c r="H58" i="1"/>
  <c r="J45" i="1"/>
  <c r="I58" i="1"/>
  <c r="E43" i="1"/>
  <c r="E45" i="1" s="1"/>
  <c r="S50" i="1"/>
  <c r="U54" i="1"/>
  <c r="T50" i="1"/>
  <c r="Q58" i="1"/>
  <c r="U50" i="1"/>
  <c r="V5" i="1" s="1"/>
  <c r="K54" i="1"/>
  <c r="R58" i="1"/>
  <c r="S58" i="1"/>
  <c r="J53" i="1"/>
  <c r="U58" i="1"/>
  <c r="G54" i="1"/>
  <c r="T58" i="1"/>
  <c r="J29" i="1"/>
  <c r="K56" i="1" s="1"/>
  <c r="D50" i="1"/>
  <c r="H54" i="1"/>
  <c r="J10" i="1"/>
  <c r="J13" i="1" s="1"/>
  <c r="J15" i="1" s="1"/>
  <c r="E50" i="1"/>
  <c r="R29" i="1"/>
  <c r="S56" i="1" s="1"/>
  <c r="K58" i="1"/>
  <c r="G50" i="1"/>
  <c r="W6" i="1"/>
  <c r="C58" i="1"/>
  <c r="H50" i="1"/>
  <c r="D58" i="1"/>
  <c r="F45" i="1"/>
  <c r="I50" i="1"/>
  <c r="V6" i="1"/>
  <c r="M30" i="2"/>
  <c r="M32" i="2"/>
  <c r="M33" i="2"/>
  <c r="P30" i="2"/>
  <c r="P33" i="2"/>
  <c r="W5" i="1"/>
  <c r="X3" i="1"/>
  <c r="G33" i="2"/>
  <c r="I31" i="2"/>
  <c r="I30" i="2" s="1"/>
  <c r="J34" i="2" s="1"/>
  <c r="F32" i="2"/>
  <c r="D44" i="1"/>
  <c r="H45" i="1"/>
  <c r="I45" i="1"/>
  <c r="D43" i="1"/>
  <c r="D45" i="1" s="1"/>
  <c r="E44" i="1"/>
  <c r="F44" i="1"/>
  <c r="H44" i="1"/>
  <c r="I44" i="1"/>
  <c r="E15" i="1"/>
  <c r="E17" i="1" s="1"/>
  <c r="F10" i="1"/>
  <c r="F13" i="1" s="1"/>
  <c r="V10" i="1" l="1"/>
  <c r="V13" i="1" s="1"/>
  <c r="F15" i="1"/>
  <c r="F17" i="1" s="1"/>
  <c r="F58" i="1"/>
  <c r="I54" i="1"/>
  <c r="J58" i="1"/>
  <c r="X5" i="1"/>
  <c r="Y3" i="1"/>
  <c r="J17" i="1"/>
  <c r="J54" i="1"/>
  <c r="W10" i="1"/>
  <c r="J31" i="2"/>
  <c r="X6" i="1"/>
  <c r="G32" i="2"/>
  <c r="I32" i="2"/>
  <c r="J32" i="2" s="1"/>
  <c r="J33" i="2"/>
  <c r="J30" i="2"/>
  <c r="V14" i="1" l="1"/>
  <c r="V15" i="1" s="1"/>
  <c r="V29" i="1" s="1"/>
  <c r="W11" i="1" s="1"/>
  <c r="W13" i="1" s="1"/>
  <c r="Y6" i="1"/>
  <c r="Y5" i="1"/>
  <c r="Z3" i="1"/>
  <c r="X10" i="1"/>
  <c r="Y10" i="1" l="1"/>
  <c r="W14" i="1"/>
  <c r="W15" i="1" s="1"/>
  <c r="W29" i="1" s="1"/>
  <c r="X11" i="1" s="1"/>
  <c r="X13" i="1" s="1"/>
  <c r="Z14" i="1"/>
  <c r="AA3" i="1"/>
  <c r="Z6" i="1"/>
  <c r="Z5" i="1"/>
  <c r="X14" i="1" l="1"/>
  <c r="X15" i="1" s="1"/>
  <c r="X29" i="1" s="1"/>
  <c r="Y11" i="1" s="1"/>
  <c r="Y13" i="1" s="1"/>
  <c r="Z10" i="1"/>
  <c r="AA14" i="1"/>
  <c r="AB3" i="1"/>
  <c r="AA5" i="1"/>
  <c r="AA6" i="1"/>
  <c r="Y14" i="1" l="1"/>
  <c r="Y15" i="1" s="1"/>
  <c r="Y29" i="1" s="1"/>
  <c r="Z11" i="1" s="1"/>
  <c r="Z13" i="1" s="1"/>
  <c r="Z15" i="1" s="1"/>
  <c r="Z29" i="1" s="1"/>
  <c r="AA11" i="1" s="1"/>
  <c r="AA10" i="1"/>
  <c r="AB14" i="1"/>
  <c r="AC3" i="1"/>
  <c r="AB6" i="1"/>
  <c r="AB5" i="1"/>
  <c r="AB10" i="1" l="1"/>
  <c r="AA13" i="1"/>
  <c r="AA15" i="1" s="1"/>
  <c r="AA29" i="1" s="1"/>
  <c r="AB11" i="1" s="1"/>
  <c r="AC14" i="1"/>
  <c r="AC6" i="1"/>
  <c r="AC5" i="1"/>
  <c r="AD3" i="1"/>
  <c r="AC10" i="1" l="1"/>
  <c r="AB13" i="1"/>
  <c r="AB15" i="1" s="1"/>
  <c r="AB29" i="1" s="1"/>
  <c r="AC11" i="1" s="1"/>
  <c r="AC13" i="1" s="1"/>
  <c r="AC15" i="1" s="1"/>
  <c r="AC29" i="1" s="1"/>
  <c r="AD11" i="1" s="1"/>
  <c r="AD14" i="1"/>
  <c r="AD5" i="1"/>
  <c r="AD6" i="1"/>
  <c r="AE3" i="1"/>
  <c r="AD10" i="1" l="1"/>
  <c r="AD13" i="1" s="1"/>
  <c r="AD15" i="1" s="1"/>
  <c r="AD29" i="1" s="1"/>
  <c r="AE11" i="1" s="1"/>
  <c r="AE14" i="1"/>
  <c r="AE5" i="1"/>
  <c r="AF3" i="1"/>
  <c r="AE6" i="1"/>
  <c r="AF14" i="1" l="1"/>
  <c r="AG3" i="1"/>
  <c r="AF5" i="1"/>
  <c r="AF6" i="1"/>
  <c r="AE10" i="1"/>
  <c r="AE13" i="1" s="1"/>
  <c r="AE15" i="1" s="1"/>
  <c r="AE29" i="1" s="1"/>
  <c r="AF11" i="1" s="1"/>
  <c r="AG14" i="1" l="1"/>
  <c r="AG5" i="1"/>
  <c r="AG6" i="1"/>
  <c r="AF10" i="1"/>
  <c r="AF13" i="1" s="1"/>
  <c r="AF15" i="1" s="1"/>
  <c r="AF29" i="1" s="1"/>
  <c r="AG11" i="1" s="1"/>
  <c r="AG10" i="1" l="1"/>
  <c r="AG13" i="1" s="1"/>
  <c r="AG15" i="1" s="1"/>
  <c r="AG29" i="1" l="1"/>
  <c r="AH15" i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J18" i="2" l="1"/>
  <c r="J19" i="2" l="1"/>
</calcChain>
</file>

<file path=xl/sharedStrings.xml><?xml version="1.0" encoding="utf-8"?>
<sst xmlns="http://schemas.openxmlformats.org/spreadsheetml/2006/main" count="142" uniqueCount="117">
  <si>
    <t>Price</t>
  </si>
  <si>
    <t>Shares</t>
  </si>
  <si>
    <t>MkCap</t>
  </si>
  <si>
    <t>Cash</t>
  </si>
  <si>
    <t>Debt</t>
  </si>
  <si>
    <t>EV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</si>
  <si>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</si>
  <si>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</si>
  <si>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</si>
  <si>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</si>
  <si>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</si>
  <si>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</si>
  <si>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</si>
  <si>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</si>
  <si>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</si>
  <si>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</si>
  <si>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</si>
  <si>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</si>
  <si>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</si>
  <si>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</si>
  <si>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Gross profit</t>
  </si>
  <si>
    <t>SG&amp;A</t>
  </si>
  <si>
    <t>Net income</t>
  </si>
  <si>
    <t>EPS</t>
  </si>
  <si>
    <t>PP&amp;E, net</t>
  </si>
  <si>
    <t>Net cash</t>
  </si>
  <si>
    <t>Gross margin</t>
  </si>
  <si>
    <t>Net income y/y</t>
  </si>
  <si>
    <t>ROIC</t>
  </si>
  <si>
    <t>Discount</t>
  </si>
  <si>
    <t>NPV</t>
  </si>
  <si>
    <t>Weirdo schedule</t>
  </si>
  <si>
    <t>Terminal value</t>
  </si>
  <si>
    <t>Target</t>
  </si>
  <si>
    <t>Bed Bath and Beyond</t>
  </si>
  <si>
    <t>BBBY</t>
  </si>
  <si>
    <t>2021 10K 4 lines of business</t>
  </si>
  <si>
    <t>Home furnishings</t>
  </si>
  <si>
    <t>BABY (buy buy Baby)</t>
  </si>
  <si>
    <t>Nursury</t>
  </si>
  <si>
    <t>Harmon Health and Beauty</t>
  </si>
  <si>
    <t>Make up</t>
  </si>
  <si>
    <t>Decorist</t>
  </si>
  <si>
    <t>Online home furnishings</t>
  </si>
  <si>
    <t>Tried curbside pickup for home furnishings??? What are they doing</t>
  </si>
  <si>
    <t>Solely NA</t>
  </si>
  <si>
    <t>700 stores</t>
  </si>
  <si>
    <t>120 stores</t>
  </si>
  <si>
    <t>Partnered with Kroger - is this a desperation play?</t>
  </si>
  <si>
    <t>Reno'd 130 stores during pandemic, when shoppers returned, they were confused</t>
  </si>
  <si>
    <t>207 stores closed recently, 63 this year, all Beyond</t>
  </si>
  <si>
    <t>Selling some brands</t>
  </si>
  <si>
    <t>Supplied mostly by US companies, oversea sources increasing</t>
  </si>
  <si>
    <t>Beyond+ gives some stupid coupons, brand presence?</t>
  </si>
  <si>
    <t>Stupid focus on DIE</t>
  </si>
  <si>
    <t>CEO shift from bumbling idiot to Ryan Cohen</t>
  </si>
  <si>
    <t>Home furnishings business should slow down in 2022 onward (spike in business 2020/21)</t>
  </si>
  <si>
    <t>massive share repo program just ended?</t>
  </si>
  <si>
    <t>Plan to increase gross margin by 200MM$ anually</t>
  </si>
  <si>
    <t>Plan to decrease SG&amp;A 100MM to 150MM</t>
  </si>
  <si>
    <t>Impairments/Goodwill</t>
  </si>
  <si>
    <t>Restructuring</t>
  </si>
  <si>
    <t>Loss on sale of business</t>
  </si>
  <si>
    <t>Operating profit</t>
  </si>
  <si>
    <t>Interest expense</t>
  </si>
  <si>
    <t>Loss on extinguished debt</t>
  </si>
  <si>
    <t>Income before tax</t>
  </si>
  <si>
    <t>Taxes</t>
  </si>
  <si>
    <t>Inventories</t>
  </si>
  <si>
    <t>1.5billion in PP&amp;E on just computers???</t>
  </si>
  <si>
    <t>Operating lease assets</t>
  </si>
  <si>
    <t>Land and buildings</t>
  </si>
  <si>
    <t>Furnishings and equipment</t>
  </si>
  <si>
    <t>Leasehold</t>
  </si>
  <si>
    <t>Computers</t>
  </si>
  <si>
    <t>Feb</t>
  </si>
  <si>
    <t>FCFO</t>
  </si>
  <si>
    <t>FCFI</t>
  </si>
  <si>
    <t>FCF share repo</t>
  </si>
  <si>
    <t>FCFF</t>
  </si>
  <si>
    <t>FCFF, real</t>
  </si>
  <si>
    <t>Net FCF, real</t>
  </si>
  <si>
    <t>Net FCF, nominal</t>
  </si>
  <si>
    <t>May</t>
  </si>
  <si>
    <t>Aug</t>
  </si>
  <si>
    <t>Nov</t>
  </si>
  <si>
    <t>Beyond growth</t>
  </si>
  <si>
    <t>BABY growth</t>
  </si>
  <si>
    <t>neg single</t>
  </si>
  <si>
    <t>neg doubles</t>
  </si>
  <si>
    <t>3m</t>
  </si>
  <si>
    <t>9m</t>
  </si>
  <si>
    <t>6m</t>
  </si>
  <si>
    <t>12m</t>
  </si>
  <si>
    <t>SG&amp;A %rev</t>
  </si>
  <si>
    <t>Rev y/y</t>
  </si>
  <si>
    <t>Total stores</t>
  </si>
  <si>
    <t>75% Beyond</t>
  </si>
  <si>
    <t>Half 75%</t>
  </si>
  <si>
    <t>% total</t>
  </si>
  <si>
    <t>Nom</t>
  </si>
  <si>
    <t>BABY</t>
  </si>
  <si>
    <t>Weighted</t>
  </si>
  <si>
    <t>Beyond</t>
  </si>
  <si>
    <t>Remain open 2025</t>
  </si>
  <si>
    <t>% of rev</t>
  </si>
  <si>
    <t>Interest on debt</t>
  </si>
  <si>
    <t>Tax rate % rev</t>
  </si>
  <si>
    <t>Tax rate % income</t>
  </si>
  <si>
    <t>They can survive if they sell 75% of BEYOND business by 2025</t>
  </si>
  <si>
    <t>If they can turn around by 2025, they will be sucessful again</t>
  </si>
  <si>
    <t>Outlook 2024</t>
  </si>
  <si>
    <t>Outlook 2025</t>
  </si>
  <si>
    <t>To close before 2024</t>
  </si>
  <si>
    <t>To close before 2025</t>
  </si>
  <si>
    <t>Net sellable/transferable assets</t>
  </si>
  <si>
    <t>They will have -1.85bil net cash flow up to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</si>
</sst>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38" fontId="0" fillId="0" borderId="0" xfId="0" applyNumberFormat="1"/>
    <xf numFmtId="3" fontId="0" fillId="0" borderId="0" xfId="0" applyNumberFormat="1" applyFont="1"/>
    <xf numFmtId="3" fontId="0" fillId="2" borderId="0" xfId="0" applyNumberFormat="1" applyFont="1" applyFill="1"/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2" fontId="0" fillId="2" borderId="0" xfId="0" applyNumberFormat="1" applyFont="1" applyFill="1"/>
    <xf numFmtId="4" fontId="0" fillId="0" borderId="0" xfId="0" applyNumberFormat="1" applyFont="1"/>
    <xf numFmtId="4" fontId="0" fillId="2" borderId="0" xfId="0" applyNumberFormat="1" applyFont="1" applyFill="1"/>
    <xf numFmtId="9" fontId="0" fillId="0" borderId="0" xfId="0" applyNumberFormat="1" applyFont="1"/>
    <xf numFmtId="9" fontId="0" fillId="2" borderId="0" xfId="0" applyNumberFormat="1" applyFont="1" applyFill="1"/>
    <xf numFmtId="10" fontId="0" fillId="0" borderId="0" xfId="0" applyNumberFormat="1" applyFont="1"/>
    <xf numFmtId="10" fontId="0" fillId="2" borderId="0" xfId="0" applyNumberFormat="1" applyFont="1" applyFill="1"/>
    <xf numFmtId="38" fontId="0" fillId="0" borderId="0" xfId="0" applyNumberFormat="1" applyFont="1"/>
    <xf numFmtId="8" fontId="0" fillId="0" borderId="0" xfId="0" applyNumberFormat="1" applyFont="1"/>
    <xf numFmtId="3" fontId="0" fillId="0" borderId="0" xfId="0" quotePrefix="1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43165</xdr:colOff>
      <xdr:row>0</xdr:row>
      <xdr:rowOff>0</xdr:rowOff>
    </xdr:from>
    <xdr:to>
      <xdr:col>11</xdr:col>
      <xdr:colOff>43165</xdr:colOff>
      <xdr:row>77</xdr:row>
      <xdr:rowOff>168519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F557988-B92E-412C-BAE2-01E32E2AAFC9}"/>
            </a:ext>
          </a:extLst>
        </xdr:cNvPr>
        <xdr:cNvCxnSpPr/>
      </xdr:nvCxnSpPr>
      <xdr:spPr>
        <a:xfrm>
          <a:off x="7882240" y="0"/>
          <a:ext cx="0" cy="13122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78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7354A06-A524-4E0E-862C-2448E84FFD11}"/>
            </a:ext>
          </a:extLst>
        </xdr:cNvPr>
        <xdr:cNvCxnSpPr/>
      </xdr:nvCxnSpPr>
      <xdr:spPr>
        <a:xfrm>
          <a:off x="13992225" y="9525"/>
          <a:ext cx="0" cy="9324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CF078-8F80-46BC-B5B9-A1A85F980B56}">
  <dimension ref="B1:P35"/>
  <sheetViews>
    <sheetView zoomScaleNormal="100" workbookViewId="0">
      <selection activeCell="Q25" sqref="Q25"/>
    </sheetView>
  </sheetViews>
  <sheetFormatPr defaultRowHeight="15" x14ac:dyDescent="0.25"/>
  <cols>
    <col min="3" max="3" width="19.28515625" customWidth="1"/>
    <col min="4" max="4" width="23" customWidth="1"/>
    <col min="5" max="5" width="14.7109375" customWidth="1"/>
    <col min="9" max="9" width="9.7109375" bestFit="1" customWidth="1"/>
  </cols>
  <sheetData>
    <row r="1" spans="2:10" x14ac:dyDescent="0.25">
      <c r="I1" t="s">
        <v>34</v>
      </c>
    </row>
    <row r="2" spans="2:10" x14ac:dyDescent="0.25">
      <c r="B2" t="s">
        <v>36</v>
      </c>
      <c r="I2" t="s">
        <v>35</v>
      </c>
    </row>
    <row r="3" spans="2:10" x14ac:dyDescent="0.25">
      <c r="C3" t="s">
        <v>34</v>
      </c>
      <c r="D3" t="s">
        <v>37</v>
      </c>
      <c r="E3" t="s">
        <v>46</v>
      </c>
      <c r="I3" t="s">
        <v>0</v>
      </c>
      <c r="J3" s="9">
        <v>8.1999999999999993</v>
      </c>
    </row>
    <row r="4" spans="2:10" x14ac:dyDescent="0.25">
      <c r="C4" t="s">
        <v>38</v>
      </c>
      <c r="D4" t="s">
        <v>39</v>
      </c>
      <c r="E4" t="s">
        <v>47</v>
      </c>
      <c r="I4" t="s">
        <v>1</v>
      </c>
      <c r="J4">
        <v>79.599999999999994</v>
      </c>
    </row>
    <row r="5" spans="2:10" x14ac:dyDescent="0.25">
      <c r="C5" t="s">
        <v>40</v>
      </c>
      <c r="D5" t="s">
        <v>41</v>
      </c>
      <c r="I5" t="s">
        <v>2</v>
      </c>
      <c r="J5">
        <f>J3*J4</f>
        <v>652.71999999999991</v>
      </c>
    </row>
    <row r="6" spans="2:10" x14ac:dyDescent="0.25">
      <c r="C6" t="s">
        <v>42</v>
      </c>
      <c r="D6" t="s">
        <v>43</v>
      </c>
      <c r="I6" t="s">
        <v>3</v>
      </c>
      <c r="J6" s="2">
        <v>126.5</v>
      </c>
    </row>
    <row r="7" spans="2:10" x14ac:dyDescent="0.25">
      <c r="B7" t="s">
        <v>44</v>
      </c>
      <c r="I7" t="s">
        <v>4</v>
      </c>
      <c r="J7" s="2">
        <v>3276.76</v>
      </c>
    </row>
    <row r="8" spans="2:10" x14ac:dyDescent="0.25">
      <c r="B8" t="s">
        <v>45</v>
      </c>
      <c r="I8" t="s">
        <v>5</v>
      </c>
      <c r="J8" s="2">
        <f>J5-J6+J7</f>
        <v>3802.98</v>
      </c>
    </row>
    <row r="9" spans="2:10" x14ac:dyDescent="0.25">
      <c r="B9" t="s">
        <v>48</v>
      </c>
    </row>
    <row r="10" spans="2:10" x14ac:dyDescent="0.25">
      <c r="B10" t="s">
        <v>49</v>
      </c>
    </row>
    <row r="11" spans="2:10" x14ac:dyDescent="0.25">
      <c r="B11" t="s">
        <v>50</v>
      </c>
      <c r="I11" s="1">
        <v>44779</v>
      </c>
    </row>
    <row r="12" spans="2:10" x14ac:dyDescent="0.25">
      <c r="B12" t="s">
        <v>51</v>
      </c>
    </row>
    <row r="13" spans="2:10" x14ac:dyDescent="0.25">
      <c r="B13" t="s">
        <v>52</v>
      </c>
    </row>
    <row r="14" spans="2:10" x14ac:dyDescent="0.25">
      <c r="B14" t="s">
        <v>53</v>
      </c>
    </row>
    <row r="15" spans="2:10" x14ac:dyDescent="0.25">
      <c r="B15" t="s">
        <v>54</v>
      </c>
      <c r="I15" s="7" t="s">
        <v>32</v>
      </c>
      <c r="J15" s="8">
        <f>Model!AJ59</f>
        <v>-0.02</v>
      </c>
    </row>
    <row r="16" spans="2:10" x14ac:dyDescent="0.25">
      <c r="B16" t="s">
        <v>55</v>
      </c>
      <c r="I16" s="7" t="s">
        <v>28</v>
      </c>
      <c r="J16" s="8">
        <f>Model!AJ60</f>
        <v>-0.01</v>
      </c>
    </row>
    <row r="17" spans="2:16" x14ac:dyDescent="0.25">
      <c r="B17" t="s">
        <v>56</v>
      </c>
      <c r="I17" s="7" t="s">
        <v>29</v>
      </c>
      <c r="J17" s="8">
        <f>Model!AJ61</f>
        <v>0.12</v>
      </c>
    </row>
    <row r="18" spans="2:16" x14ac:dyDescent="0.25">
      <c r="B18" t="s">
        <v>57</v>
      </c>
      <c r="I18" s="7" t="s">
        <v>30</v>
      </c>
      <c r="J18" s="10">
        <f>Model!AJ62</f>
        <v>218.76521315251679</v>
      </c>
    </row>
    <row r="19" spans="2:16" x14ac:dyDescent="0.25">
      <c r="I19" s="7" t="s">
        <v>33</v>
      </c>
      <c r="J19" s="9">
        <f>J18/J4</f>
        <v>2.7483066978959396</v>
      </c>
    </row>
    <row r="21" spans="2:16" x14ac:dyDescent="0.25">
      <c r="B21" s="3" t="s">
        <v>58</v>
      </c>
    </row>
    <row r="22" spans="2:16" x14ac:dyDescent="0.25">
      <c r="B22" t="s">
        <v>59</v>
      </c>
    </row>
    <row r="23" spans="2:16" x14ac:dyDescent="0.25">
      <c r="B23" t="s">
        <v>69</v>
      </c>
    </row>
    <row r="25" spans="2:16" x14ac:dyDescent="0.25">
      <c r="B25" t="s">
        <v>109</v>
      </c>
    </row>
    <row r="26" spans="2:16" x14ac:dyDescent="0.25">
      <c r="B26" t="s">
        <v>116</v>
      </c>
    </row>
    <row r="27" spans="2:16" x14ac:dyDescent="0.25">
      <c r="B27" t="s">
        <v>110</v>
      </c>
    </row>
    <row r="29" spans="2:16" x14ac:dyDescent="0.25">
      <c r="F29" t="s">
        <v>100</v>
      </c>
      <c r="G29" t="s">
        <v>99</v>
      </c>
      <c r="I29" t="s">
        <v>102</v>
      </c>
      <c r="J29" t="s">
        <v>105</v>
      </c>
      <c r="L29" t="s">
        <v>111</v>
      </c>
      <c r="O29" t="s">
        <v>112</v>
      </c>
    </row>
    <row r="30" spans="2:16" x14ac:dyDescent="0.25">
      <c r="E30" t="s">
        <v>96</v>
      </c>
      <c r="F30">
        <v>820</v>
      </c>
      <c r="G30" s="7">
        <f>F30/F30</f>
        <v>1</v>
      </c>
      <c r="I30">
        <f>+I31+I33+I34</f>
        <v>910</v>
      </c>
      <c r="J30" s="7">
        <f>I30/$I$30</f>
        <v>1</v>
      </c>
      <c r="L30">
        <f>L32+L33+L34</f>
        <v>647.5</v>
      </c>
      <c r="M30" s="7">
        <f>L30/$L$30</f>
        <v>1</v>
      </c>
      <c r="O30">
        <f>O32+O33+O34</f>
        <v>385</v>
      </c>
      <c r="P30" s="7">
        <f>O30/$O$30</f>
        <v>1</v>
      </c>
    </row>
    <row r="31" spans="2:16" x14ac:dyDescent="0.25">
      <c r="C31" t="s">
        <v>103</v>
      </c>
      <c r="D31" t="s">
        <v>114</v>
      </c>
      <c r="E31" t="s">
        <v>97</v>
      </c>
      <c r="F31">
        <f>700*3/4</f>
        <v>525</v>
      </c>
      <c r="G31" s="7">
        <f>F31/$F$30</f>
        <v>0.6402439024390244</v>
      </c>
      <c r="H31">
        <v>1</v>
      </c>
      <c r="I31">
        <f>F31*H31</f>
        <v>525</v>
      </c>
      <c r="J31" s="7">
        <f t="shared" ref="J31:J34" si="0">I31/$I$30</f>
        <v>0.57692307692307687</v>
      </c>
      <c r="M31" s="7"/>
      <c r="P31" s="7"/>
    </row>
    <row r="32" spans="2:16" x14ac:dyDescent="0.25">
      <c r="C32" t="s">
        <v>103</v>
      </c>
      <c r="D32" t="s">
        <v>113</v>
      </c>
      <c r="E32" t="s">
        <v>98</v>
      </c>
      <c r="F32">
        <f>F31/2</f>
        <v>262.5</v>
      </c>
      <c r="G32" s="7">
        <f>F32/$F$30</f>
        <v>0.3201219512195122</v>
      </c>
      <c r="H32">
        <v>1</v>
      </c>
      <c r="I32">
        <f>F32*H32</f>
        <v>262.5</v>
      </c>
      <c r="J32" s="7">
        <f>I32/$I$30</f>
        <v>0.28846153846153844</v>
      </c>
      <c r="L32">
        <v>262.5</v>
      </c>
      <c r="M32" s="7">
        <f t="shared" ref="M32:M34" si="1">L32/$L$30</f>
        <v>0.40540540540540543</v>
      </c>
      <c r="P32" s="7"/>
    </row>
    <row r="33" spans="3:16" x14ac:dyDescent="0.25">
      <c r="C33" t="s">
        <v>103</v>
      </c>
      <c r="D33" t="s">
        <v>104</v>
      </c>
      <c r="E33" s="7">
        <v>0.25</v>
      </c>
      <c r="F33">
        <f>F30*1/4</f>
        <v>205</v>
      </c>
      <c r="G33" s="7">
        <f>F33/$F$30</f>
        <v>0.25</v>
      </c>
      <c r="H33">
        <v>1</v>
      </c>
      <c r="I33">
        <f>F33*H33</f>
        <v>205</v>
      </c>
      <c r="J33" s="7">
        <f>I33/$I$30</f>
        <v>0.22527472527472528</v>
      </c>
      <c r="L33">
        <v>205</v>
      </c>
      <c r="M33" s="7">
        <f t="shared" si="1"/>
        <v>0.31660231660231658</v>
      </c>
      <c r="O33">
        <v>205</v>
      </c>
      <c r="P33" s="7">
        <f t="shared" ref="P33:P34" si="2">O33/$O$30</f>
        <v>0.53246753246753242</v>
      </c>
    </row>
    <row r="34" spans="3:16" x14ac:dyDescent="0.25">
      <c r="C34" t="s">
        <v>101</v>
      </c>
      <c r="D34" t="s">
        <v>104</v>
      </c>
      <c r="E34" t="s">
        <v>101</v>
      </c>
      <c r="F34">
        <v>120</v>
      </c>
      <c r="G34" s="7">
        <f>F34/$F$30</f>
        <v>0.14634146341463414</v>
      </c>
      <c r="H34">
        <v>1.5</v>
      </c>
      <c r="I34">
        <f>F34*H34</f>
        <v>180</v>
      </c>
      <c r="J34" s="7">
        <f>I34/$I$30</f>
        <v>0.19780219780219779</v>
      </c>
      <c r="L34">
        <v>180</v>
      </c>
      <c r="M34" s="7">
        <f t="shared" si="1"/>
        <v>0.27799227799227799</v>
      </c>
      <c r="O34">
        <v>180</v>
      </c>
      <c r="P34" s="7">
        <f t="shared" si="2"/>
        <v>0.46753246753246752</v>
      </c>
    </row>
    <row r="35" spans="3:16" x14ac:dyDescent="0.25">
      <c r="J3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247D-41DC-4DAB-8C48-410CF359BD4C}">
  <dimension ref="A1:DE81"/>
  <sheetViews>
    <sheetView tabSelected="1" zoomScaleNormal="1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Z20" sqref="Z20"/>
    </sheetView>
  </sheetViews>
  <sheetFormatPr defaultRowHeight="15" x14ac:dyDescent="0.25"/>
  <cols>
    <col min="1" max="1" width="3.85546875" style="13" customWidth="1"/>
    <col min="2" max="2" width="31.42578125" style="13" customWidth="1"/>
    <col min="3" max="15" width="9.140625" style="11"/>
    <col min="16" max="16" width="4.42578125" style="14" customWidth="1"/>
    <col min="17" max="22" width="9.140625" style="13"/>
    <col min="23" max="23" width="10.85546875" style="13" bestFit="1" customWidth="1"/>
    <col min="24" max="34" width="9.140625" style="13"/>
    <col min="35" max="35" width="10.85546875" style="13" bestFit="1" customWidth="1"/>
    <col min="36" max="36" width="9.85546875" style="13" bestFit="1" customWidth="1"/>
    <col min="37" max="39" width="9.140625" style="13"/>
    <col min="40" max="40" width="10.85546875" style="13" bestFit="1" customWidth="1"/>
    <col min="41" max="16384" width="9.140625" style="13"/>
  </cols>
  <sheetData>
    <row r="1" spans="2:109" x14ac:dyDescent="0.25">
      <c r="B1" s="13" t="s">
        <v>31</v>
      </c>
      <c r="J1" s="11" t="s">
        <v>75</v>
      </c>
      <c r="K1" s="11" t="s">
        <v>83</v>
      </c>
      <c r="L1" s="11" t="s">
        <v>84</v>
      </c>
      <c r="M1" s="11" t="s">
        <v>85</v>
      </c>
      <c r="U1" s="13" t="s">
        <v>75</v>
      </c>
    </row>
    <row r="2" spans="2:109" x14ac:dyDescent="0.25"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17</v>
      </c>
      <c r="Q2" s="11">
        <v>17</v>
      </c>
      <c r="R2" s="11">
        <v>18</v>
      </c>
      <c r="S2" s="11">
        <v>19</v>
      </c>
      <c r="T2" s="11">
        <v>20</v>
      </c>
      <c r="U2" s="11">
        <v>21</v>
      </c>
      <c r="V2" s="11">
        <v>22</v>
      </c>
      <c r="W2" s="11">
        <v>23</v>
      </c>
      <c r="X2" s="11">
        <v>24</v>
      </c>
      <c r="Y2" s="11">
        <v>25</v>
      </c>
      <c r="Z2" s="11">
        <v>26</v>
      </c>
      <c r="AA2" s="11">
        <v>27</v>
      </c>
      <c r="AB2" s="11">
        <v>28</v>
      </c>
      <c r="AC2" s="11">
        <v>29</v>
      </c>
      <c r="AD2" s="11">
        <v>30</v>
      </c>
      <c r="AE2" s="11">
        <v>31</v>
      </c>
      <c r="AF2" s="11">
        <v>32</v>
      </c>
      <c r="AG2" s="11">
        <v>33</v>
      </c>
      <c r="AH2" s="11">
        <v>34</v>
      </c>
      <c r="AI2" s="11">
        <v>35</v>
      </c>
      <c r="AJ2" s="11">
        <v>36</v>
      </c>
      <c r="AK2" s="11">
        <v>37</v>
      </c>
    </row>
    <row r="3" spans="2:109" s="4" customFormat="1" x14ac:dyDescent="0.25">
      <c r="B3" s="4" t="s">
        <v>18</v>
      </c>
      <c r="C3" s="4">
        <v>1307.44</v>
      </c>
      <c r="D3" s="4">
        <v>2687.9679999999998</v>
      </c>
      <c r="E3" s="4">
        <v>2618.4</v>
      </c>
      <c r="F3" s="4">
        <f>T3-E3-D3-C3</f>
        <v>2619.1920000000005</v>
      </c>
      <c r="G3" s="4">
        <v>1953.81</v>
      </c>
      <c r="H3" s="4">
        <v>1984.7</v>
      </c>
      <c r="I3" s="4">
        <v>1877.9</v>
      </c>
      <c r="J3" s="4">
        <f>U3-I3-H3-G3</f>
        <v>2051.5900000000006</v>
      </c>
      <c r="K3" s="4">
        <v>1463.4</v>
      </c>
      <c r="P3" s="6"/>
      <c r="Q3" s="4">
        <v>12349.3</v>
      </c>
      <c r="R3" s="4">
        <v>12029</v>
      </c>
      <c r="S3" s="4">
        <v>11158.6</v>
      </c>
      <c r="T3" s="4">
        <v>9233</v>
      </c>
      <c r="U3" s="4">
        <v>7868</v>
      </c>
      <c r="V3" s="4">
        <f>T3*(1+V53)</f>
        <v>6924.75</v>
      </c>
      <c r="W3" s="4">
        <f>U3*(1+W53)</f>
        <v>5586.28</v>
      </c>
      <c r="X3" s="4">
        <f>W3*(1+X53)</f>
        <v>3295.9052000000001</v>
      </c>
      <c r="Y3" s="4">
        <f>X3*(1+Y53)</f>
        <v>3988.0452920000002</v>
      </c>
      <c r="Z3" s="4">
        <f>Y3*(1+Z53)</f>
        <v>3828.5234803200001</v>
      </c>
      <c r="AA3" s="4">
        <f>Z3*(1+AA53)</f>
        <v>4287.9462979584005</v>
      </c>
      <c r="AB3" s="4">
        <f>AA3*(1+AB53)</f>
        <v>4416.584686897153</v>
      </c>
      <c r="AC3" s="4">
        <f>AB3*(1+AC53)</f>
        <v>4504.9163806350962</v>
      </c>
      <c r="AD3" s="4">
        <f>AC3*(1+AD53)</f>
        <v>4775.2113634732023</v>
      </c>
      <c r="AE3" s="4">
        <f>AD3*(1+AE53)</f>
        <v>5013.9719316468627</v>
      </c>
      <c r="AF3" s="4">
        <f>AE3*(1+AF53)</f>
        <v>5214.5308089127375</v>
      </c>
      <c r="AG3" s="4">
        <f>AF3*(1+AG53)</f>
        <v>5423.1120412692471</v>
      </c>
    </row>
    <row r="4" spans="2:109" s="11" customFormat="1" x14ac:dyDescent="0.25">
      <c r="B4" s="11" t="s">
        <v>19</v>
      </c>
      <c r="C4" s="11">
        <v>959</v>
      </c>
      <c r="D4" s="11">
        <v>1700.4</v>
      </c>
      <c r="E4" s="11">
        <v>1661.9</v>
      </c>
      <c r="F4" s="11">
        <f>T4-E4-D4-C4</f>
        <v>1793.2000000000003</v>
      </c>
      <c r="G4" s="11">
        <v>1320</v>
      </c>
      <c r="H4" s="11">
        <v>1383.6</v>
      </c>
      <c r="I4" s="11">
        <v>1208.9000000000001</v>
      </c>
      <c r="J4" s="11">
        <f>U4-I4-H4-G4</f>
        <v>1471.5000000000005</v>
      </c>
      <c r="K4" s="11">
        <v>1114.0999999999999</v>
      </c>
      <c r="P4" s="12"/>
      <c r="Q4" s="11">
        <v>7906</v>
      </c>
      <c r="R4" s="11">
        <v>7925</v>
      </c>
      <c r="S4" s="11">
        <v>7616.9</v>
      </c>
      <c r="T4" s="11">
        <v>6114.5</v>
      </c>
      <c r="U4" s="11">
        <v>5384</v>
      </c>
    </row>
    <row r="5" spans="2:109" s="4" customFormat="1" x14ac:dyDescent="0.25">
      <c r="B5" s="4" t="s">
        <v>20</v>
      </c>
      <c r="C5" s="4">
        <f>C3-C4</f>
        <v>348.44000000000005</v>
      </c>
      <c r="D5" s="4">
        <f>D3-D4</f>
        <v>987.56799999999976</v>
      </c>
      <c r="E5" s="4">
        <f>E3-E4</f>
        <v>956.5</v>
      </c>
      <c r="F5" s="4">
        <f>F3-F4</f>
        <v>825.99200000000019</v>
      </c>
      <c r="G5" s="4">
        <f>G3-G4</f>
        <v>633.80999999999995</v>
      </c>
      <c r="H5" s="4">
        <f>H3-H4</f>
        <v>601.10000000000014</v>
      </c>
      <c r="I5" s="4">
        <f>I3-I4</f>
        <v>669</v>
      </c>
      <c r="J5" s="4">
        <f>J3-J4</f>
        <v>580.09000000000015</v>
      </c>
      <c r="K5" s="4">
        <f>K3-K4</f>
        <v>349.30000000000018</v>
      </c>
      <c r="P5" s="6"/>
      <c r="Q5" s="4">
        <f>Q3-Q4</f>
        <v>4443.2999999999993</v>
      </c>
      <c r="R5" s="4">
        <f>R3-R4</f>
        <v>4104</v>
      </c>
      <c r="S5" s="4">
        <f>S3-S4</f>
        <v>3541.7000000000007</v>
      </c>
      <c r="T5" s="4">
        <f>T3-T4</f>
        <v>3118.5</v>
      </c>
      <c r="U5" s="4">
        <f>U3-U4</f>
        <v>2484</v>
      </c>
      <c r="V5" s="4">
        <f>V3*U50</f>
        <v>2186.2072953736656</v>
      </c>
      <c r="W5" s="4">
        <f>W3*V50</f>
        <v>1340.7071999999998</v>
      </c>
      <c r="X5" s="4">
        <f>X3*X50</f>
        <v>659.18104000000005</v>
      </c>
      <c r="Y5" s="4">
        <f t="shared" ref="Y5:AG5" si="0">Y3*Y50</f>
        <v>1395.8158522000001</v>
      </c>
      <c r="Z5" s="4">
        <f t="shared" si="0"/>
        <v>1416.5536877183999</v>
      </c>
      <c r="AA5" s="4">
        <f t="shared" si="0"/>
        <v>1629.4195932241921</v>
      </c>
      <c r="AB5" s="4">
        <f t="shared" si="0"/>
        <v>1678.3021810209182</v>
      </c>
      <c r="AC5" s="4">
        <f t="shared" si="0"/>
        <v>1711.8682246413366</v>
      </c>
      <c r="AD5" s="4">
        <f t="shared" si="0"/>
        <v>1814.5803181198169</v>
      </c>
      <c r="AE5" s="4">
        <f t="shared" si="0"/>
        <v>1905.3093340258079</v>
      </c>
      <c r="AF5" s="4">
        <f t="shared" si="0"/>
        <v>1981.5217073868403</v>
      </c>
      <c r="AG5" s="4">
        <f t="shared" si="0"/>
        <v>2060.782575682314</v>
      </c>
    </row>
    <row r="6" spans="2:109" s="11" customFormat="1" x14ac:dyDescent="0.25">
      <c r="B6" s="11" t="s">
        <v>21</v>
      </c>
      <c r="C6" s="11">
        <v>724</v>
      </c>
      <c r="D6" s="11">
        <v>850.2</v>
      </c>
      <c r="E6" s="11">
        <v>890.74</v>
      </c>
      <c r="F6" s="11">
        <f t="shared" ref="F6:F9" si="1">T6-E6-D6-C6</f>
        <v>759.06000000000017</v>
      </c>
      <c r="G6" s="11">
        <v>658.7</v>
      </c>
      <c r="H6" s="11">
        <v>652.97</v>
      </c>
      <c r="I6" s="11">
        <v>697.95</v>
      </c>
      <c r="J6" s="11">
        <f t="shared" ref="J6:J9" si="2">U6-I6-H6-G6</f>
        <v>682.68000000000006</v>
      </c>
      <c r="K6" s="11">
        <v>638</v>
      </c>
      <c r="P6" s="12"/>
      <c r="Q6" s="11">
        <v>3681.6</v>
      </c>
      <c r="R6" s="11">
        <v>3681.21</v>
      </c>
      <c r="S6" s="11">
        <v>3732.5</v>
      </c>
      <c r="T6" s="11">
        <v>3224</v>
      </c>
      <c r="U6" s="11">
        <v>2692.3</v>
      </c>
      <c r="V6" s="11">
        <f>V3*V51</f>
        <v>2769.9</v>
      </c>
      <c r="W6" s="11">
        <f>W3*W51</f>
        <v>2312.9549299999999</v>
      </c>
      <c r="X6" s="11">
        <f>X3*X51</f>
        <v>1487.4613154830001</v>
      </c>
      <c r="Y6" s="11">
        <f t="shared" ref="Y6:AG6" si="3">Y3*Y51</f>
        <v>1395.8158522000001</v>
      </c>
      <c r="Z6" s="11">
        <f t="shared" si="3"/>
        <v>1148.557044096</v>
      </c>
      <c r="AA6" s="11">
        <f t="shared" si="3"/>
        <v>1071.9865744896001</v>
      </c>
      <c r="AB6" s="11">
        <f t="shared" si="3"/>
        <v>1104.1461717242883</v>
      </c>
      <c r="AC6" s="11">
        <f t="shared" si="3"/>
        <v>1126.229095158774</v>
      </c>
      <c r="AD6" s="11">
        <f t="shared" si="3"/>
        <v>1193.8028408683006</v>
      </c>
      <c r="AE6" s="11">
        <f t="shared" si="3"/>
        <v>1253.4929829117157</v>
      </c>
      <c r="AF6" s="11">
        <f t="shared" si="3"/>
        <v>1303.6327022281844</v>
      </c>
      <c r="AG6" s="11">
        <f t="shared" si="3"/>
        <v>1355.7780103173118</v>
      </c>
    </row>
    <row r="7" spans="2:109" s="11" customFormat="1" x14ac:dyDescent="0.25">
      <c r="B7" s="11" t="s">
        <v>60</v>
      </c>
      <c r="C7" s="11">
        <v>85.3</v>
      </c>
      <c r="D7" s="11">
        <v>29.2</v>
      </c>
      <c r="E7" s="11">
        <v>57.997</v>
      </c>
      <c r="F7" s="11">
        <f t="shared" si="1"/>
        <v>-45.177000000000007</v>
      </c>
      <c r="G7" s="11">
        <v>9</v>
      </c>
      <c r="H7" s="11">
        <v>7.6</v>
      </c>
      <c r="I7" s="11">
        <v>1.7589999999999999</v>
      </c>
      <c r="J7" s="11">
        <f t="shared" si="2"/>
        <v>18.140999999999998</v>
      </c>
      <c r="K7" s="11">
        <v>26.7</v>
      </c>
      <c r="P7" s="12"/>
      <c r="Q7" s="11">
        <v>0</v>
      </c>
      <c r="R7" s="11">
        <v>509.9</v>
      </c>
      <c r="S7" s="11">
        <v>509</v>
      </c>
      <c r="T7" s="11">
        <v>127.32</v>
      </c>
      <c r="U7" s="11">
        <v>36.5</v>
      </c>
    </row>
    <row r="8" spans="2:109" s="11" customFormat="1" x14ac:dyDescent="0.25">
      <c r="B8" s="11" t="s">
        <v>61</v>
      </c>
      <c r="C8" s="11">
        <v>0</v>
      </c>
      <c r="D8" s="11">
        <v>27.1</v>
      </c>
      <c r="E8" s="11">
        <v>16.77</v>
      </c>
      <c r="F8" s="11">
        <f t="shared" si="1"/>
        <v>58.330000000000005</v>
      </c>
      <c r="G8" s="11">
        <v>34</v>
      </c>
      <c r="H8" s="11">
        <v>25</v>
      </c>
      <c r="I8" s="11">
        <v>41.2</v>
      </c>
      <c r="J8" s="11">
        <f t="shared" si="2"/>
        <v>43.8</v>
      </c>
      <c r="K8" s="11">
        <v>24</v>
      </c>
      <c r="P8" s="12"/>
      <c r="Q8" s="11">
        <v>0</v>
      </c>
      <c r="R8" s="11">
        <v>0</v>
      </c>
      <c r="S8" s="11">
        <v>0</v>
      </c>
      <c r="T8" s="11">
        <v>102.2</v>
      </c>
      <c r="U8" s="11">
        <v>144</v>
      </c>
      <c r="Y8" s="11">
        <f>Y53*Y3*0.4</f>
        <v>334.99580452800001</v>
      </c>
    </row>
    <row r="9" spans="2:109" s="11" customFormat="1" x14ac:dyDescent="0.25">
      <c r="B9" s="11" t="s">
        <v>62</v>
      </c>
      <c r="C9" s="11">
        <v>0</v>
      </c>
      <c r="D9" s="11">
        <v>-189.52799999999999</v>
      </c>
      <c r="E9" s="11">
        <v>113.9</v>
      </c>
      <c r="F9" s="11">
        <f t="shared" si="1"/>
        <v>76.687999999999988</v>
      </c>
      <c r="G9" s="11">
        <v>4</v>
      </c>
      <c r="H9" s="11">
        <v>0.13200000000000001</v>
      </c>
      <c r="I9" s="11">
        <v>14.1</v>
      </c>
      <c r="J9" s="11">
        <f t="shared" si="2"/>
        <v>-3.2000000000000473E-2</v>
      </c>
      <c r="K9" s="11">
        <v>0</v>
      </c>
      <c r="P9" s="12"/>
      <c r="Q9" s="11">
        <v>0</v>
      </c>
      <c r="R9" s="11">
        <v>0</v>
      </c>
      <c r="S9" s="11">
        <v>0</v>
      </c>
      <c r="T9" s="11">
        <v>1.06</v>
      </c>
      <c r="U9" s="11">
        <v>18.2</v>
      </c>
      <c r="V9" s="11">
        <f>-U27*0.05*0.4</f>
        <v>-86.798200000000008</v>
      </c>
      <c r="W9" s="11">
        <f>V27*W53*0.4</f>
        <v>-478.25808199999994</v>
      </c>
      <c r="X9" s="11">
        <f>W27*X53*0.4</f>
        <v>-480.07216437999989</v>
      </c>
    </row>
    <row r="10" spans="2:109" s="4" customFormat="1" x14ac:dyDescent="0.25">
      <c r="B10" s="4" t="s">
        <v>63</v>
      </c>
      <c r="C10" s="4">
        <f>+C5-C6-C7-C8-C9</f>
        <v>-460.85999999999996</v>
      </c>
      <c r="D10" s="4">
        <f>+D5-D6-D7-D8-D9</f>
        <v>270.59599999999966</v>
      </c>
      <c r="E10" s="4">
        <f>+E5-E6-E7-E8-E9</f>
        <v>-122.90700000000001</v>
      </c>
      <c r="F10" s="4">
        <f>+F5-F6-F7-F8-F9</f>
        <v>-22.90899999999997</v>
      </c>
      <c r="G10" s="4">
        <f>+G5-G6-G7-G8-G9</f>
        <v>-71.8900000000001</v>
      </c>
      <c r="H10" s="4">
        <f>+H5-H6-H7-H8-H9</f>
        <v>-84.60199999999989</v>
      </c>
      <c r="I10" s="4">
        <f>+I5-I6-I7-I8-I9</f>
        <v>-86.009000000000043</v>
      </c>
      <c r="J10" s="4">
        <f>+J5-J6-J7-J8-J9</f>
        <v>-164.49899999999988</v>
      </c>
      <c r="K10" s="4">
        <f>+K5-K6-K7-K8-K9</f>
        <v>-339.39999999999981</v>
      </c>
      <c r="P10" s="6"/>
      <c r="Q10" s="4">
        <f>+Q5-Q6-Q7-Q8-Q9</f>
        <v>761.69999999999936</v>
      </c>
      <c r="R10" s="4">
        <f>+R5-R6-R7-R8-R9</f>
        <v>-87.110000000000014</v>
      </c>
      <c r="S10" s="4">
        <f>+S5-S6-S7-S8-S9</f>
        <v>-699.79999999999927</v>
      </c>
      <c r="T10" s="4">
        <f>+T5-T6-T7-T8-T9</f>
        <v>-336.08</v>
      </c>
      <c r="U10" s="4">
        <f>+U5-U6-U7-U8-U9</f>
        <v>-407.00000000000017</v>
      </c>
      <c r="V10" s="4">
        <f t="shared" ref="V10:AG10" si="4">+V5-V6-V7-V8-V9</f>
        <v>-496.89450462633448</v>
      </c>
      <c r="W10" s="4">
        <f t="shared" si="4"/>
        <v>-493.9896480000001</v>
      </c>
      <c r="X10" s="4">
        <f t="shared" si="4"/>
        <v>-348.20811110300019</v>
      </c>
      <c r="Y10" s="4">
        <f>+Y5-Y6-Y7-Y8-Y9</f>
        <v>-334.99580452800001</v>
      </c>
      <c r="Z10" s="4">
        <f t="shared" si="4"/>
        <v>267.99664362239992</v>
      </c>
      <c r="AA10" s="4">
        <f t="shared" si="4"/>
        <v>557.433018734592</v>
      </c>
      <c r="AB10" s="4">
        <f t="shared" si="4"/>
        <v>574.15600929662992</v>
      </c>
      <c r="AC10" s="4">
        <f t="shared" si="4"/>
        <v>585.63912948256257</v>
      </c>
      <c r="AD10" s="4">
        <f t="shared" si="4"/>
        <v>620.7774772515163</v>
      </c>
      <c r="AE10" s="4">
        <f t="shared" si="4"/>
        <v>651.81635111409219</v>
      </c>
      <c r="AF10" s="4">
        <f t="shared" si="4"/>
        <v>677.88900515865589</v>
      </c>
      <c r="AG10" s="4">
        <f t="shared" si="4"/>
        <v>705.00456536500224</v>
      </c>
    </row>
    <row r="11" spans="2:109" s="11" customFormat="1" x14ac:dyDescent="0.25">
      <c r="B11" s="11" t="s">
        <v>64</v>
      </c>
      <c r="C11" s="11">
        <v>17.170000000000002</v>
      </c>
      <c r="D11" s="11">
        <v>23.37</v>
      </c>
      <c r="E11" s="11">
        <v>17.8</v>
      </c>
      <c r="F11" s="11">
        <f t="shared" ref="F11:F12" si="5">T11-E11-D11-C11</f>
        <v>18.560000000000002</v>
      </c>
      <c r="G11" s="11">
        <v>16</v>
      </c>
      <c r="H11" s="11">
        <v>16.120999999999999</v>
      </c>
      <c r="I11" s="11">
        <v>15.77</v>
      </c>
      <c r="J11" s="11">
        <f t="shared" ref="J11:J12" si="6">U11-I11-H11-G11</f>
        <v>16.809000000000012</v>
      </c>
      <c r="K11" s="11">
        <v>16.5</v>
      </c>
      <c r="P11" s="12"/>
      <c r="Q11" s="11">
        <v>65.66</v>
      </c>
      <c r="R11" s="11">
        <v>69.5</v>
      </c>
      <c r="S11" s="11">
        <v>64.8</v>
      </c>
      <c r="T11" s="11">
        <v>76.900000000000006</v>
      </c>
      <c r="U11" s="11">
        <v>64.7</v>
      </c>
      <c r="V11" s="11">
        <f>U29*V56</f>
        <v>80.254800000000003</v>
      </c>
      <c r="W11" s="11">
        <f>V29*W56</f>
        <v>98.435003095729527</v>
      </c>
      <c r="X11" s="11">
        <f t="shared" ref="W11:AG11" si="7">W29*X56</f>
        <v>117.096379605245</v>
      </c>
      <c r="Y11" s="11">
        <f t="shared" si="7"/>
        <v>131.75347106255472</v>
      </c>
      <c r="Z11" s="11">
        <f t="shared" si="7"/>
        <v>146.45607324365719</v>
      </c>
      <c r="AA11" s="11">
        <f t="shared" si="7"/>
        <v>146.90455229522564</v>
      </c>
      <c r="AB11" s="11">
        <f t="shared" si="7"/>
        <v>137.52833983883605</v>
      </c>
      <c r="AC11" s="11">
        <f t="shared" si="7"/>
        <v>127.37464044384591</v>
      </c>
      <c r="AD11" s="11">
        <f t="shared" si="7"/>
        <v>116.55331347805233</v>
      </c>
      <c r="AE11" s="11">
        <f t="shared" si="7"/>
        <v>104.41800990018386</v>
      </c>
      <c r="AF11" s="11">
        <f t="shared" si="7"/>
        <v>91.029274250358213</v>
      </c>
      <c r="AG11" s="11">
        <f t="shared" si="7"/>
        <v>76.472632756889553</v>
      </c>
    </row>
    <row r="12" spans="2:109" s="11" customFormat="1" x14ac:dyDescent="0.25">
      <c r="B12" s="11" t="s">
        <v>65</v>
      </c>
      <c r="C12" s="11">
        <v>0</v>
      </c>
      <c r="D12" s="11">
        <v>-77</v>
      </c>
      <c r="E12" s="11">
        <v>0</v>
      </c>
      <c r="F12" s="11">
        <f t="shared" si="5"/>
        <v>-3.0000000000001137E-2</v>
      </c>
      <c r="G12" s="11">
        <v>0.26500000000000001</v>
      </c>
      <c r="H12" s="11">
        <v>0.111</v>
      </c>
      <c r="I12" s="11">
        <v>0</v>
      </c>
      <c r="J12" s="11">
        <f t="shared" si="6"/>
        <v>2.4000000000000021E-2</v>
      </c>
      <c r="K12" s="11">
        <v>0</v>
      </c>
      <c r="P12" s="12"/>
      <c r="Q12" s="11">
        <v>0</v>
      </c>
      <c r="R12" s="11">
        <v>0</v>
      </c>
      <c r="S12" s="11">
        <v>0</v>
      </c>
      <c r="T12" s="11">
        <v>-77.03</v>
      </c>
      <c r="U12" s="11">
        <v>0.4</v>
      </c>
    </row>
    <row r="13" spans="2:109" s="3" customFormat="1" x14ac:dyDescent="0.25">
      <c r="B13" s="4" t="s">
        <v>66</v>
      </c>
      <c r="C13" s="4">
        <f>+C10-C11-C12</f>
        <v>-478.03</v>
      </c>
      <c r="D13" s="4">
        <f>+D10-D11-D12</f>
        <v>324.22599999999966</v>
      </c>
      <c r="E13" s="4">
        <f>+E10-E11-E12</f>
        <v>-140.70700000000002</v>
      </c>
      <c r="F13" s="4">
        <f>+F10-F11-F12</f>
        <v>-41.438999999999972</v>
      </c>
      <c r="G13" s="4">
        <f>+G10-G11-G12</f>
        <v>-88.155000000000101</v>
      </c>
      <c r="H13" s="4">
        <f>+H10-H11-H12</f>
        <v>-100.83399999999989</v>
      </c>
      <c r="I13" s="4">
        <f>+I10-I11-I12</f>
        <v>-101.77900000000004</v>
      </c>
      <c r="J13" s="4">
        <f>+J10-J11-J12</f>
        <v>-181.33199999999988</v>
      </c>
      <c r="K13" s="4">
        <f>+K10-K11-K12</f>
        <v>-355.89999999999981</v>
      </c>
      <c r="L13" s="4"/>
      <c r="M13" s="4"/>
      <c r="N13" s="4"/>
      <c r="O13" s="4"/>
      <c r="P13" s="5"/>
      <c r="Q13" s="4">
        <f>+Q10-Q11-Q12</f>
        <v>696.0399999999994</v>
      </c>
      <c r="R13" s="4">
        <f>+R10-R11-R12</f>
        <v>-156.61000000000001</v>
      </c>
      <c r="S13" s="4">
        <f>+S10-S11-S12</f>
        <v>-764.59999999999923</v>
      </c>
      <c r="T13" s="4">
        <f>+T10-T11-T12</f>
        <v>-335.95000000000005</v>
      </c>
      <c r="U13" s="4">
        <f>+U10-U11-U12</f>
        <v>-472.10000000000014</v>
      </c>
      <c r="V13" s="4">
        <f t="shared" ref="V13:AG13" si="8">+V10-V11-V12</f>
        <v>-577.14930462633447</v>
      </c>
      <c r="W13" s="4">
        <f t="shared" si="8"/>
        <v>-592.42465109572959</v>
      </c>
      <c r="X13" s="4">
        <f t="shared" si="8"/>
        <v>-465.30449070824523</v>
      </c>
      <c r="Y13" s="4">
        <f t="shared" si="8"/>
        <v>-466.7492755905547</v>
      </c>
      <c r="Z13" s="4">
        <f t="shared" si="8"/>
        <v>121.54057037874273</v>
      </c>
      <c r="AA13" s="4">
        <f t="shared" si="8"/>
        <v>410.52846643936635</v>
      </c>
      <c r="AB13" s="4">
        <f t="shared" si="8"/>
        <v>436.6276694577939</v>
      </c>
      <c r="AC13" s="4">
        <f t="shared" si="8"/>
        <v>458.26448903871665</v>
      </c>
      <c r="AD13" s="4">
        <f t="shared" si="8"/>
        <v>504.22416377346394</v>
      </c>
      <c r="AE13" s="4">
        <f t="shared" si="8"/>
        <v>547.39834121390834</v>
      </c>
      <c r="AF13" s="4">
        <f t="shared" si="8"/>
        <v>586.85973090829771</v>
      </c>
      <c r="AG13" s="4">
        <f t="shared" si="8"/>
        <v>628.5319326081127</v>
      </c>
      <c r="AH13" s="4"/>
      <c r="AI13" s="4"/>
      <c r="AJ13" s="4"/>
      <c r="AK13" s="4"/>
    </row>
    <row r="14" spans="2:109" s="11" customFormat="1" x14ac:dyDescent="0.25">
      <c r="B14" s="11" t="s">
        <v>67</v>
      </c>
      <c r="C14" s="11">
        <v>-175.8</v>
      </c>
      <c r="D14" s="11">
        <v>106.31</v>
      </c>
      <c r="E14" s="11">
        <v>-65.2</v>
      </c>
      <c r="F14" s="11">
        <f>T14-E14-D14-C14</f>
        <v>-51.298999999999978</v>
      </c>
      <c r="G14" s="11">
        <v>-37.262999999999998</v>
      </c>
      <c r="H14" s="11">
        <v>-27.131</v>
      </c>
      <c r="I14" s="11">
        <v>174.5</v>
      </c>
      <c r="J14" s="11">
        <f>U14-I14-H14-G14</f>
        <v>-23.139000000000003</v>
      </c>
      <c r="K14" s="11">
        <v>2</v>
      </c>
      <c r="P14" s="12"/>
      <c r="Q14" s="11">
        <v>270</v>
      </c>
      <c r="R14" s="11">
        <v>-19.399999999999999</v>
      </c>
      <c r="S14" s="11">
        <v>-151.03700000000001</v>
      </c>
      <c r="T14" s="11">
        <v>-185.989</v>
      </c>
      <c r="U14" s="11">
        <v>86.966999999999999</v>
      </c>
      <c r="V14" s="11">
        <f>V13*V58</f>
        <v>-72.143663078291809</v>
      </c>
      <c r="W14" s="11">
        <f t="shared" ref="W14:Y14" si="9">W13*W58</f>
        <v>-74.053081386966198</v>
      </c>
      <c r="X14" s="11">
        <f t="shared" si="9"/>
        <v>-58.163061338530653</v>
      </c>
      <c r="Y14" s="11">
        <f t="shared" si="9"/>
        <v>-58.343659448819338</v>
      </c>
      <c r="Z14" s="11">
        <f t="shared" ref="W14:AG14" si="10">Z3*Z57</f>
        <v>133.99832181120001</v>
      </c>
      <c r="AA14" s="11">
        <f t="shared" si="10"/>
        <v>150.07812042854403</v>
      </c>
      <c r="AB14" s="11">
        <f t="shared" si="10"/>
        <v>154.58046404140038</v>
      </c>
      <c r="AC14" s="11">
        <f t="shared" si="10"/>
        <v>157.67207332222839</v>
      </c>
      <c r="AD14" s="11">
        <f t="shared" si="10"/>
        <v>167.13239772156209</v>
      </c>
      <c r="AE14" s="11">
        <f t="shared" si="10"/>
        <v>175.48901760764022</v>
      </c>
      <c r="AF14" s="11">
        <f t="shared" si="10"/>
        <v>182.50857831194583</v>
      </c>
      <c r="AG14" s="11">
        <f t="shared" si="10"/>
        <v>189.80892144442367</v>
      </c>
    </row>
    <row r="15" spans="2:109" s="3" customFormat="1" x14ac:dyDescent="0.25">
      <c r="B15" s="4" t="s">
        <v>22</v>
      </c>
      <c r="C15" s="4">
        <f>+C13-C14</f>
        <v>-302.22999999999996</v>
      </c>
      <c r="D15" s="4">
        <f>+D13-D14</f>
        <v>217.91599999999966</v>
      </c>
      <c r="E15" s="4">
        <f>+E13-E14</f>
        <v>-75.507000000000019</v>
      </c>
      <c r="F15" s="4">
        <f>+F13-F14</f>
        <v>9.8600000000000065</v>
      </c>
      <c r="G15" s="4">
        <f>+G13-G14</f>
        <v>-50.892000000000102</v>
      </c>
      <c r="H15" s="4">
        <f>+H13-H14</f>
        <v>-73.702999999999889</v>
      </c>
      <c r="I15" s="4">
        <f>+I13-I14</f>
        <v>-276.27900000000005</v>
      </c>
      <c r="J15" s="4">
        <f>+J13-J14</f>
        <v>-158.19299999999987</v>
      </c>
      <c r="K15" s="4">
        <f>+K13-K14</f>
        <v>-357.89999999999981</v>
      </c>
      <c r="L15" s="4"/>
      <c r="M15" s="4"/>
      <c r="N15" s="4"/>
      <c r="O15" s="4"/>
      <c r="P15" s="5"/>
      <c r="Q15" s="4">
        <f>+Q13-Q14</f>
        <v>426.0399999999994</v>
      </c>
      <c r="R15" s="4">
        <f>+R13-R14</f>
        <v>-137.21</v>
      </c>
      <c r="S15" s="4">
        <f>+S13-S14</f>
        <v>-613.56299999999919</v>
      </c>
      <c r="T15" s="4">
        <f>+T13-T14</f>
        <v>-149.96100000000004</v>
      </c>
      <c r="U15" s="4">
        <f>+U13-U14</f>
        <v>-559.06700000000012</v>
      </c>
      <c r="V15" s="4">
        <f t="shared" ref="V15:AG15" si="11">+V13-V14</f>
        <v>-505.00564154804266</v>
      </c>
      <c r="W15" s="4">
        <f t="shared" si="11"/>
        <v>-518.37156970876345</v>
      </c>
      <c r="X15" s="4">
        <f t="shared" si="11"/>
        <v>-407.14142936971456</v>
      </c>
      <c r="Y15" s="4">
        <f t="shared" si="11"/>
        <v>-408.40561614173538</v>
      </c>
      <c r="Z15" s="4">
        <f t="shared" si="11"/>
        <v>-12.457751432457286</v>
      </c>
      <c r="AA15" s="4">
        <f t="shared" si="11"/>
        <v>260.45034601082233</v>
      </c>
      <c r="AB15" s="4">
        <f t="shared" si="11"/>
        <v>282.04720541639352</v>
      </c>
      <c r="AC15" s="4">
        <f t="shared" si="11"/>
        <v>300.59241571648829</v>
      </c>
      <c r="AD15" s="4">
        <f t="shared" si="11"/>
        <v>337.09176605190186</v>
      </c>
      <c r="AE15" s="4">
        <f t="shared" si="11"/>
        <v>371.90932360626812</v>
      </c>
      <c r="AF15" s="4">
        <f t="shared" si="11"/>
        <v>404.35115259635188</v>
      </c>
      <c r="AG15" s="4">
        <f t="shared" si="11"/>
        <v>438.72301116368902</v>
      </c>
      <c r="AH15" s="4">
        <f>AG15*(1+$AJ$59)</f>
        <v>429.94855094041526</v>
      </c>
      <c r="AI15" s="4">
        <f t="shared" ref="AI15:CT15" si="12">AH15*(1+$AJ$59)</f>
        <v>421.34957992160696</v>
      </c>
      <c r="AJ15" s="4">
        <f t="shared" si="12"/>
        <v>412.92258832317481</v>
      </c>
      <c r="AK15" s="4">
        <f t="shared" si="12"/>
        <v>404.6641365567113</v>
      </c>
      <c r="AL15" s="4">
        <f t="shared" si="12"/>
        <v>396.57085382557705</v>
      </c>
      <c r="AM15" s="4">
        <f t="shared" si="12"/>
        <v>388.63943674906551</v>
      </c>
      <c r="AN15" s="4">
        <f t="shared" si="12"/>
        <v>380.86664801408421</v>
      </c>
      <c r="AO15" s="4">
        <f t="shared" si="12"/>
        <v>373.24931505380249</v>
      </c>
      <c r="AP15" s="4">
        <f t="shared" si="12"/>
        <v>365.78432875272642</v>
      </c>
      <c r="AQ15" s="4">
        <f t="shared" si="12"/>
        <v>358.46864217767188</v>
      </c>
      <c r="AR15" s="4">
        <f t="shared" si="12"/>
        <v>351.29926933411843</v>
      </c>
      <c r="AS15" s="4">
        <f t="shared" si="12"/>
        <v>344.27328394743608</v>
      </c>
      <c r="AT15" s="4">
        <f t="shared" si="12"/>
        <v>337.38781826848737</v>
      </c>
      <c r="AU15" s="4">
        <f t="shared" si="12"/>
        <v>330.64006190311761</v>
      </c>
      <c r="AV15" s="4">
        <f t="shared" si="12"/>
        <v>324.02726066505528</v>
      </c>
      <c r="AW15" s="4">
        <f t="shared" si="12"/>
        <v>317.54671545175415</v>
      </c>
      <c r="AX15" s="4">
        <f t="shared" si="12"/>
        <v>311.19578114271906</v>
      </c>
      <c r="AY15" s="4">
        <f t="shared" si="12"/>
        <v>304.97186551986465</v>
      </c>
      <c r="AZ15" s="4">
        <f t="shared" si="12"/>
        <v>298.87242820946733</v>
      </c>
      <c r="BA15" s="4">
        <f t="shared" si="12"/>
        <v>292.894979645278</v>
      </c>
      <c r="BB15" s="4">
        <f t="shared" si="12"/>
        <v>287.03708005237246</v>
      </c>
      <c r="BC15" s="4">
        <f t="shared" si="12"/>
        <v>281.29633845132503</v>
      </c>
      <c r="BD15" s="4">
        <f t="shared" si="12"/>
        <v>275.67041168229855</v>
      </c>
      <c r="BE15" s="4">
        <f t="shared" si="12"/>
        <v>270.15700344865257</v>
      </c>
      <c r="BF15" s="4">
        <f t="shared" si="12"/>
        <v>264.7538633796795</v>
      </c>
      <c r="BG15" s="4">
        <f t="shared" si="12"/>
        <v>259.45878611208593</v>
      </c>
      <c r="BH15" s="4">
        <f t="shared" si="12"/>
        <v>254.26961038984422</v>
      </c>
      <c r="BI15" s="4">
        <f t="shared" si="12"/>
        <v>249.18421818204732</v>
      </c>
      <c r="BJ15" s="4">
        <f t="shared" si="12"/>
        <v>244.20053381840637</v>
      </c>
      <c r="BK15" s="4">
        <f t="shared" si="12"/>
        <v>239.31652314203825</v>
      </c>
      <c r="BL15" s="4">
        <f t="shared" si="12"/>
        <v>234.53019267919748</v>
      </c>
      <c r="BM15" s="4">
        <f t="shared" si="12"/>
        <v>229.83958882561353</v>
      </c>
      <c r="BN15" s="4">
        <f t="shared" si="12"/>
        <v>225.24279704910126</v>
      </c>
      <c r="BO15" s="4">
        <f t="shared" si="12"/>
        <v>220.73794110811923</v>
      </c>
      <c r="BP15" s="4">
        <f t="shared" si="12"/>
        <v>216.32318228595685</v>
      </c>
      <c r="BQ15" s="4">
        <f t="shared" si="12"/>
        <v>211.9967186402377</v>
      </c>
      <c r="BR15" s="4">
        <f t="shared" si="12"/>
        <v>207.75678426743295</v>
      </c>
      <c r="BS15" s="4">
        <f t="shared" si="12"/>
        <v>203.60164858208429</v>
      </c>
      <c r="BT15" s="4">
        <f t="shared" si="12"/>
        <v>199.52961561044262</v>
      </c>
      <c r="BU15" s="4">
        <f t="shared" si="12"/>
        <v>195.53902329823376</v>
      </c>
      <c r="BV15" s="4">
        <f t="shared" si="12"/>
        <v>191.62824283226908</v>
      </c>
      <c r="BW15" s="4">
        <f t="shared" si="12"/>
        <v>187.7956779756237</v>
      </c>
      <c r="BX15" s="4">
        <f t="shared" si="12"/>
        <v>184.03976441611124</v>
      </c>
      <c r="BY15" s="4">
        <f t="shared" si="12"/>
        <v>180.35896912778901</v>
      </c>
      <c r="BZ15" s="4">
        <f t="shared" si="12"/>
        <v>176.75178974523322</v>
      </c>
      <c r="CA15" s="4">
        <f t="shared" si="12"/>
        <v>173.21675395032855</v>
      </c>
      <c r="CB15" s="4">
        <f t="shared" si="12"/>
        <v>169.75241887132196</v>
      </c>
      <c r="CC15" s="4">
        <f t="shared" si="12"/>
        <v>166.35737049389553</v>
      </c>
      <c r="CD15" s="4">
        <f t="shared" si="12"/>
        <v>163.03022308401762</v>
      </c>
      <c r="CE15" s="4">
        <f t="shared" si="12"/>
        <v>159.76961862233728</v>
      </c>
      <c r="CF15" s="4">
        <f t="shared" si="12"/>
        <v>156.57422624989053</v>
      </c>
      <c r="CG15" s="4">
        <f t="shared" si="12"/>
        <v>153.44274172489273</v>
      </c>
      <c r="CH15" s="4">
        <f t="shared" si="12"/>
        <v>150.37388689039486</v>
      </c>
      <c r="CI15" s="4">
        <f t="shared" si="12"/>
        <v>147.36640915258695</v>
      </c>
      <c r="CJ15" s="4">
        <f t="shared" si="12"/>
        <v>144.4190809695352</v>
      </c>
      <c r="CK15" s="4">
        <f t="shared" si="12"/>
        <v>141.53069935014449</v>
      </c>
      <c r="CL15" s="4">
        <f t="shared" si="12"/>
        <v>138.7000853631416</v>
      </c>
      <c r="CM15" s="4">
        <f t="shared" si="12"/>
        <v>135.92608365587876</v>
      </c>
      <c r="CN15" s="4">
        <f t="shared" si="12"/>
        <v>133.20756198276118</v>
      </c>
      <c r="CO15" s="4">
        <f t="shared" si="12"/>
        <v>130.54341074310594</v>
      </c>
      <c r="CP15" s="4">
        <f t="shared" si="12"/>
        <v>127.93254252824381</v>
      </c>
      <c r="CQ15" s="4">
        <f t="shared" si="12"/>
        <v>125.37389167767894</v>
      </c>
      <c r="CR15" s="4">
        <f t="shared" si="12"/>
        <v>122.86641384412536</v>
      </c>
      <c r="CS15" s="4">
        <f t="shared" si="12"/>
        <v>120.40908556724285</v>
      </c>
      <c r="CT15" s="4">
        <f t="shared" si="12"/>
        <v>118.000903855898</v>
      </c>
      <c r="CU15" s="4">
        <f t="shared" ref="CU15:DE15" si="13">CT15*(1+$AJ$59)</f>
        <v>115.64088577878005</v>
      </c>
      <c r="CV15" s="4">
        <f t="shared" si="13"/>
        <v>113.32806806320444</v>
      </c>
      <c r="CW15" s="4">
        <f t="shared" si="13"/>
        <v>111.06150670194035</v>
      </c>
      <c r="CX15" s="4">
        <f t="shared" si="13"/>
        <v>108.84027656790154</v>
      </c>
      <c r="CY15" s="4">
        <f t="shared" si="13"/>
        <v>106.66347103654351</v>
      </c>
      <c r="CZ15" s="4">
        <f t="shared" si="13"/>
        <v>104.53020161581264</v>
      </c>
      <c r="DA15" s="4">
        <f t="shared" si="13"/>
        <v>102.43959758349639</v>
      </c>
      <c r="DB15" s="4">
        <f t="shared" si="13"/>
        <v>100.39080563182647</v>
      </c>
      <c r="DC15" s="4">
        <f t="shared" si="13"/>
        <v>98.382989519189934</v>
      </c>
      <c r="DD15" s="4">
        <f t="shared" si="13"/>
        <v>96.415329728806128</v>
      </c>
      <c r="DE15" s="4"/>
    </row>
    <row r="16" spans="2:109" x14ac:dyDescent="0.25">
      <c r="B16" s="11" t="s">
        <v>1</v>
      </c>
      <c r="C16" s="11">
        <v>123.7</v>
      </c>
      <c r="D16" s="11">
        <v>124.146</v>
      </c>
      <c r="E16" s="11">
        <v>122.88</v>
      </c>
      <c r="F16" s="11">
        <v>122.88</v>
      </c>
      <c r="G16" s="11">
        <v>106.77200000000001</v>
      </c>
      <c r="H16" s="11">
        <v>101.95099999999999</v>
      </c>
      <c r="I16" s="11">
        <v>99.59</v>
      </c>
      <c r="J16" s="11">
        <v>99.59</v>
      </c>
      <c r="K16" s="11">
        <v>79.599999999999994</v>
      </c>
      <c r="Q16" s="11">
        <v>139.22999999999999</v>
      </c>
      <c r="R16" s="11">
        <v>134.30000000000001</v>
      </c>
      <c r="S16" s="11">
        <v>124.352</v>
      </c>
      <c r="T16" s="11">
        <v>121.446</v>
      </c>
      <c r="U16" s="11">
        <v>99.25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2:109" s="17" customFormat="1" x14ac:dyDescent="0.25">
      <c r="B17" s="17" t="s">
        <v>23</v>
      </c>
      <c r="C17" s="17">
        <f>+C15/C16</f>
        <v>-2.4432497978981402</v>
      </c>
      <c r="D17" s="17">
        <f>+D15/D16</f>
        <v>1.7553203486217812</v>
      </c>
      <c r="E17" s="17">
        <f>+E15/E16</f>
        <v>-0.61447753906250013</v>
      </c>
      <c r="F17" s="17">
        <f>+F15/F16</f>
        <v>8.0240885416666727E-2</v>
      </c>
      <c r="G17" s="17">
        <f>+G15/G16</f>
        <v>-0.47664181620649704</v>
      </c>
      <c r="H17" s="17">
        <f>+H15/H16</f>
        <v>-0.72292571921805471</v>
      </c>
      <c r="I17" s="17">
        <f>+I15/I16</f>
        <v>-2.7741640726980625</v>
      </c>
      <c r="J17" s="17">
        <f>+J15/J16</f>
        <v>-1.5884426147203521</v>
      </c>
      <c r="K17" s="17">
        <f>+K15/K16</f>
        <v>-4.4962311557788928</v>
      </c>
      <c r="P17" s="18"/>
      <c r="Q17" s="17">
        <f>+Q15/Q16</f>
        <v>3.0599727070315264</v>
      </c>
      <c r="R17" s="17">
        <f>+R15/R16</f>
        <v>-1.0216679076693969</v>
      </c>
      <c r="S17" s="17">
        <f>+S15/S16</f>
        <v>-4.9340822825527466</v>
      </c>
      <c r="T17" s="17">
        <f>+T15/T16</f>
        <v>-1.2347957116743247</v>
      </c>
      <c r="U17" s="17">
        <f>+U15/U16</f>
        <v>-5.632916876574309</v>
      </c>
    </row>
    <row r="18" spans="2:109" x14ac:dyDescent="0.25"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2:109" x14ac:dyDescent="0.25">
      <c r="B19" s="11" t="s">
        <v>3</v>
      </c>
      <c r="F19" s="11">
        <f>1353+19.5</f>
        <v>1372.5</v>
      </c>
      <c r="G19" s="11">
        <f>1097+30+19.5</f>
        <v>1146.5</v>
      </c>
      <c r="H19" s="11">
        <f>970.6+30+19.5</f>
        <v>1020.1</v>
      </c>
      <c r="I19" s="11">
        <f>509+19</f>
        <v>528</v>
      </c>
      <c r="J19" s="11">
        <f>439.5+19.2</f>
        <v>458.7</v>
      </c>
      <c r="K19" s="11">
        <f>107.5+19</f>
        <v>126.5</v>
      </c>
      <c r="Q19" s="11"/>
      <c r="R19" s="11">
        <f>509+486+20</f>
        <v>1015</v>
      </c>
      <c r="S19" s="11">
        <f>1000.3+385.6+20</f>
        <v>1405.9</v>
      </c>
      <c r="T19" s="11">
        <f>1353+19.5</f>
        <v>1372.5</v>
      </c>
      <c r="U19" s="11">
        <f>439.5+19.2</f>
        <v>458.7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2:109" x14ac:dyDescent="0.25">
      <c r="B20" s="11" t="s">
        <v>68</v>
      </c>
      <c r="F20" s="11">
        <v>1671.9</v>
      </c>
      <c r="G20" s="11">
        <v>1563.6</v>
      </c>
      <c r="H20" s="11">
        <v>1590.7</v>
      </c>
      <c r="I20" s="11">
        <v>1911.8589999999999</v>
      </c>
      <c r="J20" s="11">
        <v>1725.41</v>
      </c>
      <c r="K20" s="11">
        <v>1759.8</v>
      </c>
      <c r="Q20" s="11"/>
      <c r="R20" s="11">
        <v>2618.9</v>
      </c>
      <c r="S20" s="11">
        <v>2093.8000000000002</v>
      </c>
      <c r="T20" s="11">
        <v>1671.9</v>
      </c>
      <c r="U20" s="11">
        <v>1725.41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</row>
    <row r="21" spans="2:109" x14ac:dyDescent="0.25">
      <c r="B21" s="11" t="s">
        <v>71</v>
      </c>
      <c r="F21" s="11">
        <v>25</v>
      </c>
      <c r="J21" s="11">
        <v>21.6</v>
      </c>
      <c r="Q21" s="11"/>
      <c r="R21" s="11">
        <v>587.70000000000005</v>
      </c>
      <c r="S21" s="11">
        <v>261</v>
      </c>
      <c r="T21" s="11">
        <v>25</v>
      </c>
      <c r="U21" s="11">
        <v>21.6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</row>
    <row r="22" spans="2:109" x14ac:dyDescent="0.25">
      <c r="B22" s="25" t="s">
        <v>72</v>
      </c>
      <c r="F22" s="11">
        <v>502.89</v>
      </c>
      <c r="J22" s="11">
        <v>594.4</v>
      </c>
      <c r="Q22" s="11"/>
      <c r="R22" s="11">
        <v>1470</v>
      </c>
      <c r="S22" s="11">
        <v>718</v>
      </c>
      <c r="T22" s="11">
        <v>502.89</v>
      </c>
      <c r="U22" s="11">
        <v>594.4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</row>
    <row r="23" spans="2:109" x14ac:dyDescent="0.25">
      <c r="B23" s="11" t="s">
        <v>73</v>
      </c>
      <c r="F23" s="11">
        <v>721</v>
      </c>
      <c r="J23" s="11">
        <v>746.4</v>
      </c>
      <c r="Q23" s="11"/>
      <c r="R23" s="11">
        <v>1623</v>
      </c>
      <c r="S23" s="11">
        <v>1082</v>
      </c>
      <c r="T23" s="11">
        <v>721</v>
      </c>
      <c r="U23" s="11">
        <v>746.4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</row>
    <row r="24" spans="2:109" x14ac:dyDescent="0.25">
      <c r="B24" s="11" t="s">
        <v>74</v>
      </c>
      <c r="F24" s="11">
        <v>1355.75</v>
      </c>
      <c r="J24" s="11">
        <v>1494.5</v>
      </c>
      <c r="Q24" s="11"/>
      <c r="R24" s="11">
        <v>1660</v>
      </c>
      <c r="S24" s="11">
        <v>1376</v>
      </c>
      <c r="T24" s="11">
        <v>1355.75</v>
      </c>
      <c r="U24" s="11">
        <v>1494.5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</row>
    <row r="25" spans="2:109" s="3" customFormat="1" x14ac:dyDescent="0.25">
      <c r="B25" s="4" t="s">
        <v>24</v>
      </c>
      <c r="C25" s="4"/>
      <c r="D25" s="4"/>
      <c r="E25" s="4"/>
      <c r="F25" s="4">
        <v>918.4</v>
      </c>
      <c r="G25" s="4">
        <v>929</v>
      </c>
      <c r="H25" s="4">
        <v>918.5</v>
      </c>
      <c r="I25" s="4">
        <v>923.97699999999998</v>
      </c>
      <c r="J25" s="4">
        <v>1027.4000000000001</v>
      </c>
      <c r="K25" s="4">
        <v>1119</v>
      </c>
      <c r="L25" s="4"/>
      <c r="M25" s="4"/>
      <c r="N25" s="4"/>
      <c r="O25" s="4"/>
      <c r="P25" s="5"/>
      <c r="Q25" s="4"/>
      <c r="R25" s="4">
        <v>1853.1</v>
      </c>
      <c r="S25" s="4">
        <v>1430.604</v>
      </c>
      <c r="T25" s="4">
        <v>918.4</v>
      </c>
      <c r="U25" s="4">
        <v>1027.4000000000001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109" x14ac:dyDescent="0.25">
      <c r="B26" s="11" t="s">
        <v>70</v>
      </c>
      <c r="F26" s="11">
        <v>1562.9</v>
      </c>
      <c r="G26" s="11">
        <v>1584</v>
      </c>
      <c r="H26" s="11">
        <v>1668.6</v>
      </c>
      <c r="I26" s="11">
        <v>1603.5</v>
      </c>
      <c r="J26" s="11">
        <v>1587.1</v>
      </c>
      <c r="K26" s="11">
        <v>1597.46</v>
      </c>
      <c r="Q26" s="11"/>
      <c r="R26" s="11">
        <v>0</v>
      </c>
      <c r="S26" s="11">
        <v>2007</v>
      </c>
      <c r="T26" s="11">
        <v>1562.9</v>
      </c>
      <c r="U26" s="11">
        <v>1587.1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2:109" x14ac:dyDescent="0.25">
      <c r="B27" s="11" t="s">
        <v>115</v>
      </c>
      <c r="Q27" s="11"/>
      <c r="R27" s="11">
        <f t="shared" ref="R27:T27" si="14">R19+R20+R25+R26</f>
        <v>5487</v>
      </c>
      <c r="S27" s="11">
        <f t="shared" si="14"/>
        <v>6937.3040000000001</v>
      </c>
      <c r="T27" s="11">
        <f t="shared" si="14"/>
        <v>5525.7000000000007</v>
      </c>
      <c r="U27" s="11">
        <f>U20+U25+U26</f>
        <v>4339.91</v>
      </c>
      <c r="V27" s="11">
        <f>U27*0.95</f>
        <v>4122.9144999999999</v>
      </c>
      <c r="W27" s="11">
        <f>V27*0.71</f>
        <v>2927.2692949999996</v>
      </c>
      <c r="X27" s="11">
        <f>W27*0.59</f>
        <v>1727.0888840499997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2:109" x14ac:dyDescent="0.25">
      <c r="B28" s="11" t="s">
        <v>4</v>
      </c>
      <c r="F28" s="11">
        <f>1509.7+1190.4</f>
        <v>2700.1000000000004</v>
      </c>
      <c r="G28" s="11">
        <f>347.4+1529.1+1182.6</f>
        <v>3059.1</v>
      </c>
      <c r="H28" s="11">
        <f>350+1609.9+1180</f>
        <v>3139.9</v>
      </c>
      <c r="I28" s="11">
        <f>347.7+1532.8+1179.7</f>
        <v>3060.2</v>
      </c>
      <c r="J28" s="11">
        <f>1508+1180</f>
        <v>2688</v>
      </c>
      <c r="K28" s="11">
        <f>335+1561.89+1379.87</f>
        <v>3276.76</v>
      </c>
      <c r="Q28" s="11"/>
      <c r="R28" s="11">
        <f>0+0+1487.9</f>
        <v>1487.9</v>
      </c>
      <c r="S28" s="11">
        <f>463+1818.8+1488</f>
        <v>3769.8</v>
      </c>
      <c r="T28" s="11">
        <f>1509.7+1190.4</f>
        <v>2700.1000000000004</v>
      </c>
      <c r="U28" s="11">
        <f>1508+1180</f>
        <v>2688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2:109" x14ac:dyDescent="0.25">
      <c r="B29" s="11" t="s">
        <v>25</v>
      </c>
      <c r="F29" s="11">
        <f t="shared" ref="F29:H29" si="15">F19-F28</f>
        <v>-1327.6000000000004</v>
      </c>
      <c r="G29" s="11">
        <f t="shared" si="15"/>
        <v>-1912.6</v>
      </c>
      <c r="H29" s="11">
        <f t="shared" si="15"/>
        <v>-2119.8000000000002</v>
      </c>
      <c r="I29" s="11">
        <f t="shared" ref="I29:J29" si="16">I19-I28</f>
        <v>-2532.1999999999998</v>
      </c>
      <c r="J29" s="11">
        <f t="shared" si="16"/>
        <v>-2229.3000000000002</v>
      </c>
      <c r="K29" s="11">
        <f>K19-K28</f>
        <v>-3150.26</v>
      </c>
      <c r="Q29" s="11"/>
      <c r="R29" s="11">
        <f>R19-R28</f>
        <v>-472.90000000000009</v>
      </c>
      <c r="S29" s="11">
        <f t="shared" ref="S29:U29" si="17">S19-S28</f>
        <v>-2363.9</v>
      </c>
      <c r="T29" s="11">
        <f t="shared" si="17"/>
        <v>-1327.6000000000004</v>
      </c>
      <c r="U29" s="11">
        <f t="shared" si="17"/>
        <v>-2229.3000000000002</v>
      </c>
      <c r="V29" s="11">
        <f>U29+V15</f>
        <v>-2734.3056415480428</v>
      </c>
      <c r="W29" s="11">
        <f t="shared" ref="W29:AG29" si="18">V29+W15</f>
        <v>-3252.677211256806</v>
      </c>
      <c r="X29" s="11">
        <f t="shared" si="18"/>
        <v>-3659.8186406265204</v>
      </c>
      <c r="Y29" s="11">
        <f t="shared" si="18"/>
        <v>-4068.2242567682556</v>
      </c>
      <c r="Z29" s="11">
        <f t="shared" si="18"/>
        <v>-4080.682008200713</v>
      </c>
      <c r="AA29" s="11">
        <f t="shared" si="18"/>
        <v>-3820.2316621898908</v>
      </c>
      <c r="AB29" s="11">
        <f t="shared" si="18"/>
        <v>-3538.1844567734975</v>
      </c>
      <c r="AC29" s="11">
        <f t="shared" si="18"/>
        <v>-3237.5920410570093</v>
      </c>
      <c r="AD29" s="11">
        <f t="shared" si="18"/>
        <v>-2900.5002750051076</v>
      </c>
      <c r="AE29" s="11">
        <f t="shared" si="18"/>
        <v>-2528.5909513988395</v>
      </c>
      <c r="AF29" s="11">
        <f t="shared" si="18"/>
        <v>-2124.2397988024877</v>
      </c>
      <c r="AG29" s="11">
        <f t="shared" si="18"/>
        <v>-1685.5167876387986</v>
      </c>
      <c r="AH29" s="11"/>
      <c r="AI29" s="11"/>
      <c r="AJ29" s="11"/>
      <c r="AK29" s="11"/>
    </row>
    <row r="30" spans="2:109" x14ac:dyDescent="0.25"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</row>
    <row r="31" spans="2:109" s="3" customFormat="1" hidden="1" x14ac:dyDescent="0.25">
      <c r="B31" s="4" t="s">
        <v>76</v>
      </c>
      <c r="C31" s="4">
        <v>-394.6</v>
      </c>
      <c r="D31" s="4">
        <v>148.85</v>
      </c>
      <c r="E31" s="4">
        <v>192.4</v>
      </c>
      <c r="F31" s="4">
        <v>268</v>
      </c>
      <c r="G31" s="4">
        <v>-28.74</v>
      </c>
      <c r="H31" s="4">
        <v>46</v>
      </c>
      <c r="I31" s="4">
        <v>-264.74</v>
      </c>
      <c r="J31" s="4">
        <v>17.850000000000001</v>
      </c>
      <c r="K31" s="4">
        <v>-383.5</v>
      </c>
      <c r="L31" s="4"/>
      <c r="M31" s="4"/>
      <c r="N31" s="4"/>
      <c r="O31" s="4"/>
      <c r="P31" s="5"/>
      <c r="Q31" s="4">
        <v>859.7</v>
      </c>
      <c r="R31" s="4">
        <v>918.3</v>
      </c>
      <c r="S31" s="4">
        <v>590.94000000000005</v>
      </c>
      <c r="T31" s="4">
        <v>268</v>
      </c>
      <c r="U31" s="4">
        <v>17.850000000000001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</row>
    <row r="32" spans="2:109" s="3" customFormat="1" hidden="1" x14ac:dyDescent="0.25">
      <c r="B32" s="4" t="s">
        <v>77</v>
      </c>
      <c r="C32" s="4">
        <v>314.64999999999998</v>
      </c>
      <c r="D32" s="4">
        <v>551.9</v>
      </c>
      <c r="E32" s="4">
        <v>751.9</v>
      </c>
      <c r="F32" s="4">
        <v>737.88</v>
      </c>
      <c r="G32" s="4">
        <v>-103.5</v>
      </c>
      <c r="H32" s="4">
        <v>-174.5</v>
      </c>
      <c r="I32" s="4">
        <v>-227.5</v>
      </c>
      <c r="J32" s="4">
        <v>-349</v>
      </c>
      <c r="K32" s="4">
        <v>-105</v>
      </c>
      <c r="L32" s="4"/>
      <c r="M32" s="4"/>
      <c r="N32" s="4"/>
      <c r="O32" s="4"/>
      <c r="P32" s="5"/>
      <c r="Q32" s="4">
        <v>-674.4</v>
      </c>
      <c r="R32" s="4">
        <v>-509.7</v>
      </c>
      <c r="S32" s="4">
        <v>91.376000000000005</v>
      </c>
      <c r="T32" s="4">
        <v>737.88</v>
      </c>
      <c r="U32" s="4">
        <v>-349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</row>
    <row r="33" spans="1:109" hidden="1" x14ac:dyDescent="0.25">
      <c r="B33" s="11" t="s">
        <v>79</v>
      </c>
      <c r="C33" s="11">
        <v>212.67</v>
      </c>
      <c r="D33" s="11">
        <v>-255</v>
      </c>
      <c r="E33" s="11">
        <v>-481.88</v>
      </c>
      <c r="F33" s="11">
        <v>-632</v>
      </c>
      <c r="G33" s="11">
        <v>-147.4</v>
      </c>
      <c r="H33" s="11">
        <v>-255</v>
      </c>
      <c r="I33" s="11">
        <v>-375</v>
      </c>
      <c r="J33" s="11">
        <v>-606</v>
      </c>
      <c r="K33" s="11">
        <v>156.69999999999999</v>
      </c>
      <c r="Q33" s="11">
        <v>-323.39999999999998</v>
      </c>
      <c r="R33" s="11">
        <v>-238.6</v>
      </c>
      <c r="S33" s="11">
        <v>-182.8</v>
      </c>
      <c r="T33" s="11">
        <v>-632</v>
      </c>
      <c r="U33" s="11">
        <v>-606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</row>
    <row r="34" spans="1:109" hidden="1" x14ac:dyDescent="0.25">
      <c r="B34" s="11" t="s">
        <v>78</v>
      </c>
      <c r="C34" s="11">
        <v>-2.5</v>
      </c>
      <c r="D34" s="11">
        <v>-3</v>
      </c>
      <c r="E34" s="11">
        <v>-97</v>
      </c>
      <c r="F34" s="11">
        <v>-333</v>
      </c>
      <c r="G34" s="11">
        <v>-138.69999999999999</v>
      </c>
      <c r="H34" s="11">
        <v>-240</v>
      </c>
      <c r="I34" s="11">
        <v>-358.9</v>
      </c>
      <c r="J34" s="11">
        <v>-589</v>
      </c>
      <c r="K34" s="11">
        <v>-43.02</v>
      </c>
      <c r="Q34" s="11">
        <v>-252.4</v>
      </c>
      <c r="R34" s="11">
        <v>-148.07</v>
      </c>
      <c r="S34" s="11">
        <v>-99.7</v>
      </c>
      <c r="T34" s="11">
        <v>-333</v>
      </c>
      <c r="U34" s="11">
        <v>-589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</row>
    <row r="35" spans="1:109" s="3" customFormat="1" hidden="1" x14ac:dyDescent="0.25">
      <c r="B35" s="4" t="s">
        <v>80</v>
      </c>
      <c r="C35" s="4">
        <f>+C33-C34</f>
        <v>215.17</v>
      </c>
      <c r="D35" s="4">
        <f>+D33-D34</f>
        <v>-252</v>
      </c>
      <c r="E35" s="4">
        <f>+E33-E34</f>
        <v>-384.88</v>
      </c>
      <c r="F35" s="4">
        <f>+F33-F34</f>
        <v>-299</v>
      </c>
      <c r="G35" s="4">
        <f>+G33-G34</f>
        <v>-8.7000000000000171</v>
      </c>
      <c r="H35" s="4">
        <f>+H33-H34</f>
        <v>-15</v>
      </c>
      <c r="I35" s="4">
        <f>+I33-I34</f>
        <v>-16.100000000000023</v>
      </c>
      <c r="J35" s="4">
        <f>+J33-J34</f>
        <v>-17</v>
      </c>
      <c r="K35" s="4">
        <f>+K33-K34</f>
        <v>199.72</v>
      </c>
      <c r="L35" s="4"/>
      <c r="M35" s="4"/>
      <c r="N35" s="4"/>
      <c r="O35" s="4"/>
      <c r="P35" s="5"/>
      <c r="Q35" s="4">
        <f>+Q33-Q34</f>
        <v>-70.999999999999972</v>
      </c>
      <c r="R35" s="4">
        <f>+R33-R34</f>
        <v>-90.53</v>
      </c>
      <c r="S35" s="4">
        <f>+S33-S34</f>
        <v>-83.100000000000009</v>
      </c>
      <c r="T35" s="4">
        <f>+T33-T34</f>
        <v>-299</v>
      </c>
      <c r="U35" s="4">
        <f>+U33-U34</f>
        <v>-17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</row>
    <row r="36" spans="1:109" s="3" customFormat="1" hidden="1" x14ac:dyDescent="0.25">
      <c r="B36" s="4" t="s">
        <v>82</v>
      </c>
      <c r="C36" s="4">
        <f>C31+C32+C33</f>
        <v>132.71999999999994</v>
      </c>
      <c r="D36" s="4">
        <f>D31+D32+D33</f>
        <v>445.75</v>
      </c>
      <c r="E36" s="4">
        <f>E31+E32+E33</f>
        <v>462.41999999999996</v>
      </c>
      <c r="F36" s="4">
        <f>F31+F32+F33</f>
        <v>373.88</v>
      </c>
      <c r="G36" s="4">
        <f>G31+G32+G33</f>
        <v>-279.64</v>
      </c>
      <c r="H36" s="4">
        <f>H31+H32+H33</f>
        <v>-383.5</v>
      </c>
      <c r="I36" s="4">
        <f>I31+I32+I33</f>
        <v>-867.24</v>
      </c>
      <c r="J36" s="4">
        <f>J31+J32+J33</f>
        <v>-937.15</v>
      </c>
      <c r="K36" s="4">
        <f>K31+K32+K33</f>
        <v>-331.8</v>
      </c>
      <c r="L36" s="4"/>
      <c r="M36" s="4"/>
      <c r="N36" s="4"/>
      <c r="O36" s="4"/>
      <c r="P36" s="5"/>
      <c r="Q36" s="4">
        <f>Q31+Q32+Q33</f>
        <v>-138.09999999999991</v>
      </c>
      <c r="R36" s="4">
        <f>R31+R32+R33</f>
        <v>169.99999999999997</v>
      </c>
      <c r="S36" s="4">
        <f>S31+S32+S33</f>
        <v>499.51600000000002</v>
      </c>
      <c r="T36" s="4">
        <f>T31+T32+T33</f>
        <v>373.88</v>
      </c>
      <c r="U36" s="4">
        <f>U31+U32+U33</f>
        <v>-937.15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</row>
    <row r="37" spans="1:109" s="3" customFormat="1" hidden="1" x14ac:dyDescent="0.25">
      <c r="B37" s="4" t="s">
        <v>81</v>
      </c>
      <c r="C37" s="4">
        <f>+C31+C32+C35</f>
        <v>135.21999999999994</v>
      </c>
      <c r="D37" s="4">
        <f>+D31+D32+D35</f>
        <v>448.75</v>
      </c>
      <c r="E37" s="4">
        <f>+E31+E32+E35</f>
        <v>559.41999999999996</v>
      </c>
      <c r="F37" s="4">
        <f>+F31+F32+F35</f>
        <v>706.88</v>
      </c>
      <c r="G37" s="4">
        <f>+G31+G32+G35</f>
        <v>-140.94000000000003</v>
      </c>
      <c r="H37" s="4">
        <f>+H31+H32+H35</f>
        <v>-143.5</v>
      </c>
      <c r="I37" s="4">
        <f>+I31+I32+I35</f>
        <v>-508.34000000000003</v>
      </c>
      <c r="J37" s="4">
        <f>+J31+J32+J35</f>
        <v>-348.15</v>
      </c>
      <c r="K37" s="4">
        <f>+K31+K32+K35</f>
        <v>-288.77999999999997</v>
      </c>
      <c r="L37" s="4"/>
      <c r="M37" s="4"/>
      <c r="N37" s="4"/>
      <c r="O37" s="4"/>
      <c r="P37" s="5"/>
      <c r="Q37" s="4">
        <f>+Q31+Q32+Q35</f>
        <v>114.3000000000001</v>
      </c>
      <c r="R37" s="4">
        <f>+R31+R32+R35</f>
        <v>318.06999999999994</v>
      </c>
      <c r="S37" s="4">
        <f>+S31+S32+S35</f>
        <v>599.21600000000001</v>
      </c>
      <c r="T37" s="4">
        <f>+T31+T32+T35</f>
        <v>706.88</v>
      </c>
      <c r="U37" s="4">
        <f>+U31+U32+U35</f>
        <v>-348.15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</row>
    <row r="38" spans="1:109" hidden="1" x14ac:dyDescent="0.25">
      <c r="C38" s="11" t="s">
        <v>90</v>
      </c>
      <c r="D38" s="11" t="s">
        <v>92</v>
      </c>
      <c r="E38" s="11" t="s">
        <v>91</v>
      </c>
      <c r="F38" s="11" t="s">
        <v>93</v>
      </c>
      <c r="G38" s="11" t="s">
        <v>90</v>
      </c>
      <c r="H38" s="11" t="s">
        <v>92</v>
      </c>
      <c r="I38" s="11" t="s">
        <v>91</v>
      </c>
      <c r="J38" s="11" t="s">
        <v>93</v>
      </c>
      <c r="K38" s="11" t="s">
        <v>90</v>
      </c>
      <c r="Q38" s="11"/>
      <c r="R38" s="11"/>
      <c r="S38" s="11"/>
      <c r="T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</row>
    <row r="39" spans="1:109" s="3" customFormat="1" x14ac:dyDescent="0.25">
      <c r="B39" s="4" t="s">
        <v>76</v>
      </c>
      <c r="C39" s="4">
        <v>-394.6</v>
      </c>
      <c r="D39" s="4">
        <f t="shared" ref="D39:F39" si="19">D31-C31</f>
        <v>543.45000000000005</v>
      </c>
      <c r="E39" s="4">
        <f t="shared" si="19"/>
        <v>43.550000000000011</v>
      </c>
      <c r="F39" s="4">
        <f t="shared" si="19"/>
        <v>75.599999999999994</v>
      </c>
      <c r="G39" s="4">
        <v>-28.74</v>
      </c>
      <c r="H39" s="4">
        <f t="shared" ref="H39:I39" si="20">H31-G31</f>
        <v>74.739999999999995</v>
      </c>
      <c r="I39" s="4">
        <f t="shared" si="20"/>
        <v>-310.74</v>
      </c>
      <c r="J39" s="4">
        <f>J31-I31</f>
        <v>282.59000000000003</v>
      </c>
      <c r="K39" s="4">
        <v>-383.5</v>
      </c>
      <c r="L39" s="4"/>
      <c r="M39" s="4"/>
      <c r="N39" s="4"/>
      <c r="O39" s="4"/>
      <c r="P39" s="5"/>
      <c r="Q39" s="4">
        <v>859.7</v>
      </c>
      <c r="R39" s="4">
        <v>918.3</v>
      </c>
      <c r="S39" s="4">
        <v>590.94000000000005</v>
      </c>
      <c r="T39" s="4">
        <v>268</v>
      </c>
      <c r="U39" s="4">
        <v>17.850000000000001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11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</row>
    <row r="40" spans="1:109" s="3" customFormat="1" x14ac:dyDescent="0.25">
      <c r="B40" s="4" t="s">
        <v>77</v>
      </c>
      <c r="C40" s="4">
        <v>314.64999999999998</v>
      </c>
      <c r="D40" s="4">
        <f t="shared" ref="D40:F40" si="21">D32-C32</f>
        <v>237.25</v>
      </c>
      <c r="E40" s="4">
        <f t="shared" si="21"/>
        <v>200</v>
      </c>
      <c r="F40" s="4">
        <f t="shared" si="21"/>
        <v>-14.019999999999982</v>
      </c>
      <c r="G40" s="4">
        <v>-103.5</v>
      </c>
      <c r="H40" s="4">
        <f t="shared" ref="H40:I40" si="22">H32-G32</f>
        <v>-71</v>
      </c>
      <c r="I40" s="4">
        <f t="shared" si="22"/>
        <v>-53</v>
      </c>
      <c r="J40" s="4">
        <f>J32-I32</f>
        <v>-121.5</v>
      </c>
      <c r="K40" s="4">
        <v>-105</v>
      </c>
      <c r="L40" s="4"/>
      <c r="M40" s="4"/>
      <c r="N40" s="4"/>
      <c r="O40" s="4"/>
      <c r="P40" s="5"/>
      <c r="Q40" s="4">
        <v>-674.4</v>
      </c>
      <c r="R40" s="4">
        <v>-509.7</v>
      </c>
      <c r="S40" s="4">
        <v>91.376000000000005</v>
      </c>
      <c r="T40" s="4">
        <v>737.88</v>
      </c>
      <c r="U40" s="4">
        <v>-349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11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</row>
    <row r="41" spans="1:109" x14ac:dyDescent="0.25">
      <c r="B41" s="11" t="s">
        <v>79</v>
      </c>
      <c r="C41" s="11">
        <v>212.67</v>
      </c>
      <c r="D41" s="11">
        <f t="shared" ref="D41:F41" si="23">D33-C33</f>
        <v>-467.66999999999996</v>
      </c>
      <c r="E41" s="11">
        <f t="shared" si="23"/>
        <v>-226.88</v>
      </c>
      <c r="F41" s="11">
        <f t="shared" si="23"/>
        <v>-150.12</v>
      </c>
      <c r="G41" s="11">
        <v>-147.4</v>
      </c>
      <c r="H41" s="11">
        <f t="shared" ref="H41:I41" si="24">H33-G33</f>
        <v>-107.6</v>
      </c>
      <c r="I41" s="11">
        <f t="shared" si="24"/>
        <v>-120</v>
      </c>
      <c r="J41" s="11">
        <f>J33-I33</f>
        <v>-231</v>
      </c>
      <c r="K41" s="11">
        <v>156.69999999999999</v>
      </c>
      <c r="Q41" s="11">
        <v>-323.39999999999998</v>
      </c>
      <c r="R41" s="11">
        <v>-238.6</v>
      </c>
      <c r="S41" s="11">
        <v>-182.8</v>
      </c>
      <c r="T41" s="11">
        <v>-632</v>
      </c>
      <c r="U41" s="11">
        <v>-606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</row>
    <row r="42" spans="1:109" x14ac:dyDescent="0.25">
      <c r="B42" s="11" t="s">
        <v>78</v>
      </c>
      <c r="C42" s="11">
        <v>-2.5</v>
      </c>
      <c r="D42" s="11">
        <f t="shared" ref="D42:F42" si="25">D34-C34</f>
        <v>-0.5</v>
      </c>
      <c r="E42" s="11">
        <f t="shared" si="25"/>
        <v>-94</v>
      </c>
      <c r="F42" s="11">
        <f t="shared" si="25"/>
        <v>-236</v>
      </c>
      <c r="G42" s="11">
        <v>-138.69999999999999</v>
      </c>
      <c r="H42" s="11">
        <f t="shared" ref="H42:I42" si="26">H34-G34</f>
        <v>-101.30000000000001</v>
      </c>
      <c r="I42" s="11">
        <f t="shared" si="26"/>
        <v>-118.89999999999998</v>
      </c>
      <c r="J42" s="11">
        <f>J34-I34</f>
        <v>-230.10000000000002</v>
      </c>
      <c r="K42" s="11">
        <v>-43.02</v>
      </c>
      <c r="Q42" s="11">
        <v>-252.4</v>
      </c>
      <c r="R42" s="11">
        <v>-148.07</v>
      </c>
      <c r="S42" s="11">
        <v>-99.7</v>
      </c>
      <c r="T42" s="11">
        <v>-333</v>
      </c>
      <c r="U42" s="11">
        <v>-589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</row>
    <row r="43" spans="1:109" s="3" customFormat="1" x14ac:dyDescent="0.25">
      <c r="B43" s="4" t="s">
        <v>80</v>
      </c>
      <c r="C43" s="4">
        <f>+C41-C42</f>
        <v>215.17</v>
      </c>
      <c r="D43" s="4">
        <f t="shared" ref="D43:F43" si="27">+D41-D42</f>
        <v>-467.16999999999996</v>
      </c>
      <c r="E43" s="4">
        <f t="shared" si="27"/>
        <v>-132.88</v>
      </c>
      <c r="F43" s="4">
        <f t="shared" si="27"/>
        <v>85.88</v>
      </c>
      <c r="G43" s="4">
        <f>+G41-G42</f>
        <v>-8.7000000000000171</v>
      </c>
      <c r="H43" s="4">
        <f t="shared" ref="H43:I43" si="28">+H41-H42</f>
        <v>-6.2999999999999829</v>
      </c>
      <c r="I43" s="4">
        <f t="shared" si="28"/>
        <v>-1.1000000000000227</v>
      </c>
      <c r="J43" s="4">
        <f>+J41-J42</f>
        <v>-0.89999999999997726</v>
      </c>
      <c r="K43" s="4">
        <f>+K41-K42</f>
        <v>199.72</v>
      </c>
      <c r="L43" s="4"/>
      <c r="M43" s="4"/>
      <c r="N43" s="4"/>
      <c r="O43" s="4"/>
      <c r="P43" s="5"/>
      <c r="Q43" s="4">
        <f>+Q41-Q42</f>
        <v>-70.999999999999972</v>
      </c>
      <c r="R43" s="4">
        <f>+R41-R42</f>
        <v>-90.53</v>
      </c>
      <c r="S43" s="4">
        <f>+S41-S42</f>
        <v>-83.100000000000009</v>
      </c>
      <c r="T43" s="4">
        <f>+T41-T42</f>
        <v>-299</v>
      </c>
      <c r="U43" s="4">
        <f>+U41-U42</f>
        <v>-17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</row>
    <row r="44" spans="1:109" s="3" customFormat="1" x14ac:dyDescent="0.25">
      <c r="B44" s="4" t="s">
        <v>82</v>
      </c>
      <c r="C44" s="4">
        <f>C39+C40+C41</f>
        <v>132.71999999999994</v>
      </c>
      <c r="D44" s="4">
        <f t="shared" ref="D44:F44" si="29">D39+D40+D41</f>
        <v>313.03000000000009</v>
      </c>
      <c r="E44" s="4">
        <f t="shared" si="29"/>
        <v>16.670000000000016</v>
      </c>
      <c r="F44" s="4">
        <f t="shared" si="29"/>
        <v>-88.539999999999992</v>
      </c>
      <c r="G44" s="4">
        <f>G39+G40+G41</f>
        <v>-279.64</v>
      </c>
      <c r="H44" s="4">
        <f t="shared" ref="H44:I44" si="30">H39+H40+H41</f>
        <v>-103.86</v>
      </c>
      <c r="I44" s="4">
        <f t="shared" si="30"/>
        <v>-483.74</v>
      </c>
      <c r="J44" s="4">
        <f>J39+J40+J41</f>
        <v>-69.909999999999968</v>
      </c>
      <c r="K44" s="4">
        <f>K39+K40+K41</f>
        <v>-331.8</v>
      </c>
      <c r="L44" s="4"/>
      <c r="M44" s="4"/>
      <c r="N44" s="4"/>
      <c r="O44" s="4"/>
      <c r="P44" s="5"/>
      <c r="Q44" s="4">
        <f>Q39+Q40+Q41</f>
        <v>-138.09999999999991</v>
      </c>
      <c r="R44" s="4">
        <f>R39+R40+R41</f>
        <v>169.99999999999997</v>
      </c>
      <c r="S44" s="4">
        <f>S39+S40+S41</f>
        <v>499.51600000000002</v>
      </c>
      <c r="T44" s="4">
        <f>T39+T40+T41</f>
        <v>373.88</v>
      </c>
      <c r="U44" s="4">
        <f>U39+U40+U41</f>
        <v>-937.15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</row>
    <row r="45" spans="1:109" s="3" customFormat="1" x14ac:dyDescent="0.25">
      <c r="B45" s="4" t="s">
        <v>81</v>
      </c>
      <c r="C45" s="4">
        <f>+C39+C40+C43</f>
        <v>135.21999999999994</v>
      </c>
      <c r="D45" s="4">
        <f t="shared" ref="D45:F45" si="31">+D39+D40+D43</f>
        <v>313.53000000000009</v>
      </c>
      <c r="E45" s="4">
        <f t="shared" si="31"/>
        <v>110.67000000000002</v>
      </c>
      <c r="F45" s="4">
        <f t="shared" si="31"/>
        <v>147.46</v>
      </c>
      <c r="G45" s="4">
        <f>+G39+G40+G43</f>
        <v>-140.94000000000003</v>
      </c>
      <c r="H45" s="4">
        <f t="shared" ref="H45:I45" si="32">+H39+H40+H43</f>
        <v>-2.5599999999999881</v>
      </c>
      <c r="I45" s="4">
        <f t="shared" si="32"/>
        <v>-364.84000000000003</v>
      </c>
      <c r="J45" s="4">
        <f>+J39+J40+J43</f>
        <v>160.19000000000005</v>
      </c>
      <c r="K45" s="4">
        <f>+K39+K40+K43</f>
        <v>-288.77999999999997</v>
      </c>
      <c r="L45" s="4"/>
      <c r="M45" s="4"/>
      <c r="N45" s="4"/>
      <c r="O45" s="4"/>
      <c r="P45" s="5"/>
      <c r="Q45" s="4">
        <f>+Q39+Q40+Q43</f>
        <v>114.3000000000001</v>
      </c>
      <c r="R45" s="4">
        <f>+R39+R40+R43</f>
        <v>318.06999999999994</v>
      </c>
      <c r="S45" s="4">
        <f>+S39+S40+S43</f>
        <v>599.21600000000001</v>
      </c>
      <c r="T45" s="4">
        <f>+T39+T40+T43</f>
        <v>706.88</v>
      </c>
      <c r="U45" s="4">
        <f>+U39+U40+U43</f>
        <v>-348.15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</row>
    <row r="46" spans="1:109" x14ac:dyDescent="0.25">
      <c r="Q46" s="11"/>
      <c r="R46" s="11"/>
      <c r="S46" s="11"/>
      <c r="T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</row>
    <row r="47" spans="1:109" s="11" customFormat="1" x14ac:dyDescent="0.25">
      <c r="B47" s="11" t="s">
        <v>86</v>
      </c>
      <c r="K47" s="11" t="s">
        <v>89</v>
      </c>
      <c r="P47" s="12"/>
    </row>
    <row r="48" spans="1:109" x14ac:dyDescent="0.25">
      <c r="A48" s="15"/>
      <c r="B48" s="15" t="s">
        <v>87</v>
      </c>
      <c r="C48" s="15"/>
      <c r="D48" s="15"/>
      <c r="E48" s="15"/>
      <c r="F48" s="15"/>
      <c r="G48" s="15"/>
      <c r="H48" s="15"/>
      <c r="I48" s="15"/>
      <c r="J48" s="15"/>
      <c r="K48" s="15" t="s">
        <v>88</v>
      </c>
      <c r="L48" s="15"/>
      <c r="M48" s="15"/>
      <c r="N48" s="15"/>
      <c r="O48" s="15"/>
      <c r="P48" s="16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5">
      <c r="A49" s="11"/>
      <c r="B49" s="11"/>
      <c r="C49" s="17"/>
      <c r="D49" s="17"/>
      <c r="E49" s="17"/>
      <c r="F49" s="17"/>
      <c r="G49" s="17"/>
      <c r="H49" s="17"/>
      <c r="I49" s="17"/>
      <c r="J49" s="17"/>
      <c r="L49" s="17"/>
      <c r="M49" s="17"/>
      <c r="N49" s="17"/>
      <c r="O49" s="17"/>
      <c r="P49" s="12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s="19" customFormat="1" x14ac:dyDescent="0.25">
      <c r="B50" s="19" t="s">
        <v>26</v>
      </c>
      <c r="C50" s="19">
        <f>C5/C3</f>
        <v>0.26650553753900758</v>
      </c>
      <c r="D50" s="19">
        <f t="shared" ref="D50:K50" si="33">D5/D3</f>
        <v>0.36740318337123051</v>
      </c>
      <c r="E50" s="19">
        <f t="shared" si="33"/>
        <v>0.36529941949282002</v>
      </c>
      <c r="F50" s="19">
        <f t="shared" si="33"/>
        <v>0.31536137862363661</v>
      </c>
      <c r="G50" s="19">
        <f t="shared" si="33"/>
        <v>0.32439694750257186</v>
      </c>
      <c r="H50" s="19">
        <f t="shared" si="33"/>
        <v>0.30286693203002979</v>
      </c>
      <c r="I50" s="19">
        <f t="shared" si="33"/>
        <v>0.35624900154427819</v>
      </c>
      <c r="J50" s="19">
        <f t="shared" si="33"/>
        <v>0.28275142694203032</v>
      </c>
      <c r="K50" s="19">
        <f t="shared" si="33"/>
        <v>0.23869072024053584</v>
      </c>
      <c r="P50" s="20"/>
      <c r="Q50" s="19">
        <f t="shared" ref="Q50:U50" si="34">Q5/Q3</f>
        <v>0.35980177014081766</v>
      </c>
      <c r="R50" s="19">
        <f t="shared" si="34"/>
        <v>0.34117549255964752</v>
      </c>
      <c r="S50" s="19">
        <f t="shared" si="34"/>
        <v>0.31739644758303021</v>
      </c>
      <c r="T50" s="19">
        <f t="shared" si="34"/>
        <v>0.33775587566338133</v>
      </c>
      <c r="U50" s="19">
        <f t="shared" si="34"/>
        <v>0.31570920183019829</v>
      </c>
      <c r="V50" s="19">
        <v>0.24</v>
      </c>
      <c r="W50" s="19">
        <v>0.2</v>
      </c>
      <c r="X50" s="19">
        <v>0.2</v>
      </c>
      <c r="Y50" s="19">
        <v>0.35</v>
      </c>
      <c r="Z50" s="19">
        <v>0.37</v>
      </c>
      <c r="AA50" s="19">
        <v>0.38</v>
      </c>
      <c r="AB50" s="19">
        <v>0.38</v>
      </c>
      <c r="AC50" s="19">
        <v>0.38</v>
      </c>
      <c r="AD50" s="19">
        <v>0.38</v>
      </c>
      <c r="AE50" s="19">
        <v>0.38</v>
      </c>
      <c r="AF50" s="19">
        <v>0.38</v>
      </c>
      <c r="AG50" s="19">
        <v>0.38</v>
      </c>
    </row>
    <row r="51" spans="1:37" s="19" customFormat="1" x14ac:dyDescent="0.25">
      <c r="B51" s="19" t="s">
        <v>94</v>
      </c>
      <c r="C51" s="19">
        <f>C6/C3</f>
        <v>0.55375390075261577</v>
      </c>
      <c r="D51" s="19">
        <f t="shared" ref="D51:K51" si="35">D6/D3</f>
        <v>0.31629840831438472</v>
      </c>
      <c r="E51" s="19">
        <f t="shared" si="35"/>
        <v>0.34018484570730217</v>
      </c>
      <c r="F51" s="19">
        <f t="shared" si="35"/>
        <v>0.28980693282508502</v>
      </c>
      <c r="G51" s="19">
        <f t="shared" si="35"/>
        <v>0.33713615960610299</v>
      </c>
      <c r="H51" s="19">
        <f t="shared" si="35"/>
        <v>0.32900186426160127</v>
      </c>
      <c r="I51" s="19">
        <f t="shared" si="35"/>
        <v>0.37166515788913146</v>
      </c>
      <c r="J51" s="19">
        <f t="shared" si="35"/>
        <v>0.33275654492369328</v>
      </c>
      <c r="K51" s="19">
        <f t="shared" si="35"/>
        <v>0.43597102637693042</v>
      </c>
      <c r="P51" s="20"/>
      <c r="Q51" s="19">
        <f t="shared" ref="Q51:U51" si="36">Q6/Q3</f>
        <v>0.29812216077024611</v>
      </c>
      <c r="R51" s="19">
        <f t="shared" si="36"/>
        <v>0.30602793249646687</v>
      </c>
      <c r="S51" s="19">
        <f t="shared" si="36"/>
        <v>0.33449536680228703</v>
      </c>
      <c r="T51" s="19">
        <f t="shared" si="36"/>
        <v>0.34918228094877074</v>
      </c>
      <c r="U51" s="19">
        <f t="shared" si="36"/>
        <v>0.3421835282155567</v>
      </c>
      <c r="V51" s="19">
        <v>0.4</v>
      </c>
      <c r="W51" s="19">
        <f>U51*(1.5+W53)</f>
        <v>0.41404206914082359</v>
      </c>
      <c r="X51" s="19">
        <f>W51*(1.5+X53)</f>
        <v>0.45130585536349777</v>
      </c>
      <c r="Y51" s="19">
        <v>0.35</v>
      </c>
      <c r="Z51" s="19">
        <v>0.3</v>
      </c>
      <c r="AA51" s="19">
        <v>0.25</v>
      </c>
      <c r="AB51" s="19">
        <v>0.25</v>
      </c>
      <c r="AC51" s="19">
        <v>0.25</v>
      </c>
      <c r="AD51" s="19">
        <v>0.25</v>
      </c>
      <c r="AE51" s="19">
        <v>0.25</v>
      </c>
      <c r="AF51" s="19">
        <v>0.25</v>
      </c>
      <c r="AG51" s="19">
        <v>0.25</v>
      </c>
    </row>
    <row r="52" spans="1:37" s="11" customFormat="1" x14ac:dyDescent="0.25">
      <c r="P52" s="12"/>
    </row>
    <row r="53" spans="1:37" s="19" customFormat="1" x14ac:dyDescent="0.25">
      <c r="B53" s="19" t="s">
        <v>95</v>
      </c>
      <c r="G53" s="19">
        <f t="shared" ref="G53:J53" si="37">G3/C3-1</f>
        <v>0.49437832711252505</v>
      </c>
      <c r="H53" s="19">
        <f t="shared" si="37"/>
        <v>-0.26163555518518067</v>
      </c>
      <c r="I53" s="19">
        <f t="shared" si="37"/>
        <v>-0.28280629391995116</v>
      </c>
      <c r="J53" s="19">
        <f t="shared" si="37"/>
        <v>-0.21670881707030254</v>
      </c>
      <c r="K53" s="19">
        <f>K3/G3-1</f>
        <v>-0.25100188861762396</v>
      </c>
      <c r="P53" s="20"/>
      <c r="R53" s="19">
        <f t="shared" ref="R53:T53" si="38">R3/Q3-1</f>
        <v>-2.5936692768011138E-2</v>
      </c>
      <c r="S53" s="19">
        <f t="shared" si="38"/>
        <v>-7.2358467037991536E-2</v>
      </c>
      <c r="T53" s="19">
        <f t="shared" si="38"/>
        <v>-0.17256645098847523</v>
      </c>
      <c r="U53" s="19">
        <f>U3/T3-1</f>
        <v>-0.14783927217589088</v>
      </c>
      <c r="V53" s="19">
        <v>-0.25</v>
      </c>
      <c r="W53" s="19">
        <v>-0.28999999999999998</v>
      </c>
      <c r="X53" s="19">
        <v>-0.41</v>
      </c>
      <c r="Y53" s="19">
        <v>0.21</v>
      </c>
      <c r="Z53" s="19">
        <v>-0.04</v>
      </c>
      <c r="AA53" s="19">
        <v>0.12</v>
      </c>
      <c r="AB53" s="19">
        <v>0.03</v>
      </c>
      <c r="AC53" s="19">
        <v>0.02</v>
      </c>
      <c r="AD53" s="19">
        <v>0.06</v>
      </c>
      <c r="AE53" s="19">
        <v>0.05</v>
      </c>
      <c r="AF53" s="19">
        <v>0.04</v>
      </c>
      <c r="AG53" s="19">
        <v>0.04</v>
      </c>
    </row>
    <row r="54" spans="1:37" s="19" customFormat="1" x14ac:dyDescent="0.25">
      <c r="B54" s="19" t="s">
        <v>27</v>
      </c>
      <c r="G54" s="19">
        <f t="shared" ref="G54:J54" si="39">G15/C15-1</f>
        <v>-0.83161168646395089</v>
      </c>
      <c r="H54" s="19">
        <f t="shared" si="39"/>
        <v>-1.3382174782943888</v>
      </c>
      <c r="I54" s="19">
        <f t="shared" si="39"/>
        <v>2.6589852596448007</v>
      </c>
      <c r="J54" s="19">
        <f t="shared" si="39"/>
        <v>-17.043914807302208</v>
      </c>
      <c r="K54" s="19">
        <f>K15/G15-1</f>
        <v>6.03253949540201</v>
      </c>
      <c r="P54" s="20"/>
      <c r="R54" s="19">
        <f t="shared" ref="R54:T54" si="40">R15/Q15-1</f>
        <v>-1.3220589615998501</v>
      </c>
      <c r="S54" s="19">
        <f t="shared" si="40"/>
        <v>3.4717076014867656</v>
      </c>
      <c r="T54" s="19">
        <f t="shared" si="40"/>
        <v>-0.75558989052468895</v>
      </c>
      <c r="U54" s="19">
        <f>U15/T15-1</f>
        <v>2.728082634818386</v>
      </c>
    </row>
    <row r="55" spans="1:37" x14ac:dyDescent="0.25">
      <c r="A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</row>
    <row r="56" spans="1:37" s="21" customFormat="1" x14ac:dyDescent="0.25">
      <c r="B56" s="21" t="s">
        <v>106</v>
      </c>
      <c r="G56" s="21">
        <f t="shared" ref="G56:J56" si="41">(1+G11/F29)^4-1</f>
        <v>-4.7342793591098276E-2</v>
      </c>
      <c r="H56" s="21">
        <f t="shared" si="41"/>
        <v>-3.3291479465422213E-2</v>
      </c>
      <c r="I56" s="21">
        <f t="shared" si="41"/>
        <v>-2.9427101799238908E-2</v>
      </c>
      <c r="J56" s="21">
        <f t="shared" si="41"/>
        <v>-2.628918676741876E-2</v>
      </c>
      <c r="K56" s="21">
        <f>(1+K11/J29)^4-1</f>
        <v>-2.9278637977937727E-2</v>
      </c>
      <c r="P56" s="22"/>
      <c r="S56" s="21">
        <f t="shared" ref="R56:T56" si="42">S11/R29</f>
        <v>-0.1370268555720025</v>
      </c>
      <c r="T56" s="21">
        <f t="shared" si="42"/>
        <v>-3.2530986928381064E-2</v>
      </c>
      <c r="U56" s="21">
        <f>U11/T29</f>
        <v>-4.873455860198854E-2</v>
      </c>
      <c r="V56" s="21">
        <v>-3.5999999999999997E-2</v>
      </c>
      <c r="W56" s="21">
        <v>-3.5999999999999997E-2</v>
      </c>
      <c r="X56" s="21">
        <v>-3.5999999999999997E-2</v>
      </c>
      <c r="Y56" s="21">
        <v>-3.5999999999999997E-2</v>
      </c>
      <c r="Z56" s="21">
        <v>-3.5999999999999997E-2</v>
      </c>
      <c r="AA56" s="21">
        <v>-3.5999999999999997E-2</v>
      </c>
      <c r="AB56" s="21">
        <v>-3.5999999999999997E-2</v>
      </c>
      <c r="AC56" s="21">
        <v>-3.5999999999999997E-2</v>
      </c>
      <c r="AD56" s="21">
        <v>-3.5999999999999997E-2</v>
      </c>
      <c r="AE56" s="21">
        <v>-3.5999999999999997E-2</v>
      </c>
      <c r="AF56" s="21">
        <v>-3.5999999999999997E-2</v>
      </c>
      <c r="AG56" s="21">
        <v>-3.5999999999999997E-2</v>
      </c>
    </row>
    <row r="57" spans="1:37" s="21" customFormat="1" x14ac:dyDescent="0.25">
      <c r="B57" s="21" t="s">
        <v>107</v>
      </c>
      <c r="C57" s="21">
        <f t="shared" ref="C57:J57" si="43">C14/C3</f>
        <v>-0.13446123722694733</v>
      </c>
      <c r="D57" s="21">
        <f t="shared" si="43"/>
        <v>3.9550322027643192E-2</v>
      </c>
      <c r="E57" s="21">
        <f t="shared" si="43"/>
        <v>-2.4900702719217842E-2</v>
      </c>
      <c r="F57" s="21">
        <f t="shared" si="43"/>
        <v>-1.958581119673547E-2</v>
      </c>
      <c r="G57" s="21">
        <f t="shared" si="43"/>
        <v>-1.9071967079705807E-2</v>
      </c>
      <c r="H57" s="21">
        <f t="shared" si="43"/>
        <v>-1.367007608202751E-2</v>
      </c>
      <c r="I57" s="21">
        <f t="shared" si="43"/>
        <v>9.2922945843761651E-2</v>
      </c>
      <c r="J57" s="21">
        <f t="shared" si="43"/>
        <v>-1.1278569304783118E-2</v>
      </c>
      <c r="K57" s="21">
        <f>K14/K3</f>
        <v>1.3666803334700013E-3</v>
      </c>
      <c r="P57" s="22"/>
      <c r="Q57" s="21">
        <f t="shared" ref="Q57:U57" si="44">Q14/Q3</f>
        <v>2.1863587409812705E-2</v>
      </c>
      <c r="R57" s="21">
        <f t="shared" si="44"/>
        <v>-1.6127691412419984E-3</v>
      </c>
      <c r="S57" s="21">
        <f t="shared" si="44"/>
        <v>-1.3535479361210188E-2</v>
      </c>
      <c r="T57" s="21">
        <f t="shared" si="44"/>
        <v>-2.0143940214448177E-2</v>
      </c>
      <c r="U57" s="21">
        <f t="shared" si="44"/>
        <v>1.1053253685815964E-2</v>
      </c>
      <c r="Z57" s="21">
        <v>3.5000000000000003E-2</v>
      </c>
      <c r="AA57" s="21">
        <v>3.5000000000000003E-2</v>
      </c>
      <c r="AB57" s="21">
        <v>3.5000000000000003E-2</v>
      </c>
      <c r="AC57" s="21">
        <v>3.5000000000000003E-2</v>
      </c>
      <c r="AD57" s="21">
        <v>3.5000000000000003E-2</v>
      </c>
      <c r="AE57" s="21">
        <v>3.5000000000000003E-2</v>
      </c>
      <c r="AF57" s="21">
        <v>3.5000000000000003E-2</v>
      </c>
      <c r="AG57" s="21">
        <v>3.5000000000000003E-2</v>
      </c>
    </row>
    <row r="58" spans="1:37" s="21" customFormat="1" x14ac:dyDescent="0.25">
      <c r="B58" s="21" t="s">
        <v>108</v>
      </c>
      <c r="C58" s="21">
        <f t="shared" ref="C58:J58" si="45">C14/C13</f>
        <v>0.36775934564776275</v>
      </c>
      <c r="D58" s="21">
        <f t="shared" si="45"/>
        <v>0.32788857155194251</v>
      </c>
      <c r="E58" s="21">
        <f t="shared" si="45"/>
        <v>0.46337424577313135</v>
      </c>
      <c r="F58" s="21">
        <f t="shared" si="45"/>
        <v>1.2379401047322574</v>
      </c>
      <c r="G58" s="21">
        <f t="shared" si="45"/>
        <v>0.42269865577675636</v>
      </c>
      <c r="H58" s="21">
        <f t="shared" si="45"/>
        <v>0.26906598964634976</v>
      </c>
      <c r="I58" s="21">
        <f t="shared" si="45"/>
        <v>-1.71449906169249</v>
      </c>
      <c r="J58" s="21">
        <f t="shared" si="45"/>
        <v>0.12760571768910076</v>
      </c>
      <c r="K58" s="21">
        <f>K14/K13</f>
        <v>-5.6195560550716525E-3</v>
      </c>
      <c r="P58" s="22"/>
      <c r="Q58" s="21">
        <f t="shared" ref="Q58:T58" si="46">Q14/Q13</f>
        <v>0.38790874087696142</v>
      </c>
      <c r="R58" s="21">
        <f t="shared" si="46"/>
        <v>0.12387459293787112</v>
      </c>
      <c r="S58" s="21">
        <f t="shared" si="46"/>
        <v>0.19753727439183907</v>
      </c>
      <c r="T58" s="21">
        <f>T14/T13</f>
        <v>0.55362107456466725</v>
      </c>
      <c r="U58" s="21">
        <f>U14/U13</f>
        <v>-0.18421309044693915</v>
      </c>
      <c r="V58" s="21">
        <v>0.125</v>
      </c>
      <c r="W58" s="21">
        <v>0.125</v>
      </c>
      <c r="X58" s="21">
        <v>0.125</v>
      </c>
      <c r="Y58" s="21">
        <v>0.125</v>
      </c>
    </row>
    <row r="59" spans="1:37" s="19" customFormat="1" x14ac:dyDescent="0.25">
      <c r="B59" s="11"/>
      <c r="P59" s="20"/>
      <c r="AI59" s="19" t="s">
        <v>32</v>
      </c>
      <c r="AJ59" s="26">
        <v>-0.02</v>
      </c>
    </row>
    <row r="60" spans="1:37" s="19" customFormat="1" x14ac:dyDescent="0.25">
      <c r="B60" s="11"/>
      <c r="P60" s="20"/>
      <c r="AI60" s="19" t="s">
        <v>28</v>
      </c>
      <c r="AJ60" s="26">
        <v>-0.01</v>
      </c>
    </row>
    <row r="61" spans="1:37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20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 t="s">
        <v>29</v>
      </c>
      <c r="AJ61" s="26">
        <v>0.12</v>
      </c>
      <c r="AK61" s="19"/>
    </row>
    <row r="62" spans="1:37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20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 t="s">
        <v>30</v>
      </c>
      <c r="AJ62" s="23">
        <f>NPV(AJ61,V15:DC15)</f>
        <v>218.76521315251679</v>
      </c>
      <c r="AK62" s="19"/>
    </row>
    <row r="63" spans="1:37" s="21" customFormat="1" x14ac:dyDescent="0.25">
      <c r="P63" s="22"/>
    </row>
    <row r="64" spans="1:37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20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 spans="1:37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20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 spans="1:37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20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K66" s="19"/>
    </row>
    <row r="67" spans="1:37" s="19" customFormat="1" x14ac:dyDescent="0.25">
      <c r="B67" s="11"/>
      <c r="P67" s="20"/>
    </row>
    <row r="68" spans="1:37" s="19" customFormat="1" x14ac:dyDescent="0.25">
      <c r="B68" s="11"/>
      <c r="P68" s="20"/>
    </row>
    <row r="69" spans="1:37" s="19" customFormat="1" x14ac:dyDescent="0.25">
      <c r="B69" s="11"/>
      <c r="P69" s="20"/>
    </row>
    <row r="70" spans="1:37" s="19" customFormat="1" x14ac:dyDescent="0.25">
      <c r="B70" s="11"/>
      <c r="P70" s="20"/>
    </row>
    <row r="71" spans="1:37" s="19" customFormat="1" x14ac:dyDescent="0.25">
      <c r="B71" s="11"/>
      <c r="P71" s="20"/>
    </row>
    <row r="72" spans="1:37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20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 spans="1:37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20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 spans="1:37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0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 spans="1:37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20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 spans="1:37" x14ac:dyDescent="0.25">
      <c r="B76" s="11"/>
    </row>
    <row r="77" spans="1:37" s="21" customFormat="1" x14ac:dyDescent="0.25">
      <c r="P77" s="22"/>
    </row>
    <row r="78" spans="1:37" x14ac:dyDescent="0.25">
      <c r="AH78" s="17"/>
      <c r="AI78" s="21"/>
    </row>
    <row r="79" spans="1:37" x14ac:dyDescent="0.25">
      <c r="AH79" s="19"/>
      <c r="AI79" s="21"/>
    </row>
    <row r="80" spans="1:37" x14ac:dyDescent="0.25">
      <c r="AI80" s="21"/>
    </row>
    <row r="81" spans="34:35" x14ac:dyDescent="0.25">
      <c r="AH81" s="19"/>
      <c r="AI81" s="24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2022-07-25T13:18:17Z</dcterms:created>
  <dcterms:modified xsi:type="dcterms:W3CDTF">2022-08-06T20:35:36Z</dcterms:modified>
</cp:coreProperties>
</file>