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Models\"/>
    </mc:Choice>
  </mc:AlternateContent>
  <xr:revisionPtr revIDLastSave="0" documentId="13_ncr:1_{15FFCCAC-F241-4797-9651-04F3CC25FB23}" xr6:coauthVersionLast="47" xr6:coauthVersionMax="47" xr10:uidLastSave="{00000000-0000-0000-0000-000000000000}"/>
  <bookViews>
    <workbookView xWindow="28260" yWindow="3780" windowWidth="15825" windowHeight="17250" xr2:uid="{2EC0F4CB-CC56-4207-8108-7C832533A8D8}"/>
  </bookViews>
  <sheets>
    <sheet name="Main" sheetId="1" r:id="rId1"/>
    <sheet name="Mode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0" i="1" l="1"/>
  <c r="N18" i="1"/>
  <c r="N17" i="1"/>
  <c r="N16" i="1"/>
  <c r="V16" i="2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V9" i="2"/>
  <c r="W9" i="2" s="1"/>
  <c r="X9" i="2" s="1"/>
  <c r="Y9" i="2" s="1"/>
  <c r="Z9" i="2" s="1"/>
  <c r="AA9" i="2" s="1"/>
  <c r="AB9" i="2" s="1"/>
  <c r="AC9" i="2" s="1"/>
  <c r="AD9" i="2" s="1"/>
  <c r="AE9" i="2" s="1"/>
  <c r="AF9" i="2" s="1"/>
  <c r="V8" i="2"/>
  <c r="W8" i="2" s="1"/>
  <c r="X8" i="2" s="1"/>
  <c r="Y8" i="2" s="1"/>
  <c r="Z8" i="2" s="1"/>
  <c r="AA8" i="2" s="1"/>
  <c r="AB8" i="2" s="1"/>
  <c r="AC8" i="2" s="1"/>
  <c r="AD8" i="2" s="1"/>
  <c r="AE8" i="2" s="1"/>
  <c r="AF8" i="2" s="1"/>
  <c r="V6" i="2"/>
  <c r="W6" i="2" s="1"/>
  <c r="X6" i="2" s="1"/>
  <c r="Y6" i="2" s="1"/>
  <c r="Z6" i="2" s="1"/>
  <c r="AA6" i="2" s="1"/>
  <c r="AB6" i="2" s="1"/>
  <c r="AC6" i="2" s="1"/>
  <c r="AD6" i="2" s="1"/>
  <c r="AE6" i="2" s="1"/>
  <c r="AF6" i="2" s="1"/>
  <c r="V5" i="2"/>
  <c r="W5" i="2" s="1"/>
  <c r="X5" i="2" s="1"/>
  <c r="Y5" i="2" s="1"/>
  <c r="Z5" i="2" s="1"/>
  <c r="AA5" i="2" s="1"/>
  <c r="AB5" i="2" s="1"/>
  <c r="AC5" i="2" s="1"/>
  <c r="AD5" i="2" s="1"/>
  <c r="AE5" i="2" s="1"/>
  <c r="AF5" i="2" s="1"/>
  <c r="V4" i="2"/>
  <c r="W4" i="2" s="1"/>
  <c r="X4" i="2" s="1"/>
  <c r="Y4" i="2" s="1"/>
  <c r="Z4" i="2" s="1"/>
  <c r="AA4" i="2" s="1"/>
  <c r="AB4" i="2" s="1"/>
  <c r="AC4" i="2" s="1"/>
  <c r="AD4" i="2" s="1"/>
  <c r="AE4" i="2" s="1"/>
  <c r="AF4" i="2" s="1"/>
  <c r="V3" i="2"/>
  <c r="W3" i="2" s="1"/>
  <c r="X3" i="2" s="1"/>
  <c r="Y3" i="2" s="1"/>
  <c r="Z3" i="2" s="1"/>
  <c r="AA3" i="2" s="1"/>
  <c r="AB3" i="2" s="1"/>
  <c r="AC3" i="2" s="1"/>
  <c r="AD3" i="2" s="1"/>
  <c r="AE3" i="2" s="1"/>
  <c r="AF3" i="2" s="1"/>
  <c r="U38" i="2"/>
  <c r="M51" i="2"/>
  <c r="M48" i="2"/>
  <c r="M39" i="2"/>
  <c r="M34" i="2"/>
  <c r="M20" i="2"/>
  <c r="M12" i="2"/>
  <c r="M40" i="2" s="1"/>
  <c r="T38" i="2"/>
  <c r="S38" i="2"/>
  <c r="R38" i="2"/>
  <c r="Q38" i="2"/>
  <c r="J12" i="2"/>
  <c r="J38" i="2" s="1"/>
  <c r="M38" i="2" l="1"/>
  <c r="M41" i="2"/>
  <c r="M14" i="2"/>
  <c r="M42" i="2"/>
  <c r="F34" i="2"/>
  <c r="G34" i="2"/>
  <c r="H34" i="2"/>
  <c r="J34" i="2"/>
  <c r="K34" i="2"/>
  <c r="L34" i="2"/>
  <c r="T34" i="2"/>
  <c r="U55" i="2" s="1"/>
  <c r="S34" i="2"/>
  <c r="T55" i="2" s="1"/>
  <c r="U34" i="2"/>
  <c r="V18" i="2" s="1"/>
  <c r="V55" i="2" s="1"/>
  <c r="U42" i="2"/>
  <c r="T42" i="2"/>
  <c r="S42" i="2"/>
  <c r="R42" i="2"/>
  <c r="Q42" i="2"/>
  <c r="C42" i="2"/>
  <c r="R41" i="2"/>
  <c r="Q41" i="2"/>
  <c r="R40" i="2"/>
  <c r="Q40" i="2"/>
  <c r="R39" i="2"/>
  <c r="Q39" i="2"/>
  <c r="S52" i="2"/>
  <c r="R52" i="2"/>
  <c r="R51" i="2"/>
  <c r="S50" i="2"/>
  <c r="R50" i="2"/>
  <c r="S49" i="2"/>
  <c r="R49" i="2"/>
  <c r="R48" i="2"/>
  <c r="S47" i="2"/>
  <c r="R47" i="2"/>
  <c r="S46" i="2"/>
  <c r="R46" i="2"/>
  <c r="S45" i="2"/>
  <c r="R45" i="2"/>
  <c r="S44" i="2"/>
  <c r="R44" i="2"/>
  <c r="R33" i="2"/>
  <c r="R34" i="2" s="1"/>
  <c r="S55" i="2" s="1"/>
  <c r="Q19" i="2"/>
  <c r="Q14" i="2"/>
  <c r="Q17" i="2" s="1"/>
  <c r="Q37" i="2" s="1"/>
  <c r="R20" i="2"/>
  <c r="R14" i="2"/>
  <c r="R17" i="2" s="1"/>
  <c r="R37" i="2" s="1"/>
  <c r="T52" i="2"/>
  <c r="U52" i="2"/>
  <c r="U50" i="2"/>
  <c r="T50" i="2"/>
  <c r="U49" i="2"/>
  <c r="T49" i="2"/>
  <c r="U47" i="2"/>
  <c r="T47" i="2"/>
  <c r="U46" i="2"/>
  <c r="T46" i="2"/>
  <c r="U45" i="2"/>
  <c r="T45" i="2"/>
  <c r="T44" i="2"/>
  <c r="U44" i="2"/>
  <c r="L51" i="2"/>
  <c r="K51" i="2"/>
  <c r="J51" i="2"/>
  <c r="I51" i="2"/>
  <c r="L50" i="2"/>
  <c r="K50" i="2"/>
  <c r="I50" i="2"/>
  <c r="H50" i="2"/>
  <c r="G50" i="2"/>
  <c r="L49" i="2"/>
  <c r="K49" i="2"/>
  <c r="I49" i="2"/>
  <c r="H49" i="2"/>
  <c r="G49" i="2"/>
  <c r="L48" i="2"/>
  <c r="K48" i="2"/>
  <c r="J48" i="2"/>
  <c r="I48" i="2"/>
  <c r="L47" i="2"/>
  <c r="K47" i="2"/>
  <c r="L46" i="2"/>
  <c r="K46" i="2"/>
  <c r="I46" i="2"/>
  <c r="H46" i="2"/>
  <c r="G46" i="2"/>
  <c r="L45" i="2"/>
  <c r="K45" i="2"/>
  <c r="I45" i="2"/>
  <c r="H45" i="2"/>
  <c r="G45" i="2"/>
  <c r="L44" i="2"/>
  <c r="I44" i="2"/>
  <c r="H44" i="2"/>
  <c r="G44" i="2"/>
  <c r="J5" i="2"/>
  <c r="J4" i="2"/>
  <c r="J9" i="2"/>
  <c r="J8" i="2"/>
  <c r="F5" i="2"/>
  <c r="J3" i="2"/>
  <c r="K44" i="2"/>
  <c r="F9" i="2"/>
  <c r="F8" i="2"/>
  <c r="F4" i="2"/>
  <c r="F3" i="2"/>
  <c r="C10" i="2"/>
  <c r="C41" i="2" s="1"/>
  <c r="C6" i="2"/>
  <c r="C7" i="2" s="1"/>
  <c r="G48" i="2" s="1"/>
  <c r="C14" i="2"/>
  <c r="C17" i="2" s="1"/>
  <c r="C37" i="2" s="1"/>
  <c r="E12" i="2"/>
  <c r="E42" i="2" s="1"/>
  <c r="F12" i="2"/>
  <c r="F42" i="2" s="1"/>
  <c r="G12" i="2"/>
  <c r="G52" i="2" s="1"/>
  <c r="H12" i="2"/>
  <c r="I12" i="2"/>
  <c r="J42" i="2"/>
  <c r="K12" i="2"/>
  <c r="L12" i="2"/>
  <c r="C20" i="2"/>
  <c r="D10" i="2"/>
  <c r="H51" i="2" s="1"/>
  <c r="D6" i="2"/>
  <c r="D7" i="2" s="1"/>
  <c r="H48" i="2" s="1"/>
  <c r="D20" i="2"/>
  <c r="E6" i="2"/>
  <c r="I6" i="2"/>
  <c r="I47" i="2" s="1"/>
  <c r="I33" i="2"/>
  <c r="I34" i="2" s="1"/>
  <c r="S10" i="2"/>
  <c r="S51" i="2" s="1"/>
  <c r="S7" i="2"/>
  <c r="S40" i="2" s="1"/>
  <c r="T10" i="2"/>
  <c r="T7" i="2"/>
  <c r="T40" i="2" s="1"/>
  <c r="U10" i="2"/>
  <c r="U41" i="2" s="1"/>
  <c r="U7" i="2"/>
  <c r="U40" i="2" s="1"/>
  <c r="U30" i="2"/>
  <c r="S20" i="2"/>
  <c r="S14" i="2"/>
  <c r="S17" i="2" s="1"/>
  <c r="S37" i="2" s="1"/>
  <c r="T19" i="2"/>
  <c r="T20" i="2" s="1"/>
  <c r="T14" i="2"/>
  <c r="T17" i="2" s="1"/>
  <c r="T37" i="2" s="1"/>
  <c r="U19" i="2"/>
  <c r="U20" i="2" s="1"/>
  <c r="U14" i="2"/>
  <c r="U17" i="2" s="1"/>
  <c r="U37" i="2" s="1"/>
  <c r="K30" i="2"/>
  <c r="J30" i="2"/>
  <c r="L30" i="2"/>
  <c r="L42" i="2" l="1"/>
  <c r="L38" i="2"/>
  <c r="I42" i="2"/>
  <c r="I38" i="2"/>
  <c r="M52" i="2"/>
  <c r="K42" i="2"/>
  <c r="K38" i="2"/>
  <c r="H42" i="2"/>
  <c r="H38" i="2"/>
  <c r="M36" i="2"/>
  <c r="M17" i="2"/>
  <c r="W10" i="2"/>
  <c r="T51" i="2"/>
  <c r="S41" i="2"/>
  <c r="T41" i="2"/>
  <c r="V10" i="2"/>
  <c r="V51" i="2" s="1"/>
  <c r="J49" i="2"/>
  <c r="Q36" i="2"/>
  <c r="J45" i="2"/>
  <c r="J46" i="2"/>
  <c r="H47" i="2"/>
  <c r="J50" i="2"/>
  <c r="J6" i="2"/>
  <c r="S36" i="2"/>
  <c r="G42" i="2"/>
  <c r="J44" i="2"/>
  <c r="T36" i="2"/>
  <c r="V7" i="2"/>
  <c r="R36" i="2"/>
  <c r="U51" i="2"/>
  <c r="G47" i="2"/>
  <c r="U36" i="2"/>
  <c r="S48" i="2"/>
  <c r="S39" i="2"/>
  <c r="T39" i="2"/>
  <c r="T48" i="2"/>
  <c r="U39" i="2"/>
  <c r="U48" i="2"/>
  <c r="G51" i="2"/>
  <c r="Q22" i="2"/>
  <c r="Q24" i="2" s="1"/>
  <c r="R22" i="2"/>
  <c r="F6" i="2"/>
  <c r="J47" i="2" s="1"/>
  <c r="C36" i="2"/>
  <c r="D39" i="2"/>
  <c r="C40" i="2"/>
  <c r="C39" i="2"/>
  <c r="D12" i="2"/>
  <c r="C22" i="2"/>
  <c r="C23" i="2" s="1"/>
  <c r="S22" i="2"/>
  <c r="T22" i="2"/>
  <c r="U22" i="2"/>
  <c r="M37" i="2" l="1"/>
  <c r="M22" i="2"/>
  <c r="W7" i="2"/>
  <c r="W48" i="2" s="1"/>
  <c r="X10" i="2"/>
  <c r="X51" i="2" s="1"/>
  <c r="W51" i="2"/>
  <c r="D14" i="2"/>
  <c r="D17" i="2" s="1"/>
  <c r="D42" i="2"/>
  <c r="S53" i="2"/>
  <c r="R24" i="2"/>
  <c r="R53" i="2"/>
  <c r="T23" i="2"/>
  <c r="T53" i="2"/>
  <c r="V12" i="2"/>
  <c r="V21" i="2" s="1"/>
  <c r="V39" i="2" s="1"/>
  <c r="V48" i="2"/>
  <c r="U23" i="2"/>
  <c r="U53" i="2"/>
  <c r="D41" i="2"/>
  <c r="D40" i="2"/>
  <c r="M23" i="2" l="1"/>
  <c r="Y10" i="2"/>
  <c r="X7" i="2"/>
  <c r="W12" i="2"/>
  <c r="V41" i="2"/>
  <c r="D36" i="2"/>
  <c r="V40" i="2"/>
  <c r="V14" i="2"/>
  <c r="V52" i="2"/>
  <c r="D37" i="2"/>
  <c r="D22" i="2"/>
  <c r="D23" i="2" s="1"/>
  <c r="W52" i="2" l="1"/>
  <c r="W15" i="2"/>
  <c r="Y51" i="2"/>
  <c r="W14" i="2"/>
  <c r="W36" i="2" s="1"/>
  <c r="W41" i="2"/>
  <c r="W40" i="2"/>
  <c r="Y7" i="2"/>
  <c r="W21" i="2"/>
  <c r="W39" i="2" s="1"/>
  <c r="X12" i="2"/>
  <c r="X48" i="2"/>
  <c r="V36" i="2"/>
  <c r="X40" i="2" l="1"/>
  <c r="X15" i="2"/>
  <c r="W17" i="2"/>
  <c r="Z7" i="2"/>
  <c r="Y48" i="2"/>
  <c r="Y12" i="2"/>
  <c r="Z10" i="2"/>
  <c r="AA10" i="2"/>
  <c r="X52" i="2"/>
  <c r="X21" i="2"/>
  <c r="X39" i="2" s="1"/>
  <c r="X14" i="2"/>
  <c r="X41" i="2"/>
  <c r="W37" i="2"/>
  <c r="Y40" i="2" l="1"/>
  <c r="Y15" i="2"/>
  <c r="AA51" i="2"/>
  <c r="Y52" i="2"/>
  <c r="Y21" i="2"/>
  <c r="Y39" i="2" s="1"/>
  <c r="Y14" i="2"/>
  <c r="Y41" i="2"/>
  <c r="AB10" i="2"/>
  <c r="Z51" i="2"/>
  <c r="Z12" i="2"/>
  <c r="Z15" i="2" s="1"/>
  <c r="Z48" i="2"/>
  <c r="X36" i="2"/>
  <c r="X17" i="2"/>
  <c r="AA7" i="2"/>
  <c r="AB51" i="2" l="1"/>
  <c r="AA12" i="2"/>
  <c r="AA15" i="2" s="1"/>
  <c r="AA48" i="2"/>
  <c r="X37" i="2"/>
  <c r="AB7" i="2"/>
  <c r="AC10" i="2"/>
  <c r="AC51" i="2" s="1"/>
  <c r="Y17" i="2"/>
  <c r="Y36" i="2"/>
  <c r="Z40" i="2"/>
  <c r="Z52" i="2"/>
  <c r="Z14" i="2"/>
  <c r="Z21" i="2"/>
  <c r="Z39" i="2" s="1"/>
  <c r="Z41" i="2"/>
  <c r="Z36" i="2" l="1"/>
  <c r="Z17" i="2"/>
  <c r="AA40" i="2"/>
  <c r="AA14" i="2"/>
  <c r="AA21" i="2"/>
  <c r="AA39" i="2" s="1"/>
  <c r="AA52" i="2"/>
  <c r="AA41" i="2"/>
  <c r="AB48" i="2"/>
  <c r="AB12" i="2"/>
  <c r="AC7" i="2"/>
  <c r="Y37" i="2"/>
  <c r="AB40" i="2" l="1"/>
  <c r="AB15" i="2"/>
  <c r="AA17" i="2"/>
  <c r="AA36" i="2"/>
  <c r="Z37" i="2"/>
  <c r="AD7" i="2"/>
  <c r="AC12" i="2"/>
  <c r="AC48" i="2"/>
  <c r="AB52" i="2"/>
  <c r="AB21" i="2"/>
  <c r="AB39" i="2" s="1"/>
  <c r="AB14" i="2"/>
  <c r="AB41" i="2"/>
  <c r="AD10" i="2"/>
  <c r="AC40" i="2" l="1"/>
  <c r="AC15" i="2"/>
  <c r="AE7" i="2"/>
  <c r="AD12" i="2"/>
  <c r="AD48" i="2"/>
  <c r="AC41" i="2"/>
  <c r="AC14" i="2"/>
  <c r="AC21" i="2"/>
  <c r="AC39" i="2" s="1"/>
  <c r="AC52" i="2"/>
  <c r="AD51" i="2"/>
  <c r="AB17" i="2"/>
  <c r="AB36" i="2"/>
  <c r="AE10" i="2"/>
  <c r="AA37" i="2"/>
  <c r="AD41" i="2" l="1"/>
  <c r="AD15" i="2"/>
  <c r="AE51" i="2"/>
  <c r="AD40" i="2"/>
  <c r="AD52" i="2"/>
  <c r="AD21" i="2"/>
  <c r="AD39" i="2" s="1"/>
  <c r="AD14" i="2"/>
  <c r="AF7" i="2"/>
  <c r="AB37" i="2"/>
  <c r="AF10" i="2"/>
  <c r="AF51" i="2" s="1"/>
  <c r="AE12" i="2"/>
  <c r="AE48" i="2"/>
  <c r="AC36" i="2"/>
  <c r="AC17" i="2"/>
  <c r="AE40" i="2" l="1"/>
  <c r="AE15" i="2"/>
  <c r="AE41" i="2"/>
  <c r="AF48" i="2"/>
  <c r="AF12" i="2"/>
  <c r="AC37" i="2"/>
  <c r="AD36" i="2"/>
  <c r="AD17" i="2"/>
  <c r="AE21" i="2"/>
  <c r="AE39" i="2" s="1"/>
  <c r="AE52" i="2"/>
  <c r="AE14" i="2"/>
  <c r="AF40" i="2" l="1"/>
  <c r="AF15" i="2"/>
  <c r="AE36" i="2"/>
  <c r="AE17" i="2"/>
  <c r="AD37" i="2"/>
  <c r="AF41" i="2"/>
  <c r="AF14" i="2"/>
  <c r="AF21" i="2"/>
  <c r="AF39" i="2" s="1"/>
  <c r="AF52" i="2"/>
  <c r="AF17" i="2" l="1"/>
  <c r="AF36" i="2"/>
  <c r="AE37" i="2"/>
  <c r="F39" i="2"/>
  <c r="G39" i="2"/>
  <c r="H39" i="2"/>
  <c r="I39" i="2"/>
  <c r="J39" i="2"/>
  <c r="K39" i="2"/>
  <c r="L39" i="2"/>
  <c r="E39" i="2"/>
  <c r="E20" i="2"/>
  <c r="E14" i="2"/>
  <c r="E17" i="2" s="1"/>
  <c r="E37" i="2" s="1"/>
  <c r="F14" i="2"/>
  <c r="F17" i="2" s="1"/>
  <c r="F37" i="2" s="1"/>
  <c r="I19" i="2"/>
  <c r="I20" i="2" s="1"/>
  <c r="I14" i="2"/>
  <c r="I17" i="2" s="1"/>
  <c r="I37" i="2" s="1"/>
  <c r="F19" i="2"/>
  <c r="F20" i="2" s="1"/>
  <c r="J20" i="2"/>
  <c r="J14" i="2"/>
  <c r="J17" i="2" s="1"/>
  <c r="J37" i="2" s="1"/>
  <c r="G14" i="2"/>
  <c r="G17" i="2" s="1"/>
  <c r="G37" i="2" s="1"/>
  <c r="K14" i="2"/>
  <c r="K17" i="2" s="1"/>
  <c r="K37" i="2" s="1"/>
  <c r="L14" i="2"/>
  <c r="L17" i="2" s="1"/>
  <c r="L37" i="2" s="1"/>
  <c r="G20" i="2"/>
  <c r="K20" i="2"/>
  <c r="H20" i="2"/>
  <c r="L20" i="2"/>
  <c r="AF37" i="2" l="1"/>
  <c r="H14" i="2"/>
  <c r="H17" i="2" s="1"/>
  <c r="H37" i="2" s="1"/>
  <c r="H52" i="2"/>
  <c r="J36" i="2"/>
  <c r="E40" i="2"/>
  <c r="K40" i="2"/>
  <c r="H40" i="2"/>
  <c r="F40" i="2"/>
  <c r="G40" i="2"/>
  <c r="I40" i="2"/>
  <c r="E41" i="2"/>
  <c r="J40" i="2"/>
  <c r="L41" i="2"/>
  <c r="K41" i="2"/>
  <c r="J41" i="2"/>
  <c r="I41" i="2"/>
  <c r="H41" i="2"/>
  <c r="F41" i="2"/>
  <c r="G41" i="2"/>
  <c r="L40" i="2"/>
  <c r="I36" i="2"/>
  <c r="K36" i="2"/>
  <c r="E36" i="2"/>
  <c r="L52" i="2"/>
  <c r="F36" i="2"/>
  <c r="I52" i="2"/>
  <c r="L36" i="2"/>
  <c r="G36" i="2"/>
  <c r="J52" i="2"/>
  <c r="K52" i="2"/>
  <c r="E22" i="2"/>
  <c r="E23" i="2" s="1"/>
  <c r="I22" i="2"/>
  <c r="M53" i="2" s="1"/>
  <c r="F22" i="2"/>
  <c r="F23" i="2" s="1"/>
  <c r="J22" i="2"/>
  <c r="G22" i="2"/>
  <c r="K22" i="2"/>
  <c r="L22" i="2"/>
  <c r="H36" i="2" l="1"/>
  <c r="G23" i="2"/>
  <c r="G53" i="2"/>
  <c r="H22" i="2"/>
  <c r="H23" i="2" s="1"/>
  <c r="K23" i="2"/>
  <c r="K53" i="2"/>
  <c r="L23" i="2"/>
  <c r="L53" i="2"/>
  <c r="I23" i="2"/>
  <c r="I53" i="2"/>
  <c r="J23" i="2"/>
  <c r="J53" i="2"/>
  <c r="H53" i="2" l="1"/>
  <c r="S23" i="2"/>
  <c r="N5" i="1"/>
  <c r="N8" i="1" s="1"/>
  <c r="V15" i="2" l="1"/>
  <c r="V17" i="2" s="1"/>
  <c r="V34" i="2" l="1"/>
  <c r="V37" i="2"/>
  <c r="V22" i="2"/>
  <c r="V24" i="2" l="1"/>
  <c r="V53" i="2"/>
  <c r="W18" i="2"/>
  <c r="W34" i="2"/>
  <c r="X34" i="2" l="1"/>
  <c r="X18" i="2"/>
  <c r="W55" i="2"/>
  <c r="W22" i="2"/>
  <c r="W53" i="2" l="1"/>
  <c r="W24" i="2"/>
  <c r="X22" i="2"/>
  <c r="X55" i="2"/>
  <c r="Y18" i="2"/>
  <c r="Y34" i="2"/>
  <c r="Z18" i="2" l="1"/>
  <c r="Z34" i="2"/>
  <c r="Y22" i="2"/>
  <c r="Y55" i="2"/>
  <c r="X24" i="2"/>
  <c r="X53" i="2"/>
  <c r="Y24" i="2" l="1"/>
  <c r="Y53" i="2"/>
  <c r="AA34" i="2"/>
  <c r="AA18" i="2"/>
  <c r="Z55" i="2"/>
  <c r="Z22" i="2"/>
  <c r="Z24" i="2" l="1"/>
  <c r="Z53" i="2"/>
  <c r="AA55" i="2"/>
  <c r="AA22" i="2"/>
  <c r="AB34" i="2"/>
  <c r="AB18" i="2"/>
  <c r="AB22" i="2" l="1"/>
  <c r="AB55" i="2"/>
  <c r="AA24" i="2"/>
  <c r="AA53" i="2"/>
  <c r="AC18" i="2"/>
  <c r="AC34" i="2"/>
  <c r="AC55" i="2" l="1"/>
  <c r="AC22" i="2"/>
  <c r="AD18" i="2"/>
  <c r="AD34" i="2"/>
  <c r="AB53" i="2"/>
  <c r="AB24" i="2"/>
  <c r="AD22" i="2" l="1"/>
  <c r="AD55" i="2"/>
  <c r="AE34" i="2"/>
  <c r="AE18" i="2"/>
  <c r="AC24" i="2"/>
  <c r="AC53" i="2"/>
  <c r="AE22" i="2" l="1"/>
  <c r="AE55" i="2"/>
  <c r="AF34" i="2"/>
  <c r="AF18" i="2"/>
  <c r="AD24" i="2"/>
  <c r="AD53" i="2"/>
  <c r="AF55" i="2" l="1"/>
  <c r="AF22" i="2"/>
  <c r="AE53" i="2"/>
  <c r="AE24" i="2"/>
  <c r="AF24" i="2" l="1"/>
  <c r="AG22" i="2"/>
  <c r="AF53" i="2"/>
  <c r="AH22" i="2" l="1"/>
  <c r="AI22" i="2" s="1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Y22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BJ22" i="2" s="1"/>
  <c r="BK22" i="2" s="1"/>
  <c r="BL22" i="2" s="1"/>
  <c r="BM22" i="2" s="1"/>
  <c r="BN22" i="2" s="1"/>
  <c r="BO22" i="2" s="1"/>
  <c r="BP22" i="2" s="1"/>
  <c r="BQ22" i="2" s="1"/>
  <c r="BR22" i="2" s="1"/>
  <c r="BS22" i="2" s="1"/>
  <c r="BT22" i="2" s="1"/>
  <c r="BU22" i="2" s="1"/>
  <c r="BV22" i="2" s="1"/>
  <c r="BW22" i="2" s="1"/>
  <c r="BX22" i="2" s="1"/>
  <c r="BY22" i="2" s="1"/>
  <c r="BZ22" i="2" s="1"/>
  <c r="CA22" i="2" s="1"/>
  <c r="CB22" i="2" s="1"/>
  <c r="CC22" i="2" s="1"/>
  <c r="CD22" i="2" s="1"/>
  <c r="CE22" i="2" s="1"/>
  <c r="CF22" i="2" s="1"/>
  <c r="CG22" i="2" s="1"/>
  <c r="CH22" i="2" s="1"/>
  <c r="CI22" i="2" s="1"/>
  <c r="CJ22" i="2" s="1"/>
  <c r="CK22" i="2" s="1"/>
  <c r="CL22" i="2" s="1"/>
  <c r="CM22" i="2" s="1"/>
  <c r="CN22" i="2" s="1"/>
  <c r="CO22" i="2" s="1"/>
  <c r="CP22" i="2" s="1"/>
  <c r="CQ22" i="2" s="1"/>
  <c r="CR22" i="2" s="1"/>
  <c r="CS22" i="2" s="1"/>
  <c r="CT22" i="2" s="1"/>
  <c r="CU22" i="2" s="1"/>
  <c r="CV22" i="2" s="1"/>
  <c r="CW22" i="2" s="1"/>
  <c r="CX22" i="2" s="1"/>
  <c r="CY22" i="2" s="1"/>
  <c r="CZ22" i="2" s="1"/>
  <c r="DA22" i="2" s="1"/>
  <c r="DB22" i="2" s="1"/>
  <c r="DC22" i="2" s="1"/>
  <c r="DD22" i="2" s="1"/>
  <c r="DE22" i="2" s="1"/>
  <c r="DF22" i="2" s="1"/>
  <c r="DG22" i="2" s="1"/>
  <c r="DH22" i="2" s="1"/>
  <c r="DI22" i="2" s="1"/>
  <c r="DJ22" i="2" s="1"/>
  <c r="DK22" i="2" s="1"/>
  <c r="DL22" i="2" s="1"/>
  <c r="DM22" i="2" s="1"/>
  <c r="DN22" i="2" s="1"/>
  <c r="DO22" i="2" s="1"/>
  <c r="DP22" i="2" s="1"/>
  <c r="DQ22" i="2" s="1"/>
  <c r="DR22" i="2" s="1"/>
  <c r="DS22" i="2" s="1"/>
  <c r="DT22" i="2" s="1"/>
  <c r="DU22" i="2" s="1"/>
  <c r="DV22" i="2" s="1"/>
  <c r="DW22" i="2" s="1"/>
  <c r="DX22" i="2" s="1"/>
  <c r="DY22" i="2" s="1"/>
  <c r="DZ22" i="2" s="1"/>
  <c r="EA22" i="2" s="1"/>
  <c r="EB22" i="2" s="1"/>
  <c r="EC22" i="2" s="1"/>
  <c r="ED22" i="2" s="1"/>
  <c r="EE22" i="2" s="1"/>
  <c r="EF22" i="2" s="1"/>
  <c r="EG22" i="2" s="1"/>
  <c r="EH22" i="2" s="1"/>
  <c r="EI22" i="2" s="1"/>
  <c r="EJ22" i="2" s="1"/>
  <c r="EK22" i="2" s="1"/>
  <c r="EL22" i="2" s="1"/>
  <c r="EM22" i="2" s="1"/>
  <c r="AH60" i="2"/>
  <c r="N19" i="1" s="1"/>
</calcChain>
</file>

<file path=xl/sharedStrings.xml><?xml version="1.0" encoding="utf-8"?>
<sst xmlns="http://schemas.openxmlformats.org/spreadsheetml/2006/main" count="89" uniqueCount="76">
  <si>
    <t>Atkore </t>
  </si>
  <si>
    <t>Lots of MnA</t>
  </si>
  <si>
    <t>ATKR</t>
  </si>
  <si>
    <t>Business looking to capture a lot more electrical needs of construction projects</t>
  </si>
  <si>
    <t>Price</t>
  </si>
  <si>
    <t>ShareRepurchase to CapEx around 2x</t>
  </si>
  <si>
    <t>Shares</t>
  </si>
  <si>
    <t>Plans for stable market (electrify the world, electric cars, etc)</t>
  </si>
  <si>
    <t>MkCap</t>
  </si>
  <si>
    <t>FY2023 reduction of 30% - they might explode upward if they beat this</t>
  </si>
  <si>
    <t>Cash</t>
  </si>
  <si>
    <t>Debt</t>
  </si>
  <si>
    <t>EV</t>
  </si>
  <si>
    <t>Terminal value</t>
  </si>
  <si>
    <t>ROIC</t>
  </si>
  <si>
    <t>Discount Rate</t>
  </si>
  <si>
    <t>NPV</t>
  </si>
  <si>
    <t>Weirdo schedule</t>
  </si>
  <si>
    <t>June</t>
  </si>
  <si>
    <t>Sept</t>
  </si>
  <si>
    <t>Dec</t>
  </si>
  <si>
    <t>Mar</t>
  </si>
  <si>
    <t>Sept FY end</t>
  </si>
  <si>
    <t>20Q1</t>
  </si>
  <si>
    <t>20Q2</t>
  </si>
  <si>
    <t>20Q3</t>
  </si>
  <si>
    <t>20Q4</t>
  </si>
  <si>
    <t>21Q1</t>
  </si>
  <si>
    <t>21Q2</t>
  </si>
  <si>
    <t>21Q3</t>
  </si>
  <si>
    <t>21Q4</t>
  </si>
  <si>
    <t>22Q1</t>
  </si>
  <si>
    <t>22Q2</t>
  </si>
  <si>
    <t>22Q3</t>
  </si>
  <si>
    <t>22Q4</t>
  </si>
  <si>
    <t>Metal conduit&amp;fittings</t>
  </si>
  <si>
    <t>Cables and flexible conduit</t>
  </si>
  <si>
    <t>Plastic pipe and conduit</t>
  </si>
  <si>
    <t>Other electrical</t>
  </si>
  <si>
    <t xml:space="preserve">  Electrical</t>
  </si>
  <si>
    <t>Mechanical pipe</t>
  </si>
  <si>
    <t>Other s&amp;i</t>
  </si>
  <si>
    <t xml:space="preserve">  Safety and Infrastructure</t>
  </si>
  <si>
    <t>Eliminations</t>
  </si>
  <si>
    <t>Revenue</t>
  </si>
  <si>
    <t>COGS</t>
  </si>
  <si>
    <t>Gross Margin</t>
  </si>
  <si>
    <t>SG&amp;A</t>
  </si>
  <si>
    <t>Amortization</t>
  </si>
  <si>
    <t>Operating Income</t>
  </si>
  <si>
    <t>Interest expense</t>
  </si>
  <si>
    <t>Other</t>
  </si>
  <si>
    <t>Total nonop Expenses</t>
  </si>
  <si>
    <t>Taxes</t>
  </si>
  <si>
    <t>Net income</t>
  </si>
  <si>
    <t>EPS</t>
  </si>
  <si>
    <t>Raw materials</t>
  </si>
  <si>
    <t>WIP</t>
  </si>
  <si>
    <t>Finished</t>
  </si>
  <si>
    <t>Inventory</t>
  </si>
  <si>
    <t>PP&amp;E (at cost)</t>
  </si>
  <si>
    <t>PP&amp;E (after depreciation)</t>
  </si>
  <si>
    <t>Net cash</t>
  </si>
  <si>
    <t>Gross margin</t>
  </si>
  <si>
    <t>Op margin</t>
  </si>
  <si>
    <t>Rev to PP&amp;E (at cost)</t>
  </si>
  <si>
    <t>Tax on revenue rate</t>
  </si>
  <si>
    <t>Elec Share of Rev</t>
  </si>
  <si>
    <t>Safety Share of Rev</t>
  </si>
  <si>
    <t>SG&amp;A Share of Rev</t>
  </si>
  <si>
    <t xml:space="preserve">  Electrical y/y</t>
  </si>
  <si>
    <t xml:space="preserve">  Safety y/y</t>
  </si>
  <si>
    <t>Revenue y/y</t>
  </si>
  <si>
    <t>Net income y/y</t>
  </si>
  <si>
    <t>Interest rate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</si>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</sst>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3" fontId="0" fillId="0" borderId="0" xfId="0" applyNumberFormat="1"/>
    <xf numFmtId="44" fontId="0" fillId="0" borderId="0" xfId="0" applyNumberFormat="1"/>
    <xf numFmtId="0" fontId="1" fillId="0" borderId="0" xfId="0" applyFont="1"/>
    <xf numFmtId="3" fontId="1" fillId="0" borderId="0" xfId="0" applyNumberFormat="1" applyFont="1"/>
    <xf numFmtId="4" fontId="0" fillId="0" borderId="0" xfId="0" applyNumberFormat="1"/>
    <xf numFmtId="10" fontId="0" fillId="0" borderId="0" xfId="0" applyNumberFormat="1"/>
    <xf numFmtId="14" fontId="0" fillId="0" borderId="0" xfId="0" applyNumberFormat="1"/>
    <xf numFmtId="9" fontId="0" fillId="0" borderId="0" xfId="0" applyNumberFormat="1"/>
    <xf numFmtId="0" fontId="0" fillId="2" borderId="0" xfId="0" applyFill="1"/>
    <xf numFmtId="0" fontId="1" fillId="2" borderId="0" xfId="0" applyFont="1" applyFill="1"/>
    <xf numFmtId="4" fontId="0" fillId="2" borderId="0" xfId="0" applyNumberFormat="1" applyFill="1"/>
    <xf numFmtId="9" fontId="0" fillId="2" borderId="0" xfId="0" applyNumberFormat="1" applyFill="1"/>
    <xf numFmtId="2" fontId="1" fillId="0" borderId="0" xfId="0" applyNumberFormat="1" applyFont="1"/>
    <xf numFmtId="2" fontId="0" fillId="0" borderId="0" xfId="0" applyNumberFormat="1"/>
    <xf numFmtId="2" fontId="0" fillId="2" borderId="0" xfId="0" applyNumberFormat="1" applyFill="1"/>
    <xf numFmtId="0" fontId="3" fillId="0" borderId="0" xfId="0" applyFont="1"/>
    <xf numFmtId="3" fontId="0" fillId="2" borderId="0" xfId="0" applyNumberFormat="1" applyFill="1"/>
    <xf numFmtId="3" fontId="1" fillId="2" borderId="0" xfId="0" applyNumberFormat="1" applyFont="1" applyFill="1"/>
    <xf numFmtId="9" fontId="1" fillId="0" borderId="0" xfId="0" applyNumberFormat="1" applyFont="1"/>
    <xf numFmtId="9" fontId="1" fillId="2" borderId="0" xfId="0" applyNumberFormat="1" applyFont="1" applyFill="1"/>
    <xf numFmtId="10" fontId="0" fillId="2" borderId="0" xfId="0" applyNumberForma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44392</xdr:colOff>
      <xdr:row>0</xdr:row>
      <xdr:rowOff>92234</xdr:rowOff>
    </xdr:from>
    <xdr:to>
      <xdr:col>13</xdr:col>
      <xdr:colOff>44392</xdr:colOff>
      <xdr:row>72</xdr:row>
      <xdr:rowOff>70253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1B42924-0332-F737-74D4-5E53970249B3}"/>
            </a:ext>
          </a:extLst>
        </xdr:cNvPr>
        <xdr:cNvCxnSpPr/>
      </xdr:nvCxnSpPr>
      <xdr:spPr>
        <a:xfrm>
          <a:off x="9759892" y="92234"/>
          <a:ext cx="0" cy="13694019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11206</xdr:colOff>
      <xdr:row>0</xdr:row>
      <xdr:rowOff>0</xdr:rowOff>
    </xdr:from>
    <xdr:to>
      <xdr:col>21</xdr:col>
      <xdr:colOff>11206</xdr:colOff>
      <xdr:row>71</xdr:row>
      <xdr:rowOff>168519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4658AE8-0FDB-406D-91BB-CC10397A42BB}"/>
            </a:ext>
          </a:extLst>
        </xdr:cNvPr>
        <xdr:cNvCxnSpPr/>
      </xdr:nvCxnSpPr>
      <xdr:spPr>
        <a:xfrm>
          <a:off x="14332324" y="0"/>
          <a:ext cx="0" cy="12932019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DD50C-C6AD-42B7-B8F2-B9DA58381265}">
  <dimension ref="B1:N20"/>
  <sheetViews>
    <sheetView tabSelected="1" workbookViewId="0">
      <selection activeCell="K10" sqref="K10"/>
    </sheetView>
  </sheetViews>
  <sheetFormatPr defaultRowHeight="15" x14ac:dyDescent="0.25"/>
  <cols>
    <col min="13" max="13" width="9.7109375" bestFit="1" customWidth="1"/>
  </cols>
  <sheetData>
    <row r="1" spans="2:14" ht="23.25" x14ac:dyDescent="0.35">
      <c r="M1" s="16" t="s">
        <v>0</v>
      </c>
    </row>
    <row r="2" spans="2:14" x14ac:dyDescent="0.25">
      <c r="B2" t="s">
        <v>1</v>
      </c>
      <c r="M2" t="s">
        <v>2</v>
      </c>
    </row>
    <row r="3" spans="2:14" x14ac:dyDescent="0.25">
      <c r="B3" t="s">
        <v>3</v>
      </c>
      <c r="M3" t="s">
        <v>4</v>
      </c>
      <c r="N3" s="2">
        <v>107</v>
      </c>
    </row>
    <row r="4" spans="2:14" x14ac:dyDescent="0.25">
      <c r="B4" t="s">
        <v>5</v>
      </c>
      <c r="M4" t="s">
        <v>6</v>
      </c>
      <c r="N4" s="1">
        <v>43.827882960413092</v>
      </c>
    </row>
    <row r="5" spans="2:14" x14ac:dyDescent="0.25">
      <c r="B5" t="s">
        <v>7</v>
      </c>
      <c r="M5" t="s">
        <v>8</v>
      </c>
      <c r="N5" s="1">
        <f>N3*N4</f>
        <v>4689.5834767642009</v>
      </c>
    </row>
    <row r="6" spans="2:14" x14ac:dyDescent="0.25">
      <c r="B6" t="s">
        <v>9</v>
      </c>
      <c r="M6" t="s">
        <v>10</v>
      </c>
      <c r="N6" s="1">
        <v>186.65</v>
      </c>
    </row>
    <row r="7" spans="2:14" x14ac:dyDescent="0.25">
      <c r="M7" t="s">
        <v>11</v>
      </c>
      <c r="N7" s="1">
        <v>760</v>
      </c>
    </row>
    <row r="8" spans="2:14" x14ac:dyDescent="0.25">
      <c r="M8" t="s">
        <v>12</v>
      </c>
      <c r="N8" s="1">
        <f>N5-N6+N7</f>
        <v>5262.9334767642013</v>
      </c>
    </row>
    <row r="11" spans="2:14" x14ac:dyDescent="0.25">
      <c r="M11" s="7">
        <v>44775</v>
      </c>
    </row>
    <row r="16" spans="2:14" x14ac:dyDescent="0.25">
      <c r="M16" t="s">
        <v>13</v>
      </c>
      <c r="N16" s="22">
        <f>Model!AH57</f>
        <v>-1.4999999999999999E-2</v>
      </c>
    </row>
    <row r="17" spans="13:14" x14ac:dyDescent="0.25">
      <c r="M17" t="s">
        <v>14</v>
      </c>
      <c r="N17" s="6">
        <f>Model!AH58</f>
        <v>-0.01</v>
      </c>
    </row>
    <row r="18" spans="13:14" x14ac:dyDescent="0.25">
      <c r="M18" t="s">
        <v>15</v>
      </c>
      <c r="N18" s="22">
        <f>Model!AH59</f>
        <v>8.5000000000000006E-2</v>
      </c>
    </row>
    <row r="19" spans="13:14" x14ac:dyDescent="0.25">
      <c r="M19" t="s">
        <v>16</v>
      </c>
      <c r="N19" s="1">
        <f>Model!AH60</f>
        <v>22198.677928000903</v>
      </c>
    </row>
    <row r="20" spans="13:14" x14ac:dyDescent="0.25">
      <c r="M20" t="s">
        <v>75</v>
      </c>
      <c r="N20" s="2">
        <f>N19/N4</f>
        <v>506.49669636225735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C4823-B1D5-4075-A061-9C811CDAD08D}">
  <dimension ref="B1:HH67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H60" sqref="AH60"/>
    </sheetView>
  </sheetViews>
  <sheetFormatPr defaultRowHeight="15" x14ac:dyDescent="0.25"/>
  <cols>
    <col min="2" max="2" width="23.85546875" bestFit="1" customWidth="1"/>
    <col min="3" max="14" width="10.28515625" style="1" bestFit="1" customWidth="1"/>
    <col min="16" max="16" width="4.42578125" style="9" customWidth="1"/>
  </cols>
  <sheetData>
    <row r="1" spans="2:79" x14ac:dyDescent="0.25">
      <c r="B1" t="s">
        <v>17</v>
      </c>
      <c r="C1" s="7"/>
      <c r="D1" s="7"/>
      <c r="E1" s="7"/>
      <c r="F1" s="7"/>
      <c r="G1" s="7"/>
      <c r="H1" s="7"/>
      <c r="I1" s="7" t="s">
        <v>18</v>
      </c>
      <c r="J1" s="7" t="s">
        <v>19</v>
      </c>
      <c r="K1" s="7" t="s">
        <v>20</v>
      </c>
      <c r="L1" s="7" t="s">
        <v>21</v>
      </c>
      <c r="M1" s="7"/>
      <c r="N1" s="7"/>
      <c r="Q1" t="s">
        <v>22</v>
      </c>
    </row>
    <row r="2" spans="2:79" x14ac:dyDescent="0.25"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1"/>
      <c r="Q2" s="1">
        <v>17</v>
      </c>
      <c r="R2" s="1">
        <v>18</v>
      </c>
      <c r="S2" s="1">
        <v>19</v>
      </c>
      <c r="T2" s="1">
        <v>20</v>
      </c>
      <c r="U2" s="1">
        <v>21</v>
      </c>
      <c r="V2" s="1">
        <v>22</v>
      </c>
      <c r="W2" s="1">
        <v>23</v>
      </c>
      <c r="X2" s="1">
        <v>24</v>
      </c>
      <c r="Y2" s="1">
        <v>25</v>
      </c>
      <c r="Z2" s="1">
        <v>26</v>
      </c>
      <c r="AA2" s="1">
        <v>27</v>
      </c>
      <c r="AB2" s="1">
        <v>28</v>
      </c>
      <c r="AC2" s="1">
        <v>29</v>
      </c>
      <c r="AD2" s="1">
        <v>30</v>
      </c>
      <c r="AE2" s="1">
        <v>31</v>
      </c>
      <c r="AF2" s="1">
        <v>32</v>
      </c>
      <c r="AG2" s="1">
        <v>33</v>
      </c>
      <c r="AH2" s="1">
        <v>34</v>
      </c>
      <c r="AI2" s="1">
        <v>35</v>
      </c>
      <c r="AJ2" s="1">
        <v>36</v>
      </c>
    </row>
    <row r="3" spans="2:79" x14ac:dyDescent="0.25">
      <c r="B3" t="s">
        <v>35</v>
      </c>
      <c r="C3" s="1">
        <v>123.84</v>
      </c>
      <c r="D3" s="1">
        <v>125.61</v>
      </c>
      <c r="E3" s="1">
        <v>105</v>
      </c>
      <c r="F3" s="1">
        <f>+T3-E3-D3-C3</f>
        <v>130.04999999999998</v>
      </c>
      <c r="G3" s="1">
        <v>124.82899999999999</v>
      </c>
      <c r="H3" s="1">
        <v>148.4</v>
      </c>
      <c r="I3" s="1">
        <v>200.989</v>
      </c>
      <c r="J3" s="1">
        <f>+U3-I3-H3-G3</f>
        <v>137.88200000000001</v>
      </c>
      <c r="K3" s="1">
        <v>149.876</v>
      </c>
      <c r="L3" s="1">
        <v>153.05000000000001</v>
      </c>
      <c r="Q3" s="1">
        <v>349.2</v>
      </c>
      <c r="R3" s="1">
        <v>517.93499999999995</v>
      </c>
      <c r="S3" s="1">
        <v>546.53300000000002</v>
      </c>
      <c r="T3" s="1">
        <v>484.5</v>
      </c>
      <c r="U3" s="1">
        <v>612.1</v>
      </c>
      <c r="V3" s="1">
        <f t="shared" ref="V3:AF3" si="0">+U3*(1+V44)</f>
        <v>673.31000000000006</v>
      </c>
      <c r="W3" s="1">
        <f t="shared" si="0"/>
        <v>666.57690000000002</v>
      </c>
      <c r="X3" s="1">
        <f t="shared" si="0"/>
        <v>719.90305200000012</v>
      </c>
      <c r="Y3" s="1">
        <f t="shared" si="0"/>
        <v>763.09723512000016</v>
      </c>
      <c r="Z3" s="1">
        <f t="shared" si="0"/>
        <v>808.88306922720017</v>
      </c>
      <c r="AA3" s="1">
        <f t="shared" si="0"/>
        <v>857.41605338083218</v>
      </c>
      <c r="AB3" s="1">
        <f t="shared" si="0"/>
        <v>908.86101658368216</v>
      </c>
      <c r="AC3" s="1">
        <f t="shared" si="0"/>
        <v>963.39267757870311</v>
      </c>
      <c r="AD3" s="1">
        <f t="shared" si="0"/>
        <v>1021.1962382334253</v>
      </c>
      <c r="AE3" s="1">
        <f t="shared" si="0"/>
        <v>1082.4680125274308</v>
      </c>
      <c r="AF3" s="1">
        <f t="shared" si="0"/>
        <v>1147.4160932790767</v>
      </c>
      <c r="AG3" s="1"/>
      <c r="AH3" s="1"/>
      <c r="AI3" s="1"/>
      <c r="AJ3" s="1"/>
    </row>
    <row r="4" spans="2:79" x14ac:dyDescent="0.25">
      <c r="B4" t="s">
        <v>36</v>
      </c>
      <c r="C4" s="1">
        <v>83.82</v>
      </c>
      <c r="D4" s="1">
        <v>82.614999999999995</v>
      </c>
      <c r="E4" s="1">
        <v>60.140999999999998</v>
      </c>
      <c r="F4" s="1">
        <f>+T4-E4-D4-C4</f>
        <v>96.323999999999955</v>
      </c>
      <c r="G4" s="1">
        <v>73.512</v>
      </c>
      <c r="H4" s="1">
        <v>85.44</v>
      </c>
      <c r="I4" s="1">
        <v>106.64</v>
      </c>
      <c r="J4" s="1">
        <f>+U4-I4-H4-G4</f>
        <v>158.81900000000002</v>
      </c>
      <c r="K4" s="1">
        <v>115.69499999999999</v>
      </c>
      <c r="L4" s="1">
        <v>137.19999999999999</v>
      </c>
      <c r="Q4" s="1">
        <v>323</v>
      </c>
      <c r="R4" s="1">
        <v>336.38799999999998</v>
      </c>
      <c r="S4" s="1">
        <v>382.464</v>
      </c>
      <c r="T4" s="1">
        <v>322.89999999999998</v>
      </c>
      <c r="U4" s="1">
        <v>424.411</v>
      </c>
      <c r="V4" s="1">
        <f t="shared" ref="V4" si="1">+U4*(1+V45)</f>
        <v>615.39594999999997</v>
      </c>
      <c r="W4" s="1">
        <f t="shared" ref="W4:AF4" si="2">+V4*(1+W45)</f>
        <v>609.24199049999993</v>
      </c>
      <c r="X4" s="1">
        <f t="shared" si="2"/>
        <v>804.19942745999992</v>
      </c>
      <c r="Y4" s="1">
        <f t="shared" si="2"/>
        <v>965.03931295199982</v>
      </c>
      <c r="Z4" s="1">
        <f t="shared" si="2"/>
        <v>1109.7952098947997</v>
      </c>
      <c r="AA4" s="1">
        <f t="shared" si="2"/>
        <v>1231.8726829832278</v>
      </c>
      <c r="AB4" s="1">
        <f t="shared" si="2"/>
        <v>1342.7412244517184</v>
      </c>
      <c r="AC4" s="1">
        <f t="shared" si="2"/>
        <v>1436.7331101633388</v>
      </c>
      <c r="AD4" s="1">
        <f t="shared" si="2"/>
        <v>1522.9370967731393</v>
      </c>
      <c r="AE4" s="1">
        <f t="shared" si="2"/>
        <v>1614.3133225795277</v>
      </c>
      <c r="AF4" s="1">
        <f t="shared" si="2"/>
        <v>1711.1721219342994</v>
      </c>
      <c r="AG4" s="1"/>
      <c r="AH4" s="1"/>
      <c r="AI4" s="1"/>
      <c r="AJ4" s="1"/>
    </row>
    <row r="5" spans="2:79" x14ac:dyDescent="0.25">
      <c r="B5" t="s">
        <v>37</v>
      </c>
      <c r="C5" s="1">
        <v>72.88</v>
      </c>
      <c r="D5" s="1">
        <v>71.34</v>
      </c>
      <c r="E5" s="1">
        <v>71.914000000000001</v>
      </c>
      <c r="F5" s="1">
        <f>+T5-E5-D5-C5</f>
        <v>92.466000000000037</v>
      </c>
      <c r="G5" s="1">
        <v>140.535</v>
      </c>
      <c r="H5" s="1">
        <v>197.13</v>
      </c>
      <c r="I5" s="1">
        <v>270.52</v>
      </c>
      <c r="J5" s="1">
        <f>+U5-I5-H5-G5</f>
        <v>285.0150000000001</v>
      </c>
      <c r="K5" s="1">
        <v>290.17899999999997</v>
      </c>
      <c r="L5" s="1">
        <v>374.8</v>
      </c>
      <c r="Q5" s="1">
        <v>265.39999999999998</v>
      </c>
      <c r="R5" s="1">
        <v>311.81099999999998</v>
      </c>
      <c r="S5" s="1">
        <v>292.24299999999999</v>
      </c>
      <c r="T5" s="1">
        <v>308.60000000000002</v>
      </c>
      <c r="U5" s="1">
        <v>893.2</v>
      </c>
      <c r="V5" s="1">
        <f t="shared" ref="V5" si="3">+U5*(1+V46)</f>
        <v>1429.1200000000001</v>
      </c>
      <c r="W5" s="1">
        <f t="shared" ref="W5:AF5" si="4">+V5*(1+W46)</f>
        <v>1414.8288</v>
      </c>
      <c r="X5" s="1">
        <f t="shared" si="4"/>
        <v>1980.7603199999999</v>
      </c>
      <c r="Y5" s="1">
        <f t="shared" si="4"/>
        <v>2475.9503999999997</v>
      </c>
      <c r="Z5" s="1">
        <f t="shared" si="4"/>
        <v>2896.8619679999997</v>
      </c>
      <c r="AA5" s="1">
        <f t="shared" si="4"/>
        <v>3273.4540238399995</v>
      </c>
      <c r="AB5" s="1">
        <f t="shared" si="4"/>
        <v>3600.7994262239999</v>
      </c>
      <c r="AC5" s="1">
        <f t="shared" si="4"/>
        <v>3888.86338032192</v>
      </c>
      <c r="AD5" s="1">
        <f t="shared" si="4"/>
        <v>4161.0838169444551</v>
      </c>
      <c r="AE5" s="1">
        <f t="shared" si="4"/>
        <v>4410.7488459611222</v>
      </c>
      <c r="AF5" s="1">
        <f t="shared" si="4"/>
        <v>4675.3937767187899</v>
      </c>
      <c r="AG5" s="1"/>
      <c r="AH5" s="1"/>
      <c r="AI5" s="1"/>
      <c r="AJ5" s="1"/>
    </row>
    <row r="6" spans="2:79" x14ac:dyDescent="0.25">
      <c r="B6" t="s">
        <v>38</v>
      </c>
      <c r="C6" s="1">
        <f>38.22+5.168</f>
        <v>43.387999999999998</v>
      </c>
      <c r="D6" s="1">
        <f>39.4+3.5</f>
        <v>42.9</v>
      </c>
      <c r="E6" s="1">
        <f>31.669+2.718</f>
        <v>34.387</v>
      </c>
      <c r="F6" s="1">
        <f>+T6-E6-D6-C6</f>
        <v>31.42499999999999</v>
      </c>
      <c r="G6" s="1">
        <v>47.4</v>
      </c>
      <c r="H6" s="1">
        <v>55.94</v>
      </c>
      <c r="I6" s="1">
        <f>57.462+24.575</f>
        <v>82.037000000000006</v>
      </c>
      <c r="J6" s="1">
        <f>+U6-I6-H6-G6</f>
        <v>114.738</v>
      </c>
      <c r="K6" s="1">
        <v>84.59</v>
      </c>
      <c r="L6" s="1">
        <v>93.289000000000001</v>
      </c>
      <c r="Q6" s="1"/>
      <c r="R6" s="1"/>
      <c r="S6" s="1">
        <v>167.816</v>
      </c>
      <c r="T6" s="1">
        <v>152.1</v>
      </c>
      <c r="U6" s="1">
        <v>300.11500000000001</v>
      </c>
      <c r="V6" s="1">
        <f t="shared" ref="V6" si="5">+U6*(1+V47)</f>
        <v>450.17250000000001</v>
      </c>
      <c r="W6" s="1">
        <f t="shared" ref="W6:AF6" si="6">+V6*(1+W47)</f>
        <v>445.67077499999999</v>
      </c>
      <c r="X6" s="1">
        <f t="shared" si="6"/>
        <v>623.93908499999998</v>
      </c>
      <c r="Y6" s="1">
        <f t="shared" si="6"/>
        <v>811.12081049999995</v>
      </c>
      <c r="Z6" s="1">
        <f t="shared" si="6"/>
        <v>973.34497259999989</v>
      </c>
      <c r="AA6" s="1">
        <f t="shared" si="6"/>
        <v>1070.6794698599999</v>
      </c>
      <c r="AB6" s="1">
        <f t="shared" si="6"/>
        <v>1156.3338274488001</v>
      </c>
      <c r="AC6" s="1">
        <f t="shared" si="6"/>
        <v>1237.2771953702161</v>
      </c>
      <c r="AD6" s="1">
        <f t="shared" si="6"/>
        <v>1311.5138270924292</v>
      </c>
      <c r="AE6" s="1">
        <f t="shared" si="6"/>
        <v>1390.204656717975</v>
      </c>
      <c r="AF6" s="1">
        <f t="shared" si="6"/>
        <v>1473.6169361210536</v>
      </c>
      <c r="AG6" s="1"/>
      <c r="AH6" s="1"/>
      <c r="AI6" s="1"/>
      <c r="AJ6" s="1"/>
    </row>
    <row r="7" spans="2:79" s="3" customFormat="1" x14ac:dyDescent="0.25">
      <c r="B7" s="3" t="s">
        <v>39</v>
      </c>
      <c r="C7" s="4">
        <f>SUM(C3:C6)</f>
        <v>323.92799999999994</v>
      </c>
      <c r="D7" s="4">
        <f>SUM(D3:D6)</f>
        <v>322.46499999999997</v>
      </c>
      <c r="E7" s="4">
        <v>272.15100000000001</v>
      </c>
      <c r="F7" s="4">
        <v>350.63</v>
      </c>
      <c r="G7" s="4">
        <v>387.15</v>
      </c>
      <c r="H7" s="4">
        <v>487.5</v>
      </c>
      <c r="I7" s="4">
        <v>661.16300000000001</v>
      </c>
      <c r="J7" s="4">
        <v>697.49</v>
      </c>
      <c r="K7" s="4">
        <v>640.34</v>
      </c>
      <c r="L7" s="4">
        <v>759.87699999999995</v>
      </c>
      <c r="M7" s="4">
        <v>821.56600000000003</v>
      </c>
      <c r="N7" s="4"/>
      <c r="P7" s="10"/>
      <c r="Q7" s="4">
        <v>1093.5</v>
      </c>
      <c r="R7" s="4">
        <v>1365.067</v>
      </c>
      <c r="S7" s="4">
        <f t="shared" ref="S7:X7" si="7">SUM(S3:S6)</f>
        <v>1389.056</v>
      </c>
      <c r="T7" s="4">
        <f t="shared" si="7"/>
        <v>1268.0999999999999</v>
      </c>
      <c r="U7" s="4">
        <f t="shared" si="7"/>
        <v>2229.826</v>
      </c>
      <c r="V7" s="4">
        <f t="shared" si="7"/>
        <v>3167.9984500000005</v>
      </c>
      <c r="W7" s="4">
        <f t="shared" si="7"/>
        <v>3136.3184655</v>
      </c>
      <c r="X7" s="4">
        <f t="shared" si="7"/>
        <v>4128.8018844600001</v>
      </c>
      <c r="Y7" s="4">
        <f t="shared" ref="Y7:AF7" si="8">SUM(Y3:Y6)</f>
        <v>5015.207758571999</v>
      </c>
      <c r="Z7" s="4">
        <f t="shared" si="8"/>
        <v>5788.8852197219994</v>
      </c>
      <c r="AA7" s="4">
        <f t="shared" si="8"/>
        <v>6433.4222300640595</v>
      </c>
      <c r="AB7" s="4">
        <f t="shared" si="8"/>
        <v>7008.7354947082003</v>
      </c>
      <c r="AC7" s="4">
        <f t="shared" si="8"/>
        <v>7526.2663634341779</v>
      </c>
      <c r="AD7" s="4">
        <f t="shared" si="8"/>
        <v>8016.7309790434483</v>
      </c>
      <c r="AE7" s="4">
        <f t="shared" si="8"/>
        <v>8497.7348377860562</v>
      </c>
      <c r="AF7" s="4">
        <f t="shared" si="8"/>
        <v>9007.5989280532194</v>
      </c>
      <c r="AG7" s="4"/>
      <c r="AH7" s="4"/>
      <c r="AI7" s="4"/>
      <c r="AJ7" s="4"/>
    </row>
    <row r="8" spans="2:79" x14ac:dyDescent="0.25">
      <c r="B8" t="s">
        <v>40</v>
      </c>
      <c r="C8" s="1">
        <v>58.33</v>
      </c>
      <c r="D8" s="1">
        <v>65.7</v>
      </c>
      <c r="E8" s="1">
        <v>59.984999999999999</v>
      </c>
      <c r="F8" s="1">
        <f>+T8-E8-D8-C8</f>
        <v>60.886999999999972</v>
      </c>
      <c r="G8" s="1">
        <v>65.5</v>
      </c>
      <c r="H8" s="1">
        <v>86.48</v>
      </c>
      <c r="I8" s="1">
        <v>112</v>
      </c>
      <c r="J8" s="1">
        <f>+U8-I8-H8-G8</f>
        <v>131.30899999999997</v>
      </c>
      <c r="K8" s="1">
        <v>111.24</v>
      </c>
      <c r="L8" s="1">
        <v>112.818</v>
      </c>
      <c r="Q8" s="1">
        <v>211.24</v>
      </c>
      <c r="R8" s="1">
        <v>259.613</v>
      </c>
      <c r="S8" s="1">
        <v>259.60000000000002</v>
      </c>
      <c r="T8" s="1">
        <v>244.90199999999999</v>
      </c>
      <c r="U8" s="1">
        <v>395.28899999999999</v>
      </c>
      <c r="V8" s="1">
        <f t="shared" ref="V8:AF8" si="9">+U8*(1+V49)</f>
        <v>553.40459999999996</v>
      </c>
      <c r="W8" s="1">
        <f t="shared" si="9"/>
        <v>547.87055399999997</v>
      </c>
      <c r="X8" s="1">
        <f t="shared" si="9"/>
        <v>712.23172020000004</v>
      </c>
      <c r="Y8" s="1">
        <f t="shared" si="9"/>
        <v>868.92269864399998</v>
      </c>
      <c r="Z8" s="1">
        <f t="shared" si="9"/>
        <v>999.26110344059987</v>
      </c>
      <c r="AA8" s="1">
        <f t="shared" si="9"/>
        <v>1099.1872137846599</v>
      </c>
      <c r="AB8" s="1">
        <f t="shared" si="9"/>
        <v>1198.1140630252794</v>
      </c>
      <c r="AC8" s="1">
        <f t="shared" si="9"/>
        <v>1293.9631880673019</v>
      </c>
      <c r="AD8" s="1">
        <f t="shared" si="9"/>
        <v>1384.5406112320131</v>
      </c>
      <c r="AE8" s="1">
        <f t="shared" si="9"/>
        <v>1467.6130479059341</v>
      </c>
      <c r="AF8" s="1">
        <f t="shared" si="9"/>
        <v>1555.6698307802901</v>
      </c>
      <c r="AG8" s="1"/>
      <c r="AH8" s="1"/>
      <c r="AI8" s="1"/>
      <c r="AJ8" s="1"/>
    </row>
    <row r="9" spans="2:79" x14ac:dyDescent="0.25">
      <c r="B9" t="s">
        <v>41</v>
      </c>
      <c r="C9" s="1">
        <v>65.176000000000002</v>
      </c>
      <c r="D9" s="1">
        <v>67.436999999999998</v>
      </c>
      <c r="E9" s="1">
        <v>53.393999999999998</v>
      </c>
      <c r="F9" s="1">
        <f>+T9-E9-D9-C9</f>
        <v>66.523999999999987</v>
      </c>
      <c r="G9" s="1">
        <v>59.25</v>
      </c>
      <c r="H9" s="1">
        <v>66.13</v>
      </c>
      <c r="I9" s="1">
        <v>81.349999999999994</v>
      </c>
      <c r="J9" s="1">
        <f>+U9-I9-H9-G9</f>
        <v>96.130000000000024</v>
      </c>
      <c r="K9" s="1">
        <v>89.21</v>
      </c>
      <c r="L9" s="1">
        <v>111.4</v>
      </c>
      <c r="Q9" s="1"/>
      <c r="R9" s="1"/>
      <c r="S9" s="1">
        <v>267.86900000000003</v>
      </c>
      <c r="T9" s="1">
        <v>252.53100000000001</v>
      </c>
      <c r="U9" s="1">
        <v>302.86</v>
      </c>
      <c r="V9" s="1">
        <f t="shared" ref="V9:AF9" si="10">+U9*(1+V50)</f>
        <v>408.86100000000005</v>
      </c>
      <c r="W9" s="1">
        <f t="shared" si="10"/>
        <v>404.77239000000003</v>
      </c>
      <c r="X9" s="1">
        <f t="shared" si="10"/>
        <v>514.0609353000001</v>
      </c>
      <c r="Y9" s="1">
        <f t="shared" si="10"/>
        <v>616.87312236000014</v>
      </c>
      <c r="Z9" s="1">
        <f t="shared" si="10"/>
        <v>709.40409071400006</v>
      </c>
      <c r="AA9" s="1">
        <f t="shared" si="10"/>
        <v>787.43854069254019</v>
      </c>
      <c r="AB9" s="1">
        <f t="shared" si="10"/>
        <v>858.30800935486889</v>
      </c>
      <c r="AC9" s="1">
        <f t="shared" si="10"/>
        <v>926.9726501032585</v>
      </c>
      <c r="AD9" s="1">
        <f t="shared" si="10"/>
        <v>991.8607356104867</v>
      </c>
      <c r="AE9" s="1">
        <f t="shared" si="10"/>
        <v>1051.3723797471159</v>
      </c>
      <c r="AF9" s="1">
        <f t="shared" si="10"/>
        <v>1114.4547225319429</v>
      </c>
      <c r="AG9" s="1"/>
      <c r="AH9" s="1"/>
      <c r="AI9" s="1"/>
      <c r="AJ9" s="1"/>
    </row>
    <row r="10" spans="2:79" s="3" customFormat="1" x14ac:dyDescent="0.25">
      <c r="B10" s="3" t="s">
        <v>42</v>
      </c>
      <c r="C10" s="4">
        <f>+C9+C8</f>
        <v>123.506</v>
      </c>
      <c r="D10" s="4">
        <f>+D9+D8</f>
        <v>133.137</v>
      </c>
      <c r="E10" s="4">
        <v>113.4</v>
      </c>
      <c r="F10" s="4">
        <v>127.5</v>
      </c>
      <c r="G10" s="4">
        <v>124.76</v>
      </c>
      <c r="H10" s="4">
        <v>152.69999999999999</v>
      </c>
      <c r="I10" s="4">
        <v>193.5</v>
      </c>
      <c r="J10" s="4">
        <v>227.4</v>
      </c>
      <c r="K10" s="4">
        <v>200.5</v>
      </c>
      <c r="L10" s="4">
        <v>224.285</v>
      </c>
      <c r="M10" s="4">
        <v>241.90899999999999</v>
      </c>
      <c r="N10" s="4"/>
      <c r="P10" s="10"/>
      <c r="Q10" s="4">
        <v>410.43400000000003</v>
      </c>
      <c r="R10" s="4">
        <v>470</v>
      </c>
      <c r="S10" s="4">
        <f t="shared" ref="S10:X10" si="11">+S8+S9</f>
        <v>527.46900000000005</v>
      </c>
      <c r="T10" s="4">
        <f t="shared" si="11"/>
        <v>497.43299999999999</v>
      </c>
      <c r="U10" s="4">
        <f t="shared" si="11"/>
        <v>698.149</v>
      </c>
      <c r="V10" s="4">
        <f t="shared" si="11"/>
        <v>962.26559999999995</v>
      </c>
      <c r="W10" s="4">
        <f t="shared" si="11"/>
        <v>952.64294399999994</v>
      </c>
      <c r="X10" s="4">
        <f t="shared" si="11"/>
        <v>1226.2926555000001</v>
      </c>
      <c r="Y10" s="4">
        <f t="shared" ref="Y10:AF10" si="12">+Y8+Y9</f>
        <v>1485.7958210040001</v>
      </c>
      <c r="Z10" s="4">
        <f t="shared" si="12"/>
        <v>1708.6651941545999</v>
      </c>
      <c r="AA10" s="4">
        <f t="shared" si="12"/>
        <v>1886.6257544772002</v>
      </c>
      <c r="AB10" s="4">
        <f t="shared" si="12"/>
        <v>2056.4220723801482</v>
      </c>
      <c r="AC10" s="4">
        <f t="shared" si="12"/>
        <v>2220.9358381705606</v>
      </c>
      <c r="AD10" s="4">
        <f t="shared" si="12"/>
        <v>2376.4013468425001</v>
      </c>
      <c r="AE10" s="4">
        <f t="shared" si="12"/>
        <v>2518.98542765305</v>
      </c>
      <c r="AF10" s="4">
        <f t="shared" si="12"/>
        <v>2670.1245533122328</v>
      </c>
      <c r="AG10" s="4"/>
      <c r="AH10" s="4"/>
      <c r="AI10" s="4"/>
      <c r="AJ10" s="4"/>
    </row>
    <row r="11" spans="2:79" x14ac:dyDescent="0.25">
      <c r="B11" t="s">
        <v>43</v>
      </c>
      <c r="G11" s="1">
        <v>-0.82799999999999996</v>
      </c>
      <c r="H11" s="1">
        <v>-0.65700000000000003</v>
      </c>
      <c r="I11" s="1">
        <v>-1</v>
      </c>
      <c r="J11" s="1">
        <v>-1.1220000000000001</v>
      </c>
      <c r="K11" s="1">
        <v>-1.39</v>
      </c>
      <c r="L11" s="1">
        <v>-1.589</v>
      </c>
      <c r="M11" s="1">
        <v>-1.885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2:79" s="3" customFormat="1" x14ac:dyDescent="0.25">
      <c r="B12" s="3" t="s">
        <v>44</v>
      </c>
      <c r="C12" s="4">
        <v>447.44799999999998</v>
      </c>
      <c r="D12" s="4">
        <f t="shared" ref="D12:L12" si="13">+D7+D10+D11</f>
        <v>455.60199999999998</v>
      </c>
      <c r="E12" s="4">
        <f t="shared" si="13"/>
        <v>385.55100000000004</v>
      </c>
      <c r="F12" s="4">
        <f t="shared" si="13"/>
        <v>478.13</v>
      </c>
      <c r="G12" s="4">
        <f t="shared" si="13"/>
        <v>511.08199999999999</v>
      </c>
      <c r="H12" s="4">
        <f t="shared" si="13"/>
        <v>639.54300000000001</v>
      </c>
      <c r="I12" s="4">
        <f t="shared" si="13"/>
        <v>853.66300000000001</v>
      </c>
      <c r="J12" s="4">
        <f>+J7+J10+J11</f>
        <v>923.76800000000003</v>
      </c>
      <c r="K12" s="4">
        <f t="shared" si="13"/>
        <v>839.45</v>
      </c>
      <c r="L12" s="4">
        <f t="shared" si="13"/>
        <v>982.57299999999987</v>
      </c>
      <c r="M12" s="4">
        <f>+M11+M10+M7</f>
        <v>1061.5900000000001</v>
      </c>
      <c r="N12" s="4"/>
      <c r="P12" s="10"/>
      <c r="Q12" s="4">
        <v>1503.9</v>
      </c>
      <c r="R12" s="4">
        <v>1835.1</v>
      </c>
      <c r="S12" s="4">
        <v>1916.5</v>
      </c>
      <c r="T12" s="4">
        <v>1765</v>
      </c>
      <c r="U12" s="4">
        <v>2928</v>
      </c>
      <c r="V12" s="4">
        <f>V7+V10</f>
        <v>4130.2640500000007</v>
      </c>
      <c r="W12" s="4">
        <f>W7+W10</f>
        <v>4088.9614094999997</v>
      </c>
      <c r="X12" s="4">
        <f>X7+X10</f>
        <v>5355.0945399600005</v>
      </c>
      <c r="Y12" s="4">
        <f t="shared" ref="Y12:AF12" si="14">Y7+Y10</f>
        <v>6501.0035795759995</v>
      </c>
      <c r="Z12" s="4">
        <f t="shared" si="14"/>
        <v>7497.5504138765991</v>
      </c>
      <c r="AA12" s="4">
        <f t="shared" si="14"/>
        <v>8320.0479845412592</v>
      </c>
      <c r="AB12" s="4">
        <f t="shared" si="14"/>
        <v>9065.1575670883485</v>
      </c>
      <c r="AC12" s="4">
        <f t="shared" si="14"/>
        <v>9747.2022016047376</v>
      </c>
      <c r="AD12" s="4">
        <f t="shared" si="14"/>
        <v>10393.132325885948</v>
      </c>
      <c r="AE12" s="4">
        <f t="shared" si="14"/>
        <v>11016.720265439106</v>
      </c>
      <c r="AF12" s="4">
        <f t="shared" si="14"/>
        <v>11677.723481365452</v>
      </c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</row>
    <row r="13" spans="2:79" x14ac:dyDescent="0.25">
      <c r="B13" t="s">
        <v>45</v>
      </c>
      <c r="C13" s="1">
        <v>330.6</v>
      </c>
      <c r="D13" s="1">
        <v>324.05</v>
      </c>
      <c r="E13" s="1">
        <v>289.10000000000002</v>
      </c>
      <c r="F13" s="1">
        <v>330.36599999999999</v>
      </c>
      <c r="G13" s="1">
        <v>321.89999999999998</v>
      </c>
      <c r="H13" s="1">
        <v>399.7</v>
      </c>
      <c r="I13" s="1">
        <v>514.38499999999999</v>
      </c>
      <c r="J13" s="1">
        <v>566.43100000000004</v>
      </c>
      <c r="K13" s="1">
        <v>485.99</v>
      </c>
      <c r="L13" s="1">
        <v>566.15700000000004</v>
      </c>
      <c r="M13" s="1">
        <v>607.26700000000005</v>
      </c>
      <c r="Q13" s="1">
        <v>1142.6600000000001</v>
      </c>
      <c r="R13" s="1">
        <v>1397</v>
      </c>
      <c r="S13" s="1">
        <v>1419.3</v>
      </c>
      <c r="T13" s="1">
        <v>1274.0999999999999</v>
      </c>
      <c r="U13" s="1">
        <v>1802.4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</row>
    <row r="14" spans="2:79" s="3" customFormat="1" x14ac:dyDescent="0.25">
      <c r="B14" s="3" t="s">
        <v>46</v>
      </c>
      <c r="C14" s="4">
        <f t="shared" ref="C14:D14" si="15">C12-C13</f>
        <v>116.84799999999996</v>
      </c>
      <c r="D14" s="4">
        <f t="shared" si="15"/>
        <v>131.55199999999996</v>
      </c>
      <c r="E14" s="4">
        <f t="shared" ref="E14:L14" si="16">E12-E13</f>
        <v>96.451000000000022</v>
      </c>
      <c r="F14" s="4">
        <f t="shared" si="16"/>
        <v>147.76400000000001</v>
      </c>
      <c r="G14" s="4">
        <f t="shared" si="16"/>
        <v>189.18200000000002</v>
      </c>
      <c r="H14" s="4">
        <f t="shared" si="16"/>
        <v>239.84300000000002</v>
      </c>
      <c r="I14" s="4">
        <f t="shared" si="16"/>
        <v>339.27800000000002</v>
      </c>
      <c r="J14" s="4">
        <f t="shared" si="16"/>
        <v>357.33699999999999</v>
      </c>
      <c r="K14" s="4">
        <f t="shared" si="16"/>
        <v>353.46000000000004</v>
      </c>
      <c r="L14" s="4">
        <f t="shared" si="16"/>
        <v>416.41599999999983</v>
      </c>
      <c r="M14" s="4">
        <f t="shared" ref="M14" si="17">M12-M13</f>
        <v>454.32300000000009</v>
      </c>
      <c r="N14" s="4"/>
      <c r="P14" s="10"/>
      <c r="Q14" s="4">
        <f t="shared" ref="Q14" si="18">Q12-Q13</f>
        <v>361.24</v>
      </c>
      <c r="R14" s="4">
        <f t="shared" ref="R14:S14" si="19">R12-R13</f>
        <v>438.09999999999991</v>
      </c>
      <c r="S14" s="4">
        <f t="shared" si="19"/>
        <v>497.20000000000005</v>
      </c>
      <c r="T14" s="4">
        <f t="shared" ref="T14:U14" si="20">T12-T13</f>
        <v>490.90000000000009</v>
      </c>
      <c r="U14" s="4">
        <f t="shared" si="20"/>
        <v>1125.5999999999999</v>
      </c>
      <c r="V14" s="4">
        <f>V12*0.4</f>
        <v>1652.1056200000003</v>
      </c>
      <c r="W14" s="4">
        <f>W12*0.4</f>
        <v>1635.5845638000001</v>
      </c>
      <c r="X14" s="4">
        <f>X12*0.4</f>
        <v>2142.0378159840002</v>
      </c>
      <c r="Y14" s="4">
        <f t="shared" ref="Y14:AF14" si="21">Y12*0.4</f>
        <v>2600.4014318303998</v>
      </c>
      <c r="Z14" s="4">
        <f t="shared" si="21"/>
        <v>2999.0201655506398</v>
      </c>
      <c r="AA14" s="4">
        <f t="shared" si="21"/>
        <v>3328.019193816504</v>
      </c>
      <c r="AB14" s="4">
        <f t="shared" si="21"/>
        <v>3626.0630268353398</v>
      </c>
      <c r="AC14" s="4">
        <f t="shared" si="21"/>
        <v>3898.8808806418951</v>
      </c>
      <c r="AD14" s="4">
        <f t="shared" si="21"/>
        <v>4157.2529303543797</v>
      </c>
      <c r="AE14" s="4">
        <f t="shared" si="21"/>
        <v>4406.6881061756421</v>
      </c>
      <c r="AF14" s="4">
        <f t="shared" si="21"/>
        <v>4671.0893925461814</v>
      </c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</row>
    <row r="15" spans="2:79" x14ac:dyDescent="0.25">
      <c r="B15" t="s">
        <v>47</v>
      </c>
      <c r="C15" s="1">
        <v>56.2</v>
      </c>
      <c r="D15" s="1">
        <v>62.36</v>
      </c>
      <c r="E15" s="1">
        <v>46.15</v>
      </c>
      <c r="F15" s="1">
        <v>54.76</v>
      </c>
      <c r="G15" s="1">
        <v>61</v>
      </c>
      <c r="H15" s="1">
        <v>67.3</v>
      </c>
      <c r="I15" s="1">
        <v>81.8</v>
      </c>
      <c r="J15" s="1">
        <v>82.769000000000005</v>
      </c>
      <c r="K15" s="1">
        <v>78</v>
      </c>
      <c r="L15" s="1">
        <v>88.918000000000006</v>
      </c>
      <c r="M15" s="1">
        <v>95.95</v>
      </c>
      <c r="Q15" s="1">
        <v>182.9</v>
      </c>
      <c r="R15" s="1">
        <v>226.3</v>
      </c>
      <c r="S15" s="1">
        <v>240.66</v>
      </c>
      <c r="T15" s="1">
        <v>219.5</v>
      </c>
      <c r="U15" s="1">
        <v>293</v>
      </c>
      <c r="V15" s="1">
        <f>V12*V42</f>
        <v>454.32904550000006</v>
      </c>
      <c r="W15" s="1">
        <f t="shared" ref="W15:AF15" si="22">W12*W42</f>
        <v>449.78575504499997</v>
      </c>
      <c r="X15" s="1">
        <f t="shared" si="22"/>
        <v>589.06039939560003</v>
      </c>
      <c r="Y15" s="1">
        <f t="shared" si="22"/>
        <v>650.10035795759995</v>
      </c>
      <c r="Z15" s="1">
        <f t="shared" si="22"/>
        <v>749.75504138765996</v>
      </c>
      <c r="AA15" s="1">
        <f t="shared" si="22"/>
        <v>832.00479845412599</v>
      </c>
      <c r="AB15" s="1">
        <f t="shared" si="22"/>
        <v>815.86418103795131</v>
      </c>
      <c r="AC15" s="1">
        <f t="shared" si="22"/>
        <v>877.2481981444264</v>
      </c>
      <c r="AD15" s="1">
        <f t="shared" si="22"/>
        <v>935.38190932973532</v>
      </c>
      <c r="AE15" s="1">
        <f t="shared" si="22"/>
        <v>991.50482388951946</v>
      </c>
      <c r="AF15" s="1">
        <f t="shared" si="22"/>
        <v>1050.9951133228906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</row>
    <row r="16" spans="2:79" x14ac:dyDescent="0.25">
      <c r="B16" t="s">
        <v>48</v>
      </c>
      <c r="C16" s="1">
        <v>8.11</v>
      </c>
      <c r="D16" s="1">
        <v>8</v>
      </c>
      <c r="E16" s="1">
        <v>8</v>
      </c>
      <c r="F16" s="1">
        <v>8.0500000000000007</v>
      </c>
      <c r="G16" s="1">
        <v>8.26</v>
      </c>
      <c r="H16" s="1">
        <v>8.1</v>
      </c>
      <c r="I16" s="1">
        <v>8.6999999999999993</v>
      </c>
      <c r="J16" s="1">
        <v>8.5809999999999995</v>
      </c>
      <c r="K16" s="1">
        <v>8.2200000000000006</v>
      </c>
      <c r="L16" s="1">
        <v>8.7010000000000005</v>
      </c>
      <c r="M16" s="1">
        <v>8.6</v>
      </c>
      <c r="Q16" s="1">
        <v>22.4</v>
      </c>
      <c r="R16" s="1">
        <v>32</v>
      </c>
      <c r="S16" s="1">
        <v>32.869999999999997</v>
      </c>
      <c r="T16" s="1">
        <v>32.262</v>
      </c>
      <c r="U16" s="1">
        <v>33.6</v>
      </c>
      <c r="V16" s="1">
        <f>+U16*1.03</f>
        <v>34.608000000000004</v>
      </c>
      <c r="W16" s="1">
        <f t="shared" ref="W16:AF16" si="23">+V16*1.03</f>
        <v>35.646240000000006</v>
      </c>
      <c r="X16" s="1">
        <f t="shared" si="23"/>
        <v>36.715627200000007</v>
      </c>
      <c r="Y16" s="1">
        <f t="shared" si="23"/>
        <v>37.817096016000008</v>
      </c>
      <c r="Z16" s="1">
        <f t="shared" si="23"/>
        <v>38.95160889648001</v>
      </c>
      <c r="AA16" s="1">
        <f t="shared" si="23"/>
        <v>40.120157163374415</v>
      </c>
      <c r="AB16" s="1">
        <f t="shared" si="23"/>
        <v>41.323761878275647</v>
      </c>
      <c r="AC16" s="1">
        <f t="shared" si="23"/>
        <v>42.563474734623917</v>
      </c>
      <c r="AD16" s="1">
        <f t="shared" si="23"/>
        <v>43.840378976662635</v>
      </c>
      <c r="AE16" s="1">
        <f t="shared" si="23"/>
        <v>45.155590345962516</v>
      </c>
      <c r="AF16" s="1">
        <f t="shared" si="23"/>
        <v>46.510258056341392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</row>
    <row r="17" spans="2:216" s="3" customFormat="1" x14ac:dyDescent="0.25">
      <c r="B17" s="3" t="s">
        <v>49</v>
      </c>
      <c r="C17" s="4">
        <f t="shared" ref="C17:D17" si="24">+C14-C15-C16</f>
        <v>52.537999999999954</v>
      </c>
      <c r="D17" s="4">
        <f t="shared" si="24"/>
        <v>61.191999999999965</v>
      </c>
      <c r="E17" s="4">
        <f t="shared" ref="E17:L17" si="25">+E14-E15-E16</f>
        <v>42.301000000000023</v>
      </c>
      <c r="F17" s="4">
        <f t="shared" si="25"/>
        <v>84.954000000000022</v>
      </c>
      <c r="G17" s="4">
        <f t="shared" si="25"/>
        <v>119.92200000000001</v>
      </c>
      <c r="H17" s="4">
        <f t="shared" si="25"/>
        <v>164.44300000000001</v>
      </c>
      <c r="I17" s="4">
        <f t="shared" si="25"/>
        <v>248.77800000000002</v>
      </c>
      <c r="J17" s="4">
        <f t="shared" si="25"/>
        <v>265.98699999999997</v>
      </c>
      <c r="K17" s="4">
        <f t="shared" si="25"/>
        <v>267.24</v>
      </c>
      <c r="L17" s="4">
        <f t="shared" si="25"/>
        <v>318.7969999999998</v>
      </c>
      <c r="M17" s="4">
        <f t="shared" ref="M17" si="26">+M14-M15-M16</f>
        <v>349.77300000000008</v>
      </c>
      <c r="N17" s="4"/>
      <c r="P17" s="10"/>
      <c r="Q17" s="4">
        <f t="shared" ref="Q17" si="27">+Q14-Q15-Q16</f>
        <v>155.94</v>
      </c>
      <c r="R17" s="4">
        <f t="shared" ref="R17:S17" si="28">+R14-R15-R16</f>
        <v>179.7999999999999</v>
      </c>
      <c r="S17" s="4">
        <f t="shared" si="28"/>
        <v>223.67000000000007</v>
      </c>
      <c r="T17" s="4">
        <f t="shared" ref="T17:U17" si="29">+T14-T15-T16</f>
        <v>239.13800000000009</v>
      </c>
      <c r="U17" s="4">
        <f t="shared" si="29"/>
        <v>798.99999999999989</v>
      </c>
      <c r="V17" s="4">
        <f>V14-V15-V16</f>
        <v>1163.1685745000002</v>
      </c>
      <c r="W17" s="4">
        <f>W14-W15-W16</f>
        <v>1150.1525687550002</v>
      </c>
      <c r="X17" s="4">
        <f>X14-X15-X16</f>
        <v>1516.2617893884001</v>
      </c>
      <c r="Y17" s="4">
        <f t="shared" ref="Y17:AF17" si="30">Y14-Y15-Y16</f>
        <v>1912.4839778567998</v>
      </c>
      <c r="Z17" s="4">
        <f t="shared" si="30"/>
        <v>2210.3135152665</v>
      </c>
      <c r="AA17" s="4">
        <f t="shared" si="30"/>
        <v>2455.8942381990037</v>
      </c>
      <c r="AB17" s="4">
        <f t="shared" si="30"/>
        <v>2768.875083919113</v>
      </c>
      <c r="AC17" s="4">
        <f t="shared" si="30"/>
        <v>2979.0692077628446</v>
      </c>
      <c r="AD17" s="4">
        <f t="shared" si="30"/>
        <v>3178.0306420479819</v>
      </c>
      <c r="AE17" s="4">
        <f t="shared" si="30"/>
        <v>3370.0276919401599</v>
      </c>
      <c r="AF17" s="4">
        <f t="shared" si="30"/>
        <v>3573.5840211669497</v>
      </c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</row>
    <row r="18" spans="2:216" x14ac:dyDescent="0.25">
      <c r="B18" t="s">
        <v>50</v>
      </c>
      <c r="C18" s="1">
        <v>10.62</v>
      </c>
      <c r="D18" s="1">
        <v>10.56</v>
      </c>
      <c r="E18" s="1">
        <v>9.42</v>
      </c>
      <c r="F18" s="1">
        <v>9.5</v>
      </c>
      <c r="G18" s="1">
        <v>8.1999999999999993</v>
      </c>
      <c r="H18" s="1">
        <v>8.4</v>
      </c>
      <c r="I18" s="1">
        <v>8.09</v>
      </c>
      <c r="J18" s="1">
        <v>8.1389999999999993</v>
      </c>
      <c r="K18" s="1">
        <v>6.9</v>
      </c>
      <c r="L18" s="1">
        <v>7.5140000000000002</v>
      </c>
      <c r="M18" s="1">
        <v>7.2430000000000003</v>
      </c>
      <c r="Q18" s="1">
        <v>26.6</v>
      </c>
      <c r="R18" s="1">
        <v>40.69</v>
      </c>
      <c r="S18" s="1">
        <v>50.472999999999999</v>
      </c>
      <c r="T18" s="1">
        <v>40.06</v>
      </c>
      <c r="U18" s="1">
        <v>32.899000000000001</v>
      </c>
      <c r="V18" s="1">
        <f>+U34*-0.06</f>
        <v>10.902000000000003</v>
      </c>
      <c r="W18" s="1">
        <f>+V34*-0.01</f>
        <v>-9.814685745000002</v>
      </c>
      <c r="X18" s="1">
        <f>+W34*-0.01</f>
        <v>-21.316211432550002</v>
      </c>
      <c r="Y18" s="1">
        <f t="shared" ref="Y18:AF18" si="31">+X34*-0.01</f>
        <v>-36.47882932643401</v>
      </c>
      <c r="Z18" s="1">
        <f t="shared" si="31"/>
        <v>-55.603669105002012</v>
      </c>
      <c r="AA18" s="1">
        <f t="shared" si="31"/>
        <v>-77.706804257667017</v>
      </c>
      <c r="AB18" s="1">
        <f t="shared" si="31"/>
        <v>-102.26574663965705</v>
      </c>
      <c r="AC18" s="1">
        <f t="shared" si="31"/>
        <v>-129.95449747884817</v>
      </c>
      <c r="AD18" s="1">
        <f t="shared" si="31"/>
        <v>-159.74518955647662</v>
      </c>
      <c r="AE18" s="1">
        <f t="shared" si="31"/>
        <v>-191.52549597695645</v>
      </c>
      <c r="AF18" s="1">
        <f t="shared" si="31"/>
        <v>-225.22577289635802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</row>
    <row r="19" spans="2:216" s="3" customFormat="1" x14ac:dyDescent="0.25">
      <c r="B19" t="s">
        <v>51</v>
      </c>
      <c r="C19" s="1">
        <v>-0.2</v>
      </c>
      <c r="D19" s="1">
        <v>-1.6850000000000001</v>
      </c>
      <c r="E19" s="1">
        <v>-0.54</v>
      </c>
      <c r="F19" s="1">
        <f>0.275-0.315</f>
        <v>-3.999999999999998E-2</v>
      </c>
      <c r="G19" s="1">
        <v>-0.4</v>
      </c>
      <c r="H19" s="1">
        <v>-7</v>
      </c>
      <c r="I19" s="1">
        <f>4.2-0.5</f>
        <v>3.7</v>
      </c>
      <c r="J19" s="1">
        <v>-9.9700000000000006</v>
      </c>
      <c r="K19" s="1">
        <v>-0.3</v>
      </c>
      <c r="L19" s="1">
        <v>-1</v>
      </c>
      <c r="M19" s="1">
        <v>-0.15</v>
      </c>
      <c r="N19" s="1"/>
      <c r="P19" s="10"/>
      <c r="Q19" s="1">
        <f>9.8-6.57</f>
        <v>3.2300000000000004</v>
      </c>
      <c r="R19" s="1">
        <v>-27.3</v>
      </c>
      <c r="S19" s="1">
        <v>-11.478</v>
      </c>
      <c r="T19" s="1">
        <f>0.3-2.777</f>
        <v>-2.4770000000000003</v>
      </c>
      <c r="U19" s="1">
        <f>4.2-18.15</f>
        <v>-13.95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</row>
    <row r="20" spans="2:216" x14ac:dyDescent="0.25">
      <c r="B20" t="s">
        <v>52</v>
      </c>
      <c r="C20" s="1">
        <f t="shared" ref="C20:D20" si="32">+C19+C18</f>
        <v>10.42</v>
      </c>
      <c r="D20" s="1">
        <f t="shared" si="32"/>
        <v>8.875</v>
      </c>
      <c r="E20" s="1">
        <f t="shared" ref="E20:L20" si="33">+E19+E18</f>
        <v>8.879999999999999</v>
      </c>
      <c r="F20" s="1">
        <f t="shared" si="33"/>
        <v>9.4600000000000009</v>
      </c>
      <c r="G20" s="1">
        <f t="shared" si="33"/>
        <v>7.7999999999999989</v>
      </c>
      <c r="H20" s="1">
        <f t="shared" si="33"/>
        <v>1.4000000000000004</v>
      </c>
      <c r="I20" s="1">
        <f t="shared" si="33"/>
        <v>11.79</v>
      </c>
      <c r="J20" s="1">
        <f t="shared" si="33"/>
        <v>-1.8310000000000013</v>
      </c>
      <c r="K20" s="1">
        <f t="shared" si="33"/>
        <v>6.6000000000000005</v>
      </c>
      <c r="L20" s="1">
        <f t="shared" si="33"/>
        <v>6.5140000000000002</v>
      </c>
      <c r="M20" s="1">
        <f t="shared" ref="M20" si="34">+M19+M18</f>
        <v>7.093</v>
      </c>
      <c r="Q20" s="1">
        <v>41.48</v>
      </c>
      <c r="R20" s="1">
        <f t="shared" ref="R20:S20" si="35">+R19+R18</f>
        <v>13.389999999999997</v>
      </c>
      <c r="S20" s="1">
        <f t="shared" si="35"/>
        <v>38.994999999999997</v>
      </c>
      <c r="T20" s="1">
        <f t="shared" ref="T20:U20" si="36">+T19+T18</f>
        <v>37.582999999999998</v>
      </c>
      <c r="U20" s="1">
        <f t="shared" si="36"/>
        <v>18.949000000000002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</row>
    <row r="21" spans="2:216" s="3" customFormat="1" x14ac:dyDescent="0.25">
      <c r="B21" t="s">
        <v>53</v>
      </c>
      <c r="C21" s="1">
        <v>7.3</v>
      </c>
      <c r="D21" s="1">
        <v>13.1</v>
      </c>
      <c r="E21" s="1">
        <v>8.67</v>
      </c>
      <c r="F21" s="1">
        <v>20.58</v>
      </c>
      <c r="G21" s="1">
        <v>26.96</v>
      </c>
      <c r="H21" s="1">
        <v>38.299999999999997</v>
      </c>
      <c r="I21" s="1">
        <v>61.65</v>
      </c>
      <c r="J21" s="1">
        <v>65.22</v>
      </c>
      <c r="K21" s="1">
        <v>56.975000000000001</v>
      </c>
      <c r="L21" s="1">
        <v>78.613</v>
      </c>
      <c r="M21" s="1">
        <v>88.04</v>
      </c>
      <c r="N21" s="1"/>
      <c r="P21" s="10"/>
      <c r="Q21" s="1">
        <v>29.7</v>
      </c>
      <c r="R21" s="1">
        <v>29.7</v>
      </c>
      <c r="S21" s="1">
        <v>45.6</v>
      </c>
      <c r="T21" s="1">
        <v>49.7</v>
      </c>
      <c r="U21" s="1">
        <v>192.14400000000001</v>
      </c>
      <c r="V21" s="1">
        <f>V12*0.1</f>
        <v>413.02640500000007</v>
      </c>
      <c r="W21" s="1">
        <f>W12*0.1</f>
        <v>408.89614095000002</v>
      </c>
      <c r="X21" s="1">
        <f>X12*0.1</f>
        <v>535.50945399600005</v>
      </c>
      <c r="Y21" s="1">
        <f t="shared" ref="Y21:AF21" si="37">Y12*0.1</f>
        <v>650.10035795759995</v>
      </c>
      <c r="Z21" s="1">
        <f t="shared" si="37"/>
        <v>749.75504138765996</v>
      </c>
      <c r="AA21" s="1">
        <f t="shared" si="37"/>
        <v>832.00479845412599</v>
      </c>
      <c r="AB21" s="1">
        <f t="shared" si="37"/>
        <v>906.51575670883494</v>
      </c>
      <c r="AC21" s="1">
        <f t="shared" si="37"/>
        <v>974.72022016047379</v>
      </c>
      <c r="AD21" s="1">
        <f t="shared" si="37"/>
        <v>1039.3132325885949</v>
      </c>
      <c r="AE21" s="1">
        <f t="shared" si="37"/>
        <v>1101.6720265439105</v>
      </c>
      <c r="AF21" s="1">
        <f t="shared" si="37"/>
        <v>1167.7723481365454</v>
      </c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</row>
    <row r="22" spans="2:216" s="3" customFormat="1" x14ac:dyDescent="0.25">
      <c r="B22" s="3" t="s">
        <v>54</v>
      </c>
      <c r="C22" s="4">
        <f t="shared" ref="C22:D22" si="38">+C17-C20-C21</f>
        <v>34.817999999999955</v>
      </c>
      <c r="D22" s="4">
        <f t="shared" si="38"/>
        <v>39.216999999999963</v>
      </c>
      <c r="E22" s="4">
        <f t="shared" ref="E22:L22" si="39">+E17-E20-E21</f>
        <v>24.751000000000019</v>
      </c>
      <c r="F22" s="4">
        <f t="shared" si="39"/>
        <v>54.91400000000003</v>
      </c>
      <c r="G22" s="4">
        <f t="shared" si="39"/>
        <v>85.162000000000006</v>
      </c>
      <c r="H22" s="4">
        <f t="shared" si="39"/>
        <v>124.74300000000001</v>
      </c>
      <c r="I22" s="4">
        <f t="shared" si="39"/>
        <v>175.33800000000002</v>
      </c>
      <c r="J22" s="4">
        <f t="shared" si="39"/>
        <v>202.59799999999998</v>
      </c>
      <c r="K22" s="4">
        <f t="shared" si="39"/>
        <v>203.66499999999999</v>
      </c>
      <c r="L22" s="4">
        <f t="shared" si="39"/>
        <v>233.66999999999979</v>
      </c>
      <c r="M22" s="4">
        <f t="shared" ref="M22" si="40">+M17-M20-M21</f>
        <v>254.64000000000004</v>
      </c>
      <c r="N22" s="4"/>
      <c r="P22" s="10"/>
      <c r="Q22" s="4">
        <f t="shared" ref="Q22" si="41">+Q17-Q20-Q21</f>
        <v>84.76</v>
      </c>
      <c r="R22" s="4">
        <f t="shared" ref="R22:S22" si="42">+R17-R20-R21</f>
        <v>136.70999999999992</v>
      </c>
      <c r="S22" s="4">
        <f t="shared" si="42"/>
        <v>139.07500000000007</v>
      </c>
      <c r="T22" s="4">
        <f t="shared" ref="T22:U22" si="43">+T17-T20-T21</f>
        <v>151.85500000000008</v>
      </c>
      <c r="U22" s="4">
        <f t="shared" si="43"/>
        <v>587.90699999999993</v>
      </c>
      <c r="V22" s="4">
        <f>V17-V18-V21</f>
        <v>739.24016950000009</v>
      </c>
      <c r="W22" s="4">
        <f>W17-W18-W21</f>
        <v>751.07111355000006</v>
      </c>
      <c r="X22" s="4">
        <f>X17-X18-X21</f>
        <v>1002.0685468249501</v>
      </c>
      <c r="Y22" s="4">
        <f t="shared" ref="Y22:AF22" si="44">Y17-Y18-Y21</f>
        <v>1298.8624492256338</v>
      </c>
      <c r="Z22" s="4">
        <f t="shared" si="44"/>
        <v>1516.1621429838422</v>
      </c>
      <c r="AA22" s="4">
        <f t="shared" si="44"/>
        <v>1701.5962440025446</v>
      </c>
      <c r="AB22" s="4">
        <f t="shared" si="44"/>
        <v>1964.6250738499352</v>
      </c>
      <c r="AC22" s="4">
        <f t="shared" si="44"/>
        <v>2134.3034850812192</v>
      </c>
      <c r="AD22" s="4">
        <f t="shared" si="44"/>
        <v>2298.4625990158638</v>
      </c>
      <c r="AE22" s="4">
        <f t="shared" si="44"/>
        <v>2459.8811613732059</v>
      </c>
      <c r="AF22" s="4">
        <f t="shared" si="44"/>
        <v>2631.0374459267623</v>
      </c>
      <c r="AG22" s="4">
        <f t="shared" ref="AG22:BL22" si="45">AF22*(1+$AH57)</f>
        <v>2591.571884237861</v>
      </c>
      <c r="AH22" s="4">
        <f t="shared" si="45"/>
        <v>2552.6983059742929</v>
      </c>
      <c r="AI22" s="4">
        <f t="shared" si="45"/>
        <v>2514.4078313846785</v>
      </c>
      <c r="AJ22" s="4">
        <f t="shared" si="45"/>
        <v>2476.6917139139082</v>
      </c>
      <c r="AK22" s="4">
        <f t="shared" si="45"/>
        <v>2439.5413382051997</v>
      </c>
      <c r="AL22" s="4">
        <f t="shared" si="45"/>
        <v>2402.9482181321218</v>
      </c>
      <c r="AM22" s="4">
        <f t="shared" si="45"/>
        <v>2366.9039948601398</v>
      </c>
      <c r="AN22" s="4">
        <f t="shared" si="45"/>
        <v>2331.4004349372376</v>
      </c>
      <c r="AO22" s="4">
        <f t="shared" si="45"/>
        <v>2296.4294284131788</v>
      </c>
      <c r="AP22" s="4">
        <f t="shared" si="45"/>
        <v>2261.9829869869809</v>
      </c>
      <c r="AQ22" s="4">
        <f t="shared" si="45"/>
        <v>2228.0532421821763</v>
      </c>
      <c r="AR22" s="4">
        <f t="shared" si="45"/>
        <v>2194.6324435494435</v>
      </c>
      <c r="AS22" s="4">
        <f t="shared" si="45"/>
        <v>2161.7129568962018</v>
      </c>
      <c r="AT22" s="4">
        <f t="shared" si="45"/>
        <v>2129.287262542759</v>
      </c>
      <c r="AU22" s="4">
        <f t="shared" si="45"/>
        <v>2097.3479536046175</v>
      </c>
      <c r="AV22" s="4">
        <f t="shared" si="45"/>
        <v>2065.8877343005483</v>
      </c>
      <c r="AW22" s="4">
        <f t="shared" si="45"/>
        <v>2034.8994182860401</v>
      </c>
      <c r="AX22" s="4">
        <f t="shared" si="45"/>
        <v>2004.3759270117496</v>
      </c>
      <c r="AY22" s="4">
        <f t="shared" si="45"/>
        <v>1974.3102881065734</v>
      </c>
      <c r="AZ22" s="4">
        <f t="shared" si="45"/>
        <v>1944.6956337849747</v>
      </c>
      <c r="BA22" s="4">
        <f t="shared" si="45"/>
        <v>1915.5251992782</v>
      </c>
      <c r="BB22" s="4">
        <f t="shared" si="45"/>
        <v>1886.7923212890271</v>
      </c>
      <c r="BC22" s="4">
        <f t="shared" si="45"/>
        <v>1858.4904364696918</v>
      </c>
      <c r="BD22" s="4">
        <f t="shared" si="45"/>
        <v>1830.6130799226464</v>
      </c>
      <c r="BE22" s="4">
        <f t="shared" si="45"/>
        <v>1803.1538837238068</v>
      </c>
      <c r="BF22" s="4">
        <f t="shared" si="45"/>
        <v>1776.1065754679496</v>
      </c>
      <c r="BG22" s="4">
        <f t="shared" si="45"/>
        <v>1749.4649768359304</v>
      </c>
      <c r="BH22" s="4">
        <f t="shared" si="45"/>
        <v>1723.2230021833914</v>
      </c>
      <c r="BI22" s="4">
        <f t="shared" si="45"/>
        <v>1697.3746571506406</v>
      </c>
      <c r="BJ22" s="4">
        <f t="shared" si="45"/>
        <v>1671.9140372933809</v>
      </c>
      <c r="BK22" s="4">
        <f t="shared" si="45"/>
        <v>1646.8353267339803</v>
      </c>
      <c r="BL22" s="4">
        <f t="shared" si="45"/>
        <v>1622.1327968329706</v>
      </c>
      <c r="BM22" s="4">
        <f t="shared" ref="BM22:CR22" si="46">BL22*(1+$AH57)</f>
        <v>1597.8008048804761</v>
      </c>
      <c r="BN22" s="4">
        <f t="shared" si="46"/>
        <v>1573.833792807269</v>
      </c>
      <c r="BO22" s="4">
        <f t="shared" si="46"/>
        <v>1550.2262859151599</v>
      </c>
      <c r="BP22" s="4">
        <f t="shared" si="46"/>
        <v>1526.9728916264326</v>
      </c>
      <c r="BQ22" s="4">
        <f t="shared" si="46"/>
        <v>1504.0682982520361</v>
      </c>
      <c r="BR22" s="4">
        <f t="shared" si="46"/>
        <v>1481.5072737782555</v>
      </c>
      <c r="BS22" s="4">
        <f t="shared" si="46"/>
        <v>1459.2846646715816</v>
      </c>
      <c r="BT22" s="4">
        <f t="shared" si="46"/>
        <v>1437.3953947015079</v>
      </c>
      <c r="BU22" s="4">
        <f t="shared" si="46"/>
        <v>1415.8344637809853</v>
      </c>
      <c r="BV22" s="4">
        <f t="shared" si="46"/>
        <v>1394.5969468242704</v>
      </c>
      <c r="BW22" s="4">
        <f t="shared" si="46"/>
        <v>1373.6779926219062</v>
      </c>
      <c r="BX22" s="4">
        <f t="shared" si="46"/>
        <v>1353.0728227325776</v>
      </c>
      <c r="BY22" s="4">
        <f t="shared" si="46"/>
        <v>1332.7767303915889</v>
      </c>
      <c r="BZ22" s="4">
        <f t="shared" si="46"/>
        <v>1312.785079435715</v>
      </c>
      <c r="CA22" s="4">
        <f t="shared" si="46"/>
        <v>1293.0933032441792</v>
      </c>
      <c r="CB22" s="4">
        <f t="shared" si="46"/>
        <v>1273.6969036955165</v>
      </c>
      <c r="CC22" s="4">
        <f t="shared" si="46"/>
        <v>1254.5914501400837</v>
      </c>
      <c r="CD22" s="4">
        <f t="shared" si="46"/>
        <v>1235.7725783879823</v>
      </c>
      <c r="CE22" s="4">
        <f t="shared" si="46"/>
        <v>1217.2359897121626</v>
      </c>
      <c r="CF22" s="4">
        <f t="shared" si="46"/>
        <v>1198.9774498664801</v>
      </c>
      <c r="CG22" s="4">
        <f t="shared" si="46"/>
        <v>1180.9927881184828</v>
      </c>
      <c r="CH22" s="4">
        <f t="shared" si="46"/>
        <v>1163.2778962967056</v>
      </c>
      <c r="CI22" s="4">
        <f t="shared" si="46"/>
        <v>1145.828727852255</v>
      </c>
      <c r="CJ22" s="4">
        <f t="shared" si="46"/>
        <v>1128.6412969344713</v>
      </c>
      <c r="CK22" s="4">
        <f t="shared" si="46"/>
        <v>1111.7116774804542</v>
      </c>
      <c r="CL22" s="4">
        <f t="shared" si="46"/>
        <v>1095.0360023182475</v>
      </c>
      <c r="CM22" s="4">
        <f t="shared" si="46"/>
        <v>1078.6104622834737</v>
      </c>
      <c r="CN22" s="4">
        <f t="shared" si="46"/>
        <v>1062.4313053492215</v>
      </c>
      <c r="CO22" s="4">
        <f t="shared" si="46"/>
        <v>1046.4948357689832</v>
      </c>
      <c r="CP22" s="4">
        <f t="shared" si="46"/>
        <v>1030.7974132324484</v>
      </c>
      <c r="CQ22" s="4">
        <f t="shared" si="46"/>
        <v>1015.3354520339617</v>
      </c>
      <c r="CR22" s="4">
        <f t="shared" si="46"/>
        <v>1000.1054202534523</v>
      </c>
      <c r="CS22" s="4">
        <f t="shared" ref="CS22:DX22" si="47">CR22*(1+$AH57)</f>
        <v>985.10383894965048</v>
      </c>
      <c r="CT22" s="4">
        <f t="shared" si="47"/>
        <v>970.32728136540572</v>
      </c>
      <c r="CU22" s="4">
        <f t="shared" si="47"/>
        <v>955.77237214492459</v>
      </c>
      <c r="CV22" s="4">
        <f t="shared" si="47"/>
        <v>941.43578656275076</v>
      </c>
      <c r="CW22" s="4">
        <f t="shared" si="47"/>
        <v>927.31424976430947</v>
      </c>
      <c r="CX22" s="4">
        <f t="shared" si="47"/>
        <v>913.40453601784486</v>
      </c>
      <c r="CY22" s="4">
        <f t="shared" si="47"/>
        <v>899.70346797757713</v>
      </c>
      <c r="CZ22" s="4">
        <f t="shared" si="47"/>
        <v>886.20791595791343</v>
      </c>
      <c r="DA22" s="4">
        <f t="shared" si="47"/>
        <v>872.91479721854466</v>
      </c>
      <c r="DB22" s="4">
        <f t="shared" si="47"/>
        <v>859.82107526026653</v>
      </c>
      <c r="DC22" s="4">
        <f t="shared" si="47"/>
        <v>846.92375913136254</v>
      </c>
      <c r="DD22" s="4">
        <f t="shared" si="47"/>
        <v>834.21990274439213</v>
      </c>
      <c r="DE22" s="4">
        <f t="shared" si="47"/>
        <v>821.70660420322622</v>
      </c>
      <c r="DF22" s="4">
        <f t="shared" si="47"/>
        <v>809.38100514017776</v>
      </c>
      <c r="DG22" s="4">
        <f t="shared" si="47"/>
        <v>797.24029006307512</v>
      </c>
      <c r="DH22" s="4">
        <f t="shared" si="47"/>
        <v>785.28168571212893</v>
      </c>
      <c r="DI22" s="4">
        <f t="shared" si="47"/>
        <v>773.50246042644699</v>
      </c>
      <c r="DJ22" s="4">
        <f t="shared" si="47"/>
        <v>761.89992352005027</v>
      </c>
      <c r="DK22" s="4">
        <f t="shared" si="47"/>
        <v>750.47142466724949</v>
      </c>
      <c r="DL22" s="4">
        <f t="shared" si="47"/>
        <v>739.21435329724079</v>
      </c>
      <c r="DM22" s="4">
        <f t="shared" si="47"/>
        <v>728.12613799778217</v>
      </c>
      <c r="DN22" s="4">
        <f t="shared" si="47"/>
        <v>717.20424592781546</v>
      </c>
      <c r="DO22" s="4">
        <f t="shared" si="47"/>
        <v>706.44618223889825</v>
      </c>
      <c r="DP22" s="4">
        <f t="shared" si="47"/>
        <v>695.84948950531475</v>
      </c>
      <c r="DQ22" s="4">
        <f t="shared" si="47"/>
        <v>685.41174716273497</v>
      </c>
      <c r="DR22" s="4">
        <f t="shared" si="47"/>
        <v>675.13057095529393</v>
      </c>
      <c r="DS22" s="4">
        <f t="shared" si="47"/>
        <v>665.00361239096446</v>
      </c>
      <c r="DT22" s="4">
        <f t="shared" si="47"/>
        <v>655.02855820510001</v>
      </c>
      <c r="DU22" s="4">
        <f t="shared" si="47"/>
        <v>645.20312983202348</v>
      </c>
      <c r="DV22" s="4">
        <f t="shared" si="47"/>
        <v>635.52508288454317</v>
      </c>
      <c r="DW22" s="4">
        <f t="shared" si="47"/>
        <v>625.99220664127506</v>
      </c>
      <c r="DX22" s="4">
        <f t="shared" si="47"/>
        <v>616.60232354165589</v>
      </c>
      <c r="DY22" s="4">
        <f t="shared" ref="DY22:EM22" si="48">DX22*(1+$AH57)</f>
        <v>607.35328868853105</v>
      </c>
      <c r="DZ22" s="4">
        <f t="shared" si="48"/>
        <v>598.24298935820309</v>
      </c>
      <c r="EA22" s="4">
        <f t="shared" si="48"/>
        <v>589.26934451783006</v>
      </c>
      <c r="EB22" s="4">
        <f t="shared" si="48"/>
        <v>580.43030435006256</v>
      </c>
      <c r="EC22" s="4">
        <f t="shared" si="48"/>
        <v>571.72384978481159</v>
      </c>
      <c r="ED22" s="4">
        <f t="shared" si="48"/>
        <v>563.14799203803943</v>
      </c>
      <c r="EE22" s="4">
        <f t="shared" si="48"/>
        <v>554.7007721574688</v>
      </c>
      <c r="EF22" s="4">
        <f t="shared" si="48"/>
        <v>546.38026057510672</v>
      </c>
      <c r="EG22" s="4">
        <f t="shared" si="48"/>
        <v>538.18455666648015</v>
      </c>
      <c r="EH22" s="4">
        <f t="shared" si="48"/>
        <v>530.11178831648294</v>
      </c>
      <c r="EI22" s="4">
        <f t="shared" si="48"/>
        <v>522.16011149173573</v>
      </c>
      <c r="EJ22" s="4">
        <f t="shared" si="48"/>
        <v>514.32770981935971</v>
      </c>
      <c r="EK22" s="4">
        <f t="shared" si="48"/>
        <v>506.6127941720693</v>
      </c>
      <c r="EL22" s="4">
        <f t="shared" si="48"/>
        <v>499.01360225948827</v>
      </c>
      <c r="EM22" s="4">
        <f t="shared" si="48"/>
        <v>491.52839822559594</v>
      </c>
    </row>
    <row r="23" spans="2:216" s="3" customFormat="1" x14ac:dyDescent="0.25">
      <c r="B23" t="s">
        <v>6</v>
      </c>
      <c r="C23" s="1">
        <f t="shared" ref="C23:D23" si="49">C22/C24</f>
        <v>48.35833333333327</v>
      </c>
      <c r="D23" s="1">
        <f t="shared" si="49"/>
        <v>48.416049382716004</v>
      </c>
      <c r="E23" s="1">
        <f t="shared" ref="E23:L23" si="50">E22/E24</f>
        <v>49.502000000000038</v>
      </c>
      <c r="F23" s="1">
        <f t="shared" si="50"/>
        <v>49.030357142857163</v>
      </c>
      <c r="G23" s="1">
        <f t="shared" si="50"/>
        <v>47.843820224719103</v>
      </c>
      <c r="H23" s="1">
        <f t="shared" si="50"/>
        <v>47.611832061068704</v>
      </c>
      <c r="I23" s="1">
        <f t="shared" si="50"/>
        <v>47.517073170731713</v>
      </c>
      <c r="J23" s="1">
        <f t="shared" si="50"/>
        <v>46.897685185185182</v>
      </c>
      <c r="K23" s="1">
        <f t="shared" si="50"/>
        <v>46.498858447488587</v>
      </c>
      <c r="L23" s="1">
        <f t="shared" si="50"/>
        <v>45.461089494163389</v>
      </c>
      <c r="M23" s="1">
        <f t="shared" ref="M23" si="51">M22/M24</f>
        <v>43.827882960413092</v>
      </c>
      <c r="N23" s="1"/>
      <c r="P23" s="10"/>
      <c r="Q23" s="1">
        <v>48</v>
      </c>
      <c r="R23" s="1">
        <v>48</v>
      </c>
      <c r="S23" s="1">
        <f t="shared" ref="S23:U23" si="52">S22/S24</f>
        <v>47.792096219931295</v>
      </c>
      <c r="T23" s="1">
        <f t="shared" si="52"/>
        <v>48.20793650793653</v>
      </c>
      <c r="U23" s="1">
        <f t="shared" si="52"/>
        <v>47.488449111470104</v>
      </c>
      <c r="V23" s="1">
        <v>48</v>
      </c>
      <c r="W23" s="1">
        <v>48</v>
      </c>
      <c r="X23" s="1">
        <v>48</v>
      </c>
      <c r="Y23" s="1">
        <v>48</v>
      </c>
      <c r="Z23" s="1">
        <v>48</v>
      </c>
      <c r="AA23" s="1">
        <v>48</v>
      </c>
      <c r="AB23" s="1">
        <v>48</v>
      </c>
      <c r="AC23" s="1">
        <v>48</v>
      </c>
      <c r="AD23" s="1">
        <v>48</v>
      </c>
      <c r="AE23" s="1">
        <v>48</v>
      </c>
      <c r="AF23" s="1">
        <v>48</v>
      </c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</row>
    <row r="24" spans="2:216" s="14" customFormat="1" x14ac:dyDescent="0.25">
      <c r="B24" s="13" t="s">
        <v>55</v>
      </c>
      <c r="C24" s="13">
        <v>0.72</v>
      </c>
      <c r="D24" s="13">
        <v>0.81</v>
      </c>
      <c r="E24" s="13">
        <v>0.5</v>
      </c>
      <c r="F24" s="13">
        <v>1.1200000000000001</v>
      </c>
      <c r="G24" s="13">
        <v>1.78</v>
      </c>
      <c r="H24" s="13">
        <v>2.62</v>
      </c>
      <c r="I24" s="13">
        <v>3.69</v>
      </c>
      <c r="J24" s="13">
        <v>4.32</v>
      </c>
      <c r="K24" s="13">
        <v>4.38</v>
      </c>
      <c r="L24" s="13">
        <v>5.14</v>
      </c>
      <c r="M24" s="13">
        <v>5.81</v>
      </c>
      <c r="N24" s="13"/>
      <c r="P24" s="15"/>
      <c r="Q24" s="14">
        <f>Q22/Q23</f>
        <v>1.7658333333333334</v>
      </c>
      <c r="R24" s="14">
        <f>R22/R23</f>
        <v>2.8481249999999982</v>
      </c>
      <c r="S24" s="14">
        <v>2.91</v>
      </c>
      <c r="T24" s="14">
        <v>3.15</v>
      </c>
      <c r="U24" s="13">
        <v>12.38</v>
      </c>
      <c r="V24" s="13">
        <f>+V22/V23</f>
        <v>15.400836864583335</v>
      </c>
      <c r="W24" s="13">
        <f t="shared" ref="W24:AF24" si="53">+W22/W23</f>
        <v>15.647314865625001</v>
      </c>
      <c r="X24" s="13">
        <f t="shared" si="53"/>
        <v>20.876428058853126</v>
      </c>
      <c r="Y24" s="13">
        <f t="shared" si="53"/>
        <v>27.05963435886737</v>
      </c>
      <c r="Z24" s="13">
        <f t="shared" si="53"/>
        <v>31.586711312163377</v>
      </c>
      <c r="AA24" s="13">
        <f t="shared" si="53"/>
        <v>35.449921750053015</v>
      </c>
      <c r="AB24" s="13">
        <f t="shared" si="53"/>
        <v>40.929689038540317</v>
      </c>
      <c r="AC24" s="13">
        <f t="shared" si="53"/>
        <v>44.464655939192063</v>
      </c>
      <c r="AD24" s="13">
        <f t="shared" si="53"/>
        <v>47.884637479497165</v>
      </c>
      <c r="AE24" s="13">
        <f t="shared" si="53"/>
        <v>51.247524195275126</v>
      </c>
      <c r="AF24" s="13">
        <f t="shared" si="53"/>
        <v>54.813280123474215</v>
      </c>
    </row>
    <row r="25" spans="2:216" s="14" customFormat="1" x14ac:dyDescent="0.25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P25" s="15"/>
    </row>
    <row r="26" spans="2:216" s="1" customFormat="1" x14ac:dyDescent="0.25">
      <c r="B26" s="1" t="s">
        <v>10</v>
      </c>
      <c r="F26" s="1">
        <v>284.47000000000003</v>
      </c>
      <c r="G26" s="1">
        <v>280.42</v>
      </c>
      <c r="H26" s="1">
        <v>304.46899999999999</v>
      </c>
      <c r="I26" s="1">
        <v>397.14</v>
      </c>
      <c r="J26" s="1">
        <v>576.29999999999995</v>
      </c>
      <c r="K26" s="1">
        <v>498.959</v>
      </c>
      <c r="L26" s="1">
        <v>390.4</v>
      </c>
      <c r="M26" s="1">
        <v>186.65</v>
      </c>
      <c r="P26" s="17"/>
      <c r="R26" s="1">
        <v>126.6</v>
      </c>
      <c r="S26" s="1">
        <v>123.4</v>
      </c>
      <c r="T26" s="1">
        <v>284.47000000000003</v>
      </c>
      <c r="U26" s="1">
        <v>576.29999999999995</v>
      </c>
    </row>
    <row r="27" spans="2:216" s="1" customFormat="1" x14ac:dyDescent="0.25">
      <c r="B27" s="1" t="s">
        <v>56</v>
      </c>
      <c r="F27" s="1">
        <v>49.19</v>
      </c>
      <c r="G27" s="1">
        <v>56.86</v>
      </c>
      <c r="H27" s="1">
        <v>58.53</v>
      </c>
      <c r="I27" s="1">
        <v>70.89</v>
      </c>
      <c r="J27" s="1">
        <v>105.45</v>
      </c>
      <c r="K27" s="1">
        <v>102.7</v>
      </c>
      <c r="L27" s="1">
        <v>126.2</v>
      </c>
      <c r="P27" s="17"/>
      <c r="T27" s="1">
        <v>49.19</v>
      </c>
      <c r="U27" s="1">
        <v>105.45</v>
      </c>
    </row>
    <row r="28" spans="2:216" s="1" customFormat="1" x14ac:dyDescent="0.25">
      <c r="B28" s="1" t="s">
        <v>57</v>
      </c>
      <c r="F28" s="1">
        <v>24.1</v>
      </c>
      <c r="G28" s="1">
        <v>26.8</v>
      </c>
      <c r="H28" s="1">
        <v>27.7</v>
      </c>
      <c r="I28" s="1">
        <v>33.799999999999997</v>
      </c>
      <c r="J28" s="1">
        <v>35</v>
      </c>
      <c r="K28" s="1">
        <v>57.59</v>
      </c>
      <c r="L28" s="1">
        <v>61.6</v>
      </c>
      <c r="P28" s="17"/>
      <c r="T28" s="1">
        <v>24.1</v>
      </c>
      <c r="U28" s="1">
        <v>35</v>
      </c>
    </row>
    <row r="29" spans="2:216" s="1" customFormat="1" x14ac:dyDescent="0.25">
      <c r="B29" s="1" t="s">
        <v>58</v>
      </c>
      <c r="F29" s="1">
        <v>125.76</v>
      </c>
      <c r="G29" s="1">
        <v>137.6</v>
      </c>
      <c r="H29" s="1">
        <v>151.63999999999999</v>
      </c>
      <c r="I29" s="1">
        <v>136.30000000000001</v>
      </c>
      <c r="J29" s="1">
        <v>145.47999999999999</v>
      </c>
      <c r="K29" s="1">
        <v>201.76</v>
      </c>
      <c r="L29" s="1">
        <v>223.5</v>
      </c>
      <c r="P29" s="17"/>
      <c r="T29" s="1">
        <v>125.76</v>
      </c>
      <c r="U29" s="1">
        <v>145.47999999999999</v>
      </c>
    </row>
    <row r="30" spans="2:216" s="4" customFormat="1" x14ac:dyDescent="0.25">
      <c r="B30" s="4" t="s">
        <v>59</v>
      </c>
      <c r="F30" s="4">
        <v>199.095</v>
      </c>
      <c r="G30" s="4">
        <v>221.26</v>
      </c>
      <c r="H30" s="4">
        <v>237.89</v>
      </c>
      <c r="I30" s="4">
        <v>241.02199999999999</v>
      </c>
      <c r="J30" s="4">
        <f>SUM(J27:J29)</f>
        <v>285.92999999999995</v>
      </c>
      <c r="K30" s="4">
        <f>SUM(K27:K29)</f>
        <v>362.05</v>
      </c>
      <c r="L30" s="4">
        <f>SUM(L27:L29)</f>
        <v>411.3</v>
      </c>
      <c r="M30" s="4">
        <v>444.66</v>
      </c>
      <c r="P30" s="18"/>
      <c r="R30" s="4">
        <v>221.75</v>
      </c>
      <c r="S30" s="4">
        <v>226.09</v>
      </c>
      <c r="T30" s="4">
        <v>199.095</v>
      </c>
      <c r="U30" s="4">
        <f>SUM(U27:U29)</f>
        <v>285.92999999999995</v>
      </c>
    </row>
    <row r="31" spans="2:216" s="1" customFormat="1" x14ac:dyDescent="0.25">
      <c r="B31" s="1" t="s">
        <v>60</v>
      </c>
      <c r="H31" s="1">
        <v>610</v>
      </c>
      <c r="I31" s="1">
        <v>621</v>
      </c>
      <c r="J31" s="1">
        <v>654</v>
      </c>
      <c r="K31" s="1">
        <v>666</v>
      </c>
      <c r="L31" s="1">
        <v>683</v>
      </c>
      <c r="P31" s="17"/>
      <c r="Q31" s="1">
        <v>405</v>
      </c>
      <c r="R31" s="1">
        <v>439</v>
      </c>
      <c r="S31" s="1">
        <v>521</v>
      </c>
      <c r="T31" s="1">
        <v>581</v>
      </c>
      <c r="U31" s="1">
        <v>654</v>
      </c>
    </row>
    <row r="32" spans="2:216" s="1" customFormat="1" x14ac:dyDescent="0.25">
      <c r="B32" s="1" t="s">
        <v>61</v>
      </c>
      <c r="F32" s="1">
        <v>243.89</v>
      </c>
      <c r="G32" s="1">
        <v>244.995</v>
      </c>
      <c r="H32" s="1">
        <v>256.2</v>
      </c>
      <c r="I32" s="1">
        <v>257.60000000000002</v>
      </c>
      <c r="J32" s="1">
        <v>275.62200000000001</v>
      </c>
      <c r="K32" s="1">
        <v>276.858</v>
      </c>
      <c r="L32" s="1">
        <v>285.93599999999998</v>
      </c>
      <c r="M32" s="1">
        <v>343.33699999999999</v>
      </c>
      <c r="P32" s="17"/>
      <c r="R32" s="1">
        <v>213.1</v>
      </c>
      <c r="S32" s="1">
        <v>260.7</v>
      </c>
      <c r="T32" s="1">
        <v>243.89</v>
      </c>
      <c r="U32" s="1">
        <v>275.62200000000001</v>
      </c>
    </row>
    <row r="33" spans="2:79" s="1" customFormat="1" x14ac:dyDescent="0.25">
      <c r="B33" s="1" t="s">
        <v>11</v>
      </c>
      <c r="F33" s="1">
        <v>803.7</v>
      </c>
      <c r="G33" s="1">
        <v>764.37</v>
      </c>
      <c r="H33" s="1">
        <v>765.04899999999998</v>
      </c>
      <c r="I33" s="1">
        <f>4+780.489</f>
        <v>784.48900000000003</v>
      </c>
      <c r="J33" s="1">
        <v>758</v>
      </c>
      <c r="K33" s="1">
        <v>758.92399999999998</v>
      </c>
      <c r="L33" s="1">
        <v>759.46</v>
      </c>
      <c r="M33" s="1">
        <v>760</v>
      </c>
      <c r="P33" s="17"/>
      <c r="R33" s="1">
        <f>26.56+877.686</f>
        <v>904.24599999999998</v>
      </c>
      <c r="S33" s="1">
        <v>845.3</v>
      </c>
      <c r="T33" s="1">
        <v>803.7</v>
      </c>
      <c r="U33" s="1">
        <v>758</v>
      </c>
    </row>
    <row r="34" spans="2:79" s="1" customFormat="1" x14ac:dyDescent="0.25">
      <c r="B34" s="1" t="s">
        <v>62</v>
      </c>
      <c r="F34" s="1">
        <f t="shared" ref="F34:M34" si="54">F26-F33</f>
        <v>-519.23</v>
      </c>
      <c r="G34" s="1">
        <f t="shared" si="54"/>
        <v>-483.95</v>
      </c>
      <c r="H34" s="1">
        <f t="shared" si="54"/>
        <v>-460.58</v>
      </c>
      <c r="I34" s="1">
        <f t="shared" si="54"/>
        <v>-387.34900000000005</v>
      </c>
      <c r="J34" s="1">
        <f t="shared" si="54"/>
        <v>-181.70000000000005</v>
      </c>
      <c r="K34" s="1">
        <f t="shared" si="54"/>
        <v>-259.96499999999997</v>
      </c>
      <c r="L34" s="1">
        <f t="shared" si="54"/>
        <v>-369.06000000000006</v>
      </c>
      <c r="M34" s="1">
        <f t="shared" si="54"/>
        <v>-573.35</v>
      </c>
      <c r="P34" s="17"/>
      <c r="R34" s="1">
        <f>R26-R33</f>
        <v>-777.64599999999996</v>
      </c>
      <c r="S34" s="1">
        <f t="shared" ref="S34:T34" si="55">S26-S33</f>
        <v>-721.9</v>
      </c>
      <c r="T34" s="1">
        <f t="shared" si="55"/>
        <v>-519.23</v>
      </c>
      <c r="U34" s="1">
        <f>U26-U33</f>
        <v>-181.70000000000005</v>
      </c>
      <c r="V34" s="1">
        <f>U34+V17</f>
        <v>981.46857450000016</v>
      </c>
      <c r="W34" s="1">
        <f>V34+W17</f>
        <v>2131.6211432550003</v>
      </c>
      <c r="X34" s="1">
        <f>W34+X17</f>
        <v>3647.8829326434006</v>
      </c>
      <c r="Y34" s="1">
        <f t="shared" ref="Y34:AF34" si="56">X34+Y17</f>
        <v>5560.3669105002009</v>
      </c>
      <c r="Z34" s="1">
        <f t="shared" si="56"/>
        <v>7770.6804257667009</v>
      </c>
      <c r="AA34" s="1">
        <f t="shared" si="56"/>
        <v>10226.574663965705</v>
      </c>
      <c r="AB34" s="1">
        <f t="shared" si="56"/>
        <v>12995.449747884817</v>
      </c>
      <c r="AC34" s="1">
        <f t="shared" si="56"/>
        <v>15974.518955647662</v>
      </c>
      <c r="AD34" s="1">
        <f t="shared" si="56"/>
        <v>19152.549597695644</v>
      </c>
      <c r="AE34" s="1">
        <f t="shared" si="56"/>
        <v>22522.577289635803</v>
      </c>
      <c r="AF34" s="1">
        <f t="shared" si="56"/>
        <v>26096.161310802752</v>
      </c>
    </row>
    <row r="35" spans="2:79" s="5" customFormat="1" x14ac:dyDescent="0.25">
      <c r="B35" s="13"/>
      <c r="P35" s="1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</row>
    <row r="36" spans="2:79" s="19" customFormat="1" x14ac:dyDescent="0.25">
      <c r="B36" s="19" t="s">
        <v>63</v>
      </c>
      <c r="C36" s="19">
        <f t="shared" ref="C36:D36" si="57">C14/C12</f>
        <v>0.26114319429296806</v>
      </c>
      <c r="D36" s="19">
        <f t="shared" si="57"/>
        <v>0.28874324520085509</v>
      </c>
      <c r="E36" s="19">
        <f>E14/E12</f>
        <v>0.25016405092970839</v>
      </c>
      <c r="F36" s="19">
        <f t="shared" ref="F36:L36" si="58">F14/F12</f>
        <v>0.30904565703888065</v>
      </c>
      <c r="G36" s="19">
        <f t="shared" si="58"/>
        <v>0.37015977866565447</v>
      </c>
      <c r="H36" s="19">
        <f t="shared" si="58"/>
        <v>0.37502247698747387</v>
      </c>
      <c r="I36" s="19">
        <f t="shared" si="58"/>
        <v>0.3974378648248782</v>
      </c>
      <c r="J36" s="19">
        <f t="shared" si="58"/>
        <v>0.38682547999064698</v>
      </c>
      <c r="K36" s="19">
        <f t="shared" si="58"/>
        <v>0.42106140925606056</v>
      </c>
      <c r="L36" s="19">
        <f t="shared" si="58"/>
        <v>0.42380159031440912</v>
      </c>
      <c r="M36" s="19">
        <f t="shared" ref="M36" si="59">M14/M12</f>
        <v>0.42796465678840234</v>
      </c>
      <c r="P36" s="20"/>
      <c r="Q36" s="19">
        <f t="shared" ref="Q36:R36" si="60">Q14/Q12</f>
        <v>0.24020214109980717</v>
      </c>
      <c r="R36" s="19">
        <f t="shared" si="60"/>
        <v>0.23873358400087186</v>
      </c>
      <c r="S36" s="19">
        <f t="shared" ref="S36:U36" si="61">S14/S12</f>
        <v>0.25943125489172975</v>
      </c>
      <c r="T36" s="19">
        <f t="shared" si="61"/>
        <v>0.27813031161473095</v>
      </c>
      <c r="U36" s="19">
        <f t="shared" si="61"/>
        <v>0.38442622950819672</v>
      </c>
      <c r="V36" s="19">
        <f t="shared" ref="V36:W36" si="62">V14/V12</f>
        <v>0.4</v>
      </c>
      <c r="W36" s="19">
        <f t="shared" si="62"/>
        <v>0.4</v>
      </c>
      <c r="X36" s="19">
        <f t="shared" ref="X36:AF36" si="63">X14/X12</f>
        <v>0.4</v>
      </c>
      <c r="Y36" s="19">
        <f t="shared" si="63"/>
        <v>0.4</v>
      </c>
      <c r="Z36" s="19">
        <f t="shared" si="63"/>
        <v>0.4</v>
      </c>
      <c r="AA36" s="19">
        <f t="shared" si="63"/>
        <v>0.4</v>
      </c>
      <c r="AB36" s="19">
        <f t="shared" si="63"/>
        <v>0.4</v>
      </c>
      <c r="AC36" s="19">
        <f t="shared" si="63"/>
        <v>0.4</v>
      </c>
      <c r="AD36" s="19">
        <f t="shared" si="63"/>
        <v>0.4</v>
      </c>
      <c r="AE36" s="19">
        <f t="shared" si="63"/>
        <v>0.39999999999999997</v>
      </c>
      <c r="AF36" s="19">
        <f t="shared" si="63"/>
        <v>0.4</v>
      </c>
    </row>
    <row r="37" spans="2:79" s="8" customFormat="1" x14ac:dyDescent="0.25">
      <c r="B37" s="8" t="s">
        <v>64</v>
      </c>
      <c r="C37" s="8">
        <f t="shared" ref="C37:D37" si="64">C17/C12</f>
        <v>0.11741699594142774</v>
      </c>
      <c r="D37" s="8">
        <f t="shared" si="64"/>
        <v>0.1343102093493882</v>
      </c>
      <c r="E37" s="8">
        <f>E17/E12</f>
        <v>0.10971570557461922</v>
      </c>
      <c r="F37" s="8">
        <f t="shared" ref="F37:L37" si="65">F17/F12</f>
        <v>0.1776797105389748</v>
      </c>
      <c r="G37" s="8">
        <f t="shared" si="65"/>
        <v>0.2346433644698894</v>
      </c>
      <c r="H37" s="8">
        <f t="shared" si="65"/>
        <v>0.25712579138541114</v>
      </c>
      <c r="I37" s="8">
        <f t="shared" si="65"/>
        <v>0.29142413341095963</v>
      </c>
      <c r="J37" s="8">
        <f t="shared" si="65"/>
        <v>0.28793701448848624</v>
      </c>
      <c r="K37" s="8">
        <f t="shared" si="65"/>
        <v>0.31835130144737628</v>
      </c>
      <c r="L37" s="8">
        <f t="shared" si="65"/>
        <v>0.32445121125860354</v>
      </c>
      <c r="M37" s="8">
        <f t="shared" ref="M37" si="66">M17/M12</f>
        <v>0.32948030784012661</v>
      </c>
      <c r="P37" s="12"/>
      <c r="Q37" s="8">
        <f t="shared" ref="Q37:R37" si="67">Q17/Q12</f>
        <v>0.10369040494713744</v>
      </c>
      <c r="R37" s="8">
        <f t="shared" si="67"/>
        <v>9.7978311808620738E-2</v>
      </c>
      <c r="S37" s="8">
        <f t="shared" ref="S37:U37" si="68">S17/S12</f>
        <v>0.11670753978606839</v>
      </c>
      <c r="T37" s="8">
        <f t="shared" si="68"/>
        <v>0.13548895184135981</v>
      </c>
      <c r="U37" s="8">
        <f t="shared" si="68"/>
        <v>0.27288251366120214</v>
      </c>
      <c r="V37" s="8">
        <f t="shared" ref="V37:W37" si="69">V17/V12</f>
        <v>0.28162087469928226</v>
      </c>
      <c r="W37" s="8">
        <f t="shared" si="69"/>
        <v>0.2812823241820816</v>
      </c>
      <c r="X37" s="8">
        <f t="shared" ref="X37:AF37" si="70">X17/X12</f>
        <v>0.28314379476850948</v>
      </c>
      <c r="Y37" s="8">
        <f t="shared" si="70"/>
        <v>0.29418288337283666</v>
      </c>
      <c r="Z37" s="8">
        <f t="shared" si="70"/>
        <v>0.2948047553205661</v>
      </c>
      <c r="AA37" s="8">
        <f t="shared" si="70"/>
        <v>0.29517789353644142</v>
      </c>
      <c r="AB37" s="8">
        <f t="shared" si="70"/>
        <v>0.30544147340270139</v>
      </c>
      <c r="AC37" s="8">
        <f t="shared" si="70"/>
        <v>0.30563326236039129</v>
      </c>
      <c r="AD37" s="8">
        <f t="shared" si="70"/>
        <v>0.30578179343801198</v>
      </c>
      <c r="AE37" s="8">
        <f t="shared" si="70"/>
        <v>0.30590117664259647</v>
      </c>
      <c r="AF37" s="8">
        <f t="shared" si="70"/>
        <v>0.30601718107724007</v>
      </c>
    </row>
    <row r="38" spans="2:79" s="8" customFormat="1" x14ac:dyDescent="0.25">
      <c r="B38" s="8" t="s">
        <v>65</v>
      </c>
      <c r="H38" s="8">
        <f t="shared" ref="H38:K38" si="71">H12/H31</f>
        <v>1.0484311475409835</v>
      </c>
      <c r="I38" s="8">
        <f t="shared" si="71"/>
        <v>1.374658615136876</v>
      </c>
      <c r="J38" s="8">
        <f t="shared" si="71"/>
        <v>1.4124892966360856</v>
      </c>
      <c r="K38" s="8">
        <f t="shared" si="71"/>
        <v>1.2604354354354355</v>
      </c>
      <c r="L38" s="8">
        <f>L12/L31</f>
        <v>1.4386134699853586</v>
      </c>
      <c r="M38" s="8" t="e">
        <f>M12/M31</f>
        <v>#DIV/0!</v>
      </c>
      <c r="P38" s="12"/>
      <c r="Q38" s="8">
        <f t="shared" ref="Q38:T38" si="72">Q12/Q31</f>
        <v>3.7133333333333334</v>
      </c>
      <c r="R38" s="8">
        <f t="shared" si="72"/>
        <v>4.1801822323462412</v>
      </c>
      <c r="S38" s="8">
        <f t="shared" si="72"/>
        <v>3.6785028790786947</v>
      </c>
      <c r="T38" s="8">
        <f t="shared" si="72"/>
        <v>3.0378657487091223</v>
      </c>
      <c r="U38" s="8">
        <f>U12/U31</f>
        <v>4.477064220183486</v>
      </c>
    </row>
    <row r="39" spans="2:79" s="8" customFormat="1" x14ac:dyDescent="0.25">
      <c r="B39" s="8" t="s">
        <v>66</v>
      </c>
      <c r="C39" s="8">
        <f t="shared" ref="C39:D39" si="73">C21/C7</f>
        <v>2.2535872169124005E-2</v>
      </c>
      <c r="D39" s="8">
        <f t="shared" si="73"/>
        <v>4.0624563906160358E-2</v>
      </c>
      <c r="E39" s="8">
        <f>E21/E7</f>
        <v>3.1857314505550224E-2</v>
      </c>
      <c r="F39" s="8">
        <f t="shared" ref="F39:L39" si="74">F21/F7</f>
        <v>5.8694350169694542E-2</v>
      </c>
      <c r="G39" s="8">
        <f t="shared" si="74"/>
        <v>6.963709156657627E-2</v>
      </c>
      <c r="H39" s="8">
        <f t="shared" si="74"/>
        <v>7.8564102564102553E-2</v>
      </c>
      <c r="I39" s="8">
        <f t="shared" si="74"/>
        <v>9.3244782300279952E-2</v>
      </c>
      <c r="J39" s="8">
        <f t="shared" si="74"/>
        <v>9.3506716942178381E-2</v>
      </c>
      <c r="K39" s="8">
        <f t="shared" si="74"/>
        <v>8.8976168910266412E-2</v>
      </c>
      <c r="L39" s="8">
        <f t="shared" si="74"/>
        <v>0.10345490125375555</v>
      </c>
      <c r="M39" s="8">
        <f t="shared" ref="M39" si="75">M21/M7</f>
        <v>0.10716120189978651</v>
      </c>
      <c r="P39" s="12"/>
      <c r="Q39" s="8">
        <f t="shared" ref="Q39:R39" si="76">Q21/Q7</f>
        <v>2.7160493827160494E-2</v>
      </c>
      <c r="R39" s="8">
        <f t="shared" si="76"/>
        <v>2.1757173823702427E-2</v>
      </c>
      <c r="S39" s="8">
        <f t="shared" ref="S39:U39" si="77">S21/S7</f>
        <v>3.2828050129008475E-2</v>
      </c>
      <c r="T39" s="8">
        <f t="shared" si="77"/>
        <v>3.9192492705622591E-2</v>
      </c>
      <c r="U39" s="8">
        <f t="shared" si="77"/>
        <v>8.6169952274303019E-2</v>
      </c>
      <c r="V39" s="8">
        <f t="shared" ref="V39:W39" si="78">V21/V7</f>
        <v>0.13037456031583602</v>
      </c>
      <c r="W39" s="8">
        <f t="shared" si="78"/>
        <v>0.13037456031583602</v>
      </c>
      <c r="X39" s="8">
        <f t="shared" ref="X39:AF39" si="79">X21/X7</f>
        <v>0.12970093237254918</v>
      </c>
      <c r="Y39" s="8">
        <f t="shared" si="79"/>
        <v>0.12962580799298845</v>
      </c>
      <c r="Z39" s="8">
        <f t="shared" si="79"/>
        <v>0.12951630805070022</v>
      </c>
      <c r="AA39" s="8">
        <f t="shared" si="79"/>
        <v>0.12932538370730276</v>
      </c>
      <c r="AB39" s="8">
        <f t="shared" si="79"/>
        <v>0.12934084292284689</v>
      </c>
      <c r="AC39" s="8">
        <f t="shared" si="79"/>
        <v>0.12950913149926258</v>
      </c>
      <c r="AD39" s="8">
        <f t="shared" si="79"/>
        <v>0.12964302223755114</v>
      </c>
      <c r="AE39" s="8">
        <f t="shared" si="79"/>
        <v>0.12964302223755111</v>
      </c>
      <c r="AF39" s="8">
        <f t="shared" si="79"/>
        <v>0.12964302223755114</v>
      </c>
    </row>
    <row r="40" spans="2:79" s="8" customFormat="1" x14ac:dyDescent="0.25">
      <c r="B40" s="8" t="s">
        <v>67</v>
      </c>
      <c r="C40" s="8">
        <f t="shared" ref="C40:D40" si="80">C7/C12</f>
        <v>0.72394557579875196</v>
      </c>
      <c r="D40" s="8">
        <f t="shared" si="80"/>
        <v>0.70777784118594733</v>
      </c>
      <c r="E40" s="8">
        <f>E7/E12</f>
        <v>0.70587548728961924</v>
      </c>
      <c r="F40" s="8">
        <f t="shared" ref="F40:L40" si="81">F7/F12</f>
        <v>0.73333612197519504</v>
      </c>
      <c r="G40" s="8">
        <f t="shared" si="81"/>
        <v>0.7575105364696858</v>
      </c>
      <c r="H40" s="8">
        <f t="shared" si="81"/>
        <v>0.76226305346161238</v>
      </c>
      <c r="I40" s="8">
        <f t="shared" si="81"/>
        <v>0.77450117903669247</v>
      </c>
      <c r="J40" s="8">
        <f t="shared" si="81"/>
        <v>0.75504888673346549</v>
      </c>
      <c r="K40" s="8">
        <f t="shared" si="81"/>
        <v>0.76280898207159453</v>
      </c>
      <c r="L40" s="8">
        <f t="shared" si="81"/>
        <v>0.77335424441746314</v>
      </c>
      <c r="M40" s="8">
        <f t="shared" ref="M40" si="82">M7/M12</f>
        <v>0.77390141203289398</v>
      </c>
      <c r="P40" s="12"/>
      <c r="Q40" s="8">
        <f t="shared" ref="Q40:R40" si="83">Q7/Q12</f>
        <v>0.72710951526032308</v>
      </c>
      <c r="R40" s="8">
        <f t="shared" si="83"/>
        <v>0.7438651844586126</v>
      </c>
      <c r="S40" s="8">
        <f t="shared" ref="S40:U40" si="84">S7/S12</f>
        <v>0.72478789459953041</v>
      </c>
      <c r="T40" s="8">
        <f t="shared" si="84"/>
        <v>0.71847025495750705</v>
      </c>
      <c r="U40" s="8">
        <f t="shared" si="84"/>
        <v>0.76155259562841526</v>
      </c>
      <c r="V40" s="8">
        <f t="shared" ref="V40:W40" si="85">V7/V12</f>
        <v>0.76702080342780987</v>
      </c>
      <c r="W40" s="8">
        <f t="shared" si="85"/>
        <v>0.76702080342780998</v>
      </c>
      <c r="X40" s="8">
        <f t="shared" ref="X40:AF40" si="86">X7/X12</f>
        <v>0.77100448062133375</v>
      </c>
      <c r="Y40" s="8">
        <f t="shared" si="86"/>
        <v>0.77145131473671558</v>
      </c>
      <c r="Z40" s="8">
        <f t="shared" si="86"/>
        <v>0.77210354051208885</v>
      </c>
      <c r="AA40" s="8">
        <f t="shared" si="86"/>
        <v>0.77324340460745289</v>
      </c>
      <c r="AB40" s="8">
        <f t="shared" si="86"/>
        <v>0.7731509841763673</v>
      </c>
      <c r="AC40" s="8">
        <f t="shared" si="86"/>
        <v>0.77214632545481465</v>
      </c>
      <c r="AD40" s="8">
        <f t="shared" si="86"/>
        <v>0.77134887997878665</v>
      </c>
      <c r="AE40" s="8">
        <f t="shared" si="86"/>
        <v>0.77134887997878676</v>
      </c>
      <c r="AF40" s="8">
        <f t="shared" si="86"/>
        <v>0.77134887997878665</v>
      </c>
    </row>
    <row r="41" spans="2:79" s="8" customFormat="1" x14ac:dyDescent="0.25">
      <c r="B41" s="8" t="s">
        <v>68</v>
      </c>
      <c r="C41" s="8">
        <f t="shared" ref="C41:D41" si="87">C10/C12</f>
        <v>0.27602313564928216</v>
      </c>
      <c r="D41" s="8">
        <f t="shared" si="87"/>
        <v>0.29222215881405261</v>
      </c>
      <c r="E41" s="8">
        <f>E10/E12</f>
        <v>0.2941245127103807</v>
      </c>
      <c r="F41" s="8">
        <f t="shared" ref="F41:L41" si="88">F10/F12</f>
        <v>0.26666387802480496</v>
      </c>
      <c r="G41" s="8">
        <f t="shared" si="88"/>
        <v>0.24410955580513499</v>
      </c>
      <c r="H41" s="8">
        <f t="shared" si="88"/>
        <v>0.23876424259197582</v>
      </c>
      <c r="I41" s="8">
        <f t="shared" si="88"/>
        <v>0.22667024340987016</v>
      </c>
      <c r="J41" s="8">
        <f t="shared" si="88"/>
        <v>0.24616570394298135</v>
      </c>
      <c r="K41" s="8">
        <f t="shared" si="88"/>
        <v>0.23884686401810709</v>
      </c>
      <c r="L41" s="8">
        <f t="shared" si="88"/>
        <v>0.2282629382244373</v>
      </c>
      <c r="M41" s="8">
        <f t="shared" ref="M41" si="89">M10/M12</f>
        <v>0.22787422639625463</v>
      </c>
      <c r="P41" s="12"/>
      <c r="Q41" s="8">
        <f t="shared" ref="Q41:R41" si="90">Q10/Q12</f>
        <v>0.27291309262583946</v>
      </c>
      <c r="R41" s="8">
        <f t="shared" si="90"/>
        <v>0.25611683287014331</v>
      </c>
      <c r="S41" s="8">
        <f t="shared" ref="S41:U41" si="91">S10/S12</f>
        <v>0.27522515001304465</v>
      </c>
      <c r="T41" s="8">
        <f t="shared" si="91"/>
        <v>0.2818317280453258</v>
      </c>
      <c r="U41" s="8">
        <f t="shared" si="91"/>
        <v>0.23843886612021858</v>
      </c>
      <c r="V41" s="8">
        <f t="shared" ref="V41:W41" si="92">V10/V12</f>
        <v>0.23297919657219004</v>
      </c>
      <c r="W41" s="8">
        <f t="shared" si="92"/>
        <v>0.2329791965721901</v>
      </c>
      <c r="X41" s="8">
        <f t="shared" ref="X41:AF41" si="93">X10/X12</f>
        <v>0.22899551937866625</v>
      </c>
      <c r="Y41" s="8">
        <f t="shared" si="93"/>
        <v>0.22854868526328437</v>
      </c>
      <c r="Z41" s="8">
        <f t="shared" si="93"/>
        <v>0.22789645948791115</v>
      </c>
      <c r="AA41" s="8">
        <f t="shared" si="93"/>
        <v>0.22675659539254722</v>
      </c>
      <c r="AB41" s="8">
        <f t="shared" si="93"/>
        <v>0.22684901582363268</v>
      </c>
      <c r="AC41" s="8">
        <f t="shared" si="93"/>
        <v>0.2278536745451854</v>
      </c>
      <c r="AD41" s="8">
        <f t="shared" si="93"/>
        <v>0.22865112002121332</v>
      </c>
      <c r="AE41" s="8">
        <f t="shared" si="93"/>
        <v>0.22865112002121332</v>
      </c>
      <c r="AF41" s="8">
        <f t="shared" si="93"/>
        <v>0.22865112002121329</v>
      </c>
    </row>
    <row r="42" spans="2:79" s="8" customFormat="1" x14ac:dyDescent="0.25">
      <c r="B42" s="8" t="s">
        <v>69</v>
      </c>
      <c r="C42" s="8">
        <f>+C15/C12</f>
        <v>0.12560118717705746</v>
      </c>
      <c r="D42" s="8">
        <f t="shared" ref="D42:L42" si="94">+D15/D12</f>
        <v>0.13687385042207892</v>
      </c>
      <c r="E42" s="8">
        <f t="shared" si="94"/>
        <v>0.1196988206488895</v>
      </c>
      <c r="F42" s="8">
        <f t="shared" si="94"/>
        <v>0.1145295212599084</v>
      </c>
      <c r="G42" s="8">
        <f t="shared" si="94"/>
        <v>0.11935462411119938</v>
      </c>
      <c r="H42" s="8">
        <f t="shared" si="94"/>
        <v>0.10523139179070054</v>
      </c>
      <c r="I42" s="8">
        <f t="shared" si="94"/>
        <v>9.5822356128823671E-2</v>
      </c>
      <c r="J42" s="8">
        <f t="shared" si="94"/>
        <v>8.9599336629976364E-2</v>
      </c>
      <c r="K42" s="8">
        <f t="shared" si="94"/>
        <v>9.2917982012031677E-2</v>
      </c>
      <c r="L42" s="8">
        <f t="shared" si="94"/>
        <v>9.0495057364694556E-2</v>
      </c>
      <c r="M42" s="8">
        <f t="shared" ref="M42" si="95">+M15/M12</f>
        <v>9.0383292985050712E-2</v>
      </c>
      <c r="P42" s="12"/>
      <c r="Q42" s="8">
        <f t="shared" ref="Q42:U42" si="96">+Q15/Q12</f>
        <v>0.12161712879845735</v>
      </c>
      <c r="R42" s="8">
        <f t="shared" si="96"/>
        <v>0.12331753037981583</v>
      </c>
      <c r="S42" s="8">
        <f t="shared" si="96"/>
        <v>0.12557265849204277</v>
      </c>
      <c r="T42" s="8">
        <f t="shared" si="96"/>
        <v>0.12436260623229461</v>
      </c>
      <c r="U42" s="8">
        <f t="shared" si="96"/>
        <v>0.10006830601092896</v>
      </c>
      <c r="V42" s="8">
        <v>0.11</v>
      </c>
      <c r="W42" s="8">
        <v>0.11</v>
      </c>
      <c r="X42" s="8">
        <v>0.11</v>
      </c>
      <c r="Y42" s="8">
        <v>0.1</v>
      </c>
      <c r="Z42" s="8">
        <v>0.1</v>
      </c>
      <c r="AA42" s="8">
        <v>0.1</v>
      </c>
      <c r="AB42" s="8">
        <v>0.09</v>
      </c>
      <c r="AC42" s="8">
        <v>0.09</v>
      </c>
      <c r="AD42" s="8">
        <v>0.09</v>
      </c>
      <c r="AE42" s="8">
        <v>0.09</v>
      </c>
      <c r="AF42" s="8">
        <v>0.09</v>
      </c>
    </row>
    <row r="43" spans="2:79" s="8" customFormat="1" x14ac:dyDescent="0.25">
      <c r="P43" s="12"/>
    </row>
    <row r="44" spans="2:79" s="8" customFormat="1" x14ac:dyDescent="0.25">
      <c r="B44" t="s">
        <v>35</v>
      </c>
      <c r="G44" s="8">
        <f t="shared" ref="G44:M51" si="97">G3/C3-1</f>
        <v>7.9861111111110272E-3</v>
      </c>
      <c r="H44" s="8">
        <f t="shared" si="97"/>
        <v>0.18143459915611815</v>
      </c>
      <c r="I44" s="8">
        <f t="shared" si="97"/>
        <v>0.91418095238095232</v>
      </c>
      <c r="J44" s="8">
        <f t="shared" si="97"/>
        <v>6.0222991157247385E-2</v>
      </c>
      <c r="K44" s="8">
        <f t="shared" si="97"/>
        <v>0.20065048987014245</v>
      </c>
      <c r="L44" s="8">
        <f t="shared" si="97"/>
        <v>3.133423180592998E-2</v>
      </c>
      <c r="P44" s="12"/>
      <c r="R44" s="8">
        <f t="shared" ref="R44:S44" si="98">R3/Q3-1</f>
        <v>0.48320446735395173</v>
      </c>
      <c r="S44" s="8">
        <f t="shared" si="98"/>
        <v>5.5215422784712587E-2</v>
      </c>
      <c r="T44" s="8">
        <f>T3/S3-1</f>
        <v>-0.11350275280724131</v>
      </c>
      <c r="U44" s="8">
        <f>U3/T3-1</f>
        <v>0.26336429308565545</v>
      </c>
      <c r="V44" s="8">
        <v>0.1</v>
      </c>
      <c r="W44" s="8">
        <v>-0.01</v>
      </c>
      <c r="X44" s="8">
        <v>0.08</v>
      </c>
      <c r="Y44" s="8">
        <v>0.06</v>
      </c>
      <c r="Z44" s="8">
        <v>0.06</v>
      </c>
      <c r="AA44" s="8">
        <v>0.06</v>
      </c>
      <c r="AB44" s="8">
        <v>0.06</v>
      </c>
      <c r="AC44" s="8">
        <v>0.06</v>
      </c>
      <c r="AD44" s="8">
        <v>0.06</v>
      </c>
      <c r="AE44" s="8">
        <v>0.06</v>
      </c>
      <c r="AF44" s="8">
        <v>0.06</v>
      </c>
    </row>
    <row r="45" spans="2:79" s="8" customFormat="1" x14ac:dyDescent="0.25">
      <c r="B45" t="s">
        <v>36</v>
      </c>
      <c r="G45" s="8">
        <f t="shared" si="97"/>
        <v>-0.12297780959198279</v>
      </c>
      <c r="H45" s="8">
        <f t="shared" si="97"/>
        <v>3.4194758821037397E-2</v>
      </c>
      <c r="I45" s="8">
        <f t="shared" si="97"/>
        <v>0.77316639231140161</v>
      </c>
      <c r="J45" s="8">
        <f t="shared" si="97"/>
        <v>0.64879988372575981</v>
      </c>
      <c r="K45" s="8">
        <f t="shared" si="97"/>
        <v>0.57382468168462286</v>
      </c>
      <c r="L45" s="8">
        <f t="shared" si="97"/>
        <v>0.60580524344569286</v>
      </c>
      <c r="P45" s="12"/>
      <c r="R45" s="8">
        <f t="shared" ref="R45:S45" si="99">R4/Q4-1</f>
        <v>4.1448916408668657E-2</v>
      </c>
      <c r="S45" s="8">
        <f t="shared" si="99"/>
        <v>0.13697278143096669</v>
      </c>
      <c r="T45" s="8">
        <f t="shared" ref="T45:U51" si="100">T4/S4-1</f>
        <v>-0.1557375334672022</v>
      </c>
      <c r="U45" s="8">
        <f t="shared" si="100"/>
        <v>0.31437287085785082</v>
      </c>
      <c r="V45" s="8">
        <v>0.45</v>
      </c>
      <c r="W45" s="8">
        <v>-0.01</v>
      </c>
      <c r="X45" s="8">
        <v>0.32</v>
      </c>
      <c r="Y45" s="8">
        <v>0.2</v>
      </c>
      <c r="Z45" s="8">
        <v>0.15</v>
      </c>
      <c r="AA45" s="8">
        <v>0.11</v>
      </c>
      <c r="AB45" s="8">
        <v>0.09</v>
      </c>
      <c r="AC45" s="8">
        <v>7.0000000000000007E-2</v>
      </c>
      <c r="AD45" s="8">
        <v>0.06</v>
      </c>
      <c r="AE45" s="8">
        <v>0.06</v>
      </c>
      <c r="AF45" s="8">
        <v>0.06</v>
      </c>
    </row>
    <row r="46" spans="2:79" x14ac:dyDescent="0.25">
      <c r="B46" t="s">
        <v>37</v>
      </c>
      <c r="G46" s="8">
        <f t="shared" si="97"/>
        <v>0.92830680570801327</v>
      </c>
      <c r="H46" s="8">
        <f t="shared" si="97"/>
        <v>1.7632464255677038</v>
      </c>
      <c r="I46" s="8">
        <f t="shared" si="97"/>
        <v>2.7617153822621461</v>
      </c>
      <c r="J46" s="8">
        <f t="shared" si="97"/>
        <v>2.0823762247745115</v>
      </c>
      <c r="K46" s="8">
        <f t="shared" si="97"/>
        <v>1.0648165937310989</v>
      </c>
      <c r="L46" s="8">
        <f t="shared" si="97"/>
        <v>0.90128341703444437</v>
      </c>
      <c r="M46" s="8"/>
      <c r="R46" s="8">
        <f t="shared" ref="R46:S46" si="101">R5/Q5-1</f>
        <v>0.17487189148455173</v>
      </c>
      <c r="S46" s="8">
        <f t="shared" si="101"/>
        <v>-6.2755964350199256E-2</v>
      </c>
      <c r="T46" s="8">
        <f t="shared" si="100"/>
        <v>5.5970545060104238E-2</v>
      </c>
      <c r="U46" s="8">
        <f t="shared" si="100"/>
        <v>1.8943616331821125</v>
      </c>
      <c r="V46" s="8">
        <v>0.6</v>
      </c>
      <c r="W46" s="8">
        <v>-0.01</v>
      </c>
      <c r="X46" s="8">
        <v>0.4</v>
      </c>
      <c r="Y46" s="8">
        <v>0.25</v>
      </c>
      <c r="Z46" s="8">
        <v>0.17</v>
      </c>
      <c r="AA46" s="8">
        <v>0.13</v>
      </c>
      <c r="AB46" s="8">
        <v>0.1</v>
      </c>
      <c r="AC46" s="8">
        <v>0.08</v>
      </c>
      <c r="AD46" s="8">
        <v>7.0000000000000007E-2</v>
      </c>
      <c r="AE46" s="8">
        <v>0.06</v>
      </c>
      <c r="AF46" s="8">
        <v>0.06</v>
      </c>
    </row>
    <row r="47" spans="2:79" x14ac:dyDescent="0.25">
      <c r="B47" t="s">
        <v>38</v>
      </c>
      <c r="G47" s="8">
        <f t="shared" si="97"/>
        <v>9.246796349220987E-2</v>
      </c>
      <c r="H47" s="8">
        <f t="shared" si="97"/>
        <v>0.30396270396270397</v>
      </c>
      <c r="I47" s="8">
        <f t="shared" si="97"/>
        <v>1.3856980835780965</v>
      </c>
      <c r="J47" s="8">
        <f t="shared" si="97"/>
        <v>2.6511694510739869</v>
      </c>
      <c r="K47" s="8">
        <f t="shared" si="97"/>
        <v>0.78459915611814357</v>
      </c>
      <c r="L47" s="8">
        <f t="shared" si="97"/>
        <v>0.66766178047908475</v>
      </c>
      <c r="M47" s="8"/>
      <c r="R47" s="8" t="e">
        <f t="shared" ref="R47:S47" si="102">R6/Q6-1</f>
        <v>#DIV/0!</v>
      </c>
      <c r="S47" s="8" t="e">
        <f t="shared" si="102"/>
        <v>#DIV/0!</v>
      </c>
      <c r="T47" s="8">
        <f t="shared" si="100"/>
        <v>-9.3650188301473092E-2</v>
      </c>
      <c r="U47" s="8">
        <f t="shared" si="100"/>
        <v>0.97314266929651549</v>
      </c>
      <c r="V47" s="8">
        <v>0.5</v>
      </c>
      <c r="W47" s="8">
        <v>-0.01</v>
      </c>
      <c r="X47" s="8">
        <v>0.4</v>
      </c>
      <c r="Y47" s="8">
        <v>0.3</v>
      </c>
      <c r="Z47" s="8">
        <v>0.2</v>
      </c>
      <c r="AA47" s="8">
        <v>0.1</v>
      </c>
      <c r="AB47" s="8">
        <v>0.08</v>
      </c>
      <c r="AC47" s="8">
        <v>7.0000000000000007E-2</v>
      </c>
      <c r="AD47" s="8">
        <v>0.06</v>
      </c>
      <c r="AE47" s="8">
        <v>0.06</v>
      </c>
      <c r="AF47" s="8">
        <v>0.06</v>
      </c>
    </row>
    <row r="48" spans="2:79" s="19" customFormat="1" x14ac:dyDescent="0.25">
      <c r="B48" s="19" t="s">
        <v>70</v>
      </c>
      <c r="G48" s="19">
        <f t="shared" si="97"/>
        <v>0.19517300140772043</v>
      </c>
      <c r="H48" s="19">
        <f t="shared" si="97"/>
        <v>0.51179197742390659</v>
      </c>
      <c r="I48" s="19">
        <f t="shared" si="97"/>
        <v>1.4293976505689856</v>
      </c>
      <c r="J48" s="19">
        <f t="shared" si="97"/>
        <v>0.98924792516327753</v>
      </c>
      <c r="K48" s="19">
        <f t="shared" si="97"/>
        <v>0.6539842438331398</v>
      </c>
      <c r="L48" s="19">
        <f t="shared" si="97"/>
        <v>0.55872205128205121</v>
      </c>
      <c r="M48" s="19">
        <f t="shared" si="97"/>
        <v>0.24260734493612013</v>
      </c>
      <c r="P48" s="20"/>
      <c r="R48" s="19">
        <f t="shared" ref="R48:S48" si="103">R7/Q7-1</f>
        <v>0.24834659350708743</v>
      </c>
      <c r="S48" s="19">
        <f t="shared" si="103"/>
        <v>1.7573496392484733E-2</v>
      </c>
      <c r="T48" s="19">
        <f t="shared" si="100"/>
        <v>-8.707784279395514E-2</v>
      </c>
      <c r="U48" s="19">
        <f t="shared" si="100"/>
        <v>0.75839917987540439</v>
      </c>
      <c r="V48" s="19">
        <f t="shared" ref="V48:W48" si="104">V7/U7-1</f>
        <v>0.4207379634105981</v>
      </c>
      <c r="W48" s="19">
        <f t="shared" si="104"/>
        <v>-1.000000000000012E-2</v>
      </c>
      <c r="X48" s="19">
        <f t="shared" ref="X48:AF48" si="105">X7/W7-1</f>
        <v>0.31644854624218643</v>
      </c>
      <c r="Y48" s="19">
        <f t="shared" si="105"/>
        <v>0.21468840087683949</v>
      </c>
      <c r="Z48" s="19">
        <f t="shared" si="105"/>
        <v>0.15426628335139858</v>
      </c>
      <c r="AA48" s="19">
        <f t="shared" si="105"/>
        <v>0.11134043704065921</v>
      </c>
      <c r="AB48" s="19">
        <f t="shared" si="105"/>
        <v>8.9425696630891283E-2</v>
      </c>
      <c r="AC48" s="19">
        <f t="shared" si="105"/>
        <v>7.3840833216880286E-2</v>
      </c>
      <c r="AD48" s="19">
        <f t="shared" si="105"/>
        <v>6.5167055207101976E-2</v>
      </c>
      <c r="AE48" s="19">
        <f t="shared" si="105"/>
        <v>6.0000000000000053E-2</v>
      </c>
      <c r="AF48" s="19">
        <f t="shared" si="105"/>
        <v>6.0000000000000053E-2</v>
      </c>
    </row>
    <row r="49" spans="2:34" s="8" customFormat="1" x14ac:dyDescent="0.25">
      <c r="B49" t="s">
        <v>40</v>
      </c>
      <c r="G49" s="8">
        <f t="shared" si="97"/>
        <v>0.12292130978913085</v>
      </c>
      <c r="H49" s="8">
        <f t="shared" si="97"/>
        <v>0.31628614916286146</v>
      </c>
      <c r="I49" s="8">
        <f t="shared" si="97"/>
        <v>0.86713345002917408</v>
      </c>
      <c r="J49" s="8">
        <f t="shared" si="97"/>
        <v>1.156601573406475</v>
      </c>
      <c r="K49" s="8">
        <f t="shared" si="97"/>
        <v>0.69832061068702278</v>
      </c>
      <c r="L49" s="8">
        <f t="shared" si="97"/>
        <v>0.30455596669750218</v>
      </c>
      <c r="P49" s="12"/>
      <c r="R49" s="8">
        <f t="shared" ref="R49:S49" si="106">R8/Q8-1</f>
        <v>0.22899545540617305</v>
      </c>
      <c r="S49" s="8">
        <f t="shared" si="106"/>
        <v>-5.007453401784101E-5</v>
      </c>
      <c r="T49" s="8">
        <f t="shared" si="100"/>
        <v>-5.6617873651772066E-2</v>
      </c>
      <c r="U49" s="8">
        <f t="shared" si="100"/>
        <v>0.61407011784305565</v>
      </c>
      <c r="V49" s="8">
        <v>0.4</v>
      </c>
      <c r="W49" s="8">
        <v>-0.01</v>
      </c>
      <c r="X49" s="8">
        <v>0.3</v>
      </c>
      <c r="Y49" s="8">
        <v>0.22</v>
      </c>
      <c r="Z49" s="8">
        <v>0.15</v>
      </c>
      <c r="AA49" s="8">
        <v>0.1</v>
      </c>
      <c r="AB49" s="8">
        <v>0.09</v>
      </c>
      <c r="AC49" s="8">
        <v>0.08</v>
      </c>
      <c r="AD49" s="8">
        <v>7.0000000000000007E-2</v>
      </c>
      <c r="AE49" s="8">
        <v>0.06</v>
      </c>
      <c r="AF49" s="8">
        <v>0.06</v>
      </c>
    </row>
    <row r="50" spans="2:34" s="8" customFormat="1" x14ac:dyDescent="0.25">
      <c r="B50" t="s">
        <v>41</v>
      </c>
      <c r="G50" s="8">
        <f t="shared" si="97"/>
        <v>-9.092303915551736E-2</v>
      </c>
      <c r="H50" s="8">
        <f t="shared" si="97"/>
        <v>-1.9381051944778127E-2</v>
      </c>
      <c r="I50" s="8">
        <f t="shared" si="97"/>
        <v>0.52357942840019467</v>
      </c>
      <c r="J50" s="8">
        <f t="shared" si="97"/>
        <v>0.44504239071613316</v>
      </c>
      <c r="K50" s="8">
        <f t="shared" si="97"/>
        <v>0.50565400843881836</v>
      </c>
      <c r="L50" s="8">
        <f t="shared" si="97"/>
        <v>0.68456071374565264</v>
      </c>
      <c r="P50" s="12"/>
      <c r="R50" s="8" t="e">
        <f t="shared" ref="R50:S50" si="107">R9/Q9-1</f>
        <v>#DIV/0!</v>
      </c>
      <c r="S50" s="8" t="e">
        <f t="shared" si="107"/>
        <v>#DIV/0!</v>
      </c>
      <c r="T50" s="8">
        <f t="shared" si="100"/>
        <v>-5.7259331986904138E-2</v>
      </c>
      <c r="U50" s="8">
        <f t="shared" si="100"/>
        <v>0.19929830397060155</v>
      </c>
      <c r="V50" s="8">
        <v>0.35</v>
      </c>
      <c r="W50" s="8">
        <v>-0.01</v>
      </c>
      <c r="X50" s="8">
        <v>0.27</v>
      </c>
      <c r="Y50" s="8">
        <v>0.2</v>
      </c>
      <c r="Z50" s="8">
        <v>0.15</v>
      </c>
      <c r="AA50" s="8">
        <v>0.11</v>
      </c>
      <c r="AB50" s="8">
        <v>0.09</v>
      </c>
      <c r="AC50" s="8">
        <v>0.08</v>
      </c>
      <c r="AD50" s="8">
        <v>7.0000000000000007E-2</v>
      </c>
      <c r="AE50" s="8">
        <v>0.06</v>
      </c>
      <c r="AF50" s="8">
        <v>0.06</v>
      </c>
    </row>
    <row r="51" spans="2:34" s="19" customFormat="1" x14ac:dyDescent="0.25">
      <c r="B51" s="19" t="s">
        <v>71</v>
      </c>
      <c r="G51" s="19">
        <f t="shared" si="97"/>
        <v>1.0153352873544685E-2</v>
      </c>
      <c r="H51" s="19">
        <f t="shared" si="97"/>
        <v>0.14693886748236773</v>
      </c>
      <c r="I51" s="19">
        <f t="shared" si="97"/>
        <v>0.70634920634920628</v>
      </c>
      <c r="J51" s="19">
        <f t="shared" si="97"/>
        <v>0.78352941176470603</v>
      </c>
      <c r="K51" s="19">
        <f t="shared" si="97"/>
        <v>0.60708560436037184</v>
      </c>
      <c r="L51" s="19">
        <f t="shared" si="97"/>
        <v>0.46879502292075981</v>
      </c>
      <c r="M51" s="19">
        <f t="shared" si="97"/>
        <v>0.2501757105943152</v>
      </c>
      <c r="P51" s="20"/>
      <c r="R51" s="19">
        <f t="shared" ref="R51:S51" si="108">R10/Q10-1</f>
        <v>0.1451293021533302</v>
      </c>
      <c r="S51" s="19">
        <f t="shared" si="108"/>
        <v>0.12227446808510645</v>
      </c>
      <c r="T51" s="19">
        <f t="shared" si="100"/>
        <v>-5.694363081053111E-2</v>
      </c>
      <c r="U51" s="19">
        <f t="shared" si="100"/>
        <v>0.40350358741780301</v>
      </c>
      <c r="V51" s="19">
        <f>V10/U10-1</f>
        <v>0.37830978773872048</v>
      </c>
      <c r="W51" s="19">
        <f>W10/V10-1</f>
        <v>-1.0000000000000009E-2</v>
      </c>
      <c r="X51" s="19">
        <f>X10/W10-1</f>
        <v>0.28725317625404068</v>
      </c>
      <c r="Y51" s="19">
        <f t="shared" ref="Y51:AF51" si="109">Y10/X10-1</f>
        <v>0.21161601542675146</v>
      </c>
      <c r="Z51" s="19">
        <f t="shared" si="109"/>
        <v>0.14999999999999991</v>
      </c>
      <c r="AA51" s="19">
        <f t="shared" si="109"/>
        <v>0.10415180278231762</v>
      </c>
      <c r="AB51" s="19">
        <f t="shared" si="109"/>
        <v>9.000000000000008E-2</v>
      </c>
      <c r="AC51" s="19">
        <f t="shared" si="109"/>
        <v>8.0000000000000293E-2</v>
      </c>
      <c r="AD51" s="19">
        <f t="shared" si="109"/>
        <v>7.0000000000000062E-2</v>
      </c>
      <c r="AE51" s="19">
        <f t="shared" si="109"/>
        <v>6.0000000000000053E-2</v>
      </c>
      <c r="AF51" s="19">
        <f t="shared" si="109"/>
        <v>5.9999999999999831E-2</v>
      </c>
    </row>
    <row r="52" spans="2:34" s="19" customFormat="1" x14ac:dyDescent="0.25">
      <c r="B52" s="19" t="s">
        <v>72</v>
      </c>
      <c r="G52" s="19">
        <f t="shared" ref="G52:M52" si="110">G12/C12-1</f>
        <v>0.14221540827090529</v>
      </c>
      <c r="H52" s="19">
        <f t="shared" si="110"/>
        <v>0.40373176588338078</v>
      </c>
      <c r="I52" s="19">
        <f t="shared" si="110"/>
        <v>1.2141376886585689</v>
      </c>
      <c r="J52" s="19">
        <f t="shared" si="110"/>
        <v>0.93204358647229846</v>
      </c>
      <c r="K52" s="19">
        <f t="shared" si="110"/>
        <v>0.64249572475649708</v>
      </c>
      <c r="L52" s="19">
        <f t="shared" si="110"/>
        <v>0.53636737482858821</v>
      </c>
      <c r="M52" s="19">
        <f t="shared" si="110"/>
        <v>0.24357035504642943</v>
      </c>
      <c r="P52" s="20"/>
      <c r="R52" s="8">
        <f t="shared" ref="R52:S52" si="111">R12/Q12-1</f>
        <v>0.22022740873728286</v>
      </c>
      <c r="S52" s="8">
        <f t="shared" si="111"/>
        <v>4.4357255735382406E-2</v>
      </c>
      <c r="T52" s="8">
        <f>T12/S12-1</f>
        <v>-7.9050352204539487E-2</v>
      </c>
      <c r="U52" s="8">
        <f>U12/T12-1</f>
        <v>0.65892351274787542</v>
      </c>
      <c r="V52" s="8">
        <f>V12/U12-1</f>
        <v>0.41060930669398932</v>
      </c>
      <c r="W52" s="8">
        <f>W12/V12-1</f>
        <v>-1.0000000000000231E-2</v>
      </c>
      <c r="X52" s="8">
        <f>X12/W12-1</f>
        <v>0.30964663239872059</v>
      </c>
      <c r="Y52" s="8">
        <f t="shared" ref="Y52:AF52" si="112">Y12/X12-1</f>
        <v>0.21398483837496518</v>
      </c>
      <c r="Z52" s="8">
        <f t="shared" si="112"/>
        <v>0.15329122990047561</v>
      </c>
      <c r="AA52" s="8">
        <f t="shared" si="112"/>
        <v>0.10970217274462968</v>
      </c>
      <c r="AB52" s="8">
        <f t="shared" si="112"/>
        <v>8.955592370759291E-2</v>
      </c>
      <c r="AC52" s="8">
        <f t="shared" si="112"/>
        <v>7.5238034139924581E-2</v>
      </c>
      <c r="AD52" s="8">
        <f t="shared" si="112"/>
        <v>6.6268259437038068E-2</v>
      </c>
      <c r="AE52" s="8">
        <f t="shared" si="112"/>
        <v>6.0000000000000053E-2</v>
      </c>
      <c r="AF52" s="8">
        <f t="shared" si="112"/>
        <v>6.0000000000000053E-2</v>
      </c>
    </row>
    <row r="53" spans="2:34" s="8" customFormat="1" x14ac:dyDescent="0.25">
      <c r="B53" s="8" t="s">
        <v>73</v>
      </c>
      <c r="G53" s="8">
        <f t="shared" ref="G53:M53" si="113">G22/C22-1</f>
        <v>1.445918777643751</v>
      </c>
      <c r="H53" s="8">
        <f t="shared" si="113"/>
        <v>2.1808399418619508</v>
      </c>
      <c r="I53" s="8">
        <f t="shared" si="113"/>
        <v>6.0840774110136921</v>
      </c>
      <c r="J53" s="8">
        <f t="shared" si="113"/>
        <v>2.6893688312634279</v>
      </c>
      <c r="K53" s="8">
        <f t="shared" si="113"/>
        <v>1.3915009041591317</v>
      </c>
      <c r="L53" s="8">
        <f t="shared" si="113"/>
        <v>0.87321132247901501</v>
      </c>
      <c r="M53" s="8">
        <f t="shared" si="113"/>
        <v>0.45228073777504019</v>
      </c>
      <c r="P53" s="12"/>
      <c r="R53" s="8">
        <f t="shared" ref="R53:S53" si="114">+R22/Q22-1</f>
        <v>0.61290703161868709</v>
      </c>
      <c r="S53" s="8">
        <f t="shared" si="114"/>
        <v>1.7299392875430808E-2</v>
      </c>
      <c r="T53" s="8">
        <f>+T22/S22-1</f>
        <v>9.1892863562825777E-2</v>
      </c>
      <c r="U53" s="8">
        <f>+U22/T22-1</f>
        <v>2.8715024200717765</v>
      </c>
      <c r="V53" s="8">
        <f>+V22/U22-1</f>
        <v>0.25741004869817874</v>
      </c>
      <c r="W53" s="8">
        <f>+W22/V22-1</f>
        <v>1.6004195305028057E-2</v>
      </c>
      <c r="X53" s="8">
        <f>+X22/W22-1</f>
        <v>0.33418597619683421</v>
      </c>
      <c r="Y53" s="8">
        <f t="shared" ref="Y53:AF53" si="115">+Y22/X22-1</f>
        <v>0.2961812376419497</v>
      </c>
      <c r="Z53" s="8">
        <f t="shared" si="115"/>
        <v>0.16730000462155159</v>
      </c>
      <c r="AA53" s="8">
        <f t="shared" si="115"/>
        <v>0.12230492752824174</v>
      </c>
      <c r="AB53" s="8">
        <f t="shared" si="115"/>
        <v>0.15457769772028085</v>
      </c>
      <c r="AC53" s="8">
        <f t="shared" si="115"/>
        <v>8.636681547526881E-2</v>
      </c>
      <c r="AD53" s="8">
        <f t="shared" si="115"/>
        <v>7.691460707538389E-2</v>
      </c>
      <c r="AE53" s="8">
        <f t="shared" si="115"/>
        <v>7.0228927121310125E-2</v>
      </c>
      <c r="AF53" s="8">
        <f t="shared" si="115"/>
        <v>6.9579086681573754E-2</v>
      </c>
    </row>
    <row r="54" spans="2:34" s="8" customFormat="1" x14ac:dyDescent="0.25">
      <c r="P54" s="12"/>
    </row>
    <row r="55" spans="2:34" s="6" customFormat="1" x14ac:dyDescent="0.25">
      <c r="B55" s="6" t="s">
        <v>74</v>
      </c>
      <c r="P55" s="21"/>
      <c r="S55" s="6">
        <f t="shared" ref="S55:X55" si="116">+S18/R34</f>
        <v>-6.490485387952874E-2</v>
      </c>
      <c r="T55" s="6">
        <f t="shared" si="116"/>
        <v>-5.5492450477905533E-2</v>
      </c>
      <c r="U55" s="6">
        <f t="shared" si="116"/>
        <v>-6.3361130905379121E-2</v>
      </c>
      <c r="V55" s="6">
        <f t="shared" si="116"/>
        <v>-0.06</v>
      </c>
      <c r="W55" s="6">
        <f t="shared" si="116"/>
        <v>-0.01</v>
      </c>
      <c r="X55" s="6">
        <f t="shared" si="116"/>
        <v>-0.01</v>
      </c>
      <c r="Y55" s="6">
        <f t="shared" ref="Y55:AF55" si="117">+Y18/X34</f>
        <v>-0.01</v>
      </c>
      <c r="Z55" s="6">
        <f t="shared" si="117"/>
        <v>-0.01</v>
      </c>
      <c r="AA55" s="6">
        <f t="shared" si="117"/>
        <v>-0.01</v>
      </c>
      <c r="AB55" s="6">
        <f t="shared" si="117"/>
        <v>-0.01</v>
      </c>
      <c r="AC55" s="6">
        <f t="shared" si="117"/>
        <v>-0.01</v>
      </c>
      <c r="AD55" s="6">
        <f t="shared" si="117"/>
        <v>-0.01</v>
      </c>
      <c r="AE55" s="6">
        <f t="shared" si="117"/>
        <v>-0.01</v>
      </c>
      <c r="AF55" s="6">
        <f t="shared" si="117"/>
        <v>-0.01</v>
      </c>
    </row>
    <row r="57" spans="2:34" s="8" customFormat="1" x14ac:dyDescent="0.25">
      <c r="P57" s="12"/>
      <c r="AG57" s="1" t="s">
        <v>13</v>
      </c>
      <c r="AH57" s="6">
        <v>-1.4999999999999999E-2</v>
      </c>
    </row>
    <row r="58" spans="2:34" x14ac:dyDescent="0.25">
      <c r="AG58" t="s">
        <v>14</v>
      </c>
      <c r="AH58" s="6">
        <v>-0.01</v>
      </c>
    </row>
    <row r="59" spans="2:34" x14ac:dyDescent="0.25">
      <c r="AG59" s="1" t="s">
        <v>15</v>
      </c>
      <c r="AH59" s="6">
        <v>8.5000000000000006E-2</v>
      </c>
    </row>
    <row r="60" spans="2:34" x14ac:dyDescent="0.25">
      <c r="AG60" s="1" t="s">
        <v>16</v>
      </c>
      <c r="AH60" s="1">
        <f>NPV(AH59,W22:EM22)</f>
        <v>22198.677928000903</v>
      </c>
    </row>
    <row r="62" spans="2:34" x14ac:dyDescent="0.25">
      <c r="C62" s="8"/>
      <c r="D62" s="8"/>
      <c r="E62" s="8"/>
      <c r="H62" s="8"/>
      <c r="I62" s="8"/>
      <c r="J62" s="8"/>
      <c r="K62" s="8"/>
      <c r="L62" s="8"/>
    </row>
    <row r="67" spans="16:16" s="8" customFormat="1" x14ac:dyDescent="0.25">
      <c r="P67" s="12"/>
    </row>
  </sheetData>
  <phoneticPr fontId="2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PC</cp:lastModifiedBy>
  <cp:revision/>
  <dcterms:created xsi:type="dcterms:W3CDTF">2022-07-24T17:54:11Z</dcterms:created>
  <dcterms:modified xsi:type="dcterms:W3CDTF">2022-08-03T03:04:42Z</dcterms:modified>
  <cp:category/>
  <cp:contentStatus/>
</cp:coreProperties>
</file>