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2B407060-9E69-4760-8595-A133AC594440}" xr6:coauthVersionLast="47" xr6:coauthVersionMax="47" xr10:uidLastSave="{00000000-0000-0000-0000-000000000000}"/>
  <bookViews>
    <workbookView xWindow="25620" yWindow="2865" windowWidth="15825" windowHeight="17250" xr2:uid="{0059096E-FB45-4687-8E83-CA48A480824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2" l="1"/>
  <c r="AI40" i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AG14" i="1"/>
  <c r="AF22" i="1"/>
  <c r="AF10" i="1"/>
  <c r="Y11" i="1"/>
  <c r="X11" i="1"/>
  <c r="AF13" i="1"/>
  <c r="AE13" i="1"/>
  <c r="AD13" i="1"/>
  <c r="AC13" i="1"/>
  <c r="AB13" i="1"/>
  <c r="AA13" i="1"/>
  <c r="Z13" i="1"/>
  <c r="Y13" i="1"/>
  <c r="X13" i="1"/>
  <c r="W13" i="1"/>
  <c r="V13" i="1"/>
  <c r="V14" i="1"/>
  <c r="V22" i="1" s="1"/>
  <c r="W11" i="1" s="1"/>
  <c r="V11" i="1"/>
  <c r="AE10" i="1"/>
  <c r="AD10" i="1"/>
  <c r="AC10" i="1"/>
  <c r="AB10" i="1"/>
  <c r="AA10" i="1"/>
  <c r="Z10" i="1"/>
  <c r="Y10" i="1"/>
  <c r="X10" i="1"/>
  <c r="W10" i="1"/>
  <c r="V10" i="1"/>
  <c r="AF8" i="1"/>
  <c r="AE8" i="1"/>
  <c r="AD8" i="1"/>
  <c r="AC8" i="1"/>
  <c r="AB8" i="1"/>
  <c r="AA8" i="1"/>
  <c r="Z8" i="1"/>
  <c r="Y8" i="1"/>
  <c r="X8" i="1"/>
  <c r="W8" i="1"/>
  <c r="V8" i="1"/>
  <c r="AF7" i="1"/>
  <c r="AE7" i="1"/>
  <c r="AD7" i="1"/>
  <c r="AC7" i="1"/>
  <c r="AB7" i="1"/>
  <c r="AA7" i="1"/>
  <c r="Z7" i="1"/>
  <c r="Y7" i="1"/>
  <c r="X7" i="1"/>
  <c r="W7" i="1"/>
  <c r="V25" i="1"/>
  <c r="V7" i="1"/>
  <c r="AF5" i="1"/>
  <c r="AE5" i="1"/>
  <c r="AD5" i="1"/>
  <c r="AC5" i="1"/>
  <c r="AB5" i="1"/>
  <c r="AA5" i="1"/>
  <c r="Z5" i="1"/>
  <c r="Y5" i="1"/>
  <c r="X5" i="1"/>
  <c r="W5" i="1"/>
  <c r="V5" i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W3" i="1"/>
  <c r="X3" i="1" s="1"/>
  <c r="Y3" i="1" s="1"/>
  <c r="Z3" i="1" s="1"/>
  <c r="AA3" i="1" s="1"/>
  <c r="AB3" i="1" s="1"/>
  <c r="AC3" i="1" s="1"/>
  <c r="AD3" i="1" s="1"/>
  <c r="AE3" i="1" s="1"/>
  <c r="AF3" i="1" s="1"/>
  <c r="V3" i="1"/>
  <c r="U22" i="1"/>
  <c r="T22" i="1"/>
  <c r="S22" i="1"/>
  <c r="L22" i="1"/>
  <c r="K22" i="1"/>
  <c r="J22" i="1"/>
  <c r="I22" i="1"/>
  <c r="J13" i="1"/>
  <c r="J12" i="1"/>
  <c r="J11" i="1"/>
  <c r="J9" i="1"/>
  <c r="J8" i="1"/>
  <c r="J6" i="1"/>
  <c r="J4" i="1"/>
  <c r="J3" i="1"/>
  <c r="J5" i="1"/>
  <c r="F13" i="1"/>
  <c r="F12" i="1"/>
  <c r="F11" i="1"/>
  <c r="F9" i="1"/>
  <c r="F8" i="1"/>
  <c r="F6" i="1"/>
  <c r="F4" i="1"/>
  <c r="F3" i="1"/>
  <c r="I21" i="1"/>
  <c r="E9" i="1"/>
  <c r="E7" i="1"/>
  <c r="E10" i="1" s="1"/>
  <c r="E14" i="1" s="1"/>
  <c r="E16" i="1" s="1"/>
  <c r="I9" i="1"/>
  <c r="I7" i="1"/>
  <c r="R9" i="1"/>
  <c r="R7" i="1"/>
  <c r="L7" i="1"/>
  <c r="L10" i="1" s="1"/>
  <c r="L14" i="1" s="1"/>
  <c r="L16" i="1" s="1"/>
  <c r="S21" i="1"/>
  <c r="S9" i="1"/>
  <c r="S7" i="1"/>
  <c r="T9" i="1"/>
  <c r="T7" i="1"/>
  <c r="G14" i="1"/>
  <c r="H14" i="1"/>
  <c r="K14" i="1"/>
  <c r="U14" i="1"/>
  <c r="U7" i="1"/>
  <c r="U10" i="1" s="1"/>
  <c r="T21" i="1"/>
  <c r="G7" i="1"/>
  <c r="G10" i="1" s="1"/>
  <c r="K7" i="1"/>
  <c r="K10" i="1" s="1"/>
  <c r="K21" i="1"/>
  <c r="L21" i="1"/>
  <c r="H7" i="1"/>
  <c r="H10" i="1" s="1"/>
  <c r="L36" i="1"/>
  <c r="L32" i="1"/>
  <c r="L31" i="1"/>
  <c r="L30" i="1"/>
  <c r="L28" i="1"/>
  <c r="L27" i="1"/>
  <c r="L26" i="1"/>
  <c r="N17" i="2"/>
  <c r="N16" i="2"/>
  <c r="N15" i="2"/>
  <c r="Y14" i="1" l="1"/>
  <c r="W14" i="1"/>
  <c r="W22" i="1" s="1"/>
  <c r="X14" i="1" s="1"/>
  <c r="X22" i="1" s="1"/>
  <c r="J7" i="1"/>
  <c r="J10" i="1" s="1"/>
  <c r="J14" i="1" s="1"/>
  <c r="J16" i="1" s="1"/>
  <c r="F5" i="1"/>
  <c r="F7" i="1" s="1"/>
  <c r="F10" i="1" s="1"/>
  <c r="F14" i="1" s="1"/>
  <c r="F16" i="1" s="1"/>
  <c r="I10" i="1"/>
  <c r="I14" i="1" s="1"/>
  <c r="I16" i="1" s="1"/>
  <c r="R10" i="1"/>
  <c r="R14" i="1" s="1"/>
  <c r="R16" i="1" s="1"/>
  <c r="S10" i="1"/>
  <c r="S14" i="1" s="1"/>
  <c r="S16" i="1" s="1"/>
  <c r="T10" i="1"/>
  <c r="T14" i="1" s="1"/>
  <c r="T16" i="1" s="1"/>
  <c r="G16" i="1"/>
  <c r="K16" i="1"/>
  <c r="U16" i="1"/>
  <c r="L25" i="1"/>
  <c r="L24" i="1"/>
  <c r="H16" i="1"/>
  <c r="L33" i="1"/>
  <c r="K26" i="1"/>
  <c r="J26" i="1"/>
  <c r="I26" i="1"/>
  <c r="H26" i="1"/>
  <c r="G26" i="1"/>
  <c r="F26" i="1"/>
  <c r="E26" i="1"/>
  <c r="U26" i="1"/>
  <c r="T26" i="1"/>
  <c r="S26" i="1"/>
  <c r="R26" i="1"/>
  <c r="J36" i="1"/>
  <c r="K36" i="1"/>
  <c r="Y22" i="1" l="1"/>
  <c r="V32" i="1"/>
  <c r="U32" i="1"/>
  <c r="T32" i="1"/>
  <c r="S32" i="1"/>
  <c r="U31" i="1"/>
  <c r="T31" i="1"/>
  <c r="S31" i="1"/>
  <c r="T30" i="1"/>
  <c r="S30" i="1"/>
  <c r="U30" i="1"/>
  <c r="Z11" i="1" l="1"/>
  <c r="Z14" i="1" s="1"/>
  <c r="Z22" i="1" s="1"/>
  <c r="W36" i="1"/>
  <c r="Y32" i="1"/>
  <c r="V33" i="1"/>
  <c r="X32" i="1"/>
  <c r="W32" i="1"/>
  <c r="W25" i="1"/>
  <c r="K31" i="1"/>
  <c r="J31" i="1"/>
  <c r="I31" i="1"/>
  <c r="K30" i="1"/>
  <c r="J30" i="1"/>
  <c r="I30" i="1"/>
  <c r="K32" i="1"/>
  <c r="I32" i="1"/>
  <c r="U28" i="1"/>
  <c r="T28" i="1"/>
  <c r="S28" i="1"/>
  <c r="R28" i="1"/>
  <c r="U27" i="1"/>
  <c r="T27" i="1"/>
  <c r="S27" i="1"/>
  <c r="K28" i="1"/>
  <c r="I28" i="1"/>
  <c r="H28" i="1"/>
  <c r="G28" i="1"/>
  <c r="E28" i="1"/>
  <c r="K27" i="1"/>
  <c r="I27" i="1"/>
  <c r="T36" i="1"/>
  <c r="U36" i="1"/>
  <c r="N5" i="2"/>
  <c r="N8" i="2" s="1"/>
  <c r="AA11" i="1" l="1"/>
  <c r="AA14" i="1" s="1"/>
  <c r="AA22" i="1" s="1"/>
  <c r="X25" i="1"/>
  <c r="S33" i="1"/>
  <c r="U33" i="1"/>
  <c r="T33" i="1"/>
  <c r="E24" i="1"/>
  <c r="H25" i="1"/>
  <c r="I25" i="1"/>
  <c r="R24" i="1"/>
  <c r="I33" i="1"/>
  <c r="S24" i="1"/>
  <c r="I24" i="1"/>
  <c r="T24" i="1"/>
  <c r="H24" i="1"/>
  <c r="R25" i="1"/>
  <c r="U24" i="1"/>
  <c r="S25" i="1"/>
  <c r="T25" i="1"/>
  <c r="K33" i="1"/>
  <c r="K24" i="1"/>
  <c r="U25" i="1"/>
  <c r="G25" i="1"/>
  <c r="K25" i="1"/>
  <c r="G24" i="1"/>
  <c r="E25" i="1"/>
  <c r="AB11" i="1" l="1"/>
  <c r="AB14" i="1" s="1"/>
  <c r="AB22" i="1" s="1"/>
  <c r="Z32" i="1"/>
  <c r="Y25" i="1"/>
  <c r="F28" i="1"/>
  <c r="AC11" i="1" l="1"/>
  <c r="AC14" i="1" s="1"/>
  <c r="AC22" i="1" s="1"/>
  <c r="Z25" i="1"/>
  <c r="AA32" i="1"/>
  <c r="W33" i="1"/>
  <c r="F24" i="1"/>
  <c r="J33" i="1"/>
  <c r="AD11" i="1" l="1"/>
  <c r="AD14" i="1" s="1"/>
  <c r="AD22" i="1" s="1"/>
  <c r="AB32" i="1"/>
  <c r="F25" i="1"/>
  <c r="AE11" i="1" l="1"/>
  <c r="AE14" i="1" s="1"/>
  <c r="AE22" i="1" s="1"/>
  <c r="AF11" i="1" s="1"/>
  <c r="AF14" i="1" s="1"/>
  <c r="AC32" i="1"/>
  <c r="AA25" i="1"/>
  <c r="X36" i="1"/>
  <c r="AD32" i="1" l="1"/>
  <c r="AB25" i="1"/>
  <c r="X33" i="1"/>
  <c r="AE32" i="1" l="1"/>
  <c r="AC25" i="1"/>
  <c r="AF32" i="1" l="1"/>
  <c r="AD25" i="1"/>
  <c r="Y36" i="1"/>
  <c r="N18" i="2" l="1"/>
  <c r="AE25" i="1"/>
  <c r="AF25" i="1"/>
  <c r="Y33" i="1"/>
  <c r="Z36" i="1" l="1"/>
  <c r="Z33" i="1" l="1"/>
  <c r="AA36" i="1" l="1"/>
  <c r="AA33" i="1" l="1"/>
  <c r="AB36" i="1" l="1"/>
  <c r="AB33" i="1" l="1"/>
  <c r="AC36" i="1" l="1"/>
  <c r="AC33" i="1" l="1"/>
  <c r="AD36" i="1" l="1"/>
  <c r="AD33" i="1" l="1"/>
  <c r="AE36" i="1" l="1"/>
  <c r="AE33" i="1" l="1"/>
  <c r="AF36" i="1" l="1"/>
  <c r="AF33" i="1" l="1"/>
  <c r="J25" i="1"/>
  <c r="J32" i="1"/>
  <c r="J27" i="1"/>
  <c r="J24" i="1"/>
  <c r="J28" i="1"/>
  <c r="V36" i="1"/>
</calcChain>
</file>

<file path=xl/sharedStrings.xml><?xml version="1.0" encoding="utf-8"?>
<sst xmlns="http://schemas.openxmlformats.org/spreadsheetml/2006/main" count="63" uniqueCount="56">
  <si>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</si>
  <si>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</si>
  <si>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</si>
  <si>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</si>
  <si>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</si>
  <si>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</si>
  <si>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</si>
  <si>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</si>
  <si>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</si>
  <si>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</si>
  <si>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</si>
  <si>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</si>
  <si>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</si>
  <si>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</si>
  <si>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SG&amp;A</t>
  </si>
  <si>
    <t>Operating Income</t>
  </si>
  <si>
    <t>Taxes expense</t>
  </si>
  <si>
    <t>Net income</t>
  </si>
  <si>
    <t>Shares</t>
  </si>
  <si>
    <t>EPS</t>
  </si>
  <si>
    <t>Gross margin</t>
  </si>
  <si>
    <t>Operating margin</t>
  </si>
  <si>
    <t>Tax on revenue rate</t>
  </si>
  <si>
    <t>Revenue y/y</t>
  </si>
  <si>
    <t>Net income y/y</t>
  </si>
  <si>
    <t>Price</t>
  </si>
  <si>
    <t>MkCap</t>
  </si>
  <si>
    <t>Cash</t>
  </si>
  <si>
    <t>Debt</t>
  </si>
  <si>
    <t>EV</t>
  </si>
  <si>
    <t>Interest expense</t>
  </si>
  <si>
    <t>Inventory</t>
  </si>
  <si>
    <t>PP&amp;E, net</t>
  </si>
  <si>
    <t>Gross profit</t>
  </si>
  <si>
    <t>Net cash</t>
  </si>
  <si>
    <t>Revenue on PP&amp;E gross</t>
  </si>
  <si>
    <t>Interest on Cash</t>
  </si>
  <si>
    <t>Terminal</t>
  </si>
  <si>
    <t>ROIC</t>
  </si>
  <si>
    <t>Discount</t>
  </si>
  <si>
    <t>NPV</t>
  </si>
  <si>
    <t>SG&amp;A rate</t>
  </si>
  <si>
    <t>Loss on extinguishment of debt</t>
  </si>
  <si>
    <t>Weirdo schedule</t>
  </si>
  <si>
    <t>Sept</t>
  </si>
  <si>
    <t>Dec</t>
  </si>
  <si>
    <t>Mar</t>
  </si>
  <si>
    <t>Other op expenses</t>
  </si>
  <si>
    <t>Residential</t>
  </si>
  <si>
    <t>Commercial</t>
  </si>
  <si>
    <t>Residential y/y</t>
  </si>
  <si>
    <t>Commercial y/y</t>
  </si>
  <si>
    <t>Jun</t>
  </si>
  <si>
    <t>AZEK</t>
  </si>
  <si>
    <t xml:space="preserve">The AZEK Company Inc. 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</si>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</sst>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8" fontId="0" fillId="0" borderId="0" xfId="0" applyNumberFormat="1"/>
    <xf numFmtId="3" fontId="1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43165</xdr:colOff>
      <xdr:row>0</xdr:row>
      <xdr:rowOff>24848</xdr:rowOff>
    </xdr:from>
    <xdr:to>
      <xdr:col>12</xdr:col>
      <xdr:colOff>43165</xdr:colOff>
      <xdr:row>37</xdr:row>
      <xdr:rowOff>2867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8880708" y="24848"/>
          <a:ext cx="0" cy="7788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9525</xdr:rowOff>
    </xdr:from>
    <xdr:to>
      <xdr:col>21</xdr:col>
      <xdr:colOff>19050</xdr:colOff>
      <xdr:row>37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3992225" y="9525"/>
          <a:ext cx="0" cy="9503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M1:N19"/>
  <sheetViews>
    <sheetView tabSelected="1" workbookViewId="0">
      <selection activeCell="H10" sqref="H10"/>
    </sheetView>
  </sheetViews>
  <sheetFormatPr defaultRowHeight="15" x14ac:dyDescent="0.25"/>
  <cols>
    <col min="13" max="13" width="9.7109375" bestFit="1" customWidth="1"/>
    <col min="14" max="14" width="9.85546875" bestFit="1" customWidth="1"/>
  </cols>
  <sheetData>
    <row r="1" spans="13:14" ht="18" x14ac:dyDescent="0.25">
      <c r="M1" s="22" t="s">
        <v>54</v>
      </c>
    </row>
    <row r="2" spans="13:14" x14ac:dyDescent="0.25">
      <c r="M2" t="s">
        <v>53</v>
      </c>
    </row>
    <row r="3" spans="13:14" x14ac:dyDescent="0.25">
      <c r="M3" t="s">
        <v>25</v>
      </c>
      <c r="N3" s="17">
        <v>20.86</v>
      </c>
    </row>
    <row r="4" spans="13:14" x14ac:dyDescent="0.25">
      <c r="M4" t="s">
        <v>18</v>
      </c>
      <c r="N4" s="1">
        <v>154.661</v>
      </c>
    </row>
    <row r="5" spans="13:14" x14ac:dyDescent="0.25">
      <c r="M5" t="s">
        <v>26</v>
      </c>
      <c r="N5" s="1">
        <f>N3*N4</f>
        <v>3226.2284599999998</v>
      </c>
    </row>
    <row r="6" spans="13:14" x14ac:dyDescent="0.25">
      <c r="M6" t="s">
        <v>27</v>
      </c>
      <c r="N6" s="1">
        <v>25.812000000000001</v>
      </c>
    </row>
    <row r="7" spans="13:14" x14ac:dyDescent="0.25">
      <c r="M7" t="s">
        <v>28</v>
      </c>
      <c r="N7" s="1">
        <v>505.28399999999999</v>
      </c>
    </row>
    <row r="8" spans="13:14" x14ac:dyDescent="0.25">
      <c r="M8" t="s">
        <v>29</v>
      </c>
      <c r="N8" s="1">
        <f>N5-N6+N7</f>
        <v>3705.70046</v>
      </c>
    </row>
    <row r="11" spans="13:14" x14ac:dyDescent="0.25">
      <c r="M11" s="2">
        <v>44775</v>
      </c>
    </row>
    <row r="15" spans="13:14" x14ac:dyDescent="0.25">
      <c r="M15" s="10" t="s">
        <v>37</v>
      </c>
      <c r="N15" s="18">
        <f>Model!AI37</f>
        <v>-1.4999999999999999E-2</v>
      </c>
    </row>
    <row r="16" spans="13:14" x14ac:dyDescent="0.25">
      <c r="M16" s="15" t="s">
        <v>38</v>
      </c>
      <c r="N16" s="18">
        <f>Model!AI38</f>
        <v>-0.01</v>
      </c>
    </row>
    <row r="17" spans="13:14" x14ac:dyDescent="0.25">
      <c r="M17" t="s">
        <v>39</v>
      </c>
      <c r="N17" s="18">
        <f>Model!AI39</f>
        <v>0.08</v>
      </c>
    </row>
    <row r="18" spans="13:14" x14ac:dyDescent="0.25">
      <c r="M18" s="15" t="s">
        <v>40</v>
      </c>
      <c r="N18" s="1">
        <f>Model!AI40</f>
        <v>2666.8844433216959</v>
      </c>
    </row>
    <row r="19" spans="13:14" x14ac:dyDescent="0.25">
      <c r="M19" t="s">
        <v>55</v>
      </c>
      <c r="N19" s="17">
        <f>N18/N4</f>
        <v>17.243419112262924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1:DE40"/>
  <sheetViews>
    <sheetView zoomScale="115" zoomScaleNormal="115" workbookViewId="0">
      <pane xSplit="2" ySplit="2" topLeftCell="U8" activePane="bottomRight" state="frozen"/>
      <selection pane="topRight" activeCell="C1" sqref="C1"/>
      <selection pane="bottomLeft" activeCell="A3" sqref="A3"/>
      <selection pane="bottomRight" activeCell="AF45" sqref="AF45"/>
    </sheetView>
  </sheetViews>
  <sheetFormatPr defaultRowHeight="15" x14ac:dyDescent="0.25"/>
  <cols>
    <col min="2" max="2" width="31.42578125" customWidth="1"/>
    <col min="3" max="15" width="9.140625" style="1"/>
    <col min="16" max="16" width="4.42578125" style="3" customWidth="1"/>
    <col min="23" max="23" width="10.85546875" bestFit="1" customWidth="1"/>
    <col min="35" max="35" width="10.85546875" bestFit="1" customWidth="1"/>
    <col min="40" max="40" width="10.85546875" bestFit="1" customWidth="1"/>
  </cols>
  <sheetData>
    <row r="1" spans="1:109" x14ac:dyDescent="0.25">
      <c r="B1" t="s">
        <v>43</v>
      </c>
      <c r="I1" s="1" t="s">
        <v>52</v>
      </c>
      <c r="J1" s="1" t="s">
        <v>44</v>
      </c>
      <c r="K1" s="1" t="s">
        <v>45</v>
      </c>
      <c r="L1" s="1" t="s">
        <v>46</v>
      </c>
    </row>
    <row r="2" spans="1:109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</row>
    <row r="3" spans="1:109" s="1" customFormat="1" x14ac:dyDescent="0.25">
      <c r="B3" s="1" t="s">
        <v>48</v>
      </c>
      <c r="E3" s="1">
        <v>192.59899999999999</v>
      </c>
      <c r="F3" s="1">
        <f>T3-538.514</f>
        <v>232.65300000000002</v>
      </c>
      <c r="G3" s="1">
        <v>185.64</v>
      </c>
      <c r="H3" s="1">
        <v>262.2</v>
      </c>
      <c r="I3" s="1">
        <v>291.209</v>
      </c>
      <c r="J3" s="1">
        <f>+U3-I3-H3-G3</f>
        <v>305.07699999999994</v>
      </c>
      <c r="K3" s="1">
        <v>221.13300000000001</v>
      </c>
      <c r="L3" s="1">
        <v>350.358</v>
      </c>
      <c r="P3" s="11"/>
      <c r="R3" s="1">
        <v>541.94000000000005</v>
      </c>
      <c r="S3" s="1">
        <v>655.44500000000005</v>
      </c>
      <c r="T3" s="1">
        <v>771.16700000000003</v>
      </c>
      <c r="U3" s="1">
        <v>1044.126</v>
      </c>
      <c r="V3" s="1">
        <f>U3*(1+V30)</f>
        <v>1305.1575</v>
      </c>
      <c r="W3" s="1">
        <f t="shared" ref="W3:AF3" si="0">V3*(1+W30)</f>
        <v>1292.1059250000001</v>
      </c>
      <c r="X3" s="1">
        <f t="shared" si="0"/>
        <v>1576.3692285</v>
      </c>
      <c r="Y3" s="1">
        <f t="shared" si="0"/>
        <v>1860.1156896299999</v>
      </c>
      <c r="Z3" s="1">
        <f t="shared" si="0"/>
        <v>2120.5318861782002</v>
      </c>
      <c r="AA3" s="1">
        <f t="shared" si="0"/>
        <v>2332.5850747960203</v>
      </c>
      <c r="AB3" s="1">
        <f t="shared" si="0"/>
        <v>2472.5401792837815</v>
      </c>
      <c r="AC3" s="1">
        <f t="shared" si="0"/>
        <v>2596.1671882479709</v>
      </c>
      <c r="AD3" s="1">
        <f t="shared" si="0"/>
        <v>2725.9755476603696</v>
      </c>
      <c r="AE3" s="1">
        <f t="shared" si="0"/>
        <v>2862.2743250433882</v>
      </c>
      <c r="AF3" s="1">
        <f t="shared" si="0"/>
        <v>3005.3880412955577</v>
      </c>
    </row>
    <row r="4" spans="1:109" s="1" customFormat="1" x14ac:dyDescent="0.25">
      <c r="B4" s="1" t="s">
        <v>49</v>
      </c>
      <c r="E4" s="1">
        <v>31.111999999999998</v>
      </c>
      <c r="F4" s="1">
        <f>+T4-96.825</f>
        <v>31.265000000000001</v>
      </c>
      <c r="G4" s="1">
        <v>26.638000000000002</v>
      </c>
      <c r="H4" s="1">
        <v>30.9</v>
      </c>
      <c r="I4" s="1">
        <v>36.244999999999997</v>
      </c>
      <c r="J4" s="1">
        <f>+U4-I4-H4-G4</f>
        <v>41.064999999999998</v>
      </c>
      <c r="K4" s="1">
        <v>38.575000000000003</v>
      </c>
      <c r="L4" s="1">
        <v>45.9</v>
      </c>
      <c r="P4" s="11"/>
      <c r="R4" s="1">
        <v>139.9</v>
      </c>
      <c r="S4" s="1">
        <v>138.75800000000001</v>
      </c>
      <c r="T4" s="1">
        <v>128.09</v>
      </c>
      <c r="U4" s="1">
        <v>134.84800000000001</v>
      </c>
      <c r="V4" s="1">
        <f t="shared" ref="V4:AF4" si="1">U4*(1+V31)</f>
        <v>175.30240000000003</v>
      </c>
      <c r="W4" s="1">
        <f t="shared" si="1"/>
        <v>173.54937600000002</v>
      </c>
      <c r="X4" s="1">
        <f t="shared" si="1"/>
        <v>216.93672000000004</v>
      </c>
      <c r="Y4" s="1">
        <f t="shared" si="1"/>
        <v>255.98532960000003</v>
      </c>
      <c r="Z4" s="1">
        <f t="shared" si="1"/>
        <v>284.14371585600003</v>
      </c>
      <c r="AA4" s="1">
        <f t="shared" si="1"/>
        <v>298.35090164880006</v>
      </c>
      <c r="AB4" s="1">
        <f t="shared" si="1"/>
        <v>313.26844673124009</v>
      </c>
      <c r="AC4" s="1">
        <f t="shared" si="1"/>
        <v>328.9318690678021</v>
      </c>
      <c r="AD4" s="1">
        <f t="shared" si="1"/>
        <v>345.3784625211922</v>
      </c>
      <c r="AE4" s="1">
        <f t="shared" si="1"/>
        <v>362.64738564725184</v>
      </c>
      <c r="AF4" s="1">
        <f t="shared" si="1"/>
        <v>380.77975492961446</v>
      </c>
    </row>
    <row r="5" spans="1:109" x14ac:dyDescent="0.25">
      <c r="A5" s="4"/>
      <c r="B5" s="4" t="s">
        <v>12</v>
      </c>
      <c r="C5" s="5"/>
      <c r="D5" s="5"/>
      <c r="E5" s="5">
        <v>223.71100000000001</v>
      </c>
      <c r="F5" s="5">
        <f>SUM(F3:F4)</f>
        <v>263.91800000000001</v>
      </c>
      <c r="G5" s="5">
        <v>212.3</v>
      </c>
      <c r="H5" s="5">
        <v>293.12099999999998</v>
      </c>
      <c r="I5" s="5">
        <v>327.45400000000001</v>
      </c>
      <c r="J5" s="5">
        <f>SUM(J3:J4)</f>
        <v>346.14199999999994</v>
      </c>
      <c r="K5" s="5">
        <v>259.7</v>
      </c>
      <c r="L5" s="5">
        <v>396.25</v>
      </c>
      <c r="M5" s="5"/>
      <c r="N5" s="5"/>
      <c r="O5" s="5"/>
      <c r="P5" s="6"/>
      <c r="Q5" s="5"/>
      <c r="R5" s="5">
        <v>681.80499999999995</v>
      </c>
      <c r="S5" s="5">
        <v>794.2</v>
      </c>
      <c r="T5" s="5">
        <v>899.25900000000001</v>
      </c>
      <c r="U5" s="5">
        <v>1178.97</v>
      </c>
      <c r="V5" s="5">
        <f>SUM(V3:V4)</f>
        <v>1480.4599000000001</v>
      </c>
      <c r="W5" s="5">
        <f t="shared" ref="W5:AF5" si="2">SUM(W3:W4)</f>
        <v>1465.655301</v>
      </c>
      <c r="X5" s="5">
        <f t="shared" si="2"/>
        <v>1793.3059484999999</v>
      </c>
      <c r="Y5" s="5">
        <f t="shared" si="2"/>
        <v>2116.10101923</v>
      </c>
      <c r="Z5" s="5">
        <f t="shared" si="2"/>
        <v>2404.6756020342004</v>
      </c>
      <c r="AA5" s="5">
        <f t="shared" si="2"/>
        <v>2630.9359764448204</v>
      </c>
      <c r="AB5" s="5">
        <f t="shared" si="2"/>
        <v>2785.8086260150217</v>
      </c>
      <c r="AC5" s="5">
        <f t="shared" si="2"/>
        <v>2925.0990573157728</v>
      </c>
      <c r="AD5" s="5">
        <f t="shared" si="2"/>
        <v>3071.3540101815615</v>
      </c>
      <c r="AE5" s="5">
        <f t="shared" si="2"/>
        <v>3224.9217106906399</v>
      </c>
      <c r="AF5" s="5">
        <f t="shared" si="2"/>
        <v>3386.1677962251724</v>
      </c>
      <c r="AG5" s="5"/>
      <c r="AH5" s="5"/>
      <c r="AI5" s="5"/>
      <c r="AJ5" s="5"/>
      <c r="AK5" s="5"/>
    </row>
    <row r="6" spans="1:109" s="1" customFormat="1" x14ac:dyDescent="0.25">
      <c r="B6" s="1" t="s">
        <v>13</v>
      </c>
      <c r="E6" s="1">
        <v>148.6</v>
      </c>
      <c r="F6" s="1">
        <f>+T6-429.553</f>
        <v>173.64700000000005</v>
      </c>
      <c r="G6" s="1">
        <v>139.30000000000001</v>
      </c>
      <c r="H6" s="1">
        <v>195.3</v>
      </c>
      <c r="I6" s="1">
        <v>220.6</v>
      </c>
      <c r="J6" s="1">
        <f>+U6-I6-H6-G6</f>
        <v>233.79999999999995</v>
      </c>
      <c r="K6" s="1">
        <v>171.1</v>
      </c>
      <c r="L6" s="1">
        <v>273.8</v>
      </c>
      <c r="P6" s="11"/>
      <c r="R6" s="1">
        <v>479.76900000000001</v>
      </c>
      <c r="S6" s="1">
        <v>541</v>
      </c>
      <c r="T6" s="1">
        <v>603.20000000000005</v>
      </c>
      <c r="U6" s="1">
        <v>789</v>
      </c>
    </row>
    <row r="7" spans="1:109" x14ac:dyDescent="0.25">
      <c r="A7" s="4"/>
      <c r="B7" s="4" t="s">
        <v>33</v>
      </c>
      <c r="C7" s="5"/>
      <c r="D7" s="5"/>
      <c r="E7" s="5">
        <f t="shared" ref="E7:L7" si="3">+E5-E6</f>
        <v>75.111000000000018</v>
      </c>
      <c r="F7" s="5">
        <f t="shared" si="3"/>
        <v>90.270999999999958</v>
      </c>
      <c r="G7" s="5">
        <f t="shared" si="3"/>
        <v>73</v>
      </c>
      <c r="H7" s="5">
        <f t="shared" si="3"/>
        <v>97.82099999999997</v>
      </c>
      <c r="I7" s="5">
        <f t="shared" si="3"/>
        <v>106.85400000000001</v>
      </c>
      <c r="J7" s="5">
        <f t="shared" si="3"/>
        <v>112.34199999999998</v>
      </c>
      <c r="K7" s="5">
        <f t="shared" si="3"/>
        <v>88.6</v>
      </c>
      <c r="L7" s="5">
        <f t="shared" si="3"/>
        <v>122.44999999999999</v>
      </c>
      <c r="M7" s="5"/>
      <c r="N7" s="5"/>
      <c r="O7" s="5"/>
      <c r="P7" s="6"/>
      <c r="Q7" s="5"/>
      <c r="R7" s="5">
        <f>+R5-R6</f>
        <v>202.03599999999994</v>
      </c>
      <c r="S7" s="5">
        <f>+S5-S6</f>
        <v>253.20000000000005</v>
      </c>
      <c r="T7" s="5">
        <f>+T5-T6</f>
        <v>296.05899999999997</v>
      </c>
      <c r="U7" s="5">
        <f>+U5-U6</f>
        <v>389.97</v>
      </c>
      <c r="V7" s="5">
        <f>+V5*V24</f>
        <v>488.55176700000004</v>
      </c>
      <c r="W7" s="5">
        <f t="shared" ref="W7:AF7" si="4">+W5*W24</f>
        <v>483.66624933000003</v>
      </c>
      <c r="X7" s="5">
        <f t="shared" si="4"/>
        <v>573.85790351999992</v>
      </c>
      <c r="Y7" s="5">
        <f t="shared" si="4"/>
        <v>677.15232615360003</v>
      </c>
      <c r="Z7" s="5">
        <f t="shared" si="4"/>
        <v>745.44943663060212</v>
      </c>
      <c r="AA7" s="5">
        <f t="shared" si="4"/>
        <v>815.59015269789438</v>
      </c>
      <c r="AB7" s="5">
        <f t="shared" si="4"/>
        <v>835.74258780450646</v>
      </c>
      <c r="AC7" s="5">
        <f t="shared" si="4"/>
        <v>877.5297171947318</v>
      </c>
      <c r="AD7" s="5">
        <f t="shared" si="4"/>
        <v>890.69266295265277</v>
      </c>
      <c r="AE7" s="5">
        <f t="shared" si="4"/>
        <v>935.22729610028546</v>
      </c>
      <c r="AF7" s="5">
        <f t="shared" si="4"/>
        <v>981.98866090529998</v>
      </c>
      <c r="AG7" s="5"/>
      <c r="AH7" s="5"/>
      <c r="AI7" s="5"/>
      <c r="AJ7" s="5"/>
      <c r="AK7" s="5"/>
    </row>
    <row r="8" spans="1:109" x14ac:dyDescent="0.25">
      <c r="B8" t="s">
        <v>14</v>
      </c>
      <c r="E8" s="1">
        <v>65.16</v>
      </c>
      <c r="F8" s="1">
        <f>+T8-158.33</f>
        <v>149.94499999999996</v>
      </c>
      <c r="G8" s="1">
        <v>53.45</v>
      </c>
      <c r="H8" s="1">
        <v>60.155000000000001</v>
      </c>
      <c r="I8" s="1">
        <v>70.3</v>
      </c>
      <c r="J8" s="1">
        <f t="shared" ref="J8:J9" si="5">+U8-I8-H8-G8</f>
        <v>60.294999999999973</v>
      </c>
      <c r="K8" s="1">
        <v>63.168999999999997</v>
      </c>
      <c r="L8" s="1">
        <v>70.822000000000003</v>
      </c>
      <c r="Q8" s="1"/>
      <c r="R8" s="1">
        <v>144.69999999999999</v>
      </c>
      <c r="S8" s="1">
        <v>183.57</v>
      </c>
      <c r="T8" s="1">
        <v>308.27499999999998</v>
      </c>
      <c r="U8" s="1">
        <v>244.2</v>
      </c>
      <c r="V8" s="1">
        <f>V5*V28</f>
        <v>296.09198000000004</v>
      </c>
      <c r="W8" s="1">
        <f t="shared" ref="W8:AF8" si="6">W5*W28</f>
        <v>307.78761321000002</v>
      </c>
      <c r="X8" s="1">
        <f t="shared" si="6"/>
        <v>376.59424918499997</v>
      </c>
      <c r="Y8" s="1">
        <f t="shared" si="6"/>
        <v>423.220203846</v>
      </c>
      <c r="Z8" s="1">
        <f t="shared" si="6"/>
        <v>480.9351204068401</v>
      </c>
      <c r="AA8" s="1">
        <f t="shared" si="6"/>
        <v>526.18719528896406</v>
      </c>
      <c r="AB8" s="1">
        <f t="shared" si="6"/>
        <v>529.30363894285415</v>
      </c>
      <c r="AC8" s="1">
        <f t="shared" si="6"/>
        <v>555.76882088999685</v>
      </c>
      <c r="AD8" s="1">
        <f t="shared" si="6"/>
        <v>583.55726193449675</v>
      </c>
      <c r="AE8" s="1">
        <f t="shared" si="6"/>
        <v>580.48590792431514</v>
      </c>
      <c r="AF8" s="1">
        <f t="shared" si="6"/>
        <v>609.51020332053099</v>
      </c>
      <c r="AG8" s="1"/>
      <c r="AH8" s="1"/>
      <c r="AI8" s="1"/>
      <c r="AJ8" s="1"/>
      <c r="AK8" s="1"/>
    </row>
    <row r="9" spans="1:109" x14ac:dyDescent="0.25">
      <c r="B9" t="s">
        <v>47</v>
      </c>
      <c r="E9" s="1">
        <f>1.6+0.4</f>
        <v>2</v>
      </c>
      <c r="F9" s="1">
        <f>+T9-7.1</f>
        <v>2.42</v>
      </c>
      <c r="G9" s="1">
        <v>0</v>
      </c>
      <c r="H9" s="1">
        <v>1.1499999999999999</v>
      </c>
      <c r="I9" s="1">
        <f>1.4+0.3</f>
        <v>1.7</v>
      </c>
      <c r="J9" s="1">
        <f t="shared" si="5"/>
        <v>-0.26</v>
      </c>
      <c r="K9" s="1">
        <v>0</v>
      </c>
      <c r="L9" s="1">
        <v>0</v>
      </c>
      <c r="Q9" s="1"/>
      <c r="R9" s="1">
        <f>4.182+0.79</f>
        <v>4.9720000000000004</v>
      </c>
      <c r="S9" s="1">
        <f>9.1+1.5</f>
        <v>10.6</v>
      </c>
      <c r="T9" s="1">
        <f>8.616+0.904</f>
        <v>9.52</v>
      </c>
      <c r="U9" s="1">
        <v>2.59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109" x14ac:dyDescent="0.25">
      <c r="A10" s="4"/>
      <c r="B10" s="4" t="s">
        <v>15</v>
      </c>
      <c r="C10" s="5"/>
      <c r="D10" s="5"/>
      <c r="E10" s="5">
        <f t="shared" ref="E10:L10" si="7">+E7-E8-E9</f>
        <v>7.9510000000000218</v>
      </c>
      <c r="F10" s="5">
        <f t="shared" si="7"/>
        <v>-62.094000000000008</v>
      </c>
      <c r="G10" s="5">
        <f t="shared" si="7"/>
        <v>19.549999999999997</v>
      </c>
      <c r="H10" s="5">
        <f t="shared" si="7"/>
        <v>36.51599999999997</v>
      </c>
      <c r="I10" s="5">
        <f t="shared" si="7"/>
        <v>34.854000000000013</v>
      </c>
      <c r="J10" s="5">
        <f t="shared" si="7"/>
        <v>52.307000000000009</v>
      </c>
      <c r="K10" s="5">
        <f t="shared" si="7"/>
        <v>25.430999999999997</v>
      </c>
      <c r="L10" s="5">
        <f t="shared" si="7"/>
        <v>51.627999999999986</v>
      </c>
      <c r="M10" s="5"/>
      <c r="N10" s="5"/>
      <c r="O10" s="5"/>
      <c r="P10" s="6"/>
      <c r="Q10" s="5"/>
      <c r="R10" s="5">
        <f>+R7-R8-R9</f>
        <v>52.363999999999955</v>
      </c>
      <c r="S10" s="5">
        <f>+S7-S8-S9</f>
        <v>59.030000000000051</v>
      </c>
      <c r="T10" s="5">
        <f>+T7-T8-T9</f>
        <v>-21.736000000000008</v>
      </c>
      <c r="U10" s="5">
        <f>+U7-U8-U9</f>
        <v>143.18000000000004</v>
      </c>
      <c r="V10" s="5">
        <f t="shared" ref="V10:AF10" si="8">+V7-V8-V9</f>
        <v>192.45978700000001</v>
      </c>
      <c r="W10" s="5">
        <f t="shared" si="8"/>
        <v>175.87863612000001</v>
      </c>
      <c r="X10" s="5">
        <f t="shared" si="8"/>
        <v>197.26365433499996</v>
      </c>
      <c r="Y10" s="5">
        <f t="shared" si="8"/>
        <v>253.93212230760003</v>
      </c>
      <c r="Z10" s="5">
        <f t="shared" si="8"/>
        <v>264.51431622376202</v>
      </c>
      <c r="AA10" s="5">
        <f t="shared" si="8"/>
        <v>289.40295740893032</v>
      </c>
      <c r="AB10" s="5">
        <f t="shared" si="8"/>
        <v>306.43894886165231</v>
      </c>
      <c r="AC10" s="5">
        <f t="shared" si="8"/>
        <v>321.76089630473496</v>
      </c>
      <c r="AD10" s="5">
        <f t="shared" si="8"/>
        <v>307.13540101815602</v>
      </c>
      <c r="AE10" s="5">
        <f t="shared" si="8"/>
        <v>354.74138817597031</v>
      </c>
      <c r="AF10" s="5">
        <f t="shared" si="8"/>
        <v>372.47845758476899</v>
      </c>
      <c r="AG10" s="5"/>
      <c r="AH10" s="5"/>
      <c r="AI10" s="5"/>
      <c r="AJ10" s="5"/>
      <c r="AK10" s="5"/>
    </row>
    <row r="11" spans="1:109" x14ac:dyDescent="0.25">
      <c r="B11" t="s">
        <v>30</v>
      </c>
      <c r="E11" s="1">
        <v>25.15</v>
      </c>
      <c r="F11" s="1">
        <f>+T11-64.882</f>
        <v>6.296999999999997</v>
      </c>
      <c r="G11" s="1">
        <v>6.0259999999999998</v>
      </c>
      <c r="H11" s="1">
        <v>6.35</v>
      </c>
      <c r="I11" s="1">
        <v>4.2</v>
      </c>
      <c r="J11" s="1">
        <f t="shared" ref="J11:J13" si="9">+U11-I11-H11-G11</f>
        <v>3.724000000000002</v>
      </c>
      <c r="K11" s="1">
        <v>4.1500000000000004</v>
      </c>
      <c r="L11" s="1">
        <v>4.01</v>
      </c>
      <c r="Q11" s="1"/>
      <c r="R11" s="1">
        <v>68.739999999999995</v>
      </c>
      <c r="S11" s="1">
        <v>83.204999999999998</v>
      </c>
      <c r="T11" s="1">
        <v>71.179000000000002</v>
      </c>
      <c r="U11" s="1">
        <v>20.3</v>
      </c>
      <c r="V11" s="1">
        <f>U22*-0.075</f>
        <v>16.063424999999999</v>
      </c>
      <c r="W11" s="1">
        <f>V22*-0.075</f>
        <v>5.9426636399999966</v>
      </c>
      <c r="X11" s="1">
        <f>W22*-0.01</f>
        <v>-0.49662108852000048</v>
      </c>
      <c r="Y11" s="1">
        <f t="shared" ref="Y11:AF11" si="10">X22*-0.01</f>
        <v>-1.9720981771752</v>
      </c>
      <c r="Z11" s="1">
        <f t="shared" si="10"/>
        <v>-3.8963100762539522</v>
      </c>
      <c r="AA11" s="1">
        <f t="shared" si="10"/>
        <v>-5.8590136586438524</v>
      </c>
      <c r="AB11" s="1">
        <f t="shared" si="10"/>
        <v>-8.0223525763861474</v>
      </c>
      <c r="AC11" s="1">
        <f t="shared" si="10"/>
        <v>-10.275506830441726</v>
      </c>
      <c r="AD11" s="1">
        <f t="shared" si="10"/>
        <v>-12.659839163452444</v>
      </c>
      <c r="AE11" s="1">
        <f t="shared" si="10"/>
        <v>-14.874958282010427</v>
      </c>
      <c r="AF11" s="1">
        <f t="shared" si="10"/>
        <v>-17.474648364955417</v>
      </c>
      <c r="AG11" s="1"/>
      <c r="AH11" s="1"/>
      <c r="AI11" s="1"/>
      <c r="AJ11" s="1"/>
      <c r="AK11" s="1"/>
    </row>
    <row r="12" spans="1:109" x14ac:dyDescent="0.25">
      <c r="B12" t="s">
        <v>42</v>
      </c>
      <c r="E12" s="1">
        <v>37.537999999999997</v>
      </c>
      <c r="F12" s="1">
        <f>+T12-37.538</f>
        <v>4.9000000000006594E-2</v>
      </c>
      <c r="G12" s="1">
        <v>0</v>
      </c>
      <c r="H12" s="1">
        <v>0</v>
      </c>
      <c r="I12" s="1">
        <v>0</v>
      </c>
      <c r="J12" s="1">
        <f t="shared" si="9"/>
        <v>0</v>
      </c>
      <c r="K12" s="1">
        <v>0</v>
      </c>
      <c r="L12" s="1">
        <v>0</v>
      </c>
      <c r="Q12" s="1"/>
      <c r="R12" s="1">
        <v>0</v>
      </c>
      <c r="S12" s="1">
        <v>0</v>
      </c>
      <c r="T12" s="1">
        <v>37.587000000000003</v>
      </c>
      <c r="U12" s="1">
        <v>0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109" x14ac:dyDescent="0.25">
      <c r="A13" s="4"/>
      <c r="B13" t="s">
        <v>16</v>
      </c>
      <c r="E13" s="1">
        <v>-2.6</v>
      </c>
      <c r="F13" s="1">
        <f>+T13-4.2</f>
        <v>-12.5</v>
      </c>
      <c r="G13" s="1">
        <v>3.3559999999999999</v>
      </c>
      <c r="H13" s="1">
        <v>7.5570000000000004</v>
      </c>
      <c r="I13" s="1">
        <v>8.8109999999999999</v>
      </c>
      <c r="J13" s="1">
        <f t="shared" si="9"/>
        <v>8.9439999999999991</v>
      </c>
      <c r="K13" s="1">
        <v>4.585</v>
      </c>
      <c r="L13" s="1">
        <v>11.81</v>
      </c>
      <c r="P13" s="6"/>
      <c r="Q13" s="1"/>
      <c r="R13" s="1">
        <v>-23.11</v>
      </c>
      <c r="S13" s="1">
        <v>-4</v>
      </c>
      <c r="T13" s="1">
        <v>-8.3000000000000007</v>
      </c>
      <c r="U13" s="1">
        <v>28.667999999999999</v>
      </c>
      <c r="V13" s="1">
        <f>V5*V26</f>
        <v>41.452877200000003</v>
      </c>
      <c r="W13" s="1">
        <f t="shared" ref="W13:AF13" si="11">W5*W26</f>
        <v>41.038348427999999</v>
      </c>
      <c r="X13" s="1">
        <f t="shared" si="11"/>
        <v>50.212566557999999</v>
      </c>
      <c r="Y13" s="1">
        <f t="shared" si="11"/>
        <v>63.483030576899999</v>
      </c>
      <c r="Z13" s="1">
        <f t="shared" si="11"/>
        <v>72.140268061026006</v>
      </c>
      <c r="AA13" s="1">
        <f t="shared" si="11"/>
        <v>78.928079293344609</v>
      </c>
      <c r="AB13" s="1">
        <f t="shared" si="11"/>
        <v>89.1458760324807</v>
      </c>
      <c r="AC13" s="1">
        <f t="shared" si="11"/>
        <v>93.603169834104733</v>
      </c>
      <c r="AD13" s="1">
        <f t="shared" si="11"/>
        <v>98.283328325809975</v>
      </c>
      <c r="AE13" s="1">
        <f t="shared" si="11"/>
        <v>109.64733816348176</v>
      </c>
      <c r="AF13" s="1">
        <f t="shared" si="11"/>
        <v>115.12970507165588</v>
      </c>
      <c r="AG13" s="1"/>
      <c r="AH13" s="1"/>
      <c r="AI13" s="1"/>
      <c r="AJ13" s="1"/>
      <c r="AK13" s="1"/>
    </row>
    <row r="14" spans="1:109" x14ac:dyDescent="0.25">
      <c r="B14" s="4" t="s">
        <v>17</v>
      </c>
      <c r="C14" s="5"/>
      <c r="D14" s="5"/>
      <c r="E14" s="5">
        <f t="shared" ref="E14:L14" si="12">+E10-E11-E13-E12</f>
        <v>-52.136999999999972</v>
      </c>
      <c r="F14" s="5">
        <f t="shared" si="12"/>
        <v>-55.940000000000012</v>
      </c>
      <c r="G14" s="5">
        <f t="shared" si="12"/>
        <v>10.167999999999997</v>
      </c>
      <c r="H14" s="5">
        <f t="shared" si="12"/>
        <v>22.608999999999966</v>
      </c>
      <c r="I14" s="5">
        <f t="shared" si="12"/>
        <v>21.843000000000014</v>
      </c>
      <c r="J14" s="5">
        <f t="shared" si="12"/>
        <v>39.63900000000001</v>
      </c>
      <c r="K14" s="5">
        <f t="shared" si="12"/>
        <v>16.695999999999998</v>
      </c>
      <c r="L14" s="5">
        <f t="shared" si="12"/>
        <v>35.807999999999986</v>
      </c>
      <c r="M14" s="5"/>
      <c r="N14" s="5"/>
      <c r="O14" s="5"/>
      <c r="Q14" s="5"/>
      <c r="R14" s="5">
        <f>+R10-R11-R13-R12</f>
        <v>6.7339999999999591</v>
      </c>
      <c r="S14" s="5">
        <f>+S10-S11-S13-S12</f>
        <v>-20.174999999999947</v>
      </c>
      <c r="T14" s="5">
        <f>+T10-T11-T13-T12</f>
        <v>-122.20200000000001</v>
      </c>
      <c r="U14" s="5">
        <f>+U10-U11-U13-U12</f>
        <v>94.212000000000046</v>
      </c>
      <c r="V14" s="5">
        <f t="shared" ref="V14:AF14" si="13">+V10-V11-V13-V12</f>
        <v>134.94348480000002</v>
      </c>
      <c r="W14" s="5">
        <f t="shared" si="13"/>
        <v>128.897624052</v>
      </c>
      <c r="X14" s="5">
        <f t="shared" si="13"/>
        <v>147.54770886551995</v>
      </c>
      <c r="Y14" s="5">
        <f t="shared" si="13"/>
        <v>192.42118990787523</v>
      </c>
      <c r="Z14" s="5">
        <f t="shared" si="13"/>
        <v>196.27035823898996</v>
      </c>
      <c r="AA14" s="5">
        <f t="shared" si="13"/>
        <v>216.33389177422956</v>
      </c>
      <c r="AB14" s="5">
        <f t="shared" si="13"/>
        <v>225.31542540555773</v>
      </c>
      <c r="AC14" s="5">
        <f t="shared" si="13"/>
        <v>238.43323330107194</v>
      </c>
      <c r="AD14" s="5">
        <f t="shared" si="13"/>
        <v>221.51191185579847</v>
      </c>
      <c r="AE14" s="5">
        <f t="shared" si="13"/>
        <v>259.96900829449896</v>
      </c>
      <c r="AF14" s="5">
        <f t="shared" si="13"/>
        <v>274.82340087806858</v>
      </c>
      <c r="AG14" s="5">
        <f>+AF14*(1+$AI$37)</f>
        <v>270.70104986489753</v>
      </c>
      <c r="AH14" s="5">
        <f t="shared" ref="AH14:CS14" si="14">+AG14*(1+$AI$37)</f>
        <v>266.64053411692407</v>
      </c>
      <c r="AI14" s="5">
        <f t="shared" si="14"/>
        <v>262.64092610517019</v>
      </c>
      <c r="AJ14" s="5">
        <f t="shared" si="14"/>
        <v>258.70131221359264</v>
      </c>
      <c r="AK14" s="5">
        <f t="shared" si="14"/>
        <v>254.82079253038876</v>
      </c>
      <c r="AL14" s="5">
        <f t="shared" si="14"/>
        <v>250.99848064243292</v>
      </c>
      <c r="AM14" s="5">
        <f t="shared" si="14"/>
        <v>247.23350343279643</v>
      </c>
      <c r="AN14" s="5">
        <f t="shared" si="14"/>
        <v>243.52500088130446</v>
      </c>
      <c r="AO14" s="5">
        <f t="shared" si="14"/>
        <v>239.87212586808491</v>
      </c>
      <c r="AP14" s="5">
        <f t="shared" si="14"/>
        <v>236.27404398006362</v>
      </c>
      <c r="AQ14" s="5">
        <f t="shared" si="14"/>
        <v>232.72993332036268</v>
      </c>
      <c r="AR14" s="5">
        <f t="shared" si="14"/>
        <v>229.23898432055722</v>
      </c>
      <c r="AS14" s="5">
        <f t="shared" si="14"/>
        <v>225.80039955574887</v>
      </c>
      <c r="AT14" s="5">
        <f t="shared" si="14"/>
        <v>222.41339356241264</v>
      </c>
      <c r="AU14" s="5">
        <f t="shared" si="14"/>
        <v>219.07719265897646</v>
      </c>
      <c r="AV14" s="5">
        <f t="shared" si="14"/>
        <v>215.79103476909179</v>
      </c>
      <c r="AW14" s="5">
        <f t="shared" si="14"/>
        <v>212.55416924755542</v>
      </c>
      <c r="AX14" s="5">
        <f t="shared" si="14"/>
        <v>209.36585670884207</v>
      </c>
      <c r="AY14" s="5">
        <f t="shared" si="14"/>
        <v>206.22536885820944</v>
      </c>
      <c r="AZ14" s="5">
        <f t="shared" si="14"/>
        <v>203.13198832533629</v>
      </c>
      <c r="BA14" s="5">
        <f t="shared" si="14"/>
        <v>200.08500850045624</v>
      </c>
      <c r="BB14" s="5">
        <f t="shared" si="14"/>
        <v>197.08373337294938</v>
      </c>
      <c r="BC14" s="5">
        <f t="shared" si="14"/>
        <v>194.12747737235514</v>
      </c>
      <c r="BD14" s="5">
        <f t="shared" si="14"/>
        <v>191.21556521176981</v>
      </c>
      <c r="BE14" s="5">
        <f t="shared" si="14"/>
        <v>188.34733173359325</v>
      </c>
      <c r="BF14" s="5">
        <f t="shared" si="14"/>
        <v>185.52212175758936</v>
      </c>
      <c r="BG14" s="5">
        <f t="shared" si="14"/>
        <v>182.73928993122553</v>
      </c>
      <c r="BH14" s="5">
        <f t="shared" si="14"/>
        <v>179.99820058225714</v>
      </c>
      <c r="BI14" s="5">
        <f t="shared" si="14"/>
        <v>177.29822757352329</v>
      </c>
      <c r="BJ14" s="5">
        <f t="shared" si="14"/>
        <v>174.63875415992044</v>
      </c>
      <c r="BK14" s="5">
        <f t="shared" si="14"/>
        <v>172.01917284752162</v>
      </c>
      <c r="BL14" s="5">
        <f t="shared" si="14"/>
        <v>169.43888525480878</v>
      </c>
      <c r="BM14" s="5">
        <f t="shared" si="14"/>
        <v>166.89730197598664</v>
      </c>
      <c r="BN14" s="5">
        <f t="shared" si="14"/>
        <v>164.39384244634684</v>
      </c>
      <c r="BO14" s="5">
        <f t="shared" si="14"/>
        <v>161.92793480965165</v>
      </c>
      <c r="BP14" s="5">
        <f t="shared" si="14"/>
        <v>159.49901578750686</v>
      </c>
      <c r="BQ14" s="5">
        <f t="shared" si="14"/>
        <v>157.10653055069426</v>
      </c>
      <c r="BR14" s="5">
        <f t="shared" si="14"/>
        <v>154.74993259243385</v>
      </c>
      <c r="BS14" s="5">
        <f t="shared" si="14"/>
        <v>152.42868360354734</v>
      </c>
      <c r="BT14" s="5">
        <f t="shared" si="14"/>
        <v>150.14225334949413</v>
      </c>
      <c r="BU14" s="5">
        <f t="shared" si="14"/>
        <v>147.89011954925172</v>
      </c>
      <c r="BV14" s="5">
        <f t="shared" si="14"/>
        <v>145.67176775601294</v>
      </c>
      <c r="BW14" s="5">
        <f t="shared" si="14"/>
        <v>143.48669123967275</v>
      </c>
      <c r="BX14" s="5">
        <f t="shared" si="14"/>
        <v>141.33439087107766</v>
      </c>
      <c r="BY14" s="5">
        <f t="shared" si="14"/>
        <v>139.2143750080115</v>
      </c>
      <c r="BZ14" s="5">
        <f t="shared" si="14"/>
        <v>137.12615938289133</v>
      </c>
      <c r="CA14" s="5">
        <f t="shared" si="14"/>
        <v>135.06926699214796</v>
      </c>
      <c r="CB14" s="5">
        <f t="shared" si="14"/>
        <v>133.04322798726574</v>
      </c>
      <c r="CC14" s="5">
        <f t="shared" si="14"/>
        <v>131.04757956745675</v>
      </c>
      <c r="CD14" s="5">
        <f t="shared" si="14"/>
        <v>129.08186587394491</v>
      </c>
      <c r="CE14" s="5">
        <f t="shared" si="14"/>
        <v>127.14563788583573</v>
      </c>
      <c r="CF14" s="5">
        <f t="shared" si="14"/>
        <v>125.23845331754819</v>
      </c>
      <c r="CG14" s="5">
        <f t="shared" si="14"/>
        <v>123.35987651778497</v>
      </c>
      <c r="CH14" s="5">
        <f t="shared" si="14"/>
        <v>121.50947837001819</v>
      </c>
      <c r="CI14" s="5">
        <f t="shared" si="14"/>
        <v>119.68683619446792</v>
      </c>
      <c r="CJ14" s="5">
        <f t="shared" si="14"/>
        <v>117.8915336515509</v>
      </c>
      <c r="CK14" s="5">
        <f t="shared" si="14"/>
        <v>116.12316064677763</v>
      </c>
      <c r="CL14" s="5">
        <f t="shared" si="14"/>
        <v>114.38131323707597</v>
      </c>
      <c r="CM14" s="5">
        <f t="shared" si="14"/>
        <v>112.66559353851983</v>
      </c>
      <c r="CN14" s="5">
        <f t="shared" si="14"/>
        <v>110.97560963544203</v>
      </c>
      <c r="CO14" s="5">
        <f t="shared" si="14"/>
        <v>109.31097549091039</v>
      </c>
      <c r="CP14" s="5">
        <f t="shared" si="14"/>
        <v>107.67131085854673</v>
      </c>
      <c r="CQ14" s="5">
        <f t="shared" si="14"/>
        <v>106.05624119566853</v>
      </c>
      <c r="CR14" s="5">
        <f t="shared" si="14"/>
        <v>104.4653975777335</v>
      </c>
      <c r="CS14" s="5">
        <f t="shared" si="14"/>
        <v>102.8984166140675</v>
      </c>
      <c r="CT14" s="5">
        <f t="shared" ref="CT14:DD14" si="15">+CS14*(1+$AI$37)</f>
        <v>101.35494036485649</v>
      </c>
      <c r="CU14" s="5">
        <f t="shared" si="15"/>
        <v>99.834616259383637</v>
      </c>
      <c r="CV14" s="5">
        <f t="shared" si="15"/>
        <v>98.337097015492887</v>
      </c>
      <c r="CW14" s="5">
        <f t="shared" si="15"/>
        <v>96.862040560260496</v>
      </c>
      <c r="CX14" s="5">
        <f t="shared" si="15"/>
        <v>95.409109951856593</v>
      </c>
      <c r="CY14" s="5">
        <f t="shared" si="15"/>
        <v>93.977973302578746</v>
      </c>
      <c r="CZ14" s="5">
        <f t="shared" si="15"/>
        <v>92.568303703040058</v>
      </c>
      <c r="DA14" s="5">
        <f t="shared" si="15"/>
        <v>91.179779147494457</v>
      </c>
      <c r="DB14" s="5">
        <f t="shared" si="15"/>
        <v>89.812082460282042</v>
      </c>
      <c r="DC14" s="5">
        <f t="shared" si="15"/>
        <v>88.464901223377808</v>
      </c>
      <c r="DD14" s="5">
        <f t="shared" si="15"/>
        <v>87.137927705027138</v>
      </c>
      <c r="DE14" s="5"/>
    </row>
    <row r="15" spans="1:109" s="1" customFormat="1" x14ac:dyDescent="0.25">
      <c r="A15" s="5"/>
      <c r="B15" s="1" t="s">
        <v>18</v>
      </c>
      <c r="E15" s="1">
        <v>118.738</v>
      </c>
      <c r="F15" s="1">
        <v>113.52500000000001</v>
      </c>
      <c r="G15" s="1">
        <v>153.226</v>
      </c>
      <c r="H15" s="1">
        <v>153.50899999999999</v>
      </c>
      <c r="I15" s="1">
        <v>153.85400000000001</v>
      </c>
      <c r="J15" s="1">
        <v>153.85400000000001</v>
      </c>
      <c r="K15" s="1">
        <v>154.40700000000001</v>
      </c>
      <c r="L15" s="1">
        <v>154.661</v>
      </c>
      <c r="P15" s="21"/>
      <c r="R15" s="1">
        <v>108.16200000000001</v>
      </c>
      <c r="S15" s="1">
        <v>108.16200000000001</v>
      </c>
      <c r="T15" s="1">
        <v>120.7757</v>
      </c>
      <c r="U15" s="1">
        <v>153.77699999999999</v>
      </c>
    </row>
    <row r="16" spans="1:109" x14ac:dyDescent="0.25">
      <c r="A16" s="7"/>
      <c r="B16" s="8" t="s">
        <v>19</v>
      </c>
      <c r="C16" s="7"/>
      <c r="D16" s="7"/>
      <c r="E16" s="7">
        <f t="shared" ref="E16:L16" si="16">+E14/E15</f>
        <v>-0.43909279253482436</v>
      </c>
      <c r="F16" s="7">
        <f t="shared" si="16"/>
        <v>-0.49275489980180587</v>
      </c>
      <c r="G16" s="7">
        <f t="shared" si="16"/>
        <v>6.6359495124848247E-2</v>
      </c>
      <c r="H16" s="7">
        <f t="shared" si="16"/>
        <v>0.14728126689640325</v>
      </c>
      <c r="I16" s="7">
        <f t="shared" si="16"/>
        <v>0.14197225941476993</v>
      </c>
      <c r="J16" s="7">
        <f t="shared" si="16"/>
        <v>0.25764036034162263</v>
      </c>
      <c r="K16" s="7">
        <f t="shared" si="16"/>
        <v>0.10812981276755586</v>
      </c>
      <c r="L16" s="7">
        <f t="shared" si="16"/>
        <v>0.23152572400281898</v>
      </c>
      <c r="M16" s="7"/>
      <c r="N16" s="7"/>
      <c r="O16" s="7"/>
      <c r="P16" s="9"/>
      <c r="Q16" s="7"/>
      <c r="R16" s="7">
        <f>+R14/R15</f>
        <v>6.2258464155618046E-2</v>
      </c>
      <c r="S16" s="7">
        <f>+S14/S15</f>
        <v>-0.18652576690519726</v>
      </c>
      <c r="T16" s="7">
        <f>+T14/T15</f>
        <v>-1.0118094947907568</v>
      </c>
      <c r="U16" s="7">
        <f>+U14/U15</f>
        <v>0.61265338769777045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5">
      <c r="A17" s="1"/>
      <c r="B17" s="1"/>
      <c r="C17" s="10"/>
      <c r="D17" s="10"/>
      <c r="E17" s="10"/>
      <c r="F17" s="10"/>
      <c r="G17" s="10"/>
      <c r="H17" s="10"/>
      <c r="I17" s="10"/>
      <c r="J17" s="10"/>
      <c r="L17" s="10"/>
      <c r="M17" s="10"/>
      <c r="N17" s="10"/>
      <c r="O17" s="10"/>
      <c r="P17" s="1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1" customFormat="1" x14ac:dyDescent="0.25">
      <c r="B18" s="1" t="s">
        <v>27</v>
      </c>
      <c r="I18" s="1">
        <v>220.464</v>
      </c>
      <c r="J18" s="1">
        <v>250.536</v>
      </c>
      <c r="K18" s="1">
        <v>66.055999999999997</v>
      </c>
      <c r="L18" s="1">
        <v>25.812000000000001</v>
      </c>
      <c r="P18" s="11"/>
      <c r="S18" s="1">
        <v>106</v>
      </c>
      <c r="T18" s="1">
        <v>215</v>
      </c>
      <c r="U18" s="1">
        <v>250.536</v>
      </c>
    </row>
    <row r="19" spans="1:37" s="1" customFormat="1" x14ac:dyDescent="0.25">
      <c r="B19" s="1" t="s">
        <v>31</v>
      </c>
      <c r="I19" s="1">
        <v>172.79</v>
      </c>
      <c r="J19" s="1">
        <v>188.88800000000001</v>
      </c>
      <c r="K19" s="1">
        <v>289.05900000000003</v>
      </c>
      <c r="L19" s="1">
        <v>299.16000000000003</v>
      </c>
      <c r="P19" s="11"/>
      <c r="S19" s="1">
        <v>115.4</v>
      </c>
      <c r="T19" s="1">
        <v>130.07</v>
      </c>
      <c r="U19" s="1">
        <v>188.88800000000001</v>
      </c>
    </row>
    <row r="20" spans="1:37" s="1" customFormat="1" x14ac:dyDescent="0.25">
      <c r="B20" s="1" t="s">
        <v>32</v>
      </c>
      <c r="I20" s="1">
        <v>341.7</v>
      </c>
      <c r="J20" s="1">
        <v>391.012</v>
      </c>
      <c r="K20" s="1">
        <v>435.3</v>
      </c>
      <c r="L20" s="1">
        <v>474.34</v>
      </c>
      <c r="P20" s="11"/>
      <c r="S20" s="1">
        <v>208.7</v>
      </c>
      <c r="T20" s="1">
        <v>261.77</v>
      </c>
      <c r="U20" s="1">
        <v>391.012</v>
      </c>
    </row>
    <row r="21" spans="1:37" s="1" customFormat="1" x14ac:dyDescent="0.25">
      <c r="B21" s="1" t="s">
        <v>28</v>
      </c>
      <c r="I21" s="1">
        <f>1.1+0+464.4</f>
        <v>465.5</v>
      </c>
      <c r="J21" s="1">
        <v>464.71499999999997</v>
      </c>
      <c r="K21" s="1">
        <f>0.2+465</f>
        <v>465.2</v>
      </c>
      <c r="L21" s="1">
        <f>0+0+505.284</f>
        <v>505.28399999999999</v>
      </c>
      <c r="P21" s="11"/>
      <c r="S21" s="1">
        <f>13.579+8.3+1103.3</f>
        <v>1125.1789999999999</v>
      </c>
      <c r="T21" s="1">
        <f>1.1+462.982</f>
        <v>464.08200000000005</v>
      </c>
      <c r="U21" s="1">
        <v>464.71499999999997</v>
      </c>
    </row>
    <row r="22" spans="1:37" s="1" customFormat="1" x14ac:dyDescent="0.25">
      <c r="B22" s="5" t="s">
        <v>34</v>
      </c>
      <c r="I22" s="1">
        <f>I18-I21</f>
        <v>-245.036</v>
      </c>
      <c r="J22" s="1">
        <f t="shared" ref="J22:L22" si="17">J18-J21</f>
        <v>-214.17899999999997</v>
      </c>
      <c r="K22" s="1">
        <f t="shared" si="17"/>
        <v>-399.14400000000001</v>
      </c>
      <c r="L22" s="1">
        <f t="shared" si="17"/>
        <v>-479.47199999999998</v>
      </c>
      <c r="P22" s="11"/>
      <c r="S22" s="1">
        <f t="shared" ref="S22:U22" si="18">S18-S21</f>
        <v>-1019.1789999999999</v>
      </c>
      <c r="T22" s="1">
        <f t="shared" si="18"/>
        <v>-249.08200000000005</v>
      </c>
      <c r="U22" s="1">
        <f t="shared" si="18"/>
        <v>-214.17899999999997</v>
      </c>
      <c r="V22" s="1">
        <f>V14+U22</f>
        <v>-79.235515199999952</v>
      </c>
      <c r="W22" s="1">
        <f t="shared" ref="W22:AF22" si="19">W14+V22</f>
        <v>49.662108852000046</v>
      </c>
      <c r="X22" s="1">
        <f t="shared" si="19"/>
        <v>197.20981771752</v>
      </c>
      <c r="Y22" s="1">
        <f t="shared" si="19"/>
        <v>389.63100762539523</v>
      </c>
      <c r="Z22" s="1">
        <f t="shared" si="19"/>
        <v>585.90136586438518</v>
      </c>
      <c r="AA22" s="1">
        <f t="shared" si="19"/>
        <v>802.23525763861471</v>
      </c>
      <c r="AB22" s="1">
        <f t="shared" si="19"/>
        <v>1027.5506830441725</v>
      </c>
      <c r="AC22" s="1">
        <f t="shared" si="19"/>
        <v>1265.9839163452443</v>
      </c>
      <c r="AD22" s="1">
        <f t="shared" si="19"/>
        <v>1487.4958282010427</v>
      </c>
      <c r="AE22" s="1">
        <f t="shared" si="19"/>
        <v>1747.4648364955417</v>
      </c>
      <c r="AF22" s="1">
        <f t="shared" si="19"/>
        <v>2022.2882373736102</v>
      </c>
    </row>
    <row r="23" spans="1:37" x14ac:dyDescent="0.25">
      <c r="A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2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37" x14ac:dyDescent="0.25">
      <c r="A24" s="13"/>
      <c r="B24" s="13" t="s">
        <v>20</v>
      </c>
      <c r="C24" s="13"/>
      <c r="D24" s="13"/>
      <c r="E24" s="13">
        <f t="shared" ref="E24:L24" si="20">E7/E5</f>
        <v>0.33575014192417901</v>
      </c>
      <c r="F24" s="13">
        <f t="shared" si="20"/>
        <v>0.34204184633105722</v>
      </c>
      <c r="G24" s="13">
        <f t="shared" si="20"/>
        <v>0.34385303815355628</v>
      </c>
      <c r="H24" s="13">
        <f t="shared" si="20"/>
        <v>0.33372225122048566</v>
      </c>
      <c r="I24" s="13">
        <f t="shared" si="20"/>
        <v>0.32631758964617935</v>
      </c>
      <c r="J24" s="13">
        <f t="shared" si="20"/>
        <v>0.32455466253734017</v>
      </c>
      <c r="K24" s="13">
        <f t="shared" si="20"/>
        <v>0.3411628802464382</v>
      </c>
      <c r="L24" s="13">
        <f t="shared" si="20"/>
        <v>0.30902208201892739</v>
      </c>
      <c r="M24" s="13"/>
      <c r="N24" s="13"/>
      <c r="O24" s="13"/>
      <c r="P24" s="14"/>
      <c r="Q24" s="13"/>
      <c r="R24" s="13">
        <f>R7/R5</f>
        <v>0.29632519562044862</v>
      </c>
      <c r="S24" s="13">
        <f>S7/S5</f>
        <v>0.31881138252329394</v>
      </c>
      <c r="T24" s="13">
        <f>T7/T5</f>
        <v>0.3292255067783586</v>
      </c>
      <c r="U24" s="13">
        <f>U7/U5</f>
        <v>0.33077177536324082</v>
      </c>
      <c r="V24" s="13">
        <v>0.33</v>
      </c>
      <c r="W24" s="13">
        <v>0.33</v>
      </c>
      <c r="X24" s="13">
        <v>0.32</v>
      </c>
      <c r="Y24" s="13">
        <v>0.32</v>
      </c>
      <c r="Z24" s="13">
        <v>0.31</v>
      </c>
      <c r="AA24" s="13">
        <v>0.31</v>
      </c>
      <c r="AB24" s="13">
        <v>0.3</v>
      </c>
      <c r="AC24" s="13">
        <v>0.3</v>
      </c>
      <c r="AD24" s="13">
        <v>0.28999999999999998</v>
      </c>
      <c r="AE24" s="13">
        <v>0.28999999999999998</v>
      </c>
      <c r="AF24" s="13">
        <v>0.28999999999999998</v>
      </c>
      <c r="AG24" s="13"/>
      <c r="AH24" s="13"/>
      <c r="AI24" s="13"/>
      <c r="AJ24" s="13"/>
      <c r="AK24" s="13"/>
    </row>
    <row r="25" spans="1:37" x14ac:dyDescent="0.25">
      <c r="A25" s="15"/>
      <c r="B25" s="15" t="s">
        <v>21</v>
      </c>
      <c r="C25" s="15"/>
      <c r="D25" s="15"/>
      <c r="E25" s="15">
        <f t="shared" ref="E25:L25" si="21">E10/E5</f>
        <v>3.5541390454649172E-2</v>
      </c>
      <c r="F25" s="15">
        <f t="shared" si="21"/>
        <v>-0.2352776241105192</v>
      </c>
      <c r="G25" s="15">
        <f t="shared" si="21"/>
        <v>9.2086669806877047E-2</v>
      </c>
      <c r="H25" s="15">
        <f t="shared" si="21"/>
        <v>0.12457654006365962</v>
      </c>
      <c r="I25" s="15">
        <f t="shared" si="21"/>
        <v>0.10643937774466036</v>
      </c>
      <c r="J25" s="15">
        <f t="shared" si="21"/>
        <v>0.15111428257767048</v>
      </c>
      <c r="K25" s="15">
        <f t="shared" si="21"/>
        <v>9.792452830188679E-2</v>
      </c>
      <c r="L25" s="15">
        <f t="shared" si="21"/>
        <v>0.13029148264984225</v>
      </c>
      <c r="M25" s="15"/>
      <c r="N25" s="15"/>
      <c r="O25" s="15"/>
      <c r="P25" s="16"/>
      <c r="Q25" s="15"/>
      <c r="R25" s="15">
        <f t="shared" ref="R25:AF25" si="22">R10/R5</f>
        <v>7.6802018172351272E-2</v>
      </c>
      <c r="S25" s="15">
        <f t="shared" si="22"/>
        <v>7.4326366154621057E-2</v>
      </c>
      <c r="T25" s="15">
        <f t="shared" si="22"/>
        <v>-2.4171011910917774E-2</v>
      </c>
      <c r="U25" s="15">
        <f t="shared" si="22"/>
        <v>0.12144499011849329</v>
      </c>
      <c r="V25" s="15">
        <f t="shared" si="22"/>
        <v>0.13</v>
      </c>
      <c r="W25" s="15">
        <f t="shared" si="22"/>
        <v>0.12000000000000001</v>
      </c>
      <c r="X25" s="15">
        <f t="shared" si="22"/>
        <v>0.10999999999999999</v>
      </c>
      <c r="Y25" s="15">
        <f t="shared" si="22"/>
        <v>0.12000000000000001</v>
      </c>
      <c r="Z25" s="15">
        <f t="shared" si="22"/>
        <v>0.10999999999999999</v>
      </c>
      <c r="AA25" s="15">
        <f t="shared" si="22"/>
        <v>0.11000000000000003</v>
      </c>
      <c r="AB25" s="15">
        <f t="shared" si="22"/>
        <v>0.10999999999999997</v>
      </c>
      <c r="AC25" s="15">
        <f t="shared" si="22"/>
        <v>0.10999999999999999</v>
      </c>
      <c r="AD25" s="15">
        <f t="shared" si="22"/>
        <v>9.999999999999995E-2</v>
      </c>
      <c r="AE25" s="15">
        <f t="shared" si="22"/>
        <v>0.10999999999999997</v>
      </c>
      <c r="AF25" s="15">
        <f t="shared" si="22"/>
        <v>0.11</v>
      </c>
      <c r="AG25" s="15"/>
      <c r="AH25" s="15"/>
      <c r="AI25" s="15"/>
      <c r="AJ25" s="15"/>
      <c r="AK25" s="15"/>
    </row>
    <row r="26" spans="1:37" s="18" customFormat="1" x14ac:dyDescent="0.25">
      <c r="B26" s="18" t="s">
        <v>22</v>
      </c>
      <c r="E26" s="18">
        <f t="shared" ref="E26:L26" si="23">E13/E5</f>
        <v>-1.1622137489886506E-2</v>
      </c>
      <c r="F26" s="18">
        <f t="shared" si="23"/>
        <v>-4.7363196144256929E-2</v>
      </c>
      <c r="G26" s="18">
        <f t="shared" si="23"/>
        <v>1.5807819123881298E-2</v>
      </c>
      <c r="H26" s="18">
        <f t="shared" si="23"/>
        <v>2.578116204570809E-2</v>
      </c>
      <c r="I26" s="18">
        <f t="shared" si="23"/>
        <v>2.6907596181448386E-2</v>
      </c>
      <c r="J26" s="18">
        <f t="shared" si="23"/>
        <v>2.5839106493866681E-2</v>
      </c>
      <c r="K26" s="18">
        <f t="shared" si="23"/>
        <v>1.7654986522911052E-2</v>
      </c>
      <c r="L26" s="18">
        <f t="shared" si="23"/>
        <v>2.9804416403785491E-2</v>
      </c>
      <c r="P26" s="19"/>
      <c r="R26" s="18">
        <f>R13/R5</f>
        <v>-3.3895321976224878E-2</v>
      </c>
      <c r="S26" s="18">
        <f>S13/S5</f>
        <v>-5.0365147318055898E-3</v>
      </c>
      <c r="T26" s="18">
        <f>T13/T5</f>
        <v>-9.2298214418760349E-3</v>
      </c>
      <c r="U26" s="18">
        <f>U13/U5</f>
        <v>2.4316140359805592E-2</v>
      </c>
      <c r="V26" s="18">
        <v>2.8000000000000001E-2</v>
      </c>
      <c r="W26" s="18">
        <v>2.8000000000000001E-2</v>
      </c>
      <c r="X26" s="18">
        <v>2.8000000000000001E-2</v>
      </c>
      <c r="Y26" s="18">
        <v>0.03</v>
      </c>
      <c r="Z26" s="18">
        <v>0.03</v>
      </c>
      <c r="AA26" s="18">
        <v>0.03</v>
      </c>
      <c r="AB26" s="18">
        <v>3.2000000000000001E-2</v>
      </c>
      <c r="AC26" s="18">
        <v>3.2000000000000001E-2</v>
      </c>
      <c r="AD26" s="18">
        <v>3.2000000000000001E-2</v>
      </c>
      <c r="AE26" s="18">
        <v>3.4000000000000002E-2</v>
      </c>
      <c r="AF26" s="18">
        <v>3.4000000000000002E-2</v>
      </c>
    </row>
    <row r="27" spans="1:37" x14ac:dyDescent="0.25">
      <c r="A27" s="15"/>
      <c r="B27" s="15" t="s">
        <v>35</v>
      </c>
      <c r="C27" s="15"/>
      <c r="D27" s="15"/>
      <c r="E27" s="15"/>
      <c r="F27" s="15"/>
      <c r="G27" s="15"/>
      <c r="H27" s="15"/>
      <c r="I27" s="15">
        <f>I5/I20</f>
        <v>0.9583084577114428</v>
      </c>
      <c r="J27" s="15">
        <f>J5/J20</f>
        <v>0.88524648859881527</v>
      </c>
      <c r="K27" s="15">
        <f>K5/K20</f>
        <v>0.59660004594532501</v>
      </c>
      <c r="L27" s="15">
        <f>L5/L20</f>
        <v>0.83537125268794543</v>
      </c>
      <c r="M27" s="15"/>
      <c r="N27" s="15"/>
      <c r="O27" s="15"/>
      <c r="P27" s="16"/>
      <c r="Q27" s="15"/>
      <c r="R27" s="15"/>
      <c r="S27" s="15">
        <f>S5/S20</f>
        <v>3.8054623862002881</v>
      </c>
      <c r="T27" s="15">
        <f>T5/T20</f>
        <v>3.4353019826565308</v>
      </c>
      <c r="U27" s="15">
        <f>U5/U20</f>
        <v>3.0151760048284966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5">
      <c r="A28" s="15"/>
      <c r="B28" s="15" t="s">
        <v>41</v>
      </c>
      <c r="C28" s="15"/>
      <c r="D28" s="15"/>
      <c r="E28" s="15">
        <f t="shared" ref="E28:L28" si="24">E8/E5</f>
        <v>0.2912686457080787</v>
      </c>
      <c r="F28" s="15">
        <f t="shared" si="24"/>
        <v>0.56814995566804827</v>
      </c>
      <c r="G28" s="15">
        <f t="shared" si="24"/>
        <v>0.2517663683466792</v>
      </c>
      <c r="H28" s="15">
        <f t="shared" si="24"/>
        <v>0.20522241668116581</v>
      </c>
      <c r="I28" s="15">
        <f t="shared" si="24"/>
        <v>0.21468664300939977</v>
      </c>
      <c r="J28" s="15">
        <f t="shared" si="24"/>
        <v>0.17419151677635186</v>
      </c>
      <c r="K28" s="15">
        <f t="shared" si="24"/>
        <v>0.2432383519445514</v>
      </c>
      <c r="L28" s="15">
        <f t="shared" si="24"/>
        <v>0.17873059936908517</v>
      </c>
      <c r="M28" s="15"/>
      <c r="N28" s="15"/>
      <c r="O28" s="15"/>
      <c r="P28" s="16"/>
      <c r="Q28" s="15"/>
      <c r="R28" s="15">
        <f>R8/R5</f>
        <v>0.2122307697948827</v>
      </c>
      <c r="S28" s="15">
        <f>S8/S5</f>
        <v>0.23113825232938803</v>
      </c>
      <c r="T28" s="15">
        <f>T8/T5</f>
        <v>0.3428100246981125</v>
      </c>
      <c r="U28" s="15">
        <f>U8/U5</f>
        <v>0.207129952416092</v>
      </c>
      <c r="V28" s="15">
        <v>0.2</v>
      </c>
      <c r="W28" s="15">
        <v>0.21</v>
      </c>
      <c r="X28" s="15">
        <v>0.21</v>
      </c>
      <c r="Y28" s="15">
        <v>0.2</v>
      </c>
      <c r="Z28" s="15">
        <v>0.2</v>
      </c>
      <c r="AA28" s="15">
        <v>0.2</v>
      </c>
      <c r="AB28" s="15">
        <v>0.19</v>
      </c>
      <c r="AC28" s="15">
        <v>0.19</v>
      </c>
      <c r="AD28" s="15">
        <v>0.19</v>
      </c>
      <c r="AE28" s="15">
        <v>0.18</v>
      </c>
      <c r="AF28" s="15">
        <v>0.18</v>
      </c>
      <c r="AG28" s="15"/>
      <c r="AH28" s="15"/>
      <c r="AI28" s="15"/>
      <c r="AJ28" s="15"/>
      <c r="AK28" s="15"/>
    </row>
    <row r="29" spans="1:37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s="15" customFormat="1" x14ac:dyDescent="0.25">
      <c r="B30" s="1" t="s">
        <v>50</v>
      </c>
      <c r="I30" s="15">
        <f t="shared" ref="I30:L32" si="25">I3/E3-1</f>
        <v>0.51199642781115173</v>
      </c>
      <c r="J30" s="15">
        <f t="shared" si="25"/>
        <v>0.31129622227093523</v>
      </c>
      <c r="K30" s="15">
        <f t="shared" si="25"/>
        <v>0.19119263089851346</v>
      </c>
      <c r="L30" s="15">
        <f t="shared" si="25"/>
        <v>0.33622425629290631</v>
      </c>
      <c r="P30" s="16"/>
      <c r="S30" s="15">
        <f t="shared" ref="S30:U32" si="26">S3/R3-1</f>
        <v>0.20944200464996121</v>
      </c>
      <c r="T30" s="15">
        <f t="shared" si="26"/>
        <v>0.17655485967548756</v>
      </c>
      <c r="U30" s="15">
        <f t="shared" si="26"/>
        <v>0.35395575796163459</v>
      </c>
      <c r="V30" s="15">
        <v>0.25</v>
      </c>
      <c r="W30" s="15">
        <v>-0.01</v>
      </c>
      <c r="X30" s="15">
        <v>0.22</v>
      </c>
      <c r="Y30" s="15">
        <v>0.18</v>
      </c>
      <c r="Z30" s="15">
        <v>0.14000000000000001</v>
      </c>
      <c r="AA30" s="15">
        <v>0.1</v>
      </c>
      <c r="AB30" s="15">
        <v>0.06</v>
      </c>
      <c r="AC30" s="15">
        <v>0.05</v>
      </c>
      <c r="AD30" s="15">
        <v>0.05</v>
      </c>
      <c r="AE30" s="15">
        <v>0.05</v>
      </c>
      <c r="AF30" s="15">
        <v>0.05</v>
      </c>
    </row>
    <row r="31" spans="1:37" s="15" customFormat="1" x14ac:dyDescent="0.25">
      <c r="B31" s="1" t="s">
        <v>51</v>
      </c>
      <c r="I31" s="15">
        <f t="shared" si="25"/>
        <v>0.16498457186937521</v>
      </c>
      <c r="J31" s="15">
        <f t="shared" si="25"/>
        <v>0.3134495442187748</v>
      </c>
      <c r="K31" s="15">
        <f t="shared" si="25"/>
        <v>0.44811922817028305</v>
      </c>
      <c r="L31" s="15">
        <f t="shared" si="25"/>
        <v>0.4854368932038835</v>
      </c>
      <c r="P31" s="16"/>
      <c r="S31" s="15">
        <f t="shared" si="26"/>
        <v>-8.162973552537478E-3</v>
      </c>
      <c r="T31" s="15">
        <f t="shared" si="26"/>
        <v>-7.688205364735734E-2</v>
      </c>
      <c r="U31" s="15">
        <f t="shared" si="26"/>
        <v>5.2759778280896397E-2</v>
      </c>
      <c r="V31" s="15">
        <v>0.3</v>
      </c>
      <c r="W31" s="15">
        <v>-0.01</v>
      </c>
      <c r="X31" s="15">
        <v>0.25</v>
      </c>
      <c r="Y31" s="15">
        <v>0.18</v>
      </c>
      <c r="Z31" s="15">
        <v>0.11</v>
      </c>
      <c r="AA31" s="15">
        <v>0.05</v>
      </c>
      <c r="AB31" s="15">
        <v>0.05</v>
      </c>
      <c r="AC31" s="15">
        <v>0.05</v>
      </c>
      <c r="AD31" s="15">
        <v>0.05</v>
      </c>
      <c r="AE31" s="15">
        <v>0.05</v>
      </c>
      <c r="AF31" s="15">
        <v>0.05</v>
      </c>
    </row>
    <row r="32" spans="1:37" s="4" customFormat="1" x14ac:dyDescent="0.25">
      <c r="A32" s="13"/>
      <c r="B32" s="13" t="s">
        <v>23</v>
      </c>
      <c r="C32" s="13"/>
      <c r="D32" s="13"/>
      <c r="E32" s="13"/>
      <c r="F32" s="13"/>
      <c r="G32" s="13"/>
      <c r="H32" s="13"/>
      <c r="I32" s="13">
        <f t="shared" si="25"/>
        <v>0.46373669600511369</v>
      </c>
      <c r="J32" s="13">
        <f t="shared" si="25"/>
        <v>0.31155131518123036</v>
      </c>
      <c r="K32" s="13">
        <f t="shared" si="25"/>
        <v>0.22326895902025434</v>
      </c>
      <c r="L32" s="13">
        <f t="shared" si="25"/>
        <v>0.35183081389596804</v>
      </c>
      <c r="M32" s="13"/>
      <c r="N32" s="13"/>
      <c r="O32" s="13"/>
      <c r="P32" s="14"/>
      <c r="Q32" s="13"/>
      <c r="R32" s="13"/>
      <c r="S32" s="13">
        <f t="shared" si="26"/>
        <v>0.16484918708428387</v>
      </c>
      <c r="T32" s="13">
        <f t="shared" si="26"/>
        <v>0.13228280030219075</v>
      </c>
      <c r="U32" s="13">
        <f t="shared" si="26"/>
        <v>0.31104609461790211</v>
      </c>
      <c r="V32" s="13">
        <f t="shared" ref="V32:AF32" si="27">V5/U5-1</f>
        <v>0.25572313120774925</v>
      </c>
      <c r="W32" s="13">
        <f t="shared" si="27"/>
        <v>-1.0000000000000009E-2</v>
      </c>
      <c r="X32" s="13">
        <f t="shared" si="27"/>
        <v>0.223552323166605</v>
      </c>
      <c r="Y32" s="13">
        <f t="shared" si="27"/>
        <v>0.18000000000000016</v>
      </c>
      <c r="Z32" s="13">
        <f t="shared" si="27"/>
        <v>0.13637089164543093</v>
      </c>
      <c r="AA32" s="13">
        <f t="shared" si="27"/>
        <v>9.4091849320223631E-2</v>
      </c>
      <c r="AB32" s="13">
        <f t="shared" si="27"/>
        <v>5.8865989502139282E-2</v>
      </c>
      <c r="AC32" s="13">
        <f t="shared" si="27"/>
        <v>5.0000000000000044E-2</v>
      </c>
      <c r="AD32" s="13">
        <f t="shared" si="27"/>
        <v>5.0000000000000044E-2</v>
      </c>
      <c r="AE32" s="13">
        <f t="shared" si="27"/>
        <v>5.0000000000000044E-2</v>
      </c>
      <c r="AF32" s="13">
        <f t="shared" si="27"/>
        <v>5.0000000000000266E-2</v>
      </c>
      <c r="AG32" s="13"/>
      <c r="AH32" s="13"/>
      <c r="AI32" s="13"/>
      <c r="AJ32" s="13"/>
      <c r="AK32" s="13"/>
    </row>
    <row r="33" spans="1:37" x14ac:dyDescent="0.25">
      <c r="A33" s="13"/>
      <c r="B33" s="13" t="s">
        <v>24</v>
      </c>
      <c r="C33" s="13"/>
      <c r="D33" s="13"/>
      <c r="E33" s="13"/>
      <c r="F33" s="13"/>
      <c r="G33" s="13"/>
      <c r="H33" s="13"/>
      <c r="I33" s="13">
        <f>+I10/E10-1</f>
        <v>3.3835995472267539</v>
      </c>
      <c r="J33" s="13">
        <f>+J10/F10-1</f>
        <v>-1.8423841272908816</v>
      </c>
      <c r="K33" s="13">
        <f>+K10/G10-1</f>
        <v>0.30081841432225076</v>
      </c>
      <c r="L33" s="13">
        <f>+L10/H10-1</f>
        <v>0.41384598532150374</v>
      </c>
      <c r="M33" s="13"/>
      <c r="N33" s="13"/>
      <c r="O33" s="13"/>
      <c r="P33" s="14"/>
      <c r="Q33" s="13"/>
      <c r="R33" s="13"/>
      <c r="S33" s="13">
        <f t="shared" ref="S33:T33" si="28">S14/R14-1</f>
        <v>-3.9959904959905064</v>
      </c>
      <c r="T33" s="13">
        <f t="shared" si="28"/>
        <v>5.0571003717472287</v>
      </c>
      <c r="U33" s="13">
        <f>U14/T14-1</f>
        <v>-1.7709530122256596</v>
      </c>
      <c r="V33" s="13">
        <f t="shared" ref="V33:AF33" si="29">V14/U14-1</f>
        <v>0.43233860654693612</v>
      </c>
      <c r="W33" s="13">
        <f t="shared" si="29"/>
        <v>-4.4802909580707873E-2</v>
      </c>
      <c r="X33" s="13">
        <f t="shared" si="29"/>
        <v>0.14468912790817701</v>
      </c>
      <c r="Y33" s="13">
        <f t="shared" si="29"/>
        <v>0.30412861973515648</v>
      </c>
      <c r="Z33" s="13">
        <f t="shared" si="29"/>
        <v>2.0003869287772202E-2</v>
      </c>
      <c r="AA33" s="13">
        <f t="shared" si="29"/>
        <v>0.10222396145427681</v>
      </c>
      <c r="AB33" s="13">
        <f t="shared" si="29"/>
        <v>4.1516997441628289E-2</v>
      </c>
      <c r="AC33" s="13">
        <f t="shared" si="29"/>
        <v>5.8219750697950268E-2</v>
      </c>
      <c r="AD33" s="13">
        <f t="shared" si="29"/>
        <v>-7.0968804184720069E-2</v>
      </c>
      <c r="AE33" s="13">
        <f t="shared" si="29"/>
        <v>0.1736118663620021</v>
      </c>
      <c r="AF33" s="13">
        <f t="shared" si="29"/>
        <v>5.7139090082392485E-2</v>
      </c>
      <c r="AG33" s="13"/>
      <c r="AH33" s="13"/>
      <c r="AI33" s="13"/>
      <c r="AJ33" s="13"/>
      <c r="AK33" s="13"/>
    </row>
    <row r="34" spans="1:37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5">
      <c r="B35" s="1"/>
    </row>
    <row r="36" spans="1:37" s="18" customFormat="1" x14ac:dyDescent="0.25">
      <c r="B36" s="18" t="s">
        <v>36</v>
      </c>
      <c r="J36" s="18">
        <f>(1+J11/I22)^4-1</f>
        <v>-5.9419222423483298E-2</v>
      </c>
      <c r="K36" s="18">
        <f>(1+K11/J22)^4-1</f>
        <v>-7.5281572287053899E-2</v>
      </c>
      <c r="L36" s="18">
        <f>(1+L11/K22)^4-1</f>
        <v>-3.9584450993475073E-2</v>
      </c>
      <c r="P36" s="19"/>
      <c r="T36" s="18">
        <f t="shared" ref="T36:AF36" si="30">T11/S22</f>
        <v>-6.983954732191304E-2</v>
      </c>
      <c r="U36" s="18">
        <f t="shared" si="30"/>
        <v>-8.1499265302189622E-2</v>
      </c>
      <c r="V36" s="18">
        <f t="shared" si="30"/>
        <v>-7.4999999999999997E-2</v>
      </c>
      <c r="W36" s="18">
        <f t="shared" si="30"/>
        <v>-7.4999999999999997E-2</v>
      </c>
      <c r="X36" s="18">
        <f t="shared" si="30"/>
        <v>-0.01</v>
      </c>
      <c r="Y36" s="18">
        <f t="shared" si="30"/>
        <v>-0.01</v>
      </c>
      <c r="Z36" s="18">
        <f t="shared" si="30"/>
        <v>-0.01</v>
      </c>
      <c r="AA36" s="18">
        <f t="shared" si="30"/>
        <v>-0.01</v>
      </c>
      <c r="AB36" s="18">
        <f t="shared" si="30"/>
        <v>-0.01</v>
      </c>
      <c r="AC36" s="18">
        <f t="shared" si="30"/>
        <v>-0.01</v>
      </c>
      <c r="AD36" s="18">
        <f t="shared" si="30"/>
        <v>-0.01</v>
      </c>
      <c r="AE36" s="18">
        <f t="shared" si="30"/>
        <v>-0.01</v>
      </c>
      <c r="AF36" s="18">
        <f t="shared" si="30"/>
        <v>-0.01</v>
      </c>
    </row>
    <row r="37" spans="1:37" x14ac:dyDescent="0.25">
      <c r="AH37" s="10" t="s">
        <v>37</v>
      </c>
      <c r="AI37" s="18">
        <v>-1.4999999999999999E-2</v>
      </c>
    </row>
    <row r="38" spans="1:37" x14ac:dyDescent="0.25">
      <c r="AH38" s="15" t="s">
        <v>38</v>
      </c>
      <c r="AI38" s="18">
        <v>-0.01</v>
      </c>
    </row>
    <row r="39" spans="1:37" x14ac:dyDescent="0.25">
      <c r="AH39" t="s">
        <v>39</v>
      </c>
      <c r="AI39" s="18">
        <v>0.08</v>
      </c>
    </row>
    <row r="40" spans="1:37" x14ac:dyDescent="0.25">
      <c r="AH40" s="15" t="s">
        <v>40</v>
      </c>
      <c r="AI40" s="20">
        <f>NPV(AI39,W14:DD14)</f>
        <v>2666.8844433216959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2022-07-29T15:39:37Z</dcterms:created>
  <dcterms:modified xsi:type="dcterms:W3CDTF">2022-08-03T03:14:28Z</dcterms:modified>
</cp:coreProperties>
</file>