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A1749404-EDCA-4980-BFED-3987A8DBFEEC}" xr6:coauthVersionLast="47" xr6:coauthVersionMax="47" xr10:uidLastSave="{00000000-0000-0000-0000-000000000000}"/>
  <bookViews>
    <workbookView xWindow="25890" yWindow="3420" windowWidth="1582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V8" i="1"/>
  <c r="V12" i="1" s="1"/>
  <c r="V16" i="1" s="1"/>
  <c r="V15" i="1"/>
  <c r="V28" i="1"/>
  <c r="V13" i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V10" i="1"/>
  <c r="V6" i="1"/>
  <c r="V9" i="1"/>
  <c r="V5" i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W3" i="1"/>
  <c r="X3" i="1" s="1"/>
  <c r="Y3" i="1" s="1"/>
  <c r="Z3" i="1" s="1"/>
  <c r="AA3" i="1" s="1"/>
  <c r="AB3" i="1" s="1"/>
  <c r="AC3" i="1" s="1"/>
  <c r="AD3" i="1" s="1"/>
  <c r="AE3" i="1" s="1"/>
  <c r="AF3" i="1" s="1"/>
  <c r="V3" i="1"/>
  <c r="I34" i="1"/>
  <c r="L36" i="1"/>
  <c r="K36" i="1"/>
  <c r="J36" i="1"/>
  <c r="I36" i="1"/>
  <c r="U24" i="1"/>
  <c r="T24" i="1"/>
  <c r="L24" i="1"/>
  <c r="K24" i="1"/>
  <c r="J24" i="1"/>
  <c r="I24" i="1"/>
  <c r="F24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3" i="1"/>
  <c r="F4" i="1"/>
  <c r="F5" i="1"/>
  <c r="F15" i="1"/>
  <c r="F14" i="1"/>
  <c r="F13" i="1"/>
  <c r="F10" i="1"/>
  <c r="F9" i="1"/>
  <c r="F8" i="1"/>
  <c r="F7" i="1"/>
  <c r="F6" i="1"/>
  <c r="E10" i="1"/>
  <c r="E8" i="1"/>
  <c r="I10" i="1"/>
  <c r="I8" i="1"/>
  <c r="I23" i="1"/>
  <c r="G10" i="1"/>
  <c r="G8" i="1"/>
  <c r="H12" i="1"/>
  <c r="K12" i="1"/>
  <c r="L12" i="1"/>
  <c r="S12" i="1"/>
  <c r="T12" i="1"/>
  <c r="U12" i="1"/>
  <c r="K10" i="1"/>
  <c r="K8" i="1"/>
  <c r="L23" i="1"/>
  <c r="H10" i="1"/>
  <c r="H8" i="1"/>
  <c r="L10" i="1"/>
  <c r="L8" i="1"/>
  <c r="L26" i="1" s="1"/>
  <c r="L39" i="1"/>
  <c r="L35" i="1"/>
  <c r="L34" i="1"/>
  <c r="L33" i="1"/>
  <c r="L32" i="1"/>
  <c r="L30" i="1"/>
  <c r="L29" i="1"/>
  <c r="L28" i="1"/>
  <c r="S10" i="1"/>
  <c r="T10" i="1"/>
  <c r="U10" i="1"/>
  <c r="S6" i="1"/>
  <c r="S8" i="1" s="1"/>
  <c r="T6" i="1"/>
  <c r="T8" i="1" s="1"/>
  <c r="U6" i="1"/>
  <c r="U8" i="1" s="1"/>
  <c r="U16" i="1" s="1"/>
  <c r="U18" i="1" s="1"/>
  <c r="K34" i="1"/>
  <c r="N17" i="2"/>
  <c r="N16" i="2"/>
  <c r="N15" i="2"/>
  <c r="V24" i="1" l="1"/>
  <c r="W13" i="1" s="1"/>
  <c r="V26" i="1"/>
  <c r="AF6" i="1"/>
  <c r="AF9" i="1" s="1"/>
  <c r="W6" i="1"/>
  <c r="Y6" i="1"/>
  <c r="X6" i="1"/>
  <c r="X9" i="1" s="1"/>
  <c r="AB6" i="1"/>
  <c r="AB8" i="1" s="1"/>
  <c r="Z6" i="1"/>
  <c r="Z8" i="1" s="1"/>
  <c r="AA6" i="1"/>
  <c r="AA8" i="1" s="1"/>
  <c r="AD6" i="1"/>
  <c r="AD8" i="1" s="1"/>
  <c r="AE6" i="1"/>
  <c r="AE8" i="1" s="1"/>
  <c r="Y15" i="1"/>
  <c r="Y28" i="1" s="1"/>
  <c r="AC6" i="1"/>
  <c r="AC8" i="1" s="1"/>
  <c r="W15" i="1"/>
  <c r="W28" i="1" s="1"/>
  <c r="W9" i="1"/>
  <c r="F12" i="1"/>
  <c r="F16" i="1" s="1"/>
  <c r="F18" i="1" s="1"/>
  <c r="E12" i="1"/>
  <c r="E16" i="1" s="1"/>
  <c r="E18" i="1" s="1"/>
  <c r="I12" i="1"/>
  <c r="I16" i="1" s="1"/>
  <c r="I18" i="1" s="1"/>
  <c r="G12" i="1"/>
  <c r="G16" i="1" s="1"/>
  <c r="G18" i="1" s="1"/>
  <c r="K16" i="1"/>
  <c r="K18" i="1" s="1"/>
  <c r="H16" i="1"/>
  <c r="H18" i="1" s="1"/>
  <c r="L27" i="1"/>
  <c r="K28" i="1"/>
  <c r="J28" i="1"/>
  <c r="I28" i="1"/>
  <c r="H28" i="1"/>
  <c r="G28" i="1"/>
  <c r="F28" i="1"/>
  <c r="E28" i="1"/>
  <c r="U28" i="1"/>
  <c r="T28" i="1"/>
  <c r="S28" i="1"/>
  <c r="J39" i="1"/>
  <c r="K39" i="1"/>
  <c r="W8" i="1" l="1"/>
  <c r="W12" i="1" s="1"/>
  <c r="W16" i="1" s="1"/>
  <c r="AF15" i="1"/>
  <c r="AF28" i="1" s="1"/>
  <c r="AF8" i="1"/>
  <c r="Y8" i="1"/>
  <c r="Y26" i="1" s="1"/>
  <c r="X8" i="1"/>
  <c r="X26" i="1" s="1"/>
  <c r="Y9" i="1"/>
  <c r="Y12" i="1" s="1"/>
  <c r="X12" i="1"/>
  <c r="X15" i="1"/>
  <c r="X28" i="1" s="1"/>
  <c r="W24" i="1"/>
  <c r="X13" i="1" s="1"/>
  <c r="AE9" i="1"/>
  <c r="AE15" i="1"/>
  <c r="AE28" i="1" s="1"/>
  <c r="AA9" i="1"/>
  <c r="AA15" i="1"/>
  <c r="AA28" i="1" s="1"/>
  <c r="AF26" i="1"/>
  <c r="AF12" i="1"/>
  <c r="AC9" i="1"/>
  <c r="AC15" i="1"/>
  <c r="AC28" i="1" s="1"/>
  <c r="Z9" i="1"/>
  <c r="Z15" i="1"/>
  <c r="Z28" i="1" s="1"/>
  <c r="AD9" i="1"/>
  <c r="AD15" i="1"/>
  <c r="AD28" i="1" s="1"/>
  <c r="AB9" i="1"/>
  <c r="AB15" i="1"/>
  <c r="AB28" i="1" s="1"/>
  <c r="S16" i="1"/>
  <c r="S18" i="1" s="1"/>
  <c r="T16" i="1"/>
  <c r="T18" i="1" s="1"/>
  <c r="L16" i="1"/>
  <c r="L18" i="1" s="1"/>
  <c r="V39" i="1"/>
  <c r="V35" i="1"/>
  <c r="V27" i="1"/>
  <c r="U35" i="1"/>
  <c r="T35" i="1"/>
  <c r="U34" i="1"/>
  <c r="T34" i="1"/>
  <c r="U33" i="1"/>
  <c r="T33" i="1"/>
  <c r="T32" i="1"/>
  <c r="U32" i="1"/>
  <c r="W26" i="1" l="1"/>
  <c r="X16" i="1"/>
  <c r="X24" i="1" s="1"/>
  <c r="Y13" i="1" s="1"/>
  <c r="Y16" i="1" s="1"/>
  <c r="Y24" i="1" s="1"/>
  <c r="Z13" i="1" s="1"/>
  <c r="AC26" i="1"/>
  <c r="AC12" i="1"/>
  <c r="AE26" i="1"/>
  <c r="AE12" i="1"/>
  <c r="AA26" i="1"/>
  <c r="AA12" i="1"/>
  <c r="AB26" i="1"/>
  <c r="AB12" i="1"/>
  <c r="AD26" i="1"/>
  <c r="AD12" i="1"/>
  <c r="Z26" i="1"/>
  <c r="Z12" i="1"/>
  <c r="Z16" i="1" s="1"/>
  <c r="W39" i="1"/>
  <c r="Y35" i="1"/>
  <c r="V36" i="1"/>
  <c r="X35" i="1"/>
  <c r="W35" i="1"/>
  <c r="W27" i="1"/>
  <c r="J34" i="1"/>
  <c r="K33" i="1"/>
  <c r="J33" i="1"/>
  <c r="I33" i="1"/>
  <c r="K32" i="1"/>
  <c r="J32" i="1"/>
  <c r="I32" i="1"/>
  <c r="K35" i="1"/>
  <c r="I35" i="1"/>
  <c r="U30" i="1"/>
  <c r="T30" i="1"/>
  <c r="S30" i="1"/>
  <c r="U29" i="1"/>
  <c r="T29" i="1"/>
  <c r="S29" i="1"/>
  <c r="K30" i="1"/>
  <c r="I30" i="1"/>
  <c r="H30" i="1"/>
  <c r="G30" i="1"/>
  <c r="E30" i="1"/>
  <c r="K29" i="1"/>
  <c r="I29" i="1"/>
  <c r="U39" i="1"/>
  <c r="N5" i="2"/>
  <c r="N8" i="2" s="1"/>
  <c r="Z24" i="1" l="1"/>
  <c r="AA13" i="1" s="1"/>
  <c r="AA16" i="1" s="1"/>
  <c r="AA24" i="1" s="1"/>
  <c r="AB13" i="1" s="1"/>
  <c r="X27" i="1"/>
  <c r="U36" i="1"/>
  <c r="T36" i="1"/>
  <c r="E26" i="1"/>
  <c r="H27" i="1"/>
  <c r="I27" i="1"/>
  <c r="S26" i="1"/>
  <c r="I26" i="1"/>
  <c r="T26" i="1"/>
  <c r="F29" i="1"/>
  <c r="H26" i="1"/>
  <c r="U26" i="1"/>
  <c r="S27" i="1"/>
  <c r="T27" i="1"/>
  <c r="K26" i="1"/>
  <c r="U27" i="1"/>
  <c r="G27" i="1"/>
  <c r="K27" i="1"/>
  <c r="G26" i="1"/>
  <c r="E27" i="1"/>
  <c r="AB16" i="1" l="1"/>
  <c r="AB24" i="1" s="1"/>
  <c r="AC13" i="1" s="1"/>
  <c r="Z35" i="1"/>
  <c r="Y27" i="1"/>
  <c r="F30" i="1"/>
  <c r="AC16" i="1" l="1"/>
  <c r="Z27" i="1"/>
  <c r="AA35" i="1"/>
  <c r="W36" i="1"/>
  <c r="F26" i="1"/>
  <c r="AC24" i="1" l="1"/>
  <c r="AD13" i="1" s="1"/>
  <c r="AD16" i="1"/>
  <c r="AD24" i="1" s="1"/>
  <c r="AE13" i="1" s="1"/>
  <c r="AB35" i="1"/>
  <c r="F27" i="1"/>
  <c r="AE16" i="1" l="1"/>
  <c r="AE24" i="1" s="1"/>
  <c r="AF13" i="1" s="1"/>
  <c r="AC35" i="1"/>
  <c r="AA27" i="1"/>
  <c r="X39" i="1"/>
  <c r="AF16" i="1" l="1"/>
  <c r="AD35" i="1"/>
  <c r="AB27" i="1"/>
  <c r="X36" i="1"/>
  <c r="AF24" i="1" l="1"/>
  <c r="AG16" i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AI43" i="1" s="1"/>
  <c r="AE35" i="1"/>
  <c r="AC27" i="1"/>
  <c r="AF35" i="1" l="1"/>
  <c r="AD27" i="1"/>
  <c r="Y39" i="1"/>
  <c r="N18" i="2" l="1"/>
  <c r="AE27" i="1"/>
  <c r="AF27" i="1"/>
  <c r="Y36" i="1"/>
  <c r="Z39" i="1" l="1"/>
  <c r="Z36" i="1" l="1"/>
  <c r="AA39" i="1" l="1"/>
  <c r="AA36" i="1" l="1"/>
  <c r="AB39" i="1" l="1"/>
  <c r="AB36" i="1" l="1"/>
  <c r="AC39" i="1" l="1"/>
  <c r="AC36" i="1" l="1"/>
  <c r="AD39" i="1" l="1"/>
  <c r="AD36" i="1" l="1"/>
  <c r="AE39" i="1" l="1"/>
  <c r="AE36" i="1" l="1"/>
  <c r="AF39" i="1" l="1"/>
  <c r="AF36" i="1" l="1"/>
  <c r="J27" i="1"/>
  <c r="J35" i="1"/>
  <c r="J29" i="1"/>
  <c r="J26" i="1"/>
  <c r="J30" i="1"/>
</calcChain>
</file>

<file path=xl/sharedStrings.xml><?xml version="1.0" encoding="utf-8"?>
<sst xmlns="http://schemas.openxmlformats.org/spreadsheetml/2006/main" count="66" uniqueCount="59">
  <si>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</si>
  <si>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</si>
  <si>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</si>
  <si>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</si>
  <si>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</si>
  <si>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</si>
  <si>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</si>
  <si>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</si>
  <si>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</si>
  <si>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</si>
  <si>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</si>
  <si>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</si>
  <si>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</si>
  <si>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</si>
  <si>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</si>
  <si>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</si>
  <si>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</si>
  <si>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</si>
  <si>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</si>
  <si>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</si>
  <si>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</si>
  <si>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</si>
  <si>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</si>
  <si>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</si>
  <si>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</si>
  <si>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</si>
  <si>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</si>
  <si>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</si>
  <si>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</si>
  <si>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</si>
  <si>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Interest expense</t>
  </si>
  <si>
    <t>Inventory</t>
  </si>
  <si>
    <t>PP&amp;E, net</t>
  </si>
  <si>
    <t>Gross profit</t>
  </si>
  <si>
    <t>Net cash</t>
  </si>
  <si>
    <t>Interest on Cash</t>
  </si>
  <si>
    <t>Terminal</t>
  </si>
  <si>
    <t>ROIC</t>
  </si>
  <si>
    <t>Discount</t>
  </si>
  <si>
    <t>NPV</t>
  </si>
  <si>
    <t>SG&amp;A rate</t>
  </si>
  <si>
    <t>Loss on extinguishment of debt</t>
  </si>
  <si>
    <t>Has DIE in 10K, probably a fuckered company</t>
  </si>
  <si>
    <t>Residential roofing sales</t>
  </si>
  <si>
    <t>Non-res roofing sales</t>
  </si>
  <si>
    <t>Other building product sales</t>
  </si>
  <si>
    <t>Residential roofing sales y/y</t>
  </si>
  <si>
    <t>Non-res roofing sales y/y</t>
  </si>
  <si>
    <t>Other building product sales y/y</t>
  </si>
  <si>
    <t>Sept</t>
  </si>
  <si>
    <t>Weirdo schedule</t>
  </si>
  <si>
    <t>Depreciation and Amortization</t>
  </si>
  <si>
    <t>Dec</t>
  </si>
  <si>
    <t>Mar</t>
  </si>
  <si>
    <t>Loss on sale of bus</t>
  </si>
  <si>
    <t>Revenue on PP&amp;E net</t>
  </si>
  <si>
    <t>BECN</t>
  </si>
  <si>
    <t>Beacon Roofing Supply, Inc.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</si>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</sst>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599342</xdr:colOff>
      <xdr:row>0</xdr:row>
      <xdr:rowOff>0</xdr:rowOff>
    </xdr:from>
    <xdr:to>
      <xdr:col>11</xdr:col>
      <xdr:colOff>599342</xdr:colOff>
      <xdr:row>39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790842" y="0"/>
          <a:ext cx="0" cy="7407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C1:N19"/>
  <sheetViews>
    <sheetView tabSelected="1" topLeftCell="B1" workbookViewId="0">
      <selection activeCell="J10" sqref="J10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3:14" ht="18" x14ac:dyDescent="0.25">
      <c r="M1" s="22" t="s">
        <v>57</v>
      </c>
    </row>
    <row r="2" spans="3:14" x14ac:dyDescent="0.25">
      <c r="C2" t="s">
        <v>42</v>
      </c>
      <c r="M2" t="s">
        <v>56</v>
      </c>
    </row>
    <row r="3" spans="3:14" x14ac:dyDescent="0.25">
      <c r="M3" t="s">
        <v>25</v>
      </c>
      <c r="N3" s="17">
        <v>60.73</v>
      </c>
    </row>
    <row r="4" spans="3:14" x14ac:dyDescent="0.25">
      <c r="M4" t="s">
        <v>18</v>
      </c>
      <c r="N4" s="1">
        <v>70.099999999999994</v>
      </c>
    </row>
    <row r="5" spans="3:14" x14ac:dyDescent="0.25">
      <c r="M5" t="s">
        <v>26</v>
      </c>
      <c r="N5" s="1">
        <f>N3*N4</f>
        <v>4257.1729999999998</v>
      </c>
    </row>
    <row r="6" spans="3:14" x14ac:dyDescent="0.25">
      <c r="M6" t="s">
        <v>27</v>
      </c>
      <c r="N6" s="1">
        <v>52.4</v>
      </c>
    </row>
    <row r="7" spans="3:14" x14ac:dyDescent="0.25">
      <c r="M7" t="s">
        <v>28</v>
      </c>
      <c r="N7" s="1">
        <v>1756.8</v>
      </c>
    </row>
    <row r="8" spans="3:14" x14ac:dyDescent="0.25">
      <c r="M8" t="s">
        <v>29</v>
      </c>
      <c r="N8" s="1">
        <f>N5-N6+N7</f>
        <v>5961.5730000000003</v>
      </c>
    </row>
    <row r="11" spans="3:14" x14ac:dyDescent="0.25">
      <c r="M11" s="2">
        <v>44775</v>
      </c>
    </row>
    <row r="15" spans="3:14" x14ac:dyDescent="0.25">
      <c r="M15" s="10" t="s">
        <v>36</v>
      </c>
      <c r="N15" s="18">
        <f>Model!AI40</f>
        <v>-1.4999999999999999E-2</v>
      </c>
    </row>
    <row r="16" spans="3:14" x14ac:dyDescent="0.25">
      <c r="M16" s="15" t="s">
        <v>37</v>
      </c>
      <c r="N16" s="18">
        <f>Model!AI41</f>
        <v>-0.01</v>
      </c>
    </row>
    <row r="17" spans="13:14" x14ac:dyDescent="0.25">
      <c r="M17" t="s">
        <v>38</v>
      </c>
      <c r="N17" s="18">
        <f>Model!AI42</f>
        <v>8.5000000000000006E-2</v>
      </c>
    </row>
    <row r="18" spans="13:14" x14ac:dyDescent="0.25">
      <c r="M18" s="15" t="s">
        <v>39</v>
      </c>
      <c r="N18" s="1">
        <f>Model!AI43</f>
        <v>6053.073284927159</v>
      </c>
    </row>
    <row r="19" spans="13:14" x14ac:dyDescent="0.25">
      <c r="M19" t="s">
        <v>58</v>
      </c>
      <c r="N19" s="17">
        <f>+N18/N4</f>
        <v>86.349119613796859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DE43"/>
  <sheetViews>
    <sheetView zoomScaleNormal="100" workbookViewId="0">
      <pane xSplit="2" ySplit="2" topLeftCell="R8" activePane="bottomRight" state="frozen"/>
      <selection pane="topRight" activeCell="C1" sqref="C1"/>
      <selection pane="bottomLeft" activeCell="A3" sqref="A3"/>
      <selection pane="bottomRight" activeCell="X35" sqref="X35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1" spans="1:109" x14ac:dyDescent="0.25">
      <c r="B1" t="s">
        <v>50</v>
      </c>
      <c r="J1" s="1" t="s">
        <v>49</v>
      </c>
      <c r="K1" s="1" t="s">
        <v>52</v>
      </c>
      <c r="L1" s="1" t="s">
        <v>53</v>
      </c>
    </row>
    <row r="2" spans="1:10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9" s="1" customFormat="1" x14ac:dyDescent="0.25">
      <c r="B3" s="1" t="s">
        <v>43</v>
      </c>
      <c r="E3" s="1">
        <v>832</v>
      </c>
      <c r="F3" s="1">
        <f>T3-2114.6</f>
        <v>964.80000000000018</v>
      </c>
      <c r="G3" s="1">
        <v>844.8</v>
      </c>
      <c r="H3" s="1">
        <v>695</v>
      </c>
      <c r="I3" s="1">
        <v>981.6</v>
      </c>
      <c r="J3" s="1">
        <f>U3-I3-H3-G3</f>
        <v>994.8</v>
      </c>
      <c r="K3" s="1">
        <v>919.8</v>
      </c>
      <c r="L3" s="1">
        <v>846.4</v>
      </c>
      <c r="P3" s="11"/>
      <c r="S3" s="1">
        <v>2836.1</v>
      </c>
      <c r="T3" s="1">
        <v>3079.4</v>
      </c>
      <c r="U3" s="1">
        <v>3516.2</v>
      </c>
      <c r="V3" s="1">
        <f>U3*(1+V32)</f>
        <v>4043.6299999999997</v>
      </c>
      <c r="W3" s="1">
        <f t="shared" ref="W3:AF3" si="0">V3*(1+W32)</f>
        <v>4003.1936999999998</v>
      </c>
      <c r="X3" s="1">
        <f t="shared" si="0"/>
        <v>4483.5769440000004</v>
      </c>
      <c r="Y3" s="1">
        <f t="shared" si="0"/>
        <v>4842.2630995200007</v>
      </c>
      <c r="Z3" s="1">
        <f t="shared" si="0"/>
        <v>5132.798885491201</v>
      </c>
      <c r="AA3" s="1">
        <f t="shared" si="0"/>
        <v>5440.7668186206729</v>
      </c>
      <c r="AB3" s="1">
        <f t="shared" si="0"/>
        <v>5712.8051595517072</v>
      </c>
      <c r="AC3" s="1">
        <f t="shared" si="0"/>
        <v>5998.4454175292931</v>
      </c>
      <c r="AD3" s="1">
        <f t="shared" si="0"/>
        <v>6298.3676884057577</v>
      </c>
      <c r="AE3" s="1">
        <f t="shared" si="0"/>
        <v>6613.2860728260457</v>
      </c>
      <c r="AF3" s="1">
        <f t="shared" si="0"/>
        <v>6943.9503764673482</v>
      </c>
    </row>
    <row r="4" spans="1:109" s="1" customFormat="1" x14ac:dyDescent="0.25">
      <c r="B4" s="1" t="s">
        <v>44</v>
      </c>
      <c r="E4" s="1">
        <v>418.4</v>
      </c>
      <c r="F4" s="1">
        <f>T4-1174</f>
        <v>442.79999999999995</v>
      </c>
      <c r="G4" s="1">
        <v>398.3</v>
      </c>
      <c r="H4" s="1">
        <v>329.7</v>
      </c>
      <c r="I4" s="1">
        <v>486.7</v>
      </c>
      <c r="J4" s="1">
        <f t="shared" ref="J4:J15" si="1">U4-I4-H4-G4</f>
        <v>474.09999999999985</v>
      </c>
      <c r="K4" s="1">
        <v>449.4</v>
      </c>
      <c r="L4" s="1">
        <v>487.7</v>
      </c>
      <c r="P4" s="11"/>
      <c r="S4" s="1">
        <v>1559.5</v>
      </c>
      <c r="T4" s="1">
        <v>1616.8</v>
      </c>
      <c r="U4" s="1">
        <v>1688.8</v>
      </c>
      <c r="V4" s="1">
        <f t="shared" ref="V4:AF4" si="2">U4*(1+V33)</f>
        <v>1942.12</v>
      </c>
      <c r="W4" s="1">
        <f t="shared" si="2"/>
        <v>1922.6987999999999</v>
      </c>
      <c r="X4" s="1">
        <f t="shared" si="2"/>
        <v>2153.4226560000002</v>
      </c>
      <c r="Y4" s="1">
        <f t="shared" si="2"/>
        <v>2325.6964684800005</v>
      </c>
      <c r="Z4" s="1">
        <f t="shared" si="2"/>
        <v>2465.2382565888006</v>
      </c>
      <c r="AA4" s="1">
        <f t="shared" si="2"/>
        <v>2613.1525519841289</v>
      </c>
      <c r="AB4" s="1">
        <f t="shared" si="2"/>
        <v>2743.8101795833354</v>
      </c>
      <c r="AC4" s="1">
        <f t="shared" si="2"/>
        <v>2881.0006885625021</v>
      </c>
      <c r="AD4" s="1">
        <f t="shared" si="2"/>
        <v>3025.0507229906275</v>
      </c>
      <c r="AE4" s="1">
        <f t="shared" si="2"/>
        <v>3176.3032591401588</v>
      </c>
      <c r="AF4" s="1">
        <f t="shared" si="2"/>
        <v>3335.1184220971668</v>
      </c>
    </row>
    <row r="5" spans="1:109" s="1" customFormat="1" x14ac:dyDescent="0.25">
      <c r="B5" s="1" t="s">
        <v>45</v>
      </c>
      <c r="E5" s="1">
        <v>298.8</v>
      </c>
      <c r="F5" s="1">
        <f>T5-873.1</f>
        <v>347.4</v>
      </c>
      <c r="G5" s="1">
        <v>333.4</v>
      </c>
      <c r="H5" s="1">
        <v>293.3</v>
      </c>
      <c r="I5" s="1">
        <v>403.8</v>
      </c>
      <c r="J5" s="1">
        <f t="shared" si="1"/>
        <v>406.50000000000011</v>
      </c>
      <c r="K5" s="1">
        <v>385.7</v>
      </c>
      <c r="L5" s="1">
        <v>352.8</v>
      </c>
      <c r="P5" s="11"/>
      <c r="S5" s="1">
        <v>1600.5</v>
      </c>
      <c r="T5" s="1">
        <v>1220.5</v>
      </c>
      <c r="U5" s="1">
        <v>1437</v>
      </c>
      <c r="V5" s="1">
        <f t="shared" ref="V5:AF5" si="3">U5*(1+V34)</f>
        <v>1652.55</v>
      </c>
      <c r="W5" s="1">
        <f t="shared" si="3"/>
        <v>1636.0245</v>
      </c>
      <c r="X5" s="1">
        <f t="shared" si="3"/>
        <v>1832.3474400000002</v>
      </c>
      <c r="Y5" s="1">
        <f t="shared" si="3"/>
        <v>1978.9352352000003</v>
      </c>
      <c r="Z5" s="1">
        <f t="shared" si="3"/>
        <v>2097.6713493120005</v>
      </c>
      <c r="AA5" s="1">
        <f t="shared" si="3"/>
        <v>2223.5316302707206</v>
      </c>
      <c r="AB5" s="1">
        <f t="shared" si="3"/>
        <v>2334.7082117842569</v>
      </c>
      <c r="AC5" s="1">
        <f t="shared" si="3"/>
        <v>2451.4436223734697</v>
      </c>
      <c r="AD5" s="1">
        <f t="shared" si="3"/>
        <v>2574.0158034921433</v>
      </c>
      <c r="AE5" s="1">
        <f t="shared" si="3"/>
        <v>2702.7165936667507</v>
      </c>
      <c r="AF5" s="1">
        <f t="shared" si="3"/>
        <v>2837.8524233500884</v>
      </c>
    </row>
    <row r="6" spans="1:109" x14ac:dyDescent="0.25">
      <c r="A6" s="4"/>
      <c r="B6" s="4" t="s">
        <v>12</v>
      </c>
      <c r="C6" s="5"/>
      <c r="D6" s="5"/>
      <c r="E6" s="5">
        <v>1549.3</v>
      </c>
      <c r="F6" s="5">
        <f>+T6-4161.7</f>
        <v>1755</v>
      </c>
      <c r="G6" s="5">
        <v>1576.5</v>
      </c>
      <c r="H6" s="5">
        <v>1318</v>
      </c>
      <c r="I6" s="5">
        <v>1872.1</v>
      </c>
      <c r="J6" s="5">
        <f>SUM(J3:J5)</f>
        <v>1875.4</v>
      </c>
      <c r="K6" s="5">
        <v>1754.9</v>
      </c>
      <c r="L6" s="5">
        <v>1686.9</v>
      </c>
      <c r="M6" s="5"/>
      <c r="N6" s="5"/>
      <c r="O6" s="5"/>
      <c r="P6" s="6"/>
      <c r="Q6" s="5"/>
      <c r="R6" s="5"/>
      <c r="S6" s="5">
        <f>SUM(S3:S5)</f>
        <v>5996.1</v>
      </c>
      <c r="T6" s="5">
        <f>SUM(T3:T5)</f>
        <v>5916.7</v>
      </c>
      <c r="U6" s="5">
        <f>SUM(U3:U5)</f>
        <v>6642</v>
      </c>
      <c r="V6" s="5">
        <f>SUM(V3:V5)</f>
        <v>7638.3</v>
      </c>
      <c r="W6" s="5">
        <f t="shared" ref="W6:AF6" si="4">SUM(W3:W5)</f>
        <v>7561.9169999999995</v>
      </c>
      <c r="X6" s="5">
        <f t="shared" si="4"/>
        <v>8469.3470400000006</v>
      </c>
      <c r="Y6" s="5">
        <f t="shared" si="4"/>
        <v>9146.8948032000008</v>
      </c>
      <c r="Z6" s="5">
        <f t="shared" si="4"/>
        <v>9695.7084913920025</v>
      </c>
      <c r="AA6" s="5">
        <f t="shared" si="4"/>
        <v>10277.451000875522</v>
      </c>
      <c r="AB6" s="5">
        <f t="shared" si="4"/>
        <v>10791.323550919298</v>
      </c>
      <c r="AC6" s="5">
        <f t="shared" si="4"/>
        <v>11330.889728465265</v>
      </c>
      <c r="AD6" s="5">
        <f t="shared" si="4"/>
        <v>11897.43421488853</v>
      </c>
      <c r="AE6" s="5">
        <f t="shared" si="4"/>
        <v>12492.305925632954</v>
      </c>
      <c r="AF6" s="5">
        <f t="shared" si="4"/>
        <v>13116.921221914603</v>
      </c>
      <c r="AG6" s="5"/>
      <c r="AH6" s="5"/>
      <c r="AI6" s="5"/>
      <c r="AJ6" s="5"/>
      <c r="AK6" s="5"/>
    </row>
    <row r="7" spans="1:109" s="1" customFormat="1" x14ac:dyDescent="0.25">
      <c r="B7" s="1" t="s">
        <v>13</v>
      </c>
      <c r="E7" s="1">
        <v>1180.5999999999999</v>
      </c>
      <c r="F7" s="1">
        <f>+T7-3182.5</f>
        <v>1313.5</v>
      </c>
      <c r="G7" s="1">
        <v>1176.8</v>
      </c>
      <c r="H7" s="1">
        <v>985</v>
      </c>
      <c r="I7" s="1">
        <v>1354.7</v>
      </c>
      <c r="J7" s="1">
        <f t="shared" si="1"/>
        <v>1367.8000000000004</v>
      </c>
      <c r="K7" s="1">
        <v>1293.3</v>
      </c>
      <c r="L7" s="1">
        <v>1247.4000000000001</v>
      </c>
      <c r="P7" s="11"/>
      <c r="S7" s="1">
        <v>4568.5</v>
      </c>
      <c r="T7" s="1">
        <v>4496</v>
      </c>
      <c r="U7" s="1">
        <v>4884.3</v>
      </c>
    </row>
    <row r="8" spans="1:109" x14ac:dyDescent="0.25">
      <c r="A8" s="4"/>
      <c r="B8" s="4" t="s">
        <v>33</v>
      </c>
      <c r="C8" s="5"/>
      <c r="D8" s="5"/>
      <c r="E8" s="5">
        <f t="shared" ref="E8:L8" si="5">+E6-E7</f>
        <v>368.70000000000005</v>
      </c>
      <c r="F8" s="5">
        <f t="shared" si="5"/>
        <v>441.5</v>
      </c>
      <c r="G8" s="5">
        <f t="shared" si="5"/>
        <v>399.70000000000005</v>
      </c>
      <c r="H8" s="5">
        <f t="shared" si="5"/>
        <v>333</v>
      </c>
      <c r="I8" s="5">
        <f t="shared" si="5"/>
        <v>517.39999999999986</v>
      </c>
      <c r="J8" s="5">
        <f t="shared" si="5"/>
        <v>507.59999999999968</v>
      </c>
      <c r="K8" s="5">
        <f t="shared" si="5"/>
        <v>461.60000000000014</v>
      </c>
      <c r="L8" s="5">
        <f t="shared" si="5"/>
        <v>439.5</v>
      </c>
      <c r="M8" s="5"/>
      <c r="N8" s="5"/>
      <c r="O8" s="5"/>
      <c r="P8" s="6"/>
      <c r="Q8" s="5"/>
      <c r="R8" s="5"/>
      <c r="S8" s="5">
        <f>+S6-S7</f>
        <v>1427.6000000000004</v>
      </c>
      <c r="T8" s="5">
        <f>+T6-T7</f>
        <v>1420.6999999999998</v>
      </c>
      <c r="U8" s="5">
        <f>+U6-U7</f>
        <v>1757.6999999999998</v>
      </c>
      <c r="V8" s="5">
        <f>V6*0.25</f>
        <v>1909.575</v>
      </c>
      <c r="W8" s="5">
        <f t="shared" ref="W8:AF8" si="6">W6*0.25</f>
        <v>1890.4792499999999</v>
      </c>
      <c r="X8" s="5">
        <f t="shared" si="6"/>
        <v>2117.3367600000001</v>
      </c>
      <c r="Y8" s="5">
        <f t="shared" si="6"/>
        <v>2286.7237008000002</v>
      </c>
      <c r="Z8" s="5">
        <f t="shared" si="6"/>
        <v>2423.9271228480006</v>
      </c>
      <c r="AA8" s="5">
        <f t="shared" si="6"/>
        <v>2569.3627502188806</v>
      </c>
      <c r="AB8" s="5">
        <f t="shared" si="6"/>
        <v>2697.8308877298246</v>
      </c>
      <c r="AC8" s="5">
        <f t="shared" si="6"/>
        <v>2832.7224321163162</v>
      </c>
      <c r="AD8" s="5">
        <f t="shared" si="6"/>
        <v>2974.3585537221325</v>
      </c>
      <c r="AE8" s="5">
        <f t="shared" si="6"/>
        <v>3123.0764814082386</v>
      </c>
      <c r="AF8" s="5">
        <f t="shared" si="6"/>
        <v>3279.2303054786507</v>
      </c>
      <c r="AG8" s="5"/>
      <c r="AH8" s="5"/>
      <c r="AI8" s="5"/>
      <c r="AJ8" s="5"/>
      <c r="AK8" s="5"/>
    </row>
    <row r="9" spans="1:109" x14ac:dyDescent="0.25">
      <c r="B9" t="s">
        <v>14</v>
      </c>
      <c r="E9" s="1">
        <v>248.5</v>
      </c>
      <c r="F9" s="1">
        <f>+T9-784.5</f>
        <v>281</v>
      </c>
      <c r="G9" s="1">
        <v>265.2</v>
      </c>
      <c r="H9" s="1">
        <v>267.8</v>
      </c>
      <c r="I9" s="1">
        <v>296.3</v>
      </c>
      <c r="J9" s="1">
        <f t="shared" si="1"/>
        <v>309.40000000000015</v>
      </c>
      <c r="K9" s="1">
        <v>294.2</v>
      </c>
      <c r="L9" s="1">
        <v>309.3</v>
      </c>
      <c r="Q9" s="1"/>
      <c r="R9" s="1"/>
      <c r="S9" s="1">
        <v>1092.8</v>
      </c>
      <c r="T9" s="1">
        <v>1065.5</v>
      </c>
      <c r="U9" s="1">
        <v>1138.7</v>
      </c>
      <c r="V9" s="1">
        <f>V6*V30</f>
        <v>1298.5110000000002</v>
      </c>
      <c r="W9" s="1">
        <f t="shared" ref="W9:AF9" si="7">W6*W30</f>
        <v>1285.5258899999999</v>
      </c>
      <c r="X9" s="1">
        <f t="shared" si="7"/>
        <v>1439.7889968000002</v>
      </c>
      <c r="Y9" s="1">
        <f t="shared" si="7"/>
        <v>1463.5031685120002</v>
      </c>
      <c r="Z9" s="1">
        <f t="shared" si="7"/>
        <v>1551.3133586227204</v>
      </c>
      <c r="AA9" s="1">
        <f t="shared" si="7"/>
        <v>1644.3921601400837</v>
      </c>
      <c r="AB9" s="1">
        <f t="shared" si="7"/>
        <v>1618.6985326378947</v>
      </c>
      <c r="AC9" s="1">
        <f t="shared" si="7"/>
        <v>1699.6334592697897</v>
      </c>
      <c r="AD9" s="1">
        <f t="shared" si="7"/>
        <v>1784.6151322332794</v>
      </c>
      <c r="AE9" s="1">
        <f t="shared" si="7"/>
        <v>1873.8458888449431</v>
      </c>
      <c r="AF9" s="1">
        <f t="shared" si="7"/>
        <v>1967.5381832871903</v>
      </c>
      <c r="AG9" s="1"/>
      <c r="AH9" s="1"/>
      <c r="AI9" s="1"/>
      <c r="AJ9" s="1"/>
      <c r="AK9" s="1"/>
    </row>
    <row r="10" spans="1:109" x14ac:dyDescent="0.25">
      <c r="B10" t="s">
        <v>51</v>
      </c>
      <c r="E10" s="1">
        <f>14.1+30.9</f>
        <v>45</v>
      </c>
      <c r="F10" s="1">
        <f>T10-(44.4+231.7)</f>
        <v>43.900000000000034</v>
      </c>
      <c r="G10" s="1">
        <f>13.9+25.5</f>
        <v>39.4</v>
      </c>
      <c r="H10" s="1">
        <f>14.6+27.6</f>
        <v>42.2</v>
      </c>
      <c r="I10" s="1">
        <f>15.1+25.2</f>
        <v>40.299999999999997</v>
      </c>
      <c r="J10" s="1">
        <f t="shared" si="1"/>
        <v>40.29999999999999</v>
      </c>
      <c r="K10" s="1">
        <f>16.5+22.2</f>
        <v>38.700000000000003</v>
      </c>
      <c r="L10" s="1">
        <f>17.5+21.4</f>
        <v>38.9</v>
      </c>
      <c r="Q10" s="1"/>
      <c r="R10" s="1"/>
      <c r="S10" s="1">
        <f>60.5+142.9</f>
        <v>203.4</v>
      </c>
      <c r="T10" s="1">
        <f>58.1+261.9</f>
        <v>320</v>
      </c>
      <c r="U10" s="1">
        <f>58.9+103.3</f>
        <v>162.19999999999999</v>
      </c>
      <c r="V10" s="1">
        <f>U10*1.03</f>
        <v>167.066</v>
      </c>
      <c r="W10" s="1">
        <f t="shared" ref="W10:AF10" si="8">V10*1.03</f>
        <v>172.07798</v>
      </c>
      <c r="X10" s="1">
        <f t="shared" si="8"/>
        <v>177.2403194</v>
      </c>
      <c r="Y10" s="1">
        <f t="shared" si="8"/>
        <v>182.55752898200001</v>
      </c>
      <c r="Z10" s="1">
        <f t="shared" si="8"/>
        <v>188.03425485146002</v>
      </c>
      <c r="AA10" s="1">
        <f t="shared" si="8"/>
        <v>193.67528249700382</v>
      </c>
      <c r="AB10" s="1">
        <f t="shared" si="8"/>
        <v>199.48554097191393</v>
      </c>
      <c r="AC10" s="1">
        <f t="shared" si="8"/>
        <v>205.47010720107136</v>
      </c>
      <c r="AD10" s="1">
        <f t="shared" si="8"/>
        <v>211.6342104171035</v>
      </c>
      <c r="AE10" s="1">
        <f t="shared" si="8"/>
        <v>217.98323672961661</v>
      </c>
      <c r="AF10" s="1">
        <f t="shared" si="8"/>
        <v>224.52273383150512</v>
      </c>
      <c r="AG10" s="1"/>
      <c r="AH10" s="1"/>
      <c r="AI10" s="1"/>
      <c r="AJ10" s="1"/>
      <c r="AK10" s="1"/>
    </row>
    <row r="11" spans="1:109" x14ac:dyDescent="0.25">
      <c r="B11" t="s">
        <v>54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1"/>
        <v>0</v>
      </c>
      <c r="K11" s="1">
        <v>22.3</v>
      </c>
      <c r="L11" s="1">
        <v>0</v>
      </c>
      <c r="Q11" s="1"/>
      <c r="R11" s="1"/>
      <c r="S11" s="1">
        <v>0</v>
      </c>
      <c r="T11" s="1">
        <v>0</v>
      </c>
      <c r="U11" s="1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109" x14ac:dyDescent="0.25">
      <c r="A12" s="4"/>
      <c r="B12" s="4" t="s">
        <v>15</v>
      </c>
      <c r="C12" s="5"/>
      <c r="D12" s="5"/>
      <c r="E12" s="5">
        <f t="shared" ref="E12:L12" si="9">+E8-E9-E10-E11</f>
        <v>75.200000000000045</v>
      </c>
      <c r="F12" s="5">
        <f t="shared" si="9"/>
        <v>116.59999999999997</v>
      </c>
      <c r="G12" s="5">
        <f t="shared" si="9"/>
        <v>95.100000000000051</v>
      </c>
      <c r="H12" s="5">
        <f t="shared" si="9"/>
        <v>22.999999999999986</v>
      </c>
      <c r="I12" s="5">
        <f t="shared" si="9"/>
        <v>180.79999999999984</v>
      </c>
      <c r="J12" s="5">
        <f t="shared" si="9"/>
        <v>157.89999999999955</v>
      </c>
      <c r="K12" s="5">
        <f t="shared" si="9"/>
        <v>106.40000000000016</v>
      </c>
      <c r="L12" s="5">
        <f t="shared" si="9"/>
        <v>91.299999999999983</v>
      </c>
      <c r="M12" s="5"/>
      <c r="N12" s="5"/>
      <c r="O12" s="5"/>
      <c r="P12" s="6"/>
      <c r="Q12" s="5"/>
      <c r="R12" s="5"/>
      <c r="S12" s="5">
        <f>+S8-S9-S10-S11</f>
        <v>131.4000000000004</v>
      </c>
      <c r="T12" s="5">
        <f>+T8-T9-T10-T11</f>
        <v>35.199999999999818</v>
      </c>
      <c r="U12" s="5">
        <f>+U8-U9-U10-U11</f>
        <v>456.79999999999978</v>
      </c>
      <c r="V12" s="5">
        <f t="shared" ref="V12:AF12" si="10">+V8-V9-V10-V11</f>
        <v>443.99799999999982</v>
      </c>
      <c r="W12" s="5">
        <f t="shared" si="10"/>
        <v>432.87537999999995</v>
      </c>
      <c r="X12" s="5">
        <f t="shared" si="10"/>
        <v>500.30744379999999</v>
      </c>
      <c r="Y12" s="5">
        <f t="shared" si="10"/>
        <v>640.66300330599995</v>
      </c>
      <c r="Z12" s="5">
        <f t="shared" si="10"/>
        <v>684.5795093738202</v>
      </c>
      <c r="AA12" s="5">
        <f t="shared" si="10"/>
        <v>731.29530758179317</v>
      </c>
      <c r="AB12" s="5">
        <f t="shared" si="10"/>
        <v>879.64681412001596</v>
      </c>
      <c r="AC12" s="5">
        <f t="shared" si="10"/>
        <v>927.61886564545512</v>
      </c>
      <c r="AD12" s="5">
        <f t="shared" si="10"/>
        <v>978.10921107174954</v>
      </c>
      <c r="AE12" s="5">
        <f t="shared" si="10"/>
        <v>1031.2473558336787</v>
      </c>
      <c r="AF12" s="5">
        <f t="shared" si="10"/>
        <v>1087.1693883599553</v>
      </c>
      <c r="AG12" s="5"/>
      <c r="AH12" s="5"/>
      <c r="AI12" s="5"/>
      <c r="AJ12" s="5"/>
      <c r="AK12" s="5"/>
    </row>
    <row r="13" spans="1:109" x14ac:dyDescent="0.25">
      <c r="B13" t="s">
        <v>30</v>
      </c>
      <c r="E13" s="1">
        <v>35.200000000000003</v>
      </c>
      <c r="F13" s="1">
        <f>T13-97.3</f>
        <v>31.299999999999997</v>
      </c>
      <c r="G13" s="1">
        <v>30</v>
      </c>
      <c r="H13" s="1">
        <v>28.6</v>
      </c>
      <c r="I13" s="1">
        <v>23.2</v>
      </c>
      <c r="J13" s="1">
        <f t="shared" si="1"/>
        <v>16.29999999999999</v>
      </c>
      <c r="K13" s="1">
        <v>17.399999999999999</v>
      </c>
      <c r="L13" s="1">
        <v>16.600000000000001</v>
      </c>
      <c r="Q13" s="1"/>
      <c r="R13" s="1"/>
      <c r="S13" s="1">
        <v>153.5</v>
      </c>
      <c r="T13" s="1">
        <v>128.6</v>
      </c>
      <c r="U13" s="1">
        <v>98.1</v>
      </c>
      <c r="V13" s="1">
        <f>U24*-0.0525</f>
        <v>71.111249999999998</v>
      </c>
      <c r="W13" s="1">
        <f t="shared" ref="W13:X13" si="11">V24*-0.0525</f>
        <v>57.549856875000003</v>
      </c>
      <c r="X13" s="1">
        <f t="shared" si="11"/>
        <v>43.800276548437502</v>
      </c>
      <c r="Y13" s="1">
        <f>X24*-0.01</f>
        <v>5.4717075542343769</v>
      </c>
      <c r="Z13" s="1">
        <f t="shared" ref="Z13:AF13" si="12">Y24*-0.01</f>
        <v>0.94917355735672115</v>
      </c>
      <c r="AA13" s="1">
        <f t="shared" si="12"/>
        <v>-3.9479881025295129</v>
      </c>
      <c r="AB13" s="1">
        <f t="shared" si="12"/>
        <v>-8.2171857591100839</v>
      </c>
      <c r="AC13" s="1">
        <f t="shared" si="12"/>
        <v>-13.858428692625553</v>
      </c>
      <c r="AD13" s="1">
        <f t="shared" si="12"/>
        <v>-19.873934717466781</v>
      </c>
      <c r="AE13" s="1">
        <f t="shared" si="12"/>
        <v>-26.284535910892384</v>
      </c>
      <c r="AF13" s="1">
        <f t="shared" si="12"/>
        <v>-33.112163050648206</v>
      </c>
      <c r="AG13" s="1"/>
      <c r="AH13" s="1"/>
      <c r="AI13" s="1"/>
      <c r="AJ13" s="1"/>
      <c r="AK13" s="1"/>
    </row>
    <row r="14" spans="1:109" x14ac:dyDescent="0.25">
      <c r="B14" t="s">
        <v>41</v>
      </c>
      <c r="E14" s="1">
        <v>0</v>
      </c>
      <c r="F14" s="1">
        <f>T14-14.7</f>
        <v>0</v>
      </c>
      <c r="G14" s="1">
        <v>0</v>
      </c>
      <c r="H14" s="1">
        <v>9.5</v>
      </c>
      <c r="I14" s="1">
        <v>50.7</v>
      </c>
      <c r="J14" s="1">
        <f t="shared" si="1"/>
        <v>0</v>
      </c>
      <c r="K14" s="1">
        <v>0</v>
      </c>
      <c r="L14" s="1">
        <v>0</v>
      </c>
      <c r="Q14" s="1"/>
      <c r="R14" s="1"/>
      <c r="S14" s="1">
        <v>0</v>
      </c>
      <c r="T14" s="1">
        <v>14.7</v>
      </c>
      <c r="U14" s="1">
        <v>60.2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109" x14ac:dyDescent="0.25">
      <c r="A15" s="4"/>
      <c r="B15" t="s">
        <v>16</v>
      </c>
      <c r="E15" s="1">
        <v>44.1</v>
      </c>
      <c r="F15" s="1">
        <f>T15--43.9</f>
        <v>16.899999999999999</v>
      </c>
      <c r="G15" s="1">
        <v>17.7</v>
      </c>
      <c r="H15" s="1">
        <v>-4.8</v>
      </c>
      <c r="I15" s="1">
        <v>27.1</v>
      </c>
      <c r="J15" s="1">
        <f t="shared" si="1"/>
        <v>37.299999999999997</v>
      </c>
      <c r="K15" s="1">
        <v>20.9</v>
      </c>
      <c r="L15" s="1">
        <v>18.899999999999999</v>
      </c>
      <c r="P15" s="6"/>
      <c r="Q15" s="1"/>
      <c r="R15" s="1"/>
      <c r="S15" s="1">
        <v>-3.2</v>
      </c>
      <c r="T15" s="1">
        <v>-27</v>
      </c>
      <c r="U15" s="1">
        <v>77.3</v>
      </c>
      <c r="V15" s="1">
        <f>V6*0.015</f>
        <v>114.5745</v>
      </c>
      <c r="W15" s="1">
        <f t="shared" ref="W15" si="13">W6*0.015</f>
        <v>113.42875499999998</v>
      </c>
      <c r="X15" s="1">
        <f>X6*0.02</f>
        <v>169.38694080000002</v>
      </c>
      <c r="Y15" s="1">
        <f>Y6*0.02</f>
        <v>182.93789606400003</v>
      </c>
      <c r="Z15" s="1">
        <f>Z6*0.02</f>
        <v>193.91416982784006</v>
      </c>
      <c r="AA15" s="1">
        <f>AA6*0.03</f>
        <v>308.32353002626564</v>
      </c>
      <c r="AB15" s="1">
        <f t="shared" ref="AB15:AF15" si="14">AB6*0.03</f>
        <v>323.73970652757896</v>
      </c>
      <c r="AC15" s="1">
        <f t="shared" si="14"/>
        <v>339.92669185395795</v>
      </c>
      <c r="AD15" s="1">
        <f t="shared" si="14"/>
        <v>356.92302644665585</v>
      </c>
      <c r="AE15" s="1">
        <f t="shared" si="14"/>
        <v>374.76917776898864</v>
      </c>
      <c r="AF15" s="1">
        <f t="shared" si="14"/>
        <v>393.50763665743807</v>
      </c>
      <c r="AG15" s="1"/>
      <c r="AH15" s="1"/>
      <c r="AI15" s="1"/>
      <c r="AJ15" s="1"/>
      <c r="AK15" s="1"/>
    </row>
    <row r="16" spans="1:109" x14ac:dyDescent="0.25">
      <c r="B16" s="4" t="s">
        <v>17</v>
      </c>
      <c r="C16" s="5"/>
      <c r="D16" s="5"/>
      <c r="E16" s="5">
        <f t="shared" ref="E16:L16" si="15">+E12-E13-E14-E15</f>
        <v>-4.0999999999999588</v>
      </c>
      <c r="F16" s="5">
        <f t="shared" si="15"/>
        <v>68.399999999999977</v>
      </c>
      <c r="G16" s="5">
        <f t="shared" si="15"/>
        <v>47.400000000000048</v>
      </c>
      <c r="H16" s="5">
        <f t="shared" si="15"/>
        <v>-10.300000000000015</v>
      </c>
      <c r="I16" s="5">
        <f t="shared" si="15"/>
        <v>79.799999999999841</v>
      </c>
      <c r="J16" s="5">
        <f t="shared" si="15"/>
        <v>104.29999999999957</v>
      </c>
      <c r="K16" s="5">
        <f t="shared" si="15"/>
        <v>68.100000000000165</v>
      </c>
      <c r="L16" s="5">
        <f t="shared" si="15"/>
        <v>55.79999999999999</v>
      </c>
      <c r="M16" s="5"/>
      <c r="N16" s="5"/>
      <c r="O16" s="5"/>
      <c r="Q16" s="5"/>
      <c r="R16" s="5"/>
      <c r="S16" s="5">
        <f>+S12-S13-S14-S15</f>
        <v>-18.899999999999597</v>
      </c>
      <c r="T16" s="5">
        <f>+T12-T13-T14-T15</f>
        <v>-81.100000000000179</v>
      </c>
      <c r="U16" s="5">
        <f>+U12-U13-U14-U15</f>
        <v>221.19999999999982</v>
      </c>
      <c r="V16" s="5">
        <f>+V12-V13-V14-V15</f>
        <v>258.31224999999984</v>
      </c>
      <c r="W16" s="5">
        <f t="shared" ref="W16:AF16" si="16">+W12-W13-W14-W15</f>
        <v>261.89676812499999</v>
      </c>
      <c r="X16" s="5">
        <f t="shared" si="16"/>
        <v>287.12022645156242</v>
      </c>
      <c r="Y16" s="5">
        <f t="shared" si="16"/>
        <v>452.25339968776552</v>
      </c>
      <c r="Z16" s="5">
        <f t="shared" si="16"/>
        <v>489.7161659886234</v>
      </c>
      <c r="AA16" s="5">
        <f t="shared" si="16"/>
        <v>426.91976565805703</v>
      </c>
      <c r="AB16" s="5">
        <f t="shared" si="16"/>
        <v>564.12429335154707</v>
      </c>
      <c r="AC16" s="5">
        <f t="shared" si="16"/>
        <v>601.55060248412269</v>
      </c>
      <c r="AD16" s="5">
        <f t="shared" si="16"/>
        <v>641.06011934256048</v>
      </c>
      <c r="AE16" s="5">
        <f t="shared" si="16"/>
        <v>682.76271397558253</v>
      </c>
      <c r="AF16" s="5">
        <f t="shared" si="16"/>
        <v>726.7739147531654</v>
      </c>
      <c r="AG16" s="5">
        <f>AF16*(1+$AI$40)</f>
        <v>715.87230603186788</v>
      </c>
      <c r="AH16" s="5">
        <f t="shared" ref="AH16:CS16" si="17">AG16*(1+$AI$40)</f>
        <v>705.13422144138985</v>
      </c>
      <c r="AI16" s="5">
        <f t="shared" si="17"/>
        <v>694.55720811976903</v>
      </c>
      <c r="AJ16" s="5">
        <f t="shared" si="17"/>
        <v>684.13884999797244</v>
      </c>
      <c r="AK16" s="5">
        <f t="shared" si="17"/>
        <v>673.87676724800281</v>
      </c>
      <c r="AL16" s="5">
        <f t="shared" si="17"/>
        <v>663.76861573928272</v>
      </c>
      <c r="AM16" s="5">
        <f t="shared" si="17"/>
        <v>653.81208650319343</v>
      </c>
      <c r="AN16" s="5">
        <f t="shared" si="17"/>
        <v>644.00490520564551</v>
      </c>
      <c r="AO16" s="5">
        <f t="shared" si="17"/>
        <v>634.34483162756078</v>
      </c>
      <c r="AP16" s="5">
        <f t="shared" si="17"/>
        <v>624.8296591531473</v>
      </c>
      <c r="AQ16" s="5">
        <f t="shared" si="17"/>
        <v>615.4572142658501</v>
      </c>
      <c r="AR16" s="5">
        <f t="shared" si="17"/>
        <v>606.22535605186238</v>
      </c>
      <c r="AS16" s="5">
        <f t="shared" si="17"/>
        <v>597.13197571108446</v>
      </c>
      <c r="AT16" s="5">
        <f t="shared" si="17"/>
        <v>588.17499607541822</v>
      </c>
      <c r="AU16" s="5">
        <f t="shared" si="17"/>
        <v>579.35237113428695</v>
      </c>
      <c r="AV16" s="5">
        <f t="shared" si="17"/>
        <v>570.6620855672727</v>
      </c>
      <c r="AW16" s="5">
        <f t="shared" si="17"/>
        <v>562.10215428376364</v>
      </c>
      <c r="AX16" s="5">
        <f t="shared" si="17"/>
        <v>553.67062196950712</v>
      </c>
      <c r="AY16" s="5">
        <f t="shared" si="17"/>
        <v>545.36556263996454</v>
      </c>
      <c r="AZ16" s="5">
        <f t="shared" si="17"/>
        <v>537.18507920036507</v>
      </c>
      <c r="BA16" s="5">
        <f t="shared" si="17"/>
        <v>529.12730301235956</v>
      </c>
      <c r="BB16" s="5">
        <f t="shared" si="17"/>
        <v>521.1903934671742</v>
      </c>
      <c r="BC16" s="5">
        <f t="shared" si="17"/>
        <v>513.37253756516657</v>
      </c>
      <c r="BD16" s="5">
        <f t="shared" si="17"/>
        <v>505.67194950168908</v>
      </c>
      <c r="BE16" s="5">
        <f t="shared" si="17"/>
        <v>498.08687025916373</v>
      </c>
      <c r="BF16" s="5">
        <f t="shared" si="17"/>
        <v>490.61556720527625</v>
      </c>
      <c r="BG16" s="5">
        <f t="shared" si="17"/>
        <v>483.25633369719708</v>
      </c>
      <c r="BH16" s="5">
        <f t="shared" si="17"/>
        <v>476.00748869173913</v>
      </c>
      <c r="BI16" s="5">
        <f t="shared" si="17"/>
        <v>468.86737636136303</v>
      </c>
      <c r="BJ16" s="5">
        <f t="shared" si="17"/>
        <v>461.83436571594257</v>
      </c>
      <c r="BK16" s="5">
        <f t="shared" si="17"/>
        <v>454.90685023020342</v>
      </c>
      <c r="BL16" s="5">
        <f t="shared" si="17"/>
        <v>448.08324747675039</v>
      </c>
      <c r="BM16" s="5">
        <f t="shared" si="17"/>
        <v>441.36199876459915</v>
      </c>
      <c r="BN16" s="5">
        <f t="shared" si="17"/>
        <v>434.74156878313016</v>
      </c>
      <c r="BO16" s="5">
        <f t="shared" si="17"/>
        <v>428.22044525138318</v>
      </c>
      <c r="BP16" s="5">
        <f t="shared" si="17"/>
        <v>421.79713857261243</v>
      </c>
      <c r="BQ16" s="5">
        <f t="shared" si="17"/>
        <v>415.47018149402322</v>
      </c>
      <c r="BR16" s="5">
        <f t="shared" si="17"/>
        <v>409.23812877161288</v>
      </c>
      <c r="BS16" s="5">
        <f t="shared" si="17"/>
        <v>403.0995568400387</v>
      </c>
      <c r="BT16" s="5">
        <f t="shared" si="17"/>
        <v>397.05306348743812</v>
      </c>
      <c r="BU16" s="5">
        <f t="shared" si="17"/>
        <v>391.09726753512655</v>
      </c>
      <c r="BV16" s="5">
        <f t="shared" si="17"/>
        <v>385.23080852209966</v>
      </c>
      <c r="BW16" s="5">
        <f t="shared" si="17"/>
        <v>379.45234639426815</v>
      </c>
      <c r="BX16" s="5">
        <f t="shared" si="17"/>
        <v>373.76056119835414</v>
      </c>
      <c r="BY16" s="5">
        <f t="shared" si="17"/>
        <v>368.15415278037881</v>
      </c>
      <c r="BZ16" s="5">
        <f t="shared" si="17"/>
        <v>362.63184048867311</v>
      </c>
      <c r="CA16" s="5">
        <f t="shared" si="17"/>
        <v>357.192362881343</v>
      </c>
      <c r="CB16" s="5">
        <f t="shared" si="17"/>
        <v>351.83447743812286</v>
      </c>
      <c r="CC16" s="5">
        <f t="shared" si="17"/>
        <v>346.55696027655102</v>
      </c>
      <c r="CD16" s="5">
        <f t="shared" si="17"/>
        <v>341.35860587240273</v>
      </c>
      <c r="CE16" s="5">
        <f t="shared" si="17"/>
        <v>336.23822678431668</v>
      </c>
      <c r="CF16" s="5">
        <f t="shared" si="17"/>
        <v>331.19465338255191</v>
      </c>
      <c r="CG16" s="5">
        <f t="shared" si="17"/>
        <v>326.22673358181362</v>
      </c>
      <c r="CH16" s="5">
        <f t="shared" si="17"/>
        <v>321.33333257808641</v>
      </c>
      <c r="CI16" s="5">
        <f t="shared" si="17"/>
        <v>316.51333258941509</v>
      </c>
      <c r="CJ16" s="5">
        <f t="shared" si="17"/>
        <v>311.76563260057384</v>
      </c>
      <c r="CK16" s="5">
        <f t="shared" si="17"/>
        <v>307.08914811156524</v>
      </c>
      <c r="CL16" s="5">
        <f t="shared" si="17"/>
        <v>302.48281088989177</v>
      </c>
      <c r="CM16" s="5">
        <f t="shared" si="17"/>
        <v>297.9455687265434</v>
      </c>
      <c r="CN16" s="5">
        <f t="shared" si="17"/>
        <v>293.47638519564526</v>
      </c>
      <c r="CO16" s="5">
        <f t="shared" si="17"/>
        <v>289.0742394177106</v>
      </c>
      <c r="CP16" s="5">
        <f t="shared" si="17"/>
        <v>284.73812582644496</v>
      </c>
      <c r="CQ16" s="5">
        <f t="shared" si="17"/>
        <v>280.4670539390483</v>
      </c>
      <c r="CR16" s="5">
        <f t="shared" si="17"/>
        <v>276.26004812996257</v>
      </c>
      <c r="CS16" s="5">
        <f t="shared" si="17"/>
        <v>272.11614740801315</v>
      </c>
      <c r="CT16" s="5">
        <f t="shared" ref="CT16:DD16" si="18">CS16*(1+$AI$40)</f>
        <v>268.03440519689292</v>
      </c>
      <c r="CU16" s="5">
        <f t="shared" si="18"/>
        <v>264.01388911893952</v>
      </c>
      <c r="CV16" s="5">
        <f t="shared" si="18"/>
        <v>260.05368078215542</v>
      </c>
      <c r="CW16" s="5">
        <f t="shared" si="18"/>
        <v>256.15287557042308</v>
      </c>
      <c r="CX16" s="5">
        <f t="shared" si="18"/>
        <v>252.31058243686672</v>
      </c>
      <c r="CY16" s="5">
        <f t="shared" si="18"/>
        <v>248.52592370031371</v>
      </c>
      <c r="CZ16" s="5">
        <f t="shared" si="18"/>
        <v>244.798034844809</v>
      </c>
      <c r="DA16" s="5">
        <f t="shared" si="18"/>
        <v>241.12606432213687</v>
      </c>
      <c r="DB16" s="5">
        <f t="shared" si="18"/>
        <v>237.5091733573048</v>
      </c>
      <c r="DC16" s="5">
        <f t="shared" si="18"/>
        <v>233.94653575694522</v>
      </c>
      <c r="DD16" s="5">
        <f t="shared" si="18"/>
        <v>230.43733772059105</v>
      </c>
      <c r="DE16" s="5"/>
    </row>
    <row r="17" spans="1:37" s="1" customFormat="1" x14ac:dyDescent="0.25">
      <c r="A17" s="5"/>
      <c r="B17" s="1" t="s">
        <v>18</v>
      </c>
      <c r="E17" s="1">
        <v>68.8</v>
      </c>
      <c r="F17" s="1">
        <v>68.8</v>
      </c>
      <c r="G17" s="1">
        <v>69.2</v>
      </c>
      <c r="H17" s="1">
        <v>69.599999999999994</v>
      </c>
      <c r="I17" s="1">
        <v>69.900000000000006</v>
      </c>
      <c r="J17" s="1">
        <v>69.900000000000006</v>
      </c>
      <c r="K17" s="1">
        <v>70.3</v>
      </c>
      <c r="L17" s="1">
        <v>70.099999999999994</v>
      </c>
      <c r="P17" s="21"/>
      <c r="S17" s="1">
        <v>68.400000000000006</v>
      </c>
      <c r="T17" s="1">
        <v>68.8</v>
      </c>
      <c r="U17" s="1">
        <v>69.7</v>
      </c>
    </row>
    <row r="18" spans="1:37" x14ac:dyDescent="0.25">
      <c r="A18" s="7"/>
      <c r="B18" s="8" t="s">
        <v>19</v>
      </c>
      <c r="C18" s="7"/>
      <c r="D18" s="7"/>
      <c r="E18" s="7">
        <f t="shared" ref="E18:L18" si="19">+E16/E17</f>
        <v>-5.9593023255813359E-2</v>
      </c>
      <c r="F18" s="7">
        <f t="shared" si="19"/>
        <v>0.99418604651162756</v>
      </c>
      <c r="G18" s="7">
        <f t="shared" si="19"/>
        <v>0.68497109826589664</v>
      </c>
      <c r="H18" s="7">
        <f t="shared" si="19"/>
        <v>-0.14798850574712666</v>
      </c>
      <c r="I18" s="7">
        <f t="shared" si="19"/>
        <v>1.1416309012875512</v>
      </c>
      <c r="J18" s="7">
        <f t="shared" si="19"/>
        <v>1.4921316165951297</v>
      </c>
      <c r="K18" s="7">
        <f t="shared" si="19"/>
        <v>0.9687055476529185</v>
      </c>
      <c r="L18" s="7">
        <f t="shared" si="19"/>
        <v>0.79600570613409405</v>
      </c>
      <c r="M18" s="7"/>
      <c r="N18" s="7"/>
      <c r="O18" s="7"/>
      <c r="P18" s="9"/>
      <c r="Q18" s="7"/>
      <c r="R18" s="7"/>
      <c r="S18" s="7">
        <f>+S16/S17</f>
        <v>-0.2763157894736783</v>
      </c>
      <c r="T18" s="7">
        <f>+T16/T17</f>
        <v>-1.1787790697674445</v>
      </c>
      <c r="U18" s="7">
        <f>+U16/U17</f>
        <v>3.1736011477761807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1"/>
      <c r="B19" s="1"/>
      <c r="C19" s="10"/>
      <c r="D19" s="10"/>
      <c r="E19" s="10"/>
      <c r="F19" s="10"/>
      <c r="G19" s="10"/>
      <c r="H19" s="10"/>
      <c r="I19" s="10"/>
      <c r="J19" s="10"/>
      <c r="L19" s="10"/>
      <c r="M19" s="10"/>
      <c r="N19" s="10"/>
      <c r="O19" s="10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1" customFormat="1" x14ac:dyDescent="0.25">
      <c r="B20" s="1" t="s">
        <v>27</v>
      </c>
      <c r="F20" s="1">
        <v>624.6</v>
      </c>
      <c r="I20" s="1">
        <v>188.9</v>
      </c>
      <c r="J20" s="1">
        <v>260</v>
      </c>
      <c r="K20" s="1">
        <v>225.8</v>
      </c>
      <c r="L20" s="1">
        <v>52.4</v>
      </c>
      <c r="P20" s="11"/>
      <c r="T20" s="1">
        <v>624.6</v>
      </c>
      <c r="U20" s="1">
        <v>260</v>
      </c>
    </row>
    <row r="21" spans="1:37" s="1" customFormat="1" x14ac:dyDescent="0.25">
      <c r="B21" s="1" t="s">
        <v>31</v>
      </c>
      <c r="F21" s="1">
        <v>871.4</v>
      </c>
      <c r="I21" s="1">
        <v>1170.7</v>
      </c>
      <c r="J21" s="1">
        <v>1084.5</v>
      </c>
      <c r="K21" s="1">
        <v>1161.7</v>
      </c>
      <c r="L21" s="1">
        <v>1462.1</v>
      </c>
      <c r="P21" s="11"/>
      <c r="T21" s="1">
        <v>871.4</v>
      </c>
      <c r="U21" s="1">
        <v>1084.5</v>
      </c>
    </row>
    <row r="22" spans="1:37" s="1" customFormat="1" x14ac:dyDescent="0.25">
      <c r="B22" s="1" t="s">
        <v>32</v>
      </c>
      <c r="F22" s="1">
        <v>207.8</v>
      </c>
      <c r="I22" s="1">
        <v>223.8</v>
      </c>
      <c r="J22" s="1">
        <v>236.6</v>
      </c>
      <c r="K22" s="1">
        <v>256.3</v>
      </c>
      <c r="L22" s="1">
        <v>281.89999999999998</v>
      </c>
      <c r="P22" s="11"/>
      <c r="T22" s="1">
        <v>207.8</v>
      </c>
      <c r="U22" s="1">
        <v>236.6</v>
      </c>
    </row>
    <row r="23" spans="1:37" s="1" customFormat="1" x14ac:dyDescent="0.25">
      <c r="B23" s="1" t="s">
        <v>28</v>
      </c>
      <c r="F23" s="1">
        <v>2494.1999999999998</v>
      </c>
      <c r="I23" s="1">
        <f>0+1616.1</f>
        <v>1616.1</v>
      </c>
      <c r="J23" s="1">
        <v>1614.5</v>
      </c>
      <c r="K23" s="1">
        <v>1612.9</v>
      </c>
      <c r="L23" s="1">
        <f>145.6+1611.2</f>
        <v>1756.8</v>
      </c>
      <c r="P23" s="11"/>
      <c r="T23" s="1">
        <v>2494.1999999999998</v>
      </c>
      <c r="U23" s="1">
        <v>1614.5</v>
      </c>
    </row>
    <row r="24" spans="1:37" s="1" customFormat="1" x14ac:dyDescent="0.25">
      <c r="B24" s="5" t="s">
        <v>34</v>
      </c>
      <c r="F24" s="1">
        <f>F20-F23</f>
        <v>-1869.6</v>
      </c>
      <c r="I24" s="1">
        <f t="shared" ref="I24:L24" si="20">I20-I23</f>
        <v>-1427.1999999999998</v>
      </c>
      <c r="J24" s="1">
        <f t="shared" si="20"/>
        <v>-1354.5</v>
      </c>
      <c r="K24" s="1">
        <f t="shared" si="20"/>
        <v>-1387.1000000000001</v>
      </c>
      <c r="L24" s="1">
        <f t="shared" si="20"/>
        <v>-1704.3999999999999</v>
      </c>
      <c r="P24" s="11"/>
      <c r="T24" s="1">
        <f t="shared" ref="T24:U24" si="21">T20-T23</f>
        <v>-1869.6</v>
      </c>
      <c r="U24" s="1">
        <f t="shared" si="21"/>
        <v>-1354.5</v>
      </c>
      <c r="V24" s="1">
        <f>U24+V16</f>
        <v>-1096.1877500000001</v>
      </c>
      <c r="W24" s="1">
        <f t="shared" ref="W24:AF24" si="22">V24+W16</f>
        <v>-834.29098187500006</v>
      </c>
      <c r="X24" s="1">
        <f t="shared" si="22"/>
        <v>-547.17075542343764</v>
      </c>
      <c r="Y24" s="1">
        <f t="shared" si="22"/>
        <v>-94.917355735672118</v>
      </c>
      <c r="Z24" s="1">
        <f t="shared" si="22"/>
        <v>394.79881025295128</v>
      </c>
      <c r="AA24" s="1">
        <f t="shared" si="22"/>
        <v>821.71857591100832</v>
      </c>
      <c r="AB24" s="1">
        <f t="shared" si="22"/>
        <v>1385.8428692625553</v>
      </c>
      <c r="AC24" s="1">
        <f t="shared" si="22"/>
        <v>1987.393471746678</v>
      </c>
      <c r="AD24" s="1">
        <f t="shared" si="22"/>
        <v>2628.4535910892382</v>
      </c>
      <c r="AE24" s="1">
        <f t="shared" si="22"/>
        <v>3311.2163050648205</v>
      </c>
      <c r="AF24" s="1">
        <f t="shared" si="22"/>
        <v>4037.9902198179861</v>
      </c>
    </row>
    <row r="25" spans="1:37" x14ac:dyDescent="0.25">
      <c r="A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x14ac:dyDescent="0.25">
      <c r="A26" s="13"/>
      <c r="B26" s="13" t="s">
        <v>20</v>
      </c>
      <c r="C26" s="13"/>
      <c r="D26" s="13"/>
      <c r="E26" s="13">
        <f t="shared" ref="E26:L26" si="23">E8/E6</f>
        <v>0.23797844187697673</v>
      </c>
      <c r="F26" s="13">
        <f t="shared" si="23"/>
        <v>0.25156695156695158</v>
      </c>
      <c r="G26" s="13">
        <f t="shared" si="23"/>
        <v>0.25353631462099591</v>
      </c>
      <c r="H26" s="13">
        <f t="shared" si="23"/>
        <v>0.25265553869499241</v>
      </c>
      <c r="I26" s="13">
        <f t="shared" si="23"/>
        <v>0.27637412531381866</v>
      </c>
      <c r="J26" s="13">
        <f t="shared" si="23"/>
        <v>0.27066225871813993</v>
      </c>
      <c r="K26" s="13">
        <f t="shared" si="23"/>
        <v>0.26303493076528583</v>
      </c>
      <c r="L26" s="13">
        <f t="shared" si="23"/>
        <v>0.26053707985061353</v>
      </c>
      <c r="M26" s="13"/>
      <c r="N26" s="13"/>
      <c r="O26" s="13"/>
      <c r="P26" s="14"/>
      <c r="Q26" s="13"/>
      <c r="R26" s="13"/>
      <c r="S26" s="13">
        <f>S8/S6</f>
        <v>0.23808809059221833</v>
      </c>
      <c r="T26" s="13">
        <f>T8/T6</f>
        <v>0.24011695708756567</v>
      </c>
      <c r="U26" s="13">
        <f>U8/U6</f>
        <v>0.26463414634146337</v>
      </c>
      <c r="V26" s="13">
        <f t="shared" ref="V26:AF26" si="24">V8/V6</f>
        <v>0.25</v>
      </c>
      <c r="W26" s="13">
        <f t="shared" si="24"/>
        <v>0.25</v>
      </c>
      <c r="X26" s="13">
        <f t="shared" si="24"/>
        <v>0.25</v>
      </c>
      <c r="Y26" s="13">
        <f t="shared" si="24"/>
        <v>0.25</v>
      </c>
      <c r="Z26" s="13">
        <f t="shared" si="24"/>
        <v>0.25</v>
      </c>
      <c r="AA26" s="13">
        <f t="shared" si="24"/>
        <v>0.25</v>
      </c>
      <c r="AB26" s="13">
        <f t="shared" si="24"/>
        <v>0.25</v>
      </c>
      <c r="AC26" s="13">
        <f t="shared" si="24"/>
        <v>0.25</v>
      </c>
      <c r="AD26" s="13">
        <f t="shared" si="24"/>
        <v>0.25</v>
      </c>
      <c r="AE26" s="13">
        <f t="shared" si="24"/>
        <v>0.25</v>
      </c>
      <c r="AF26" s="13">
        <f t="shared" si="24"/>
        <v>0.25</v>
      </c>
      <c r="AG26" s="13"/>
      <c r="AH26" s="13"/>
      <c r="AI26" s="13"/>
      <c r="AJ26" s="13"/>
      <c r="AK26" s="13"/>
    </row>
    <row r="27" spans="1:37" x14ac:dyDescent="0.25">
      <c r="A27" s="15"/>
      <c r="B27" s="15" t="s">
        <v>21</v>
      </c>
      <c r="C27" s="15"/>
      <c r="D27" s="15"/>
      <c r="E27" s="15">
        <f t="shared" ref="E27:L27" si="25">E12/E6</f>
        <v>4.853804944168337E-2</v>
      </c>
      <c r="F27" s="15">
        <f t="shared" si="25"/>
        <v>6.6438746438746421E-2</v>
      </c>
      <c r="G27" s="15">
        <f t="shared" si="25"/>
        <v>6.0323501427212212E-2</v>
      </c>
      <c r="H27" s="15">
        <f t="shared" si="25"/>
        <v>1.7450682852807271E-2</v>
      </c>
      <c r="I27" s="15">
        <f t="shared" si="25"/>
        <v>9.6576037604828718E-2</v>
      </c>
      <c r="J27" s="15">
        <f t="shared" si="25"/>
        <v>8.4195371654046891E-2</v>
      </c>
      <c r="K27" s="15">
        <f t="shared" si="25"/>
        <v>6.0630235341045162E-2</v>
      </c>
      <c r="L27" s="15">
        <f t="shared" si="25"/>
        <v>5.4122947418341324E-2</v>
      </c>
      <c r="M27" s="15"/>
      <c r="N27" s="15"/>
      <c r="O27" s="15"/>
      <c r="P27" s="16"/>
      <c r="Q27" s="15"/>
      <c r="R27" s="15"/>
      <c r="S27" s="15">
        <f t="shared" ref="S27:AF27" si="26">S12/S6</f>
        <v>2.1914244258768267E-2</v>
      </c>
      <c r="T27" s="15">
        <f t="shared" si="26"/>
        <v>5.949262257677391E-3</v>
      </c>
      <c r="U27" s="15">
        <f t="shared" si="26"/>
        <v>6.8774465522432965E-2</v>
      </c>
      <c r="V27" s="15">
        <f t="shared" si="26"/>
        <v>5.8127855674691989E-2</v>
      </c>
      <c r="W27" s="15">
        <f t="shared" si="26"/>
        <v>5.724413267164926E-2</v>
      </c>
      <c r="X27" s="15">
        <f t="shared" si="26"/>
        <v>5.9072729153391727E-2</v>
      </c>
      <c r="Y27" s="15">
        <f t="shared" si="26"/>
        <v>7.0041584285179148E-2</v>
      </c>
      <c r="Z27" s="15">
        <f t="shared" si="26"/>
        <v>7.0606445107296731E-2</v>
      </c>
      <c r="AA27" s="15">
        <f t="shared" si="26"/>
        <v>7.1155319302373232E-2</v>
      </c>
      <c r="AB27" s="15">
        <f t="shared" si="26"/>
        <v>8.151426560137566E-2</v>
      </c>
      <c r="AC27" s="15">
        <f t="shared" si="26"/>
        <v>8.186637482801612E-2</v>
      </c>
      <c r="AD27" s="15">
        <f t="shared" si="26"/>
        <v>8.2211777212244389E-2</v>
      </c>
      <c r="AE27" s="15">
        <f t="shared" si="26"/>
        <v>8.2550600503439722E-2</v>
      </c>
      <c r="AF27" s="15">
        <f t="shared" si="26"/>
        <v>8.2882970017659929E-2</v>
      </c>
      <c r="AG27" s="15"/>
      <c r="AH27" s="15"/>
      <c r="AI27" s="15"/>
      <c r="AJ27" s="15"/>
      <c r="AK27" s="15"/>
    </row>
    <row r="28" spans="1:37" s="18" customFormat="1" x14ac:dyDescent="0.25">
      <c r="B28" s="18" t="s">
        <v>22</v>
      </c>
      <c r="E28" s="18">
        <f t="shared" ref="E28:L28" si="27">E15/E6</f>
        <v>2.8464467824178663E-2</v>
      </c>
      <c r="F28" s="18">
        <f t="shared" si="27"/>
        <v>9.6296296296296286E-3</v>
      </c>
      <c r="G28" s="18">
        <f t="shared" si="27"/>
        <v>1.1227402473834443E-2</v>
      </c>
      <c r="H28" s="18">
        <f t="shared" si="27"/>
        <v>-3.6418816388467373E-3</v>
      </c>
      <c r="I28" s="18">
        <f t="shared" si="27"/>
        <v>1.4475722450723788E-2</v>
      </c>
      <c r="J28" s="18">
        <f t="shared" si="27"/>
        <v>1.988909032739682E-2</v>
      </c>
      <c r="K28" s="18">
        <f t="shared" si="27"/>
        <v>1.1909510513419567E-2</v>
      </c>
      <c r="L28" s="18">
        <f t="shared" si="27"/>
        <v>1.1203983638627065E-2</v>
      </c>
      <c r="P28" s="19"/>
      <c r="S28" s="18">
        <f>S15/S6</f>
        <v>-5.3368022547989531E-4</v>
      </c>
      <c r="T28" s="18">
        <f>T15/T6</f>
        <v>-4.5633545726502947E-3</v>
      </c>
      <c r="U28" s="18">
        <f>U15/U6</f>
        <v>1.1638060825052695E-2</v>
      </c>
      <c r="V28" s="18">
        <f t="shared" ref="V28:AF28" si="28">V15/V6</f>
        <v>1.4999999999999999E-2</v>
      </c>
      <c r="W28" s="18">
        <f t="shared" si="28"/>
        <v>1.4999999999999998E-2</v>
      </c>
      <c r="X28" s="18">
        <f t="shared" si="28"/>
        <v>0.02</v>
      </c>
      <c r="Y28" s="18">
        <f t="shared" si="28"/>
        <v>0.02</v>
      </c>
      <c r="Z28" s="18">
        <f t="shared" si="28"/>
        <v>0.02</v>
      </c>
      <c r="AA28" s="18">
        <f t="shared" si="28"/>
        <v>0.03</v>
      </c>
      <c r="AB28" s="18">
        <f t="shared" si="28"/>
        <v>3.0000000000000002E-2</v>
      </c>
      <c r="AC28" s="18">
        <f t="shared" si="28"/>
        <v>0.03</v>
      </c>
      <c r="AD28" s="18">
        <f t="shared" si="28"/>
        <v>2.9999999999999995E-2</v>
      </c>
      <c r="AE28" s="18">
        <f t="shared" si="28"/>
        <v>3.0000000000000002E-2</v>
      </c>
      <c r="AF28" s="18">
        <f t="shared" si="28"/>
        <v>0.03</v>
      </c>
    </row>
    <row r="29" spans="1:37" x14ac:dyDescent="0.25">
      <c r="A29" s="15"/>
      <c r="B29" s="15" t="s">
        <v>55</v>
      </c>
      <c r="C29" s="15"/>
      <c r="D29" s="15"/>
      <c r="E29" s="15"/>
      <c r="F29" s="15">
        <f>F6/F22</f>
        <v>8.4456207892204045</v>
      </c>
      <c r="G29" s="15"/>
      <c r="H29" s="15"/>
      <c r="I29" s="15">
        <f>I6/I22</f>
        <v>8.3650580875781948</v>
      </c>
      <c r="J29" s="15">
        <f>J6/J22</f>
        <v>7.9264581572273887</v>
      </c>
      <c r="K29" s="15">
        <f>K6/K22</f>
        <v>6.8470542333203275</v>
      </c>
      <c r="L29" s="15">
        <f>L6/L22</f>
        <v>5.9840368925150766</v>
      </c>
      <c r="M29" s="15"/>
      <c r="N29" s="15"/>
      <c r="O29" s="15"/>
      <c r="P29" s="16"/>
      <c r="Q29" s="15"/>
      <c r="R29" s="15"/>
      <c r="S29" s="15" t="e">
        <f>S6/S22</f>
        <v>#DIV/0!</v>
      </c>
      <c r="T29" s="15">
        <f>T6/T22</f>
        <v>28.473051010587099</v>
      </c>
      <c r="U29" s="15">
        <f>U6/U22</f>
        <v>28.072696534234996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5">
      <c r="A30" s="15"/>
      <c r="B30" s="15" t="s">
        <v>40</v>
      </c>
      <c r="C30" s="15"/>
      <c r="D30" s="15"/>
      <c r="E30" s="15">
        <f t="shared" ref="E30:L30" si="29">E9/E6</f>
        <v>0.1603950171044988</v>
      </c>
      <c r="F30" s="15">
        <f t="shared" si="29"/>
        <v>0.16011396011396012</v>
      </c>
      <c r="G30" s="15">
        <f t="shared" si="29"/>
        <v>0.168220742150333</v>
      </c>
      <c r="H30" s="15">
        <f t="shared" si="29"/>
        <v>0.2031866464339909</v>
      </c>
      <c r="I30" s="15">
        <f t="shared" si="29"/>
        <v>0.15827145985791358</v>
      </c>
      <c r="J30" s="15">
        <f t="shared" si="29"/>
        <v>0.16497813799722733</v>
      </c>
      <c r="K30" s="15">
        <f t="shared" si="29"/>
        <v>0.1676448800501453</v>
      </c>
      <c r="L30" s="15">
        <f t="shared" si="29"/>
        <v>0.18335408145118265</v>
      </c>
      <c r="M30" s="15"/>
      <c r="N30" s="15"/>
      <c r="O30" s="15"/>
      <c r="P30" s="16"/>
      <c r="Q30" s="15"/>
      <c r="R30" s="15"/>
      <c r="S30" s="15">
        <f>S9/S6</f>
        <v>0.18225179700138422</v>
      </c>
      <c r="T30" s="15">
        <f>T9/T6</f>
        <v>0.18008349248736627</v>
      </c>
      <c r="U30" s="15">
        <f>U9/U6</f>
        <v>0.17143932550436616</v>
      </c>
      <c r="V30" s="15">
        <v>0.17</v>
      </c>
      <c r="W30" s="15">
        <v>0.17</v>
      </c>
      <c r="X30" s="15">
        <v>0.17</v>
      </c>
      <c r="Y30" s="15">
        <v>0.16</v>
      </c>
      <c r="Z30" s="15">
        <v>0.16</v>
      </c>
      <c r="AA30" s="15">
        <v>0.16</v>
      </c>
      <c r="AB30" s="15">
        <v>0.15</v>
      </c>
      <c r="AC30" s="15">
        <v>0.15</v>
      </c>
      <c r="AD30" s="15">
        <v>0.15</v>
      </c>
      <c r="AE30" s="15">
        <v>0.15</v>
      </c>
      <c r="AF30" s="15">
        <v>0.15</v>
      </c>
      <c r="AG30" s="15"/>
      <c r="AH30" s="15"/>
      <c r="AI30" s="15"/>
      <c r="AJ30" s="15"/>
      <c r="AK30" s="15"/>
    </row>
    <row r="31" spans="1:37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s="15" customFormat="1" x14ac:dyDescent="0.25">
      <c r="B32" s="1" t="s">
        <v>46</v>
      </c>
      <c r="I32" s="15">
        <f t="shared" ref="I32:L35" si="30">I3/E3-1</f>
        <v>0.17980769230769234</v>
      </c>
      <c r="J32" s="15">
        <f t="shared" si="30"/>
        <v>3.1094527363183744E-2</v>
      </c>
      <c r="K32" s="15">
        <f t="shared" si="30"/>
        <v>8.8778409090909172E-2</v>
      </c>
      <c r="L32" s="15">
        <f t="shared" si="30"/>
        <v>0.21784172661870493</v>
      </c>
      <c r="P32" s="16"/>
      <c r="T32" s="15">
        <f t="shared" ref="T32:U35" si="31">T3/S3-1</f>
        <v>8.578681992877546E-2</v>
      </c>
      <c r="U32" s="15">
        <f t="shared" si="31"/>
        <v>0.14184581411963371</v>
      </c>
      <c r="V32" s="15">
        <v>0.15</v>
      </c>
      <c r="W32" s="15">
        <v>-0.01</v>
      </c>
      <c r="X32" s="15">
        <v>0.12</v>
      </c>
      <c r="Y32" s="15">
        <v>0.08</v>
      </c>
      <c r="Z32" s="15">
        <v>0.06</v>
      </c>
      <c r="AA32" s="15">
        <v>0.06</v>
      </c>
      <c r="AB32" s="15">
        <v>0.05</v>
      </c>
      <c r="AC32" s="15">
        <v>0.05</v>
      </c>
      <c r="AD32" s="15">
        <v>0.05</v>
      </c>
      <c r="AE32" s="15">
        <v>0.05</v>
      </c>
      <c r="AF32" s="15">
        <v>0.05</v>
      </c>
    </row>
    <row r="33" spans="1:37" s="15" customFormat="1" x14ac:dyDescent="0.25">
      <c r="B33" s="1" t="s">
        <v>47</v>
      </c>
      <c r="I33" s="15">
        <f t="shared" si="30"/>
        <v>0.16324091778202687</v>
      </c>
      <c r="J33" s="15">
        <f t="shared" si="30"/>
        <v>7.0686540198735104E-2</v>
      </c>
      <c r="K33" s="15">
        <f t="shared" si="30"/>
        <v>0.12829525483304027</v>
      </c>
      <c r="L33" s="15">
        <f t="shared" si="30"/>
        <v>0.47922353654837724</v>
      </c>
      <c r="P33" s="16"/>
      <c r="T33" s="15">
        <f t="shared" si="31"/>
        <v>3.6742545687720396E-2</v>
      </c>
      <c r="U33" s="15">
        <f t="shared" si="31"/>
        <v>4.4532409698169184E-2</v>
      </c>
      <c r="V33" s="15">
        <v>0.15</v>
      </c>
      <c r="W33" s="15">
        <v>-0.01</v>
      </c>
      <c r="X33" s="15">
        <v>0.12</v>
      </c>
      <c r="Y33" s="15">
        <v>0.08</v>
      </c>
      <c r="Z33" s="15">
        <v>0.06</v>
      </c>
      <c r="AA33" s="15">
        <v>0.06</v>
      </c>
      <c r="AB33" s="15">
        <v>0.05</v>
      </c>
      <c r="AC33" s="15">
        <v>0.05</v>
      </c>
      <c r="AD33" s="15">
        <v>0.05</v>
      </c>
      <c r="AE33" s="15">
        <v>0.05</v>
      </c>
      <c r="AF33" s="15">
        <v>0.05</v>
      </c>
    </row>
    <row r="34" spans="1:37" s="15" customFormat="1" x14ac:dyDescent="0.25">
      <c r="B34" s="1" t="s">
        <v>48</v>
      </c>
      <c r="I34" s="15">
        <f t="shared" si="30"/>
        <v>0.35140562248995977</v>
      </c>
      <c r="J34" s="15">
        <f t="shared" si="30"/>
        <v>0.17012089810017317</v>
      </c>
      <c r="K34" s="15">
        <f t="shared" si="30"/>
        <v>0.15686862627474518</v>
      </c>
      <c r="L34" s="15">
        <f t="shared" si="30"/>
        <v>0.20286396181384236</v>
      </c>
      <c r="P34" s="16"/>
      <c r="T34" s="15">
        <f t="shared" si="31"/>
        <v>-0.23742580443611372</v>
      </c>
      <c r="U34" s="15">
        <f t="shared" si="31"/>
        <v>0.17738631708316266</v>
      </c>
      <c r="V34" s="15">
        <v>0.15</v>
      </c>
      <c r="W34" s="15">
        <v>-0.01</v>
      </c>
      <c r="X34" s="15">
        <v>0.12</v>
      </c>
      <c r="Y34" s="15">
        <v>0.08</v>
      </c>
      <c r="Z34" s="15">
        <v>0.06</v>
      </c>
      <c r="AA34" s="15">
        <v>0.06</v>
      </c>
      <c r="AB34" s="15">
        <v>0.05</v>
      </c>
      <c r="AC34" s="15">
        <v>0.05</v>
      </c>
      <c r="AD34" s="15">
        <v>0.05</v>
      </c>
      <c r="AE34" s="15">
        <v>0.05</v>
      </c>
      <c r="AF34" s="15">
        <v>0.05</v>
      </c>
    </row>
    <row r="35" spans="1:37" s="4" customFormat="1" x14ac:dyDescent="0.25">
      <c r="A35" s="13"/>
      <c r="B35" s="13" t="s">
        <v>23</v>
      </c>
      <c r="C35" s="13"/>
      <c r="D35" s="13"/>
      <c r="E35" s="13"/>
      <c r="F35" s="13"/>
      <c r="G35" s="13"/>
      <c r="H35" s="13"/>
      <c r="I35" s="13">
        <f t="shared" si="30"/>
        <v>0.20835215903956628</v>
      </c>
      <c r="J35" s="13">
        <f t="shared" si="30"/>
        <v>6.8603988603988642E-2</v>
      </c>
      <c r="K35" s="13">
        <f t="shared" si="30"/>
        <v>0.11316206787186811</v>
      </c>
      <c r="L35" s="13">
        <f t="shared" si="30"/>
        <v>0.27989377845220043</v>
      </c>
      <c r="M35" s="13"/>
      <c r="N35" s="13"/>
      <c r="O35" s="13"/>
      <c r="P35" s="14"/>
      <c r="Q35" s="13"/>
      <c r="R35" s="13"/>
      <c r="S35" s="13"/>
      <c r="T35" s="13">
        <f t="shared" si="31"/>
        <v>-1.3241940594719948E-2</v>
      </c>
      <c r="U35" s="13">
        <f t="shared" si="31"/>
        <v>0.12258522487197254</v>
      </c>
      <c r="V35" s="13">
        <f t="shared" ref="V35:AF35" si="32">V6/U6-1</f>
        <v>0.15000000000000013</v>
      </c>
      <c r="W35" s="13">
        <f t="shared" si="32"/>
        <v>-1.000000000000012E-2</v>
      </c>
      <c r="X35" s="13">
        <f t="shared" si="32"/>
        <v>0.12000000000000011</v>
      </c>
      <c r="Y35" s="13">
        <f t="shared" si="32"/>
        <v>8.0000000000000071E-2</v>
      </c>
      <c r="Z35" s="13">
        <f t="shared" si="32"/>
        <v>6.0000000000000275E-2</v>
      </c>
      <c r="AA35" s="13">
        <f t="shared" si="32"/>
        <v>6.0000000000000053E-2</v>
      </c>
      <c r="AB35" s="13">
        <f t="shared" si="32"/>
        <v>5.0000000000000044E-2</v>
      </c>
      <c r="AC35" s="13">
        <f t="shared" si="32"/>
        <v>5.0000000000000266E-2</v>
      </c>
      <c r="AD35" s="13">
        <f t="shared" si="32"/>
        <v>5.0000000000000044E-2</v>
      </c>
      <c r="AE35" s="13">
        <f t="shared" si="32"/>
        <v>4.9999999999999822E-2</v>
      </c>
      <c r="AF35" s="13">
        <f t="shared" si="32"/>
        <v>5.0000000000000044E-2</v>
      </c>
      <c r="AG35" s="13"/>
      <c r="AH35" s="13"/>
      <c r="AI35" s="13"/>
      <c r="AJ35" s="13"/>
      <c r="AK35" s="13"/>
    </row>
    <row r="36" spans="1:37" x14ac:dyDescent="0.25">
      <c r="A36" s="13"/>
      <c r="B36" s="13" t="s">
        <v>24</v>
      </c>
      <c r="C36" s="13"/>
      <c r="D36" s="13"/>
      <c r="E36" s="13"/>
      <c r="F36" s="13"/>
      <c r="G36" s="13"/>
      <c r="H36" s="13"/>
      <c r="I36" s="13">
        <f>+I16/E16-1</f>
        <v>-20.463414634146499</v>
      </c>
      <c r="J36" s="13">
        <f t="shared" ref="J36:L36" si="33">+J16/F16-1</f>
        <v>0.52485380116958491</v>
      </c>
      <c r="K36" s="13">
        <f t="shared" si="33"/>
        <v>0.43670886075949578</v>
      </c>
      <c r="L36" s="13">
        <f t="shared" si="33"/>
        <v>-6.4174757281553312</v>
      </c>
      <c r="M36" s="13"/>
      <c r="N36" s="13"/>
      <c r="O36" s="13"/>
      <c r="P36" s="14"/>
      <c r="Q36" s="13"/>
      <c r="R36" s="13"/>
      <c r="S36" s="13"/>
      <c r="T36" s="13">
        <f t="shared" ref="T36" si="34">T16/S16-1</f>
        <v>3.2910052910053915</v>
      </c>
      <c r="U36" s="13">
        <f>U16/T16-1</f>
        <v>-3.7274969173859351</v>
      </c>
      <c r="V36" s="13">
        <f t="shared" ref="V36:AF36" si="35">V16/U16-1</f>
        <v>0.16777689873417745</v>
      </c>
      <c r="W36" s="13">
        <f t="shared" si="35"/>
        <v>1.3876686548935036E-2</v>
      </c>
      <c r="X36" s="13">
        <f t="shared" si="35"/>
        <v>9.6310689540558103E-2</v>
      </c>
      <c r="Y36" s="13">
        <f t="shared" si="35"/>
        <v>0.57513598145639988</v>
      </c>
      <c r="Z36" s="13">
        <f t="shared" si="35"/>
        <v>8.2835787031611208E-2</v>
      </c>
      <c r="AA36" s="13">
        <f t="shared" si="35"/>
        <v>-0.12823019677897507</v>
      </c>
      <c r="AB36" s="13">
        <f t="shared" si="35"/>
        <v>0.32138246745732668</v>
      </c>
      <c r="AC36" s="13">
        <f t="shared" si="35"/>
        <v>6.6344083340606153E-2</v>
      </c>
      <c r="AD36" s="13">
        <f t="shared" si="35"/>
        <v>6.5679456882400178E-2</v>
      </c>
      <c r="AE36" s="13">
        <f t="shared" si="35"/>
        <v>6.5052548699785273E-2</v>
      </c>
      <c r="AF36" s="13">
        <f t="shared" si="35"/>
        <v>6.4460463169283111E-2</v>
      </c>
      <c r="AG36" s="13"/>
      <c r="AH36" s="13"/>
      <c r="AI36" s="13"/>
      <c r="AJ36" s="13"/>
      <c r="AK36" s="13"/>
    </row>
    <row r="37" spans="1:37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5">
      <c r="B38" s="1"/>
    </row>
    <row r="39" spans="1:37" s="18" customFormat="1" x14ac:dyDescent="0.25">
      <c r="B39" s="18" t="s">
        <v>35</v>
      </c>
      <c r="J39" s="18">
        <f>(1+J13/I24)^4-1</f>
        <v>-4.4907167888848853E-2</v>
      </c>
      <c r="K39" s="18">
        <f>(1+K13/J24)^4-1</f>
        <v>-5.040259803694247E-2</v>
      </c>
      <c r="L39" s="18">
        <f>(1+L13/K24)^4-1</f>
        <v>-4.7017177458319459E-2</v>
      </c>
      <c r="P39" s="19"/>
      <c r="U39" s="18">
        <f t="shared" ref="U39:AF39" si="36">U13/T24</f>
        <v>-5.2471116816431324E-2</v>
      </c>
      <c r="V39" s="18">
        <f t="shared" si="36"/>
        <v>-5.2499999999999998E-2</v>
      </c>
      <c r="W39" s="18">
        <f t="shared" si="36"/>
        <v>-5.2499999999999998E-2</v>
      </c>
      <c r="X39" s="18">
        <f t="shared" si="36"/>
        <v>-5.2499999999999998E-2</v>
      </c>
      <c r="Y39" s="18">
        <f t="shared" si="36"/>
        <v>-0.01</v>
      </c>
      <c r="Z39" s="18">
        <f t="shared" si="36"/>
        <v>-0.01</v>
      </c>
      <c r="AA39" s="18">
        <f t="shared" si="36"/>
        <v>-0.01</v>
      </c>
      <c r="AB39" s="18">
        <f t="shared" si="36"/>
        <v>-0.01</v>
      </c>
      <c r="AC39" s="18">
        <f t="shared" si="36"/>
        <v>-0.01</v>
      </c>
      <c r="AD39" s="18">
        <f t="shared" si="36"/>
        <v>-0.01</v>
      </c>
      <c r="AE39" s="18">
        <f t="shared" si="36"/>
        <v>-0.01</v>
      </c>
      <c r="AF39" s="18">
        <f t="shared" si="36"/>
        <v>-0.01</v>
      </c>
    </row>
    <row r="40" spans="1:37" x14ac:dyDescent="0.25">
      <c r="AH40" s="10" t="s">
        <v>36</v>
      </c>
      <c r="AI40" s="18">
        <v>-1.4999999999999999E-2</v>
      </c>
    </row>
    <row r="41" spans="1:37" x14ac:dyDescent="0.25">
      <c r="AH41" s="15" t="s">
        <v>37</v>
      </c>
      <c r="AI41" s="18">
        <v>-0.01</v>
      </c>
    </row>
    <row r="42" spans="1:37" x14ac:dyDescent="0.25">
      <c r="AH42" t="s">
        <v>38</v>
      </c>
      <c r="AI42" s="18">
        <v>8.5000000000000006E-2</v>
      </c>
    </row>
    <row r="43" spans="1:37" x14ac:dyDescent="0.25">
      <c r="AH43" s="15" t="s">
        <v>39</v>
      </c>
      <c r="AI43" s="20">
        <f>NPV(AI42,V16:DD16)</f>
        <v>6053.073284927159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2022-08-03T03:12:46Z</dcterms:modified>
</cp:coreProperties>
</file>