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Models\"/>
    </mc:Choice>
  </mc:AlternateContent>
  <xr:revisionPtr revIDLastSave="0" documentId="13_ncr:1_{7DF5611E-7CFE-4C61-8EB9-67EB419C6D7D}" xr6:coauthVersionLast="47" xr6:coauthVersionMax="47" xr10:uidLastSave="{00000000-0000-0000-0000-000000000000}"/>
  <bookViews>
    <workbookView xWindow="21135" yWindow="2685" windowWidth="15825" windowHeight="17250" xr2:uid="{0059096E-FB45-4687-8E83-CA48A4808244}"/>
  </bookViews>
  <sheets>
    <sheet name="Main" sheetId="2" r:id="rId1"/>
    <sheet name="Model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9" i="2" l="1"/>
  <c r="V3" i="1"/>
  <c r="N17" i="2"/>
  <c r="N16" i="2"/>
  <c r="N15" i="2"/>
  <c r="V5" i="1"/>
  <c r="V4" i="1"/>
  <c r="U34" i="1"/>
  <c r="T34" i="1"/>
  <c r="S34" i="1"/>
  <c r="R34" i="1"/>
  <c r="U32" i="1"/>
  <c r="T32" i="1"/>
  <c r="S32" i="1"/>
  <c r="R32" i="1"/>
  <c r="U31" i="1"/>
  <c r="T31" i="1"/>
  <c r="S31" i="1"/>
  <c r="R31" i="1"/>
  <c r="T30" i="1"/>
  <c r="S30" i="1"/>
  <c r="R30" i="1"/>
  <c r="U30" i="1"/>
  <c r="W3" i="1" l="1"/>
  <c r="V30" i="1"/>
  <c r="W4" i="1"/>
  <c r="V31" i="1"/>
  <c r="W5" i="1"/>
  <c r="V32" i="1"/>
  <c r="L33" i="1"/>
  <c r="K33" i="1"/>
  <c r="L32" i="1"/>
  <c r="K32" i="1"/>
  <c r="I32" i="1"/>
  <c r="H32" i="1"/>
  <c r="G32" i="1"/>
  <c r="L31" i="1"/>
  <c r="K31" i="1"/>
  <c r="I31" i="1"/>
  <c r="H31" i="1"/>
  <c r="G31" i="1"/>
  <c r="K30" i="1"/>
  <c r="I30" i="1"/>
  <c r="H30" i="1"/>
  <c r="G30" i="1"/>
  <c r="L30" i="1"/>
  <c r="G21" i="1"/>
  <c r="G22" i="1" s="1"/>
  <c r="H38" i="1" s="1"/>
  <c r="H21" i="1"/>
  <c r="H22" i="1" s="1"/>
  <c r="I38" i="1" s="1"/>
  <c r="I21" i="1"/>
  <c r="I22" i="1" s="1"/>
  <c r="J21" i="1"/>
  <c r="J22" i="1" s="1"/>
  <c r="K38" i="1" s="1"/>
  <c r="K21" i="1"/>
  <c r="K22" i="1" s="1"/>
  <c r="L38" i="1" s="1"/>
  <c r="L21" i="1"/>
  <c r="L22" i="1" s="1"/>
  <c r="K34" i="1"/>
  <c r="I34" i="1"/>
  <c r="H34" i="1"/>
  <c r="G34" i="1"/>
  <c r="L34" i="1"/>
  <c r="U28" i="1"/>
  <c r="T28" i="1"/>
  <c r="S28" i="1"/>
  <c r="R28" i="1"/>
  <c r="Q28" i="1"/>
  <c r="U27" i="1"/>
  <c r="T27" i="1"/>
  <c r="S27" i="1"/>
  <c r="R27" i="1"/>
  <c r="U26" i="1"/>
  <c r="T26" i="1"/>
  <c r="S26" i="1"/>
  <c r="R26" i="1"/>
  <c r="Q26" i="1"/>
  <c r="L28" i="1"/>
  <c r="K28" i="1"/>
  <c r="I28" i="1"/>
  <c r="H28" i="1"/>
  <c r="G28" i="1"/>
  <c r="E28" i="1"/>
  <c r="D28" i="1"/>
  <c r="C28" i="1"/>
  <c r="L27" i="1"/>
  <c r="K27" i="1"/>
  <c r="I27" i="1"/>
  <c r="H27" i="1"/>
  <c r="G27" i="1"/>
  <c r="L26" i="1"/>
  <c r="K26" i="1"/>
  <c r="I26" i="1"/>
  <c r="H26" i="1"/>
  <c r="G26" i="1"/>
  <c r="E26" i="1"/>
  <c r="D26" i="1"/>
  <c r="C26" i="1"/>
  <c r="Q6" i="1"/>
  <c r="R6" i="1"/>
  <c r="R33" i="1" s="1"/>
  <c r="F13" i="1"/>
  <c r="F12" i="1"/>
  <c r="F10" i="1"/>
  <c r="F8" i="1"/>
  <c r="F5" i="1"/>
  <c r="F4" i="1"/>
  <c r="F3" i="1"/>
  <c r="F15" i="1"/>
  <c r="J15" i="1"/>
  <c r="J13" i="1"/>
  <c r="J12" i="1"/>
  <c r="J38" i="1" s="1"/>
  <c r="J10" i="1"/>
  <c r="J8" i="1"/>
  <c r="J5" i="1"/>
  <c r="J32" i="1" s="1"/>
  <c r="J4" i="1"/>
  <c r="J31" i="1" s="1"/>
  <c r="J3" i="1"/>
  <c r="J30" i="1" s="1"/>
  <c r="R21" i="1"/>
  <c r="R22" i="1" s="1"/>
  <c r="S38" i="1" s="1"/>
  <c r="S21" i="1"/>
  <c r="S22" i="1" s="1"/>
  <c r="T38" i="1" s="1"/>
  <c r="Q9" i="1"/>
  <c r="Q11" i="1" s="1"/>
  <c r="Q14" i="1" s="1"/>
  <c r="Q16" i="1" s="1"/>
  <c r="R9" i="1"/>
  <c r="R11" i="1" s="1"/>
  <c r="R14" i="1" s="1"/>
  <c r="C6" i="1"/>
  <c r="G33" i="1" s="1"/>
  <c r="C9" i="1"/>
  <c r="C11" i="1" s="1"/>
  <c r="C14" i="1" s="1"/>
  <c r="C16" i="1" s="1"/>
  <c r="D6" i="1"/>
  <c r="H33" i="1" s="1"/>
  <c r="D9" i="1"/>
  <c r="D24" i="1" s="1"/>
  <c r="E6" i="1"/>
  <c r="I6" i="1"/>
  <c r="I33" i="1" s="1"/>
  <c r="F21" i="1"/>
  <c r="F22" i="1" s="1"/>
  <c r="G38" i="1" s="1"/>
  <c r="E9" i="1"/>
  <c r="E11" i="1" s="1"/>
  <c r="E14" i="1" s="1"/>
  <c r="E16" i="1" s="1"/>
  <c r="I9" i="1"/>
  <c r="I11" i="1" s="1"/>
  <c r="I14" i="1" s="1"/>
  <c r="I16" i="1" s="1"/>
  <c r="S6" i="1"/>
  <c r="S33" i="1" s="1"/>
  <c r="T6" i="1"/>
  <c r="T33" i="1" s="1"/>
  <c r="U6" i="1"/>
  <c r="T21" i="1"/>
  <c r="T22" i="1" s="1"/>
  <c r="U38" i="1" s="1"/>
  <c r="U21" i="1"/>
  <c r="U22" i="1" s="1"/>
  <c r="V12" i="1" s="1"/>
  <c r="V38" i="1" s="1"/>
  <c r="S9" i="1"/>
  <c r="S11" i="1" s="1"/>
  <c r="S14" i="1" s="1"/>
  <c r="T9" i="1"/>
  <c r="T11" i="1" s="1"/>
  <c r="T14" i="1" s="1"/>
  <c r="U9" i="1"/>
  <c r="U11" i="1" s="1"/>
  <c r="U14" i="1" s="1"/>
  <c r="H9" i="1"/>
  <c r="H11" i="1" s="1"/>
  <c r="H14" i="1" s="1"/>
  <c r="H16" i="1" s="1"/>
  <c r="L9" i="1"/>
  <c r="L11" i="1" s="1"/>
  <c r="L14" i="1" s="1"/>
  <c r="L16" i="1" s="1"/>
  <c r="G9" i="1"/>
  <c r="G11" i="1" s="1"/>
  <c r="G14" i="1" s="1"/>
  <c r="G16" i="1" s="1"/>
  <c r="K9" i="1"/>
  <c r="K11" i="1" s="1"/>
  <c r="K14" i="1" s="1"/>
  <c r="K16" i="1" s="1"/>
  <c r="N5" i="2"/>
  <c r="N8" i="2" s="1"/>
  <c r="V6" i="1" l="1"/>
  <c r="U33" i="1"/>
  <c r="X5" i="1"/>
  <c r="W32" i="1"/>
  <c r="X4" i="1"/>
  <c r="W31" i="1"/>
  <c r="X3" i="1"/>
  <c r="W30" i="1"/>
  <c r="R16" i="1"/>
  <c r="R35" i="1"/>
  <c r="S16" i="1"/>
  <c r="S35" i="1"/>
  <c r="U16" i="1"/>
  <c r="U35" i="1"/>
  <c r="Q24" i="1"/>
  <c r="T16" i="1"/>
  <c r="T35" i="1"/>
  <c r="L35" i="1"/>
  <c r="C24" i="1"/>
  <c r="E24" i="1"/>
  <c r="H25" i="1"/>
  <c r="I25" i="1"/>
  <c r="R24" i="1"/>
  <c r="I35" i="1"/>
  <c r="S24" i="1"/>
  <c r="I24" i="1"/>
  <c r="T24" i="1"/>
  <c r="Q25" i="1"/>
  <c r="J6" i="1"/>
  <c r="F6" i="1"/>
  <c r="F7" i="1" s="1"/>
  <c r="F27" i="1" s="1"/>
  <c r="L25" i="1"/>
  <c r="H24" i="1"/>
  <c r="R25" i="1"/>
  <c r="D11" i="1"/>
  <c r="D14" i="1" s="1"/>
  <c r="D16" i="1" s="1"/>
  <c r="U24" i="1"/>
  <c r="S25" i="1"/>
  <c r="G35" i="1"/>
  <c r="T25" i="1"/>
  <c r="K35" i="1"/>
  <c r="K24" i="1"/>
  <c r="U25" i="1"/>
  <c r="G25" i="1"/>
  <c r="K25" i="1"/>
  <c r="G24" i="1"/>
  <c r="L24" i="1"/>
  <c r="C25" i="1"/>
  <c r="E25" i="1"/>
  <c r="J7" i="1" l="1"/>
  <c r="J33" i="1"/>
  <c r="Y3" i="1"/>
  <c r="X30" i="1"/>
  <c r="Y4" i="1"/>
  <c r="X31" i="1"/>
  <c r="Y5" i="1"/>
  <c r="X32" i="1"/>
  <c r="W6" i="1"/>
  <c r="V33" i="1"/>
  <c r="V7" i="1"/>
  <c r="J28" i="1"/>
  <c r="J26" i="1"/>
  <c r="J27" i="1"/>
  <c r="J9" i="1"/>
  <c r="J24" i="1" s="1"/>
  <c r="F9" i="1"/>
  <c r="F26" i="1"/>
  <c r="J34" i="1"/>
  <c r="H35" i="1"/>
  <c r="D25" i="1"/>
  <c r="F28" i="1"/>
  <c r="V9" i="1" l="1"/>
  <c r="V24" i="1" s="1"/>
  <c r="V34" i="1"/>
  <c r="V27" i="1"/>
  <c r="V13" i="1"/>
  <c r="V26" i="1" s="1"/>
  <c r="V10" i="1"/>
  <c r="X6" i="1"/>
  <c r="W33" i="1"/>
  <c r="W7" i="1"/>
  <c r="Z5" i="1"/>
  <c r="Y32" i="1"/>
  <c r="Z4" i="1"/>
  <c r="Y31" i="1"/>
  <c r="Z3" i="1"/>
  <c r="Y30" i="1"/>
  <c r="J11" i="1"/>
  <c r="F11" i="1"/>
  <c r="F24" i="1"/>
  <c r="J14" i="1"/>
  <c r="J16" i="1" s="1"/>
  <c r="J25" i="1"/>
  <c r="J35" i="1"/>
  <c r="AA3" i="1" l="1"/>
  <c r="Z30" i="1"/>
  <c r="AA4" i="1"/>
  <c r="Z31" i="1"/>
  <c r="AA5" i="1"/>
  <c r="Z32" i="1"/>
  <c r="W10" i="1"/>
  <c r="W28" i="1" s="1"/>
  <c r="W34" i="1"/>
  <c r="W27" i="1"/>
  <c r="W9" i="1"/>
  <c r="W13" i="1"/>
  <c r="W26" i="1" s="1"/>
  <c r="Y6" i="1"/>
  <c r="X33" i="1"/>
  <c r="X7" i="1"/>
  <c r="V11" i="1"/>
  <c r="V28" i="1"/>
  <c r="F25" i="1"/>
  <c r="F14" i="1"/>
  <c r="F16" i="1" s="1"/>
  <c r="V14" i="1" l="1"/>
  <c r="V25" i="1"/>
  <c r="X10" i="1"/>
  <c r="X28" i="1" s="1"/>
  <c r="X27" i="1"/>
  <c r="X13" i="1"/>
  <c r="X26" i="1" s="1"/>
  <c r="X9" i="1"/>
  <c r="X34" i="1"/>
  <c r="Z6" i="1"/>
  <c r="Y33" i="1"/>
  <c r="Y7" i="1"/>
  <c r="W24" i="1"/>
  <c r="W11" i="1"/>
  <c r="AB5" i="1"/>
  <c r="AA32" i="1"/>
  <c r="AB4" i="1"/>
  <c r="AA31" i="1"/>
  <c r="AA30" i="1"/>
  <c r="AB3" i="1"/>
  <c r="AC3" i="1" l="1"/>
  <c r="AB30" i="1"/>
  <c r="AC4" i="1"/>
  <c r="AB31" i="1"/>
  <c r="AB32" i="1"/>
  <c r="AC5" i="1"/>
  <c r="W25" i="1"/>
  <c r="Y10" i="1"/>
  <c r="Y27" i="1"/>
  <c r="Y34" i="1"/>
  <c r="Y9" i="1"/>
  <c r="Y24" i="1" s="1"/>
  <c r="Y13" i="1"/>
  <c r="Y26" i="1" s="1"/>
  <c r="AA6" i="1"/>
  <c r="Z33" i="1"/>
  <c r="Z7" i="1"/>
  <c r="X24" i="1"/>
  <c r="X11" i="1"/>
  <c r="V22" i="1"/>
  <c r="V35" i="1"/>
  <c r="W12" i="1" l="1"/>
  <c r="X25" i="1"/>
  <c r="Z10" i="1"/>
  <c r="Z27" i="1"/>
  <c r="Z34" i="1"/>
  <c r="Z9" i="1"/>
  <c r="Z24" i="1" s="1"/>
  <c r="Z13" i="1"/>
  <c r="Z26" i="1" s="1"/>
  <c r="AA33" i="1"/>
  <c r="AB6" i="1"/>
  <c r="AA7" i="1"/>
  <c r="Y11" i="1"/>
  <c r="Y25" i="1" s="1"/>
  <c r="Y28" i="1"/>
  <c r="AC32" i="1"/>
  <c r="AD5" i="1"/>
  <c r="AD4" i="1"/>
  <c r="AC31" i="1"/>
  <c r="AC30" i="1"/>
  <c r="AD3" i="1"/>
  <c r="AD30" i="1" l="1"/>
  <c r="AE3" i="1"/>
  <c r="AE4" i="1"/>
  <c r="AD31" i="1"/>
  <c r="AD32" i="1"/>
  <c r="AE5" i="1"/>
  <c r="AA10" i="1"/>
  <c r="AA28" i="1" s="1"/>
  <c r="AA27" i="1"/>
  <c r="AA34" i="1"/>
  <c r="AA9" i="1"/>
  <c r="AA13" i="1"/>
  <c r="AA26" i="1" s="1"/>
  <c r="AB33" i="1"/>
  <c r="AC6" i="1"/>
  <c r="AB7" i="1"/>
  <c r="Z11" i="1"/>
  <c r="Z25" i="1" s="1"/>
  <c r="Z28" i="1"/>
  <c r="W38" i="1"/>
  <c r="W14" i="1"/>
  <c r="W35" i="1" l="1"/>
  <c r="W22" i="1"/>
  <c r="AB10" i="1"/>
  <c r="AB28" i="1" s="1"/>
  <c r="AB27" i="1"/>
  <c r="AB34" i="1"/>
  <c r="AB13" i="1"/>
  <c r="AB26" i="1" s="1"/>
  <c r="AB9" i="1"/>
  <c r="AC33" i="1"/>
  <c r="AD6" i="1"/>
  <c r="AC7" i="1"/>
  <c r="AA24" i="1"/>
  <c r="AA11" i="1"/>
  <c r="AA25" i="1" s="1"/>
  <c r="AE32" i="1"/>
  <c r="AF5" i="1"/>
  <c r="AF32" i="1" s="1"/>
  <c r="AF4" i="1"/>
  <c r="AF31" i="1" s="1"/>
  <c r="AE31" i="1"/>
  <c r="AF3" i="1"/>
  <c r="AE30" i="1"/>
  <c r="AF30" i="1" l="1"/>
  <c r="AC10" i="1"/>
  <c r="AC28" i="1" s="1"/>
  <c r="AC34" i="1"/>
  <c r="AC27" i="1"/>
  <c r="AC9" i="1"/>
  <c r="AC13" i="1"/>
  <c r="AC26" i="1" s="1"/>
  <c r="AE6" i="1"/>
  <c r="AD33" i="1"/>
  <c r="AD7" i="1"/>
  <c r="AB24" i="1"/>
  <c r="AB11" i="1"/>
  <c r="AB25" i="1" s="1"/>
  <c r="X12" i="1"/>
  <c r="X38" i="1" l="1"/>
  <c r="X14" i="1"/>
  <c r="AD10" i="1"/>
  <c r="AD28" i="1" s="1"/>
  <c r="AD27" i="1"/>
  <c r="AD34" i="1"/>
  <c r="AD9" i="1"/>
  <c r="AD13" i="1"/>
  <c r="AD26" i="1" s="1"/>
  <c r="AE33" i="1"/>
  <c r="AF6" i="1"/>
  <c r="AE7" i="1"/>
  <c r="AC24" i="1"/>
  <c r="AC11" i="1"/>
  <c r="AC25" i="1" s="1"/>
  <c r="AE10" i="1" l="1"/>
  <c r="AE28" i="1" s="1"/>
  <c r="AE34" i="1"/>
  <c r="AE27" i="1"/>
  <c r="AE9" i="1"/>
  <c r="AE13" i="1"/>
  <c r="AE26" i="1" s="1"/>
  <c r="AF33" i="1"/>
  <c r="AF7" i="1"/>
  <c r="AD24" i="1"/>
  <c r="AD11" i="1"/>
  <c r="AD25" i="1" s="1"/>
  <c r="X35" i="1"/>
  <c r="X22" i="1"/>
  <c r="Y12" i="1" l="1"/>
  <c r="AF10" i="1"/>
  <c r="AF28" i="1" s="1"/>
  <c r="AF34" i="1"/>
  <c r="AF27" i="1"/>
  <c r="AF9" i="1"/>
  <c r="AF13" i="1"/>
  <c r="AF26" i="1" s="1"/>
  <c r="AE24" i="1"/>
  <c r="AE11" i="1"/>
  <c r="AE25" i="1" s="1"/>
  <c r="AF24" i="1" l="1"/>
  <c r="AF11" i="1"/>
  <c r="AF25" i="1" s="1"/>
  <c r="Y38" i="1"/>
  <c r="Y14" i="1"/>
  <c r="Y35" i="1" l="1"/>
  <c r="Y22" i="1"/>
  <c r="Z12" i="1" l="1"/>
  <c r="Z38" i="1" l="1"/>
  <c r="Z14" i="1"/>
  <c r="Z35" i="1" l="1"/>
  <c r="Z22" i="1"/>
  <c r="AA12" i="1" l="1"/>
  <c r="AA14" i="1" l="1"/>
  <c r="AA38" i="1"/>
  <c r="AA35" i="1" l="1"/>
  <c r="AA22" i="1"/>
  <c r="AB12" i="1" l="1"/>
  <c r="AB38" i="1" l="1"/>
  <c r="AB14" i="1"/>
  <c r="AB35" i="1" l="1"/>
  <c r="AB22" i="1"/>
  <c r="AC12" i="1" l="1"/>
  <c r="AC14" i="1" l="1"/>
  <c r="AC38" i="1"/>
  <c r="AC35" i="1" l="1"/>
  <c r="AC22" i="1"/>
  <c r="AD12" i="1" l="1"/>
  <c r="AD38" i="1" l="1"/>
  <c r="AD14" i="1"/>
  <c r="AD35" i="1" l="1"/>
  <c r="AD22" i="1"/>
  <c r="AE12" i="1" l="1"/>
  <c r="AE38" i="1" l="1"/>
  <c r="AE14" i="1"/>
  <c r="AE35" i="1" l="1"/>
  <c r="AE22" i="1"/>
  <c r="AF12" i="1" l="1"/>
  <c r="AF38" i="1" l="1"/>
  <c r="AF14" i="1"/>
  <c r="AG14" i="1" l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AF35" i="1"/>
  <c r="AI42" i="1"/>
  <c r="N18" i="2" s="1"/>
  <c r="AF22" i="1"/>
</calcChain>
</file>

<file path=xl/sharedStrings.xml><?xml version="1.0" encoding="utf-8"?>
<sst xmlns="http://schemas.openxmlformats.org/spreadsheetml/2006/main" count="60" uniqueCount="53">
  <si>
    <t>Builders FirstSource Inc</t>
  </si>
  <si>
    <t>BLDR</t>
  </si>
  <si>
    <t>Price</t>
  </si>
  <si>
    <t>Shares</t>
  </si>
  <si>
    <t>MkCap</t>
  </si>
  <si>
    <t>Cash</t>
  </si>
  <si>
    <t>Debt</t>
  </si>
  <si>
    <t>EV</t>
  </si>
  <si>
    <t>Terminal</t>
  </si>
  <si>
    <t>ROIC</t>
  </si>
  <si>
    <t>Discount</t>
  </si>
  <si>
    <t>NPV</t>
  </si>
  <si>
    <t>20Q1</t>
  </si>
  <si>
    <t>20Q2</t>
  </si>
  <si>
    <t>20Q3</t>
  </si>
  <si>
    <t>20Q4</t>
  </si>
  <si>
    <t>21Q1</t>
  </si>
  <si>
    <t>21Q2</t>
  </si>
  <si>
    <t>21Q3</t>
  </si>
  <si>
    <t>21Q4</t>
  </si>
  <si>
    <t>22Q1</t>
  </si>
  <si>
    <t>22Q2</t>
  </si>
  <si>
    <t>22Q3</t>
  </si>
  <si>
    <t>22Q4</t>
  </si>
  <si>
    <t>Lumber</t>
  </si>
  <si>
    <t>Manufactured products</t>
  </si>
  <si>
    <t>Windows</t>
  </si>
  <si>
    <t>Speciality</t>
  </si>
  <si>
    <t>Revenue</t>
  </si>
  <si>
    <t>COGS</t>
  </si>
  <si>
    <t>Gross profit</t>
  </si>
  <si>
    <t>SG&amp;A</t>
  </si>
  <si>
    <t>Operating Income</t>
  </si>
  <si>
    <t>Interest expense</t>
  </si>
  <si>
    <t>Taxes expense</t>
  </si>
  <si>
    <t>Net income</t>
  </si>
  <si>
    <t>EPS</t>
  </si>
  <si>
    <t>Inventory</t>
  </si>
  <si>
    <t>PP&amp;E, net</t>
  </si>
  <si>
    <t>Net cash</t>
  </si>
  <si>
    <t>Gross margin</t>
  </si>
  <si>
    <t>Operating margin</t>
  </si>
  <si>
    <t>Tax on revenue rate</t>
  </si>
  <si>
    <t>Revenue on PP&amp;E gross</t>
  </si>
  <si>
    <t>SG&amp;A rate</t>
  </si>
  <si>
    <t>Lumber y/y</t>
  </si>
  <si>
    <t>Manufactured products y/y</t>
  </si>
  <si>
    <t>Windows y/y</t>
  </si>
  <si>
    <t>Speciality y/y</t>
  </si>
  <si>
    <t>Revenue y/y</t>
  </si>
  <si>
    <t>Net income y/y</t>
  </si>
  <si>
    <t>Interest on Cash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</si>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</sst>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0" borderId="0" xfId="0" applyFont="1"/>
    <xf numFmtId="3" fontId="1" fillId="0" borderId="0" xfId="0" applyNumberFormat="1" applyFont="1"/>
    <xf numFmtId="0" fontId="1" fillId="2" borderId="0" xfId="0" applyFont="1" applyFill="1"/>
    <xf numFmtId="2" fontId="0" fillId="0" borderId="0" xfId="0" applyNumberFormat="1"/>
    <xf numFmtId="2" fontId="1" fillId="0" borderId="0" xfId="0" applyNumberFormat="1" applyFont="1"/>
    <xf numFmtId="2" fontId="0" fillId="2" borderId="0" xfId="0" applyNumberFormat="1" applyFill="1"/>
    <xf numFmtId="4" fontId="0" fillId="0" borderId="0" xfId="0" applyNumberFormat="1"/>
    <xf numFmtId="3" fontId="0" fillId="2" borderId="0" xfId="0" applyNumberFormat="1" applyFill="1"/>
    <xf numFmtId="4" fontId="0" fillId="2" borderId="0" xfId="0" applyNumberFormat="1" applyFill="1"/>
    <xf numFmtId="9" fontId="1" fillId="0" borderId="0" xfId="0" applyNumberFormat="1" applyFont="1"/>
    <xf numFmtId="9" fontId="1" fillId="2" borderId="0" xfId="0" applyNumberFormat="1" applyFont="1" applyFill="1"/>
    <xf numFmtId="9" fontId="0" fillId="0" borderId="0" xfId="0" applyNumberFormat="1"/>
    <xf numFmtId="9" fontId="0" fillId="2" borderId="0" xfId="0" applyNumberFormat="1" applyFill="1"/>
    <xf numFmtId="44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8" fontId="0" fillId="0" borderId="0" xfId="0" applyNumberFormat="1"/>
    <xf numFmtId="3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608867</xdr:colOff>
      <xdr:row>0</xdr:row>
      <xdr:rowOff>8794</xdr:rowOff>
    </xdr:from>
    <xdr:to>
      <xdr:col>11</xdr:col>
      <xdr:colOff>608867</xdr:colOff>
      <xdr:row>38</xdr:row>
      <xdr:rowOff>177313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2345345-F0B6-4AE2-A6A9-0610AA28392A}"/>
            </a:ext>
          </a:extLst>
        </xdr:cNvPr>
        <xdr:cNvCxnSpPr/>
      </xdr:nvCxnSpPr>
      <xdr:spPr>
        <a:xfrm>
          <a:off x="8800367" y="8794"/>
          <a:ext cx="0" cy="9503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</xdr:colOff>
      <xdr:row>0</xdr:row>
      <xdr:rowOff>9525</xdr:rowOff>
    </xdr:from>
    <xdr:to>
      <xdr:col>21</xdr:col>
      <xdr:colOff>19050</xdr:colOff>
      <xdr:row>39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4BF9532-F513-4B59-AFF3-65781C501A93}"/>
            </a:ext>
          </a:extLst>
        </xdr:cNvPr>
        <xdr:cNvCxnSpPr/>
      </xdr:nvCxnSpPr>
      <xdr:spPr>
        <a:xfrm>
          <a:off x="13992225" y="9525"/>
          <a:ext cx="0" cy="9503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0774-B749-4685-A014-25AB192F1EFE}">
  <dimension ref="M1:N19"/>
  <sheetViews>
    <sheetView tabSelected="1" workbookViewId="0">
      <selection activeCell="N19" sqref="N19"/>
    </sheetView>
  </sheetViews>
  <sheetFormatPr defaultRowHeight="15" x14ac:dyDescent="0.25"/>
  <cols>
    <col min="13" max="13" width="9.7109375" bestFit="1" customWidth="1"/>
    <col min="14" max="14" width="9.85546875" bestFit="1" customWidth="1"/>
  </cols>
  <sheetData>
    <row r="1" spans="13:14" x14ac:dyDescent="0.25">
      <c r="M1" t="s">
        <v>0</v>
      </c>
    </row>
    <row r="2" spans="13:14" x14ac:dyDescent="0.25">
      <c r="M2" t="s">
        <v>1</v>
      </c>
    </row>
    <row r="3" spans="13:14" x14ac:dyDescent="0.25">
      <c r="M3" t="s">
        <v>2</v>
      </c>
      <c r="N3" s="17">
        <v>73.459999999999994</v>
      </c>
    </row>
    <row r="4" spans="13:14" x14ac:dyDescent="0.25">
      <c r="M4" t="s">
        <v>3</v>
      </c>
      <c r="N4" s="1">
        <v>170.4</v>
      </c>
    </row>
    <row r="5" spans="13:14" x14ac:dyDescent="0.25">
      <c r="M5" t="s">
        <v>4</v>
      </c>
      <c r="N5" s="1">
        <f>N3*N4</f>
        <v>12517.583999999999</v>
      </c>
    </row>
    <row r="6" spans="13:14" x14ac:dyDescent="0.25">
      <c r="M6" t="s">
        <v>5</v>
      </c>
      <c r="N6" s="1">
        <v>166.185</v>
      </c>
    </row>
    <row r="7" spans="13:14" x14ac:dyDescent="0.25">
      <c r="M7" t="s">
        <v>6</v>
      </c>
      <c r="N7" s="1">
        <v>3555.2450000000003</v>
      </c>
    </row>
    <row r="8" spans="13:14" x14ac:dyDescent="0.25">
      <c r="M8" t="s">
        <v>7</v>
      </c>
      <c r="N8" s="1">
        <f>N5-N6+N7</f>
        <v>15906.644</v>
      </c>
    </row>
    <row r="11" spans="13:14" x14ac:dyDescent="0.25">
      <c r="M11" s="2">
        <v>44774</v>
      </c>
    </row>
    <row r="15" spans="13:14" x14ac:dyDescent="0.25">
      <c r="M15" s="10" t="s">
        <v>8</v>
      </c>
      <c r="N15" s="18">
        <f>Model!AI39</f>
        <v>-0.01</v>
      </c>
    </row>
    <row r="16" spans="13:14" x14ac:dyDescent="0.25">
      <c r="M16" s="15" t="s">
        <v>9</v>
      </c>
      <c r="N16" s="18">
        <f>Model!AI40</f>
        <v>-0.01</v>
      </c>
    </row>
    <row r="17" spans="13:14" x14ac:dyDescent="0.25">
      <c r="M17" t="s">
        <v>10</v>
      </c>
      <c r="N17" s="18">
        <f>Model!AI41</f>
        <v>0.08</v>
      </c>
    </row>
    <row r="18" spans="13:14" x14ac:dyDescent="0.25">
      <c r="M18" s="15" t="s">
        <v>11</v>
      </c>
      <c r="N18" s="1">
        <f>Model!AI42</f>
        <v>50207.036438406729</v>
      </c>
    </row>
    <row r="19" spans="13:14" x14ac:dyDescent="0.25">
      <c r="M19" t="s">
        <v>52</v>
      </c>
      <c r="N19" s="17">
        <f>N18/N4</f>
        <v>294.64223261975781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B4B3-79B0-4A5E-8A82-3BDE2546F8D8}">
  <dimension ref="A2:DE42"/>
  <sheetViews>
    <sheetView zoomScaleNormal="100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V4" sqref="V4"/>
    </sheetView>
  </sheetViews>
  <sheetFormatPr defaultRowHeight="15" x14ac:dyDescent="0.25"/>
  <cols>
    <col min="2" max="2" width="31.42578125" customWidth="1"/>
    <col min="3" max="15" width="9.140625" style="1"/>
    <col min="16" max="16" width="4.42578125" style="3" customWidth="1"/>
    <col min="23" max="23" width="10.85546875" bestFit="1" customWidth="1"/>
    <col min="35" max="35" width="10.85546875" bestFit="1" customWidth="1"/>
    <col min="40" max="40" width="10.85546875" bestFit="1" customWidth="1"/>
  </cols>
  <sheetData>
    <row r="2" spans="1:109" x14ac:dyDescent="0.25"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Q2" s="1">
        <v>17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24</v>
      </c>
      <c r="Y2" s="1">
        <v>25</v>
      </c>
      <c r="Z2" s="1">
        <v>26</v>
      </c>
      <c r="AA2" s="1">
        <v>27</v>
      </c>
      <c r="AB2" s="1">
        <v>28</v>
      </c>
      <c r="AC2" s="1">
        <v>29</v>
      </c>
      <c r="AD2" s="1">
        <v>30</v>
      </c>
      <c r="AE2" s="1">
        <v>31</v>
      </c>
      <c r="AF2" s="1">
        <v>32</v>
      </c>
      <c r="AG2" s="1">
        <v>33</v>
      </c>
      <c r="AH2" s="1">
        <v>34</v>
      </c>
      <c r="AI2" s="1">
        <v>35</v>
      </c>
      <c r="AJ2" s="1">
        <v>36</v>
      </c>
      <c r="AK2" s="1">
        <v>37</v>
      </c>
    </row>
    <row r="3" spans="1:109" s="1" customFormat="1" x14ac:dyDescent="0.25">
      <c r="B3" s="1" t="s">
        <v>24</v>
      </c>
      <c r="C3" s="1">
        <v>552.48</v>
      </c>
      <c r="D3" s="1">
        <v>622.15800000000002</v>
      </c>
      <c r="E3" s="1">
        <v>851.6</v>
      </c>
      <c r="F3" s="1">
        <f>T3-E3-D3-C3</f>
        <v>1050.1620000000003</v>
      </c>
      <c r="G3" s="1">
        <v>1769.3</v>
      </c>
      <c r="H3" s="1">
        <v>2596.5</v>
      </c>
      <c r="I3" s="1">
        <v>2400.5</v>
      </c>
      <c r="J3" s="1">
        <f>+U3-I3-H3-G3</f>
        <v>1645.9099999999992</v>
      </c>
      <c r="K3" s="1">
        <v>2325.355</v>
      </c>
      <c r="L3" s="1">
        <v>2831.9</v>
      </c>
      <c r="P3" s="11"/>
      <c r="Q3" s="1">
        <v>2510.9450000000002</v>
      </c>
      <c r="R3" s="1">
        <v>2902.1550000000002</v>
      </c>
      <c r="S3" s="1">
        <v>2251.58</v>
      </c>
      <c r="T3" s="1">
        <v>3076.4</v>
      </c>
      <c r="U3" s="1">
        <v>8412.2099999999991</v>
      </c>
      <c r="V3" s="1">
        <f>+U3*1.15</f>
        <v>9674.0414999999975</v>
      </c>
      <c r="W3" s="1">
        <f>+V3*1.1</f>
        <v>10641.445649999998</v>
      </c>
      <c r="X3" s="1">
        <f>+W3*1.08</f>
        <v>11492.761301999999</v>
      </c>
      <c r="Y3" s="1">
        <f>+X3*1.05</f>
        <v>12067.399367099999</v>
      </c>
      <c r="Z3" s="1">
        <f>+Y3*1.05</f>
        <v>12670.769335454999</v>
      </c>
      <c r="AA3" s="1">
        <f t="shared" ref="AA3:AF3" si="0">+Z3*1.05</f>
        <v>13304.30780222775</v>
      </c>
      <c r="AB3" s="1">
        <f t="shared" si="0"/>
        <v>13969.523192339138</v>
      </c>
      <c r="AC3" s="1">
        <f t="shared" si="0"/>
        <v>14667.999351956096</v>
      </c>
      <c r="AD3" s="1">
        <f t="shared" si="0"/>
        <v>15401.399319553901</v>
      </c>
      <c r="AE3" s="1">
        <f t="shared" si="0"/>
        <v>16171.469285531597</v>
      </c>
      <c r="AF3" s="1">
        <f t="shared" si="0"/>
        <v>16980.042749808177</v>
      </c>
    </row>
    <row r="4" spans="1:109" s="1" customFormat="1" x14ac:dyDescent="0.25">
      <c r="B4" s="1" t="s">
        <v>25</v>
      </c>
      <c r="C4" s="1">
        <v>354.45699999999999</v>
      </c>
      <c r="D4" s="1">
        <v>365.8</v>
      </c>
      <c r="E4" s="1">
        <v>421.3</v>
      </c>
      <c r="F4" s="1">
        <f t="shared" ref="F4:F13" si="1">T4-E4-D4-C4</f>
        <v>498.9430000000001</v>
      </c>
      <c r="G4" s="1">
        <v>860.9</v>
      </c>
      <c r="H4" s="1">
        <v>1088.8</v>
      </c>
      <c r="I4" s="1">
        <v>1253.9000000000001</v>
      </c>
      <c r="J4" s="1">
        <f t="shared" ref="J4:J13" si="2">+U4-I4-H4-G4</f>
        <v>1129.6830000000004</v>
      </c>
      <c r="K4" s="1">
        <v>1354.587</v>
      </c>
      <c r="L4" s="1">
        <v>1702.9</v>
      </c>
      <c r="P4" s="11"/>
      <c r="Q4" s="1">
        <v>1208.5550000000001</v>
      </c>
      <c r="R4" s="1">
        <v>1392.0429999999999</v>
      </c>
      <c r="S4" s="1">
        <v>1449.55</v>
      </c>
      <c r="T4" s="1">
        <v>1640.5</v>
      </c>
      <c r="U4" s="1">
        <v>4333.2830000000004</v>
      </c>
      <c r="V4" s="1">
        <f>U4*1.4</f>
        <v>6066.5962</v>
      </c>
      <c r="W4" s="1">
        <f>V4*1.3</f>
        <v>7886.5750600000001</v>
      </c>
      <c r="X4" s="1">
        <f>W4*1.2</f>
        <v>9463.8900720000001</v>
      </c>
      <c r="Y4" s="1">
        <f>X4*1.15</f>
        <v>10883.473582799999</v>
      </c>
      <c r="Z4" s="1">
        <f>Y4*1.1</f>
        <v>11971.820941080001</v>
      </c>
      <c r="AA4" s="1">
        <f>Z4*1.08</f>
        <v>12929.566616366403</v>
      </c>
      <c r="AB4" s="1">
        <f>AA4*1.07</f>
        <v>13834.636279512051</v>
      </c>
      <c r="AC4" s="1">
        <f t="shared" ref="AC4:AF4" si="3">AB4*1.07</f>
        <v>14803.060819077895</v>
      </c>
      <c r="AD4" s="1">
        <f t="shared" si="3"/>
        <v>15839.275076413349</v>
      </c>
      <c r="AE4" s="1">
        <f t="shared" si="3"/>
        <v>16948.024331762284</v>
      </c>
      <c r="AF4" s="1">
        <f t="shared" si="3"/>
        <v>18134.386034985644</v>
      </c>
    </row>
    <row r="5" spans="1:109" s="1" customFormat="1" x14ac:dyDescent="0.25">
      <c r="B5" s="1" t="s">
        <v>26</v>
      </c>
      <c r="C5" s="1">
        <v>391.3</v>
      </c>
      <c r="D5" s="1">
        <v>404.05</v>
      </c>
      <c r="E5" s="1">
        <v>420</v>
      </c>
      <c r="F5" s="1">
        <f t="shared" si="1"/>
        <v>413.85000000000008</v>
      </c>
      <c r="G5" s="1">
        <v>736.2</v>
      </c>
      <c r="H5" s="1">
        <v>846.6</v>
      </c>
      <c r="I5" s="1">
        <v>864.55</v>
      </c>
      <c r="J5" s="1">
        <f t="shared" si="2"/>
        <v>884.64999999999986</v>
      </c>
      <c r="K5" s="1">
        <v>1011.57</v>
      </c>
      <c r="L5" s="1">
        <v>1218.3</v>
      </c>
      <c r="P5" s="11"/>
      <c r="Q5" s="1">
        <v>1360.567</v>
      </c>
      <c r="R5" s="1">
        <v>1445.8579999999999</v>
      </c>
      <c r="S5" s="1">
        <v>1542.9</v>
      </c>
      <c r="T5" s="1">
        <v>1629.2</v>
      </c>
      <c r="U5" s="1">
        <v>3332</v>
      </c>
      <c r="V5" s="1">
        <f>U5*1.3</f>
        <v>4331.6000000000004</v>
      </c>
      <c r="W5" s="1">
        <f>V5*1.2</f>
        <v>5197.92</v>
      </c>
      <c r="X5" s="1">
        <f>W5*1.1</f>
        <v>5717.7120000000004</v>
      </c>
      <c r="Y5" s="1">
        <f>X5*1.08</f>
        <v>6175.1289600000009</v>
      </c>
      <c r="Z5" s="1">
        <f>Y5*1.07</f>
        <v>6607.3879872000016</v>
      </c>
      <c r="AA5" s="1">
        <f t="shared" ref="AA5:AF5" si="4">Z5*1.07</f>
        <v>7069.9051463040023</v>
      </c>
      <c r="AB5" s="1">
        <f t="shared" si="4"/>
        <v>7564.7985065452831</v>
      </c>
      <c r="AC5" s="1">
        <f t="shared" si="4"/>
        <v>8094.3344020034538</v>
      </c>
      <c r="AD5" s="1">
        <f t="shared" si="4"/>
        <v>8660.937810143696</v>
      </c>
      <c r="AE5" s="1">
        <f t="shared" si="4"/>
        <v>9267.2034568537547</v>
      </c>
      <c r="AF5" s="1">
        <f t="shared" si="4"/>
        <v>9915.9076988335182</v>
      </c>
    </row>
    <row r="6" spans="1:109" s="1" customFormat="1" x14ac:dyDescent="0.25">
      <c r="B6" s="1" t="s">
        <v>27</v>
      </c>
      <c r="C6" s="1">
        <f>110.85+168.88+209.02</f>
        <v>488.75</v>
      </c>
      <c r="D6" s="1">
        <f>200.6+125.8+227.2</f>
        <v>553.59999999999991</v>
      </c>
      <c r="E6" s="1">
        <f>212.4+149.5+240.5</f>
        <v>602.4</v>
      </c>
      <c r="F6" s="1">
        <f t="shared" si="1"/>
        <v>568.10800000000017</v>
      </c>
      <c r="G6" s="1">
        <v>807.4</v>
      </c>
      <c r="H6" s="1">
        <v>1044.8</v>
      </c>
      <c r="I6" s="1">
        <f>414.2+168.5+406.887</f>
        <v>989.58699999999999</v>
      </c>
      <c r="J6" s="1">
        <f t="shared" si="2"/>
        <v>974.56399999999974</v>
      </c>
      <c r="K6" s="1">
        <v>989.6</v>
      </c>
      <c r="L6" s="1">
        <v>1173.2</v>
      </c>
      <c r="P6" s="11"/>
      <c r="Q6" s="1">
        <f>538.38+655.89+759.875</f>
        <v>1954.145</v>
      </c>
      <c r="R6" s="1">
        <f>528.439+697.744+758.532</f>
        <v>1984.7150000000001</v>
      </c>
      <c r="S6" s="1">
        <f>712.6+528.57+795.16</f>
        <v>2036.33</v>
      </c>
      <c r="T6" s="1">
        <f>773.64+514.638+924.58</f>
        <v>2212.8580000000002</v>
      </c>
      <c r="U6" s="1">
        <f>1531.058+656.383+1628.91</f>
        <v>3816.3509999999997</v>
      </c>
      <c r="V6" s="1">
        <f>U6*1.12</f>
        <v>4274.3131199999998</v>
      </c>
      <c r="W6" s="1">
        <f>V6*1.09</f>
        <v>4659.0013008000005</v>
      </c>
      <c r="X6" s="1">
        <f>W6*1.08</f>
        <v>5031.7214048640008</v>
      </c>
      <c r="Y6" s="1">
        <f>X6*1.07</f>
        <v>5383.9419032044807</v>
      </c>
      <c r="Z6" s="1">
        <f>Y6*1.06</f>
        <v>5706.97841739675</v>
      </c>
      <c r="AA6" s="1">
        <f t="shared" ref="AA6:AF6" si="5">Z6*1.06</f>
        <v>6049.397122440555</v>
      </c>
      <c r="AB6" s="1">
        <f t="shared" si="5"/>
        <v>6412.3609497869884</v>
      </c>
      <c r="AC6" s="1">
        <f t="shared" si="5"/>
        <v>6797.1026067742077</v>
      </c>
      <c r="AD6" s="1">
        <f t="shared" si="5"/>
        <v>7204.928763180661</v>
      </c>
      <c r="AE6" s="1">
        <f t="shared" si="5"/>
        <v>7637.2244889715012</v>
      </c>
      <c r="AF6" s="1">
        <f t="shared" si="5"/>
        <v>8095.457958309792</v>
      </c>
    </row>
    <row r="7" spans="1:109" x14ac:dyDescent="0.25">
      <c r="A7" s="4"/>
      <c r="B7" s="4" t="s">
        <v>28</v>
      </c>
      <c r="C7" s="5">
        <v>1787</v>
      </c>
      <c r="D7" s="5">
        <v>1945.64</v>
      </c>
      <c r="E7" s="5">
        <v>2295.4499999999998</v>
      </c>
      <c r="F7" s="5">
        <f>SUM(F3:F6)</f>
        <v>2531.063000000001</v>
      </c>
      <c r="G7" s="5">
        <v>4173.8</v>
      </c>
      <c r="H7" s="5">
        <v>5576.68</v>
      </c>
      <c r="I7" s="5">
        <v>5508.6</v>
      </c>
      <c r="J7" s="5">
        <f>SUM(J3:J6)</f>
        <v>4634.8069999999989</v>
      </c>
      <c r="K7" s="5">
        <v>5681.1</v>
      </c>
      <c r="L7" s="5">
        <v>6926.3</v>
      </c>
      <c r="M7" s="5"/>
      <c r="N7" s="5"/>
      <c r="O7" s="5"/>
      <c r="P7" s="6"/>
      <c r="Q7" s="5">
        <v>7034.2</v>
      </c>
      <c r="R7" s="5">
        <v>7724.77</v>
      </c>
      <c r="S7" s="5">
        <v>7280.43</v>
      </c>
      <c r="T7" s="5">
        <v>8558.8739999999998</v>
      </c>
      <c r="U7" s="5">
        <v>19894</v>
      </c>
      <c r="V7" s="5">
        <f>SUM(V3:V6)</f>
        <v>24346.550819999997</v>
      </c>
      <c r="W7" s="5">
        <f>SUM(W3:W6)</f>
        <v>28384.942010799998</v>
      </c>
      <c r="X7" s="5">
        <f>SUM(X3:X6)</f>
        <v>31706.084778864002</v>
      </c>
      <c r="Y7" s="5">
        <f>SUM(Y3:Y6)</f>
        <v>34509.943813104481</v>
      </c>
      <c r="Z7" s="5">
        <f>SUM(Z3:Z6)</f>
        <v>36956.956681131749</v>
      </c>
      <c r="AA7" s="5">
        <f t="shared" ref="AA7:AF7" si="6">SUM(AA3:AA6)</f>
        <v>39353.17668733871</v>
      </c>
      <c r="AB7" s="5">
        <f t="shared" si="6"/>
        <v>41781.318928183464</v>
      </c>
      <c r="AC7" s="5">
        <f t="shared" si="6"/>
        <v>44362.497179811653</v>
      </c>
      <c r="AD7" s="5">
        <f t="shared" si="6"/>
        <v>47106.540969291607</v>
      </c>
      <c r="AE7" s="5">
        <f t="shared" si="6"/>
        <v>50023.92156311914</v>
      </c>
      <c r="AF7" s="5">
        <f t="shared" si="6"/>
        <v>53125.794441937134</v>
      </c>
      <c r="AG7" s="5"/>
      <c r="AH7" s="5"/>
      <c r="AI7" s="5"/>
      <c r="AJ7" s="5"/>
      <c r="AK7" s="5"/>
    </row>
    <row r="8" spans="1:109" s="1" customFormat="1" x14ac:dyDescent="0.25">
      <c r="B8" s="1" t="s">
        <v>29</v>
      </c>
      <c r="C8" s="1">
        <v>1321.6</v>
      </c>
      <c r="D8" s="1">
        <v>1428.3</v>
      </c>
      <c r="E8" s="1">
        <v>1724.8</v>
      </c>
      <c r="F8" s="1">
        <f t="shared" si="1"/>
        <v>1861.6</v>
      </c>
      <c r="G8" s="1">
        <v>3104.22</v>
      </c>
      <c r="H8" s="1">
        <v>3993.5309999999999</v>
      </c>
      <c r="I8" s="1">
        <v>3796.1</v>
      </c>
      <c r="J8" s="1">
        <f t="shared" si="2"/>
        <v>3149.1489999999999</v>
      </c>
      <c r="K8" s="1">
        <v>3848.7579999999998</v>
      </c>
      <c r="L8" s="1">
        <v>4514.3999999999996</v>
      </c>
      <c r="P8" s="11"/>
      <c r="Q8" s="1">
        <v>5306.8</v>
      </c>
      <c r="R8" s="1">
        <v>5801.83</v>
      </c>
      <c r="S8" s="1">
        <v>5303.6</v>
      </c>
      <c r="T8" s="1">
        <v>6336.3</v>
      </c>
      <c r="U8" s="1">
        <v>14043</v>
      </c>
    </row>
    <row r="9" spans="1:109" x14ac:dyDescent="0.25">
      <c r="A9" s="4"/>
      <c r="B9" s="4" t="s">
        <v>30</v>
      </c>
      <c r="C9" s="5">
        <f t="shared" ref="C9:L9" si="7">C7-C8</f>
        <v>465.40000000000009</v>
      </c>
      <c r="D9" s="5">
        <f t="shared" si="7"/>
        <v>517.34000000000015</v>
      </c>
      <c r="E9" s="5">
        <f t="shared" si="7"/>
        <v>570.64999999999986</v>
      </c>
      <c r="F9" s="5">
        <f t="shared" si="7"/>
        <v>669.4630000000011</v>
      </c>
      <c r="G9" s="5">
        <f t="shared" si="7"/>
        <v>1069.5800000000004</v>
      </c>
      <c r="H9" s="5">
        <f t="shared" si="7"/>
        <v>1583.1490000000003</v>
      </c>
      <c r="I9" s="5">
        <f t="shared" si="7"/>
        <v>1712.5000000000005</v>
      </c>
      <c r="J9" s="5">
        <f t="shared" si="7"/>
        <v>1485.657999999999</v>
      </c>
      <c r="K9" s="5">
        <f t="shared" si="7"/>
        <v>1832.3420000000006</v>
      </c>
      <c r="L9" s="5">
        <f t="shared" si="7"/>
        <v>2411.9000000000005</v>
      </c>
      <c r="M9" s="5"/>
      <c r="N9" s="5"/>
      <c r="O9" s="5"/>
      <c r="P9" s="6"/>
      <c r="Q9" s="5">
        <f>Q7-Q8</f>
        <v>1727.3999999999996</v>
      </c>
      <c r="R9" s="5">
        <f>R7-R8</f>
        <v>1922.9400000000005</v>
      </c>
      <c r="S9" s="5">
        <f>S7-S8</f>
        <v>1976.83</v>
      </c>
      <c r="T9" s="5">
        <f>T7-T8</f>
        <v>2222.5739999999996</v>
      </c>
      <c r="U9" s="5">
        <f>U7-U8</f>
        <v>5851</v>
      </c>
      <c r="V9" s="5">
        <f>V7*0.32</f>
        <v>7790.8962623999987</v>
      </c>
      <c r="W9" s="5">
        <f>W7*0.3</f>
        <v>8515.4826032399997</v>
      </c>
      <c r="X9" s="5">
        <f>X7*0.29</f>
        <v>9194.76458587056</v>
      </c>
      <c r="Y9" s="5">
        <f>Y7*0.28</f>
        <v>9662.7842676692562</v>
      </c>
      <c r="Z9" s="5">
        <f>Z7*0.27</f>
        <v>9978.3783039055725</v>
      </c>
      <c r="AA9" s="5">
        <f>AA7*0.26</f>
        <v>10231.825938708065</v>
      </c>
      <c r="AB9" s="5">
        <f t="shared" ref="AB9:AF9" si="8">AB7*0.26</f>
        <v>10863.142921327701</v>
      </c>
      <c r="AC9" s="5">
        <f t="shared" si="8"/>
        <v>11534.249266751031</v>
      </c>
      <c r="AD9" s="5">
        <f t="shared" si="8"/>
        <v>12247.700652015817</v>
      </c>
      <c r="AE9" s="5">
        <f t="shared" si="8"/>
        <v>13006.219606410978</v>
      </c>
      <c r="AF9" s="5">
        <f t="shared" si="8"/>
        <v>13812.706554903656</v>
      </c>
      <c r="AG9" s="5"/>
      <c r="AH9" s="5"/>
      <c r="AI9" s="5"/>
      <c r="AJ9" s="5"/>
      <c r="AK9" s="5"/>
    </row>
    <row r="10" spans="1:109" x14ac:dyDescent="0.25">
      <c r="B10" t="s">
        <v>31</v>
      </c>
      <c r="C10" s="1">
        <v>404.5</v>
      </c>
      <c r="D10" s="1">
        <v>388</v>
      </c>
      <c r="E10" s="1">
        <v>430.9</v>
      </c>
      <c r="F10" s="1">
        <f t="shared" si="1"/>
        <v>455.59999999999991</v>
      </c>
      <c r="G10" s="1">
        <v>821.6</v>
      </c>
      <c r="H10" s="1">
        <v>902.9</v>
      </c>
      <c r="I10" s="1">
        <v>875</v>
      </c>
      <c r="J10" s="1">
        <f t="shared" si="2"/>
        <v>864.49999999999989</v>
      </c>
      <c r="K10" s="1">
        <v>968.6</v>
      </c>
      <c r="L10" s="1">
        <v>1046</v>
      </c>
      <c r="Q10" s="1">
        <v>1442.3</v>
      </c>
      <c r="R10" s="1">
        <v>1553.97</v>
      </c>
      <c r="S10" s="1">
        <v>1584.5</v>
      </c>
      <c r="T10" s="1">
        <v>1679</v>
      </c>
      <c r="U10" s="1">
        <v>3464</v>
      </c>
      <c r="V10" s="1">
        <f>V7*0.15</f>
        <v>3651.9826229999994</v>
      </c>
      <c r="W10" s="1">
        <f t="shared" ref="W10:X10" si="9">W7*0.15</f>
        <v>4257.7413016199998</v>
      </c>
      <c r="X10" s="1">
        <f t="shared" si="9"/>
        <v>4755.9127168296</v>
      </c>
      <c r="Y10" s="1">
        <f>Y7*0.14</f>
        <v>4831.3921338346281</v>
      </c>
      <c r="Z10" s="1">
        <f>Z7*0.14</f>
        <v>5173.9739353584455</v>
      </c>
      <c r="AA10" s="1">
        <f>AA7*0.14</f>
        <v>5509.4447362274195</v>
      </c>
      <c r="AB10" s="1">
        <f>AB7*0.13</f>
        <v>5431.5714606638503</v>
      </c>
      <c r="AC10" s="1">
        <f t="shared" ref="AC10:AF10" si="10">AC7*0.13</f>
        <v>5767.1246333755153</v>
      </c>
      <c r="AD10" s="1">
        <f t="shared" si="10"/>
        <v>6123.8503260079087</v>
      </c>
      <c r="AE10" s="1">
        <f t="shared" si="10"/>
        <v>6503.1098032054888</v>
      </c>
      <c r="AF10" s="1">
        <f t="shared" si="10"/>
        <v>6906.353277451828</v>
      </c>
      <c r="AG10" s="1"/>
      <c r="AH10" s="1"/>
      <c r="AI10" s="1"/>
      <c r="AJ10" s="1"/>
      <c r="AK10" s="1"/>
    </row>
    <row r="11" spans="1:109" x14ac:dyDescent="0.25">
      <c r="A11" s="4"/>
      <c r="B11" s="4" t="s">
        <v>32</v>
      </c>
      <c r="C11" s="5">
        <f t="shared" ref="C11:L11" si="11">C9-C10</f>
        <v>60.900000000000091</v>
      </c>
      <c r="D11" s="5">
        <f t="shared" si="11"/>
        <v>129.34000000000015</v>
      </c>
      <c r="E11" s="5">
        <f t="shared" si="11"/>
        <v>139.74999999999989</v>
      </c>
      <c r="F11" s="5">
        <f t="shared" si="11"/>
        <v>213.86300000000119</v>
      </c>
      <c r="G11" s="5">
        <f t="shared" si="11"/>
        <v>247.98000000000036</v>
      </c>
      <c r="H11" s="5">
        <f t="shared" si="11"/>
        <v>680.24900000000036</v>
      </c>
      <c r="I11" s="5">
        <f t="shared" si="11"/>
        <v>837.50000000000045</v>
      </c>
      <c r="J11" s="5">
        <f t="shared" si="11"/>
        <v>621.15799999999911</v>
      </c>
      <c r="K11" s="5">
        <f t="shared" si="11"/>
        <v>863.74200000000053</v>
      </c>
      <c r="L11" s="5">
        <f t="shared" si="11"/>
        <v>1365.9000000000005</v>
      </c>
      <c r="M11" s="5"/>
      <c r="N11" s="5"/>
      <c r="O11" s="5"/>
      <c r="P11" s="6"/>
      <c r="Q11" s="5">
        <f t="shared" ref="Q11:V11" si="12">Q9-Q10</f>
        <v>285.09999999999968</v>
      </c>
      <c r="R11" s="5">
        <f t="shared" si="12"/>
        <v>368.97000000000048</v>
      </c>
      <c r="S11" s="5">
        <f t="shared" si="12"/>
        <v>392.32999999999993</v>
      </c>
      <c r="T11" s="5">
        <f t="shared" si="12"/>
        <v>543.57399999999961</v>
      </c>
      <c r="U11" s="5">
        <f t="shared" si="12"/>
        <v>2387</v>
      </c>
      <c r="V11" s="5">
        <f t="shared" si="12"/>
        <v>4138.9136393999997</v>
      </c>
      <c r="W11" s="5">
        <f t="shared" ref="W11:AF11" si="13">W9-W10</f>
        <v>4257.7413016199998</v>
      </c>
      <c r="X11" s="5">
        <f t="shared" si="13"/>
        <v>4438.8518690409601</v>
      </c>
      <c r="Y11" s="5">
        <f t="shared" si="13"/>
        <v>4831.3921338346281</v>
      </c>
      <c r="Z11" s="5">
        <f t="shared" si="13"/>
        <v>4804.404368547127</v>
      </c>
      <c r="AA11" s="5">
        <f t="shared" si="13"/>
        <v>4722.3812024806457</v>
      </c>
      <c r="AB11" s="5">
        <f t="shared" si="13"/>
        <v>5431.5714606638503</v>
      </c>
      <c r="AC11" s="5">
        <f t="shared" si="13"/>
        <v>5767.1246333755153</v>
      </c>
      <c r="AD11" s="5">
        <f t="shared" si="13"/>
        <v>6123.8503260079087</v>
      </c>
      <c r="AE11" s="5">
        <f t="shared" si="13"/>
        <v>6503.1098032054888</v>
      </c>
      <c r="AF11" s="5">
        <f t="shared" si="13"/>
        <v>6906.353277451828</v>
      </c>
      <c r="AG11" s="5"/>
      <c r="AH11" s="5"/>
      <c r="AI11" s="5"/>
      <c r="AJ11" s="5"/>
      <c r="AK11" s="5"/>
    </row>
    <row r="12" spans="1:109" x14ac:dyDescent="0.25">
      <c r="B12" t="s">
        <v>33</v>
      </c>
      <c r="C12" s="1">
        <v>51.93</v>
      </c>
      <c r="D12" s="1">
        <v>26.8</v>
      </c>
      <c r="E12" s="1">
        <v>28</v>
      </c>
      <c r="F12" s="1">
        <f t="shared" si="1"/>
        <v>28.957999999999991</v>
      </c>
      <c r="G12" s="1">
        <v>31.8</v>
      </c>
      <c r="H12" s="1">
        <v>27.8</v>
      </c>
      <c r="I12" s="1">
        <v>35.950000000000003</v>
      </c>
      <c r="J12" s="1">
        <f t="shared" si="2"/>
        <v>40.350000000000009</v>
      </c>
      <c r="K12" s="1">
        <v>41.3</v>
      </c>
      <c r="L12" s="1">
        <v>70.7</v>
      </c>
      <c r="Q12" s="1">
        <v>193.17</v>
      </c>
      <c r="R12" s="1">
        <v>108.21299999999999</v>
      </c>
      <c r="S12" s="1">
        <v>109.551</v>
      </c>
      <c r="T12" s="1">
        <v>135.68799999999999</v>
      </c>
      <c r="U12" s="1">
        <v>135.9</v>
      </c>
      <c r="V12" s="1">
        <f>U22*-0.1</f>
        <v>288.71819999999997</v>
      </c>
      <c r="W12" s="1">
        <f>V22*-0.01</f>
        <v>0.10848593399999573</v>
      </c>
      <c r="X12" s="1">
        <f t="shared" ref="X12:AF12" si="14">W22*-0.01</f>
        <v>-31.113865418540005</v>
      </c>
      <c r="Y12" s="1">
        <f t="shared" si="14"/>
        <v>-63.131088851589396</v>
      </c>
      <c r="Z12" s="1">
        <f t="shared" si="14"/>
        <v>-98.27234355320978</v>
      </c>
      <c r="AA12" s="1">
        <f t="shared" si="14"/>
        <v>-132.51632800176046</v>
      </c>
      <c r="AB12" s="1">
        <f t="shared" si="14"/>
        <v>-165.32403263164903</v>
      </c>
      <c r="AC12" s="1">
        <f t="shared" si="14"/>
        <v>-204.58045999333063</v>
      </c>
      <c r="AD12" s="1">
        <f t="shared" si="14"/>
        <v>-246.55251205509441</v>
      </c>
      <c r="AE12" s="1">
        <f t="shared" si="14"/>
        <v>-291.4139240480078</v>
      </c>
      <c r="AF12" s="1">
        <f t="shared" si="14"/>
        <v>-339.34959269529514</v>
      </c>
      <c r="AG12" s="1"/>
      <c r="AH12" s="1"/>
      <c r="AI12" s="1"/>
      <c r="AJ12" s="1"/>
      <c r="AK12" s="1"/>
    </row>
    <row r="13" spans="1:109" x14ac:dyDescent="0.25">
      <c r="A13" s="4"/>
      <c r="B13" t="s">
        <v>34</v>
      </c>
      <c r="C13" s="1">
        <v>0.249</v>
      </c>
      <c r="D13" s="1">
        <v>23.515999999999998</v>
      </c>
      <c r="E13" s="1">
        <v>25.8</v>
      </c>
      <c r="F13" s="1">
        <f t="shared" si="1"/>
        <v>45.064000000000007</v>
      </c>
      <c r="G13" s="1">
        <v>43.53</v>
      </c>
      <c r="H13" s="1">
        <v>155.208</v>
      </c>
      <c r="I13" s="1">
        <v>188.34</v>
      </c>
      <c r="J13" s="1">
        <f t="shared" si="2"/>
        <v>139.05199999999996</v>
      </c>
      <c r="K13" s="1">
        <v>182.851</v>
      </c>
      <c r="L13" s="1">
        <v>307.94400000000002</v>
      </c>
      <c r="P13" s="6"/>
      <c r="Q13" s="1">
        <v>53.15</v>
      </c>
      <c r="R13" s="1">
        <v>55.56</v>
      </c>
      <c r="S13" s="1">
        <v>60.95</v>
      </c>
      <c r="T13" s="1">
        <v>94.629000000000005</v>
      </c>
      <c r="U13" s="1">
        <v>526.13</v>
      </c>
      <c r="V13" s="1">
        <f>V7*0.04</f>
        <v>973.86203279999984</v>
      </c>
      <c r="W13" s="1">
        <f t="shared" ref="W13:AF13" si="15">W7*0.04</f>
        <v>1135.397680432</v>
      </c>
      <c r="X13" s="1">
        <f t="shared" si="15"/>
        <v>1268.2433911545602</v>
      </c>
      <c r="Y13" s="1">
        <f t="shared" si="15"/>
        <v>1380.3977525241792</v>
      </c>
      <c r="Z13" s="1">
        <f t="shared" si="15"/>
        <v>1478.2782672452699</v>
      </c>
      <c r="AA13" s="1">
        <f t="shared" si="15"/>
        <v>1574.1270674935483</v>
      </c>
      <c r="AB13" s="1">
        <f t="shared" si="15"/>
        <v>1671.2527571273386</v>
      </c>
      <c r="AC13" s="1">
        <f t="shared" si="15"/>
        <v>1774.4998871924661</v>
      </c>
      <c r="AD13" s="1">
        <f t="shared" si="15"/>
        <v>1884.2616387716644</v>
      </c>
      <c r="AE13" s="1">
        <f t="shared" si="15"/>
        <v>2000.9568625247657</v>
      </c>
      <c r="AF13" s="1">
        <f t="shared" si="15"/>
        <v>2125.0317776774855</v>
      </c>
      <c r="AG13" s="1"/>
      <c r="AH13" s="1"/>
      <c r="AI13" s="1"/>
      <c r="AJ13" s="1"/>
      <c r="AK13" s="1"/>
    </row>
    <row r="14" spans="1:109" x14ac:dyDescent="0.25">
      <c r="B14" s="4" t="s">
        <v>35</v>
      </c>
      <c r="C14" s="5">
        <f t="shared" ref="C14:L14" si="16">+C11-C12-C13</f>
        <v>8.7210000000000907</v>
      </c>
      <c r="D14" s="5">
        <f t="shared" si="16"/>
        <v>79.024000000000143</v>
      </c>
      <c r="E14" s="5">
        <f t="shared" si="16"/>
        <v>85.949999999999889</v>
      </c>
      <c r="F14" s="5">
        <f t="shared" si="16"/>
        <v>139.8410000000012</v>
      </c>
      <c r="G14" s="5">
        <f t="shared" si="16"/>
        <v>172.65000000000035</v>
      </c>
      <c r="H14" s="5">
        <f t="shared" si="16"/>
        <v>497.24100000000044</v>
      </c>
      <c r="I14" s="5">
        <f t="shared" si="16"/>
        <v>613.21000000000038</v>
      </c>
      <c r="J14" s="5">
        <f t="shared" si="16"/>
        <v>441.75599999999912</v>
      </c>
      <c r="K14" s="5">
        <f t="shared" si="16"/>
        <v>639.59100000000058</v>
      </c>
      <c r="L14" s="5">
        <f t="shared" si="16"/>
        <v>987.25600000000054</v>
      </c>
      <c r="M14" s="5"/>
      <c r="N14" s="5"/>
      <c r="O14" s="5"/>
      <c r="Q14" s="5">
        <f>+Q11-Q12-Q13</f>
        <v>38.779999999999696</v>
      </c>
      <c r="R14" s="5">
        <f>+R11-R12-R13</f>
        <v>205.19700000000051</v>
      </c>
      <c r="S14" s="5">
        <f>+S11-S12-S13</f>
        <v>221.82899999999995</v>
      </c>
      <c r="T14" s="5">
        <f>+T11-T12-T13</f>
        <v>313.25699999999961</v>
      </c>
      <c r="U14" s="5">
        <f>+U11-U12-U13</f>
        <v>1724.9699999999998</v>
      </c>
      <c r="V14" s="5">
        <f>V11-V12-V13</f>
        <v>2876.3334066000002</v>
      </c>
      <c r="W14" s="5">
        <f t="shared" ref="W14:AF14" si="17">W11-W12-W13</f>
        <v>3122.2351352539999</v>
      </c>
      <c r="X14" s="5">
        <f t="shared" si="17"/>
        <v>3201.7223433049394</v>
      </c>
      <c r="Y14" s="5">
        <f t="shared" si="17"/>
        <v>3514.1254701620383</v>
      </c>
      <c r="Z14" s="5">
        <f t="shared" si="17"/>
        <v>3424.3984448550668</v>
      </c>
      <c r="AA14" s="5">
        <f t="shared" si="17"/>
        <v>3280.7704629888576</v>
      </c>
      <c r="AB14" s="5">
        <f t="shared" si="17"/>
        <v>3925.6427361681608</v>
      </c>
      <c r="AC14" s="5">
        <f t="shared" si="17"/>
        <v>4197.2052061763798</v>
      </c>
      <c r="AD14" s="5">
        <f t="shared" si="17"/>
        <v>4486.141199291339</v>
      </c>
      <c r="AE14" s="5">
        <f t="shared" si="17"/>
        <v>4793.5668647287312</v>
      </c>
      <c r="AF14" s="5">
        <f t="shared" si="17"/>
        <v>5120.6710924696381</v>
      </c>
      <c r="AG14" s="5">
        <f>AF14*(1+$AI39)</f>
        <v>5069.4643815449417</v>
      </c>
      <c r="AH14" s="5">
        <f t="shared" ref="AH14:CS14" si="18">AG14*(1+$AI39)</f>
        <v>5018.7697377294926</v>
      </c>
      <c r="AI14" s="5">
        <f t="shared" si="18"/>
        <v>4968.5820403521975</v>
      </c>
      <c r="AJ14" s="5">
        <f t="shared" si="18"/>
        <v>4918.8962199486759</v>
      </c>
      <c r="AK14" s="5">
        <f t="shared" si="18"/>
        <v>4869.707257749189</v>
      </c>
      <c r="AL14" s="5">
        <f t="shared" si="18"/>
        <v>4821.0101851716972</v>
      </c>
      <c r="AM14" s="5">
        <f t="shared" si="18"/>
        <v>4772.8000833199803</v>
      </c>
      <c r="AN14" s="5">
        <f t="shared" si="18"/>
        <v>4725.0720824867803</v>
      </c>
      <c r="AO14" s="5">
        <f t="shared" si="18"/>
        <v>4677.8213616619123</v>
      </c>
      <c r="AP14" s="5">
        <f t="shared" si="18"/>
        <v>4631.0431480452935</v>
      </c>
      <c r="AQ14" s="5">
        <f t="shared" si="18"/>
        <v>4584.7327165648403</v>
      </c>
      <c r="AR14" s="5">
        <f t="shared" si="18"/>
        <v>4538.8853893991918</v>
      </c>
      <c r="AS14" s="5">
        <f t="shared" si="18"/>
        <v>4493.4965355052</v>
      </c>
      <c r="AT14" s="5">
        <f t="shared" si="18"/>
        <v>4448.5615701501483</v>
      </c>
      <c r="AU14" s="5">
        <f t="shared" si="18"/>
        <v>4404.0759544486464</v>
      </c>
      <c r="AV14" s="5">
        <f t="shared" si="18"/>
        <v>4360.0351949041597</v>
      </c>
      <c r="AW14" s="5">
        <f t="shared" si="18"/>
        <v>4316.4348429551183</v>
      </c>
      <c r="AX14" s="5">
        <f t="shared" si="18"/>
        <v>4273.2704945255673</v>
      </c>
      <c r="AY14" s="5">
        <f t="shared" si="18"/>
        <v>4230.5377895803113</v>
      </c>
      <c r="AZ14" s="5">
        <f t="shared" si="18"/>
        <v>4188.2324116845084</v>
      </c>
      <c r="BA14" s="5">
        <f t="shared" si="18"/>
        <v>4146.3500875676636</v>
      </c>
      <c r="BB14" s="5">
        <f t="shared" si="18"/>
        <v>4104.8865866919868</v>
      </c>
      <c r="BC14" s="5">
        <f t="shared" si="18"/>
        <v>4063.8377208250668</v>
      </c>
      <c r="BD14" s="5">
        <f t="shared" si="18"/>
        <v>4023.1993436168159</v>
      </c>
      <c r="BE14" s="5">
        <f t="shared" si="18"/>
        <v>3982.9673501806478</v>
      </c>
      <c r="BF14" s="5">
        <f t="shared" si="18"/>
        <v>3943.1376766788412</v>
      </c>
      <c r="BG14" s="5">
        <f t="shared" si="18"/>
        <v>3903.7062999120526</v>
      </c>
      <c r="BH14" s="5">
        <f t="shared" si="18"/>
        <v>3864.6692369129319</v>
      </c>
      <c r="BI14" s="5">
        <f t="shared" si="18"/>
        <v>3826.0225445438027</v>
      </c>
      <c r="BJ14" s="5">
        <f t="shared" si="18"/>
        <v>3787.7623190983645</v>
      </c>
      <c r="BK14" s="5">
        <f t="shared" si="18"/>
        <v>3749.8846959073808</v>
      </c>
      <c r="BL14" s="5">
        <f t="shared" si="18"/>
        <v>3712.3858489483068</v>
      </c>
      <c r="BM14" s="5">
        <f t="shared" si="18"/>
        <v>3675.2619904588237</v>
      </c>
      <c r="BN14" s="5">
        <f t="shared" si="18"/>
        <v>3638.5093705542354</v>
      </c>
      <c r="BO14" s="5">
        <f t="shared" si="18"/>
        <v>3602.1242768486932</v>
      </c>
      <c r="BP14" s="5">
        <f t="shared" si="18"/>
        <v>3566.1030340802063</v>
      </c>
      <c r="BQ14" s="5">
        <f t="shared" si="18"/>
        <v>3530.4420037394043</v>
      </c>
      <c r="BR14" s="5">
        <f t="shared" si="18"/>
        <v>3495.13758370201</v>
      </c>
      <c r="BS14" s="5">
        <f t="shared" si="18"/>
        <v>3460.1862078649897</v>
      </c>
      <c r="BT14" s="5">
        <f t="shared" si="18"/>
        <v>3425.5843457863398</v>
      </c>
      <c r="BU14" s="5">
        <f t="shared" si="18"/>
        <v>3391.3285023284761</v>
      </c>
      <c r="BV14" s="5">
        <f t="shared" si="18"/>
        <v>3357.4152173051912</v>
      </c>
      <c r="BW14" s="5">
        <f t="shared" si="18"/>
        <v>3323.8410651321392</v>
      </c>
      <c r="BX14" s="5">
        <f t="shared" si="18"/>
        <v>3290.6026544808178</v>
      </c>
      <c r="BY14" s="5">
        <f t="shared" si="18"/>
        <v>3257.6966279360095</v>
      </c>
      <c r="BZ14" s="5">
        <f t="shared" si="18"/>
        <v>3225.1196616566494</v>
      </c>
      <c r="CA14" s="5">
        <f t="shared" si="18"/>
        <v>3192.8684650400828</v>
      </c>
      <c r="CB14" s="5">
        <f t="shared" si="18"/>
        <v>3160.9397803896818</v>
      </c>
      <c r="CC14" s="5">
        <f t="shared" si="18"/>
        <v>3129.3303825857852</v>
      </c>
      <c r="CD14" s="5">
        <f t="shared" si="18"/>
        <v>3098.0370787599272</v>
      </c>
      <c r="CE14" s="5">
        <f t="shared" si="18"/>
        <v>3067.0567079723278</v>
      </c>
      <c r="CF14" s="5">
        <f t="shared" si="18"/>
        <v>3036.3861408926045</v>
      </c>
      <c r="CG14" s="5">
        <f t="shared" si="18"/>
        <v>3006.0222794836786</v>
      </c>
      <c r="CH14" s="5">
        <f t="shared" si="18"/>
        <v>2975.962056688842</v>
      </c>
      <c r="CI14" s="5">
        <f t="shared" si="18"/>
        <v>2946.2024361219537</v>
      </c>
      <c r="CJ14" s="5">
        <f t="shared" si="18"/>
        <v>2916.7404117607343</v>
      </c>
      <c r="CK14" s="5">
        <f t="shared" si="18"/>
        <v>2887.5730076431269</v>
      </c>
      <c r="CL14" s="5">
        <f t="shared" si="18"/>
        <v>2858.6972775666954</v>
      </c>
      <c r="CM14" s="5">
        <f t="shared" si="18"/>
        <v>2830.1103047910283</v>
      </c>
      <c r="CN14" s="5">
        <f t="shared" si="18"/>
        <v>2801.8092017431181</v>
      </c>
      <c r="CO14" s="5">
        <f t="shared" si="18"/>
        <v>2773.791109725687</v>
      </c>
      <c r="CP14" s="5">
        <f t="shared" si="18"/>
        <v>2746.05319862843</v>
      </c>
      <c r="CQ14" s="5">
        <f t="shared" si="18"/>
        <v>2718.5926666421456</v>
      </c>
      <c r="CR14" s="5">
        <f t="shared" si="18"/>
        <v>2691.4067399757241</v>
      </c>
      <c r="CS14" s="5">
        <f t="shared" si="18"/>
        <v>2664.4926725759669</v>
      </c>
      <c r="CT14" s="5">
        <f t="shared" ref="CT14:DD14" si="19">CS14*(1+$AI39)</f>
        <v>2637.847745850207</v>
      </c>
      <c r="CU14" s="5">
        <f t="shared" si="19"/>
        <v>2611.4692683917051</v>
      </c>
      <c r="CV14" s="5">
        <f t="shared" si="19"/>
        <v>2585.3545757077882</v>
      </c>
      <c r="CW14" s="5">
        <f t="shared" si="19"/>
        <v>2559.5010299507103</v>
      </c>
      <c r="CX14" s="5">
        <f t="shared" si="19"/>
        <v>2533.9060196512032</v>
      </c>
      <c r="CY14" s="5">
        <f t="shared" si="19"/>
        <v>2508.5669594546912</v>
      </c>
      <c r="CZ14" s="5">
        <f t="shared" si="19"/>
        <v>2483.4812898601444</v>
      </c>
      <c r="DA14" s="5">
        <f t="shared" si="19"/>
        <v>2458.6464769615432</v>
      </c>
      <c r="DB14" s="5">
        <f t="shared" si="19"/>
        <v>2434.0600121919279</v>
      </c>
      <c r="DC14" s="5">
        <f t="shared" si="19"/>
        <v>2409.7194120700087</v>
      </c>
      <c r="DD14" s="5">
        <f t="shared" si="19"/>
        <v>2385.6222179493088</v>
      </c>
      <c r="DE14" s="5"/>
    </row>
    <row r="15" spans="1:109" s="1" customFormat="1" x14ac:dyDescent="0.25">
      <c r="A15" s="5"/>
      <c r="B15" s="1" t="s">
        <v>3</v>
      </c>
      <c r="C15" s="1">
        <v>116.258</v>
      </c>
      <c r="D15" s="1">
        <v>116.634</v>
      </c>
      <c r="E15" s="1">
        <v>116.73</v>
      </c>
      <c r="F15" s="1">
        <f>E15</f>
        <v>116.73</v>
      </c>
      <c r="G15" s="1">
        <v>206.57</v>
      </c>
      <c r="H15" s="1">
        <v>207.114</v>
      </c>
      <c r="I15" s="1">
        <v>204.27</v>
      </c>
      <c r="J15" s="1">
        <f>I15</f>
        <v>204.27</v>
      </c>
      <c r="K15" s="1">
        <v>177.1</v>
      </c>
      <c r="L15" s="1">
        <v>170.4</v>
      </c>
      <c r="P15" s="21"/>
      <c r="Q15" s="1">
        <v>112.587</v>
      </c>
      <c r="R15" s="1">
        <v>114.586</v>
      </c>
      <c r="S15" s="1">
        <v>115.7</v>
      </c>
      <c r="T15" s="1">
        <v>116.6</v>
      </c>
      <c r="U15" s="1">
        <v>201.839</v>
      </c>
    </row>
    <row r="16" spans="1:109" x14ac:dyDescent="0.25">
      <c r="A16" s="7"/>
      <c r="B16" s="8" t="s">
        <v>36</v>
      </c>
      <c r="C16" s="7">
        <f t="shared" ref="C16:L16" si="20">C14/C15</f>
        <v>7.5014192571694768E-2</v>
      </c>
      <c r="D16" s="7">
        <f t="shared" si="20"/>
        <v>0.67753828214757394</v>
      </c>
      <c r="E16" s="7">
        <f t="shared" si="20"/>
        <v>0.73631457208943618</v>
      </c>
      <c r="F16" s="7">
        <f t="shared" si="20"/>
        <v>1.1979868071618367</v>
      </c>
      <c r="G16" s="7">
        <f t="shared" si="20"/>
        <v>0.83579416178535293</v>
      </c>
      <c r="H16" s="7">
        <f t="shared" si="20"/>
        <v>2.4008082505286965</v>
      </c>
      <c r="I16" s="7">
        <f t="shared" si="20"/>
        <v>3.0019581925882428</v>
      </c>
      <c r="J16" s="7">
        <f t="shared" si="20"/>
        <v>2.1626083125275328</v>
      </c>
      <c r="K16" s="7">
        <f t="shared" si="20"/>
        <v>3.6114680971202744</v>
      </c>
      <c r="L16" s="7">
        <f t="shared" si="20"/>
        <v>5.7937558685446042</v>
      </c>
      <c r="M16" s="7"/>
      <c r="N16" s="7"/>
      <c r="O16" s="7"/>
      <c r="P16" s="9"/>
      <c r="Q16" s="7">
        <f>Q14/Q15</f>
        <v>0.34444474051177931</v>
      </c>
      <c r="R16" s="7">
        <f>R14/R15</f>
        <v>1.7907685057511433</v>
      </c>
      <c r="S16" s="7">
        <f>S14/S15</f>
        <v>1.9172774416594636</v>
      </c>
      <c r="T16" s="7">
        <f>T14/T15</f>
        <v>2.6865951972555715</v>
      </c>
      <c r="U16" s="7">
        <f>U14/U15</f>
        <v>8.5462670742522491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x14ac:dyDescent="0.25">
      <c r="A17" s="1"/>
      <c r="B17" s="1"/>
      <c r="C17" s="10"/>
      <c r="D17" s="10"/>
      <c r="E17" s="10"/>
      <c r="F17" s="10"/>
      <c r="G17" s="10"/>
      <c r="H17" s="10"/>
      <c r="I17" s="10"/>
      <c r="J17" s="10"/>
      <c r="L17" s="10"/>
      <c r="M17" s="10"/>
      <c r="N17" s="10"/>
      <c r="O17" s="10"/>
      <c r="P17" s="1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s="1" customFormat="1" x14ac:dyDescent="0.25">
      <c r="B18" s="1" t="s">
        <v>5</v>
      </c>
      <c r="F18" s="1">
        <v>423.8</v>
      </c>
      <c r="G18" s="1">
        <v>19.100000000000001</v>
      </c>
      <c r="H18" s="1">
        <v>90.3</v>
      </c>
      <c r="I18" s="1">
        <v>224.73500000000001</v>
      </c>
      <c r="J18" s="1">
        <v>42.6</v>
      </c>
      <c r="K18" s="1">
        <v>281.8</v>
      </c>
      <c r="L18" s="1">
        <v>166.185</v>
      </c>
      <c r="P18" s="11"/>
      <c r="R18" s="1">
        <v>10.1</v>
      </c>
      <c r="S18" s="1">
        <v>14.1</v>
      </c>
      <c r="T18" s="1">
        <v>423.8</v>
      </c>
      <c r="U18" s="1">
        <v>42.6</v>
      </c>
    </row>
    <row r="19" spans="1:37" s="1" customFormat="1" x14ac:dyDescent="0.25">
      <c r="B19" s="1" t="s">
        <v>37</v>
      </c>
      <c r="F19" s="1">
        <v>784.5</v>
      </c>
      <c r="G19" s="1">
        <v>1585.6</v>
      </c>
      <c r="H19" s="1">
        <v>2074.4</v>
      </c>
      <c r="I19" s="1">
        <v>1616.55</v>
      </c>
      <c r="J19" s="1">
        <v>1626.2</v>
      </c>
      <c r="K19" s="1">
        <v>2188.0500000000002</v>
      </c>
      <c r="L19" s="1">
        <v>2065.3490000000002</v>
      </c>
      <c r="P19" s="11"/>
      <c r="R19" s="1">
        <v>596.9</v>
      </c>
      <c r="S19" s="1">
        <v>561.255</v>
      </c>
      <c r="T19" s="1">
        <v>784.5</v>
      </c>
      <c r="U19" s="1">
        <v>1626.2</v>
      </c>
    </row>
    <row r="20" spans="1:37" s="1" customFormat="1" x14ac:dyDescent="0.25">
      <c r="B20" s="1" t="s">
        <v>38</v>
      </c>
      <c r="F20" s="1">
        <v>749.13</v>
      </c>
      <c r="G20" s="1">
        <v>1297.8</v>
      </c>
      <c r="H20" s="1">
        <v>1300.7</v>
      </c>
      <c r="I20" s="1">
        <v>1336.89</v>
      </c>
      <c r="J20" s="1">
        <v>1385.44</v>
      </c>
      <c r="K20" s="1">
        <v>1385.999</v>
      </c>
      <c r="L20" s="1">
        <v>1420.722</v>
      </c>
      <c r="P20" s="11"/>
      <c r="R20" s="1">
        <v>670.07500000000005</v>
      </c>
      <c r="S20" s="1">
        <v>721.9</v>
      </c>
      <c r="T20" s="1">
        <v>749.13</v>
      </c>
      <c r="U20" s="1">
        <v>1385.44</v>
      </c>
    </row>
    <row r="21" spans="1:37" s="1" customFormat="1" x14ac:dyDescent="0.25">
      <c r="B21" s="1" t="s">
        <v>6</v>
      </c>
      <c r="F21" s="1">
        <f>27.335+1596.9</f>
        <v>1624.2350000000001</v>
      </c>
      <c r="G21" s="1">
        <f>14.134+1658.1</f>
        <v>1672.2339999999999</v>
      </c>
      <c r="H21" s="1">
        <f>11.316+2043.817</f>
        <v>2055.1329999999998</v>
      </c>
      <c r="I21" s="1">
        <f>3.819+2419.66</f>
        <v>2423.4789999999998</v>
      </c>
      <c r="J21" s="1">
        <f>3.66+2926.122</f>
        <v>2929.7819999999997</v>
      </c>
      <c r="K21" s="1">
        <f>2.914+3391.6</f>
        <v>3394.5140000000001</v>
      </c>
      <c r="L21" s="1">
        <f>2.885+3552.36</f>
        <v>3555.2450000000003</v>
      </c>
      <c r="P21" s="11"/>
      <c r="R21" s="1">
        <f>15.6+1545.729</f>
        <v>1561.329</v>
      </c>
      <c r="S21" s="1">
        <f>13.875+1277.4</f>
        <v>1291.2750000000001</v>
      </c>
      <c r="T21" s="1">
        <f>27.335+1596.9</f>
        <v>1624.2350000000001</v>
      </c>
      <c r="U21" s="1">
        <f>3.66+2926.122</f>
        <v>2929.7819999999997</v>
      </c>
    </row>
    <row r="22" spans="1:37" s="1" customFormat="1" x14ac:dyDescent="0.25">
      <c r="B22" s="5" t="s">
        <v>39</v>
      </c>
      <c r="F22" s="1">
        <f>F18-F21</f>
        <v>-1200.4350000000002</v>
      </c>
      <c r="G22" s="1">
        <f t="shared" ref="G22:L22" si="21">G18-G21</f>
        <v>-1653.134</v>
      </c>
      <c r="H22" s="1">
        <f t="shared" si="21"/>
        <v>-1964.8329999999999</v>
      </c>
      <c r="I22" s="1">
        <f t="shared" si="21"/>
        <v>-2198.7439999999997</v>
      </c>
      <c r="J22" s="1">
        <f t="shared" si="21"/>
        <v>-2887.1819999999998</v>
      </c>
      <c r="K22" s="1">
        <f t="shared" si="21"/>
        <v>-3112.7139999999999</v>
      </c>
      <c r="L22" s="1">
        <f t="shared" si="21"/>
        <v>-3389.0600000000004</v>
      </c>
      <c r="P22" s="11"/>
      <c r="R22" s="1">
        <f t="shared" ref="R22" si="22">R18-R21</f>
        <v>-1551.229</v>
      </c>
      <c r="S22" s="1">
        <f t="shared" ref="S22" si="23">S18-S21</f>
        <v>-1277.1750000000002</v>
      </c>
      <c r="T22" s="1">
        <f t="shared" ref="T22" si="24">T18-T21</f>
        <v>-1200.4350000000002</v>
      </c>
      <c r="U22" s="1">
        <f t="shared" ref="U22" si="25">U18-U21</f>
        <v>-2887.1819999999998</v>
      </c>
      <c r="V22" s="1">
        <f>U22+V14</f>
        <v>-10.848593399999572</v>
      </c>
      <c r="W22" s="1">
        <f t="shared" ref="W22:AF22" si="26">V22+W14</f>
        <v>3111.3865418540004</v>
      </c>
      <c r="X22" s="1">
        <f t="shared" si="26"/>
        <v>6313.1088851589393</v>
      </c>
      <c r="Y22" s="1">
        <f t="shared" si="26"/>
        <v>9827.2343553209776</v>
      </c>
      <c r="Z22" s="1">
        <f t="shared" si="26"/>
        <v>13251.632800176045</v>
      </c>
      <c r="AA22" s="1">
        <f t="shared" si="26"/>
        <v>16532.403263164902</v>
      </c>
      <c r="AB22" s="1">
        <f t="shared" si="26"/>
        <v>20458.045999333062</v>
      </c>
      <c r="AC22" s="1">
        <f t="shared" si="26"/>
        <v>24655.251205509441</v>
      </c>
      <c r="AD22" s="1">
        <f t="shared" si="26"/>
        <v>29141.392404800779</v>
      </c>
      <c r="AE22" s="1">
        <f t="shared" si="26"/>
        <v>33934.959269529514</v>
      </c>
      <c r="AF22" s="1">
        <f t="shared" si="26"/>
        <v>39055.630361999152</v>
      </c>
    </row>
    <row r="23" spans="1:37" x14ac:dyDescent="0.25">
      <c r="A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2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</row>
    <row r="24" spans="1:37" x14ac:dyDescent="0.25">
      <c r="A24" s="13"/>
      <c r="B24" s="13" t="s">
        <v>40</v>
      </c>
      <c r="C24" s="13">
        <f>C9/C7</f>
        <v>0.26043648573027428</v>
      </c>
      <c r="D24" s="13">
        <f t="shared" ref="D24:L24" si="27">D9/D7</f>
        <v>0.26589708270800361</v>
      </c>
      <c r="E24" s="13">
        <f t="shared" si="27"/>
        <v>0.2486004922782025</v>
      </c>
      <c r="F24" s="13">
        <f t="shared" si="27"/>
        <v>0.2644987501298865</v>
      </c>
      <c r="G24" s="13">
        <f t="shared" si="27"/>
        <v>0.2562604820547224</v>
      </c>
      <c r="H24" s="13">
        <f t="shared" si="27"/>
        <v>0.28388736667694764</v>
      </c>
      <c r="I24" s="13">
        <f t="shared" si="27"/>
        <v>0.31087753694223585</v>
      </c>
      <c r="J24" s="13">
        <f t="shared" si="27"/>
        <v>0.32054366017829855</v>
      </c>
      <c r="K24" s="13">
        <f t="shared" si="27"/>
        <v>0.32253296016616506</v>
      </c>
      <c r="L24" s="13">
        <f t="shared" si="27"/>
        <v>0.34822343819932727</v>
      </c>
      <c r="M24" s="13"/>
      <c r="N24" s="13"/>
      <c r="O24" s="13"/>
      <c r="P24" s="14"/>
      <c r="Q24" s="13">
        <f t="shared" ref="Q24:U24" si="28">Q9/Q7</f>
        <v>0.24557163572261234</v>
      </c>
      <c r="R24" s="13">
        <f t="shared" si="28"/>
        <v>0.24893168340287158</v>
      </c>
      <c r="S24" s="13">
        <f t="shared" si="28"/>
        <v>0.27152654444861085</v>
      </c>
      <c r="T24" s="13">
        <f t="shared" si="28"/>
        <v>0.25968065425428621</v>
      </c>
      <c r="U24" s="13">
        <f t="shared" si="28"/>
        <v>0.2941087765155323</v>
      </c>
      <c r="V24" s="13">
        <f t="shared" ref="V24:AF24" si="29">V9/V7</f>
        <v>0.32</v>
      </c>
      <c r="W24" s="13">
        <f t="shared" si="29"/>
        <v>0.3</v>
      </c>
      <c r="X24" s="13">
        <f t="shared" si="29"/>
        <v>0.28999999999999998</v>
      </c>
      <c r="Y24" s="13">
        <f t="shared" si="29"/>
        <v>0.28000000000000003</v>
      </c>
      <c r="Z24" s="13">
        <f t="shared" si="29"/>
        <v>0.27</v>
      </c>
      <c r="AA24" s="13">
        <f t="shared" si="29"/>
        <v>0.26</v>
      </c>
      <c r="AB24" s="13">
        <f t="shared" si="29"/>
        <v>0.26</v>
      </c>
      <c r="AC24" s="13">
        <f t="shared" si="29"/>
        <v>0.26</v>
      </c>
      <c r="AD24" s="13">
        <f t="shared" si="29"/>
        <v>0.26</v>
      </c>
      <c r="AE24" s="13">
        <f t="shared" si="29"/>
        <v>0.26</v>
      </c>
      <c r="AF24" s="13">
        <f t="shared" si="29"/>
        <v>0.26</v>
      </c>
      <c r="AG24" s="13"/>
      <c r="AH24" s="13"/>
      <c r="AI24" s="13"/>
      <c r="AJ24" s="13"/>
      <c r="AK24" s="13"/>
    </row>
    <row r="25" spans="1:37" x14ac:dyDescent="0.25">
      <c r="A25" s="15"/>
      <c r="B25" s="15" t="s">
        <v>41</v>
      </c>
      <c r="C25" s="15">
        <f>C11/C7</f>
        <v>3.4079462786793559E-2</v>
      </c>
      <c r="D25" s="15">
        <f t="shared" ref="D25:L25" si="30">D11/D7</f>
        <v>6.6476840525482694E-2</v>
      </c>
      <c r="E25" s="15">
        <f t="shared" si="30"/>
        <v>6.0881308675858718E-2</v>
      </c>
      <c r="F25" s="15">
        <f t="shared" si="30"/>
        <v>8.4495328642551021E-2</v>
      </c>
      <c r="G25" s="15">
        <f t="shared" si="30"/>
        <v>5.941348411519487E-2</v>
      </c>
      <c r="H25" s="15">
        <f t="shared" si="30"/>
        <v>0.12198099944770012</v>
      </c>
      <c r="I25" s="15">
        <f t="shared" si="30"/>
        <v>0.15203499981846574</v>
      </c>
      <c r="J25" s="15">
        <f t="shared" si="30"/>
        <v>0.13402025154445465</v>
      </c>
      <c r="K25" s="15">
        <f t="shared" si="30"/>
        <v>0.15203780957913088</v>
      </c>
      <c r="L25" s="15">
        <f t="shared" si="30"/>
        <v>0.19720485684997768</v>
      </c>
      <c r="M25" s="15"/>
      <c r="N25" s="15"/>
      <c r="O25" s="15"/>
      <c r="P25" s="16"/>
      <c r="Q25" s="15">
        <f t="shared" ref="Q25:U25" si="31">Q11/Q7</f>
        <v>4.0530550737823731E-2</v>
      </c>
      <c r="R25" s="15">
        <f t="shared" si="31"/>
        <v>4.7764528911540469E-2</v>
      </c>
      <c r="S25" s="15">
        <f t="shared" si="31"/>
        <v>5.3888300553676077E-2</v>
      </c>
      <c r="T25" s="15">
        <f t="shared" si="31"/>
        <v>6.3509989748651477E-2</v>
      </c>
      <c r="U25" s="15">
        <f t="shared" si="31"/>
        <v>0.11998592540464462</v>
      </c>
      <c r="V25" s="15">
        <f t="shared" ref="V25:AF25" si="32">V11/V7</f>
        <v>0.17</v>
      </c>
      <c r="W25" s="15">
        <f t="shared" si="32"/>
        <v>0.15</v>
      </c>
      <c r="X25" s="15">
        <f t="shared" si="32"/>
        <v>0.13999999999999999</v>
      </c>
      <c r="Y25" s="15">
        <f t="shared" si="32"/>
        <v>0.14000000000000001</v>
      </c>
      <c r="Z25" s="15">
        <f t="shared" si="32"/>
        <v>0.12999999999999998</v>
      </c>
      <c r="AA25" s="15">
        <f t="shared" si="32"/>
        <v>0.12000000000000001</v>
      </c>
      <c r="AB25" s="15">
        <f t="shared" si="32"/>
        <v>0.13</v>
      </c>
      <c r="AC25" s="15">
        <f t="shared" si="32"/>
        <v>0.13</v>
      </c>
      <c r="AD25" s="15">
        <f t="shared" si="32"/>
        <v>0.13</v>
      </c>
      <c r="AE25" s="15">
        <f t="shared" si="32"/>
        <v>0.13</v>
      </c>
      <c r="AF25" s="15">
        <f t="shared" si="32"/>
        <v>0.13</v>
      </c>
      <c r="AG25" s="15"/>
      <c r="AH25" s="15"/>
      <c r="AI25" s="15"/>
      <c r="AJ25" s="15"/>
      <c r="AK25" s="15"/>
    </row>
    <row r="26" spans="1:37" s="18" customFormat="1" x14ac:dyDescent="0.25">
      <c r="B26" s="18" t="s">
        <v>42</v>
      </c>
      <c r="C26" s="18">
        <f>C13/C7</f>
        <v>1.3933967543368776E-4</v>
      </c>
      <c r="D26" s="18">
        <f t="shared" ref="D26:L26" si="33">D13/D7</f>
        <v>1.2086511379289075E-2</v>
      </c>
      <c r="E26" s="18">
        <f t="shared" si="33"/>
        <v>1.1239626217081619E-2</v>
      </c>
      <c r="F26" s="18">
        <f t="shared" si="33"/>
        <v>1.7804377054225828E-2</v>
      </c>
      <c r="G26" s="18">
        <f t="shared" si="33"/>
        <v>1.0429344961426038E-2</v>
      </c>
      <c r="H26" s="18">
        <f t="shared" si="33"/>
        <v>2.7831613074445725E-2</v>
      </c>
      <c r="I26" s="18">
        <f t="shared" si="33"/>
        <v>3.4190175362160985E-2</v>
      </c>
      <c r="J26" s="18">
        <f t="shared" si="33"/>
        <v>3.000168076038549E-2</v>
      </c>
      <c r="K26" s="18">
        <f t="shared" si="33"/>
        <v>3.2185844290718343E-2</v>
      </c>
      <c r="L26" s="18">
        <f t="shared" si="33"/>
        <v>4.4460101352814634E-2</v>
      </c>
      <c r="P26" s="19"/>
      <c r="Q26" s="18">
        <f t="shared" ref="Q26:U26" si="34">Q13/Q7</f>
        <v>7.5559409740979782E-3</v>
      </c>
      <c r="R26" s="18">
        <f t="shared" si="34"/>
        <v>7.1924471537663905E-3</v>
      </c>
      <c r="S26" s="18">
        <f t="shared" si="34"/>
        <v>8.371758261531255E-3</v>
      </c>
      <c r="T26" s="18">
        <f t="shared" si="34"/>
        <v>1.105624408070501E-2</v>
      </c>
      <c r="U26" s="18">
        <f t="shared" si="34"/>
        <v>2.6446667336885492E-2</v>
      </c>
      <c r="V26" s="18">
        <f t="shared" ref="V26:AF26" si="35">V13/V7</f>
        <v>0.04</v>
      </c>
      <c r="W26" s="18">
        <f t="shared" si="35"/>
        <v>0.04</v>
      </c>
      <c r="X26" s="18">
        <f t="shared" si="35"/>
        <v>0.04</v>
      </c>
      <c r="Y26" s="18">
        <f t="shared" si="35"/>
        <v>0.04</v>
      </c>
      <c r="Z26" s="18">
        <f t="shared" si="35"/>
        <v>0.04</v>
      </c>
      <c r="AA26" s="18">
        <f t="shared" si="35"/>
        <v>0.04</v>
      </c>
      <c r="AB26" s="18">
        <f t="shared" si="35"/>
        <v>0.04</v>
      </c>
      <c r="AC26" s="18">
        <f t="shared" si="35"/>
        <v>0.04</v>
      </c>
      <c r="AD26" s="18">
        <f t="shared" si="35"/>
        <v>0.04</v>
      </c>
      <c r="AE26" s="18">
        <f t="shared" si="35"/>
        <v>0.04</v>
      </c>
      <c r="AF26" s="18">
        <f t="shared" si="35"/>
        <v>0.04</v>
      </c>
    </row>
    <row r="27" spans="1:37" x14ac:dyDescent="0.25">
      <c r="A27" s="15"/>
      <c r="B27" s="15" t="s">
        <v>43</v>
      </c>
      <c r="C27" s="15"/>
      <c r="D27" s="15"/>
      <c r="E27" s="15"/>
      <c r="F27" s="15">
        <f t="shared" ref="F27:L27" si="36">F7/F20</f>
        <v>3.3786699237782507</v>
      </c>
      <c r="G27" s="15">
        <f t="shared" si="36"/>
        <v>3.2160579442132842</v>
      </c>
      <c r="H27" s="15">
        <f t="shared" si="36"/>
        <v>4.2874452218036438</v>
      </c>
      <c r="I27" s="15">
        <f t="shared" si="36"/>
        <v>4.1204586764804887</v>
      </c>
      <c r="J27" s="15">
        <f t="shared" si="36"/>
        <v>3.3453682584594056</v>
      </c>
      <c r="K27" s="15">
        <f t="shared" si="36"/>
        <v>4.0989207062919961</v>
      </c>
      <c r="L27" s="15">
        <f t="shared" si="36"/>
        <v>4.875197258858524</v>
      </c>
      <c r="M27" s="15"/>
      <c r="N27" s="15"/>
      <c r="O27" s="15"/>
      <c r="P27" s="16"/>
      <c r="Q27" s="15"/>
      <c r="R27" s="15">
        <f t="shared" ref="R27:U27" si="37">R7/R20</f>
        <v>11.528216990635377</v>
      </c>
      <c r="S27" s="15">
        <f t="shared" si="37"/>
        <v>10.085094888488712</v>
      </c>
      <c r="T27" s="15">
        <f t="shared" si="37"/>
        <v>11.425085098714508</v>
      </c>
      <c r="U27" s="15">
        <f t="shared" si="37"/>
        <v>14.359337105901373</v>
      </c>
      <c r="V27" s="15" t="e">
        <f t="shared" ref="V27:AF27" si="38">V7/V20</f>
        <v>#DIV/0!</v>
      </c>
      <c r="W27" s="15" t="e">
        <f t="shared" si="38"/>
        <v>#DIV/0!</v>
      </c>
      <c r="X27" s="15" t="e">
        <f t="shared" si="38"/>
        <v>#DIV/0!</v>
      </c>
      <c r="Y27" s="15" t="e">
        <f t="shared" si="38"/>
        <v>#DIV/0!</v>
      </c>
      <c r="Z27" s="15" t="e">
        <f t="shared" si="38"/>
        <v>#DIV/0!</v>
      </c>
      <c r="AA27" s="15" t="e">
        <f t="shared" si="38"/>
        <v>#DIV/0!</v>
      </c>
      <c r="AB27" s="15" t="e">
        <f t="shared" si="38"/>
        <v>#DIV/0!</v>
      </c>
      <c r="AC27" s="15" t="e">
        <f t="shared" si="38"/>
        <v>#DIV/0!</v>
      </c>
      <c r="AD27" s="15" t="e">
        <f t="shared" si="38"/>
        <v>#DIV/0!</v>
      </c>
      <c r="AE27" s="15" t="e">
        <f t="shared" si="38"/>
        <v>#DIV/0!</v>
      </c>
      <c r="AF27" s="15" t="e">
        <f t="shared" si="38"/>
        <v>#DIV/0!</v>
      </c>
      <c r="AG27" s="15"/>
      <c r="AH27" s="15"/>
      <c r="AI27" s="15"/>
      <c r="AJ27" s="15"/>
      <c r="AK27" s="15"/>
    </row>
    <row r="28" spans="1:37" x14ac:dyDescent="0.25">
      <c r="A28" s="15"/>
      <c r="B28" s="15" t="s">
        <v>44</v>
      </c>
      <c r="C28" s="15">
        <f>C10/C7</f>
        <v>0.2263570229434807</v>
      </c>
      <c r="D28" s="15">
        <f t="shared" ref="D28:L28" si="39">D10/D7</f>
        <v>0.19942024218252091</v>
      </c>
      <c r="E28" s="15">
        <f t="shared" si="39"/>
        <v>0.18771918360234377</v>
      </c>
      <c r="F28" s="15">
        <f t="shared" si="39"/>
        <v>0.18000342148733545</v>
      </c>
      <c r="G28" s="15">
        <f t="shared" si="39"/>
        <v>0.19684699793952753</v>
      </c>
      <c r="H28" s="15">
        <f t="shared" si="39"/>
        <v>0.16190636722924751</v>
      </c>
      <c r="I28" s="15">
        <f t="shared" si="39"/>
        <v>0.15884253712377008</v>
      </c>
      <c r="J28" s="15">
        <f t="shared" si="39"/>
        <v>0.1865234086338439</v>
      </c>
      <c r="K28" s="15">
        <f t="shared" si="39"/>
        <v>0.17049515058703418</v>
      </c>
      <c r="L28" s="15">
        <f t="shared" si="39"/>
        <v>0.15101858134934959</v>
      </c>
      <c r="M28" s="15"/>
      <c r="N28" s="15"/>
      <c r="O28" s="15"/>
      <c r="P28" s="16"/>
      <c r="Q28" s="15">
        <f t="shared" ref="Q28:U28" si="40">Q10/Q7</f>
        <v>0.2050410849847886</v>
      </c>
      <c r="R28" s="15">
        <f t="shared" si="40"/>
        <v>0.20116715449133113</v>
      </c>
      <c r="S28" s="15">
        <f t="shared" si="40"/>
        <v>0.21763824389493477</v>
      </c>
      <c r="T28" s="15">
        <f t="shared" si="40"/>
        <v>0.19617066450563475</v>
      </c>
      <c r="U28" s="15">
        <f t="shared" si="40"/>
        <v>0.17412285111088771</v>
      </c>
      <c r="V28" s="15">
        <f t="shared" ref="V28:AF28" si="41">V10/V7</f>
        <v>0.15</v>
      </c>
      <c r="W28" s="15">
        <f t="shared" si="41"/>
        <v>0.15</v>
      </c>
      <c r="X28" s="15">
        <f t="shared" si="41"/>
        <v>0.15</v>
      </c>
      <c r="Y28" s="15">
        <f t="shared" si="41"/>
        <v>0.14000000000000001</v>
      </c>
      <c r="Z28" s="15">
        <f t="shared" si="41"/>
        <v>0.14000000000000001</v>
      </c>
      <c r="AA28" s="15">
        <f t="shared" si="41"/>
        <v>0.14000000000000001</v>
      </c>
      <c r="AB28" s="15">
        <f t="shared" si="41"/>
        <v>0.13</v>
      </c>
      <c r="AC28" s="15">
        <f t="shared" si="41"/>
        <v>0.13</v>
      </c>
      <c r="AD28" s="15">
        <f t="shared" si="41"/>
        <v>0.13</v>
      </c>
      <c r="AE28" s="15">
        <f t="shared" si="41"/>
        <v>0.13</v>
      </c>
      <c r="AF28" s="15">
        <f t="shared" si="41"/>
        <v>0.13</v>
      </c>
      <c r="AG28" s="15"/>
      <c r="AH28" s="15"/>
      <c r="AI28" s="15"/>
      <c r="AJ28" s="15"/>
      <c r="AK28" s="15"/>
    </row>
    <row r="29" spans="1:37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</row>
    <row r="30" spans="1:37" s="15" customFormat="1" x14ac:dyDescent="0.25">
      <c r="B30" s="15" t="s">
        <v>45</v>
      </c>
      <c r="G30" s="15">
        <f t="shared" ref="G30:K30" si="42">G3/C3-1</f>
        <v>2.2024688676513176</v>
      </c>
      <c r="H30" s="15">
        <f t="shared" si="42"/>
        <v>3.1733771807161526</v>
      </c>
      <c r="I30" s="15">
        <f t="shared" si="42"/>
        <v>1.8188116486613435</v>
      </c>
      <c r="J30" s="15">
        <f t="shared" si="42"/>
        <v>0.56729152264126759</v>
      </c>
      <c r="K30" s="15">
        <f t="shared" si="42"/>
        <v>0.31427965862205398</v>
      </c>
      <c r="L30" s="15">
        <f>L3/H3-1</f>
        <v>9.0660504525322594E-2</v>
      </c>
      <c r="P30" s="16"/>
      <c r="R30" s="15">
        <f t="shared" ref="R30:T30" si="43">R3/Q3-1</f>
        <v>0.1558018992849306</v>
      </c>
      <c r="S30" s="15">
        <f t="shared" si="43"/>
        <v>-0.22416962567471421</v>
      </c>
      <c r="T30" s="15">
        <f t="shared" si="43"/>
        <v>0.36632942200588037</v>
      </c>
      <c r="U30" s="15">
        <f>U3/T3-1</f>
        <v>1.7344331036276164</v>
      </c>
      <c r="V30" s="15">
        <f t="shared" ref="V30:AF30" si="44">V3/U3-1</f>
        <v>0.14999999999999991</v>
      </c>
      <c r="W30" s="15">
        <f t="shared" si="44"/>
        <v>0.10000000000000009</v>
      </c>
      <c r="X30" s="15">
        <f t="shared" si="44"/>
        <v>8.0000000000000071E-2</v>
      </c>
      <c r="Y30" s="15">
        <f t="shared" si="44"/>
        <v>5.0000000000000044E-2</v>
      </c>
      <c r="Z30" s="15">
        <f t="shared" si="44"/>
        <v>5.0000000000000044E-2</v>
      </c>
      <c r="AA30" s="15">
        <f t="shared" si="44"/>
        <v>5.0000000000000044E-2</v>
      </c>
      <c r="AB30" s="15">
        <f t="shared" si="44"/>
        <v>5.0000000000000044E-2</v>
      </c>
      <c r="AC30" s="15">
        <f t="shared" si="44"/>
        <v>5.0000000000000044E-2</v>
      </c>
      <c r="AD30" s="15">
        <f t="shared" si="44"/>
        <v>5.0000000000000044E-2</v>
      </c>
      <c r="AE30" s="15">
        <f t="shared" si="44"/>
        <v>5.0000000000000044E-2</v>
      </c>
      <c r="AF30" s="15">
        <f t="shared" si="44"/>
        <v>5.0000000000000044E-2</v>
      </c>
    </row>
    <row r="31" spans="1:37" s="15" customFormat="1" x14ac:dyDescent="0.25">
      <c r="B31" s="15" t="s">
        <v>46</v>
      </c>
      <c r="G31" s="15">
        <f t="shared" ref="G31:L31" si="45">G4/C4-1</f>
        <v>1.4287854380079952</v>
      </c>
      <c r="H31" s="15">
        <f t="shared" si="45"/>
        <v>1.97648988518316</v>
      </c>
      <c r="I31" s="15">
        <f t="shared" si="45"/>
        <v>1.9762639449323522</v>
      </c>
      <c r="J31" s="15">
        <f t="shared" si="45"/>
        <v>1.2641524182121007</v>
      </c>
      <c r="K31" s="15">
        <f t="shared" si="45"/>
        <v>0.57345452433499822</v>
      </c>
      <c r="L31" s="15">
        <f t="shared" si="45"/>
        <v>0.56401542983100672</v>
      </c>
      <c r="P31" s="16"/>
      <c r="R31" s="15">
        <f t="shared" ref="R31:U31" si="46">R4/Q4-1</f>
        <v>0.15182428602752851</v>
      </c>
      <c r="S31" s="15">
        <f t="shared" si="46"/>
        <v>4.1311223863055968E-2</v>
      </c>
      <c r="T31" s="15">
        <f t="shared" si="46"/>
        <v>0.13173053706322646</v>
      </c>
      <c r="U31" s="15">
        <f t="shared" si="46"/>
        <v>1.6414404145077723</v>
      </c>
      <c r="V31" s="15">
        <f t="shared" ref="V31:AF31" si="47">V4/U4-1</f>
        <v>0.39999999999999991</v>
      </c>
      <c r="W31" s="15">
        <f t="shared" si="47"/>
        <v>0.30000000000000004</v>
      </c>
      <c r="X31" s="15">
        <f t="shared" si="47"/>
        <v>0.19999999999999996</v>
      </c>
      <c r="Y31" s="15">
        <f t="shared" si="47"/>
        <v>0.14999999999999991</v>
      </c>
      <c r="Z31" s="15">
        <f t="shared" si="47"/>
        <v>0.10000000000000009</v>
      </c>
      <c r="AA31" s="15">
        <f t="shared" si="47"/>
        <v>8.0000000000000071E-2</v>
      </c>
      <c r="AB31" s="15">
        <f t="shared" si="47"/>
        <v>7.0000000000000062E-2</v>
      </c>
      <c r="AC31" s="15">
        <f t="shared" si="47"/>
        <v>7.0000000000000062E-2</v>
      </c>
      <c r="AD31" s="15">
        <f t="shared" si="47"/>
        <v>7.0000000000000062E-2</v>
      </c>
      <c r="AE31" s="15">
        <f t="shared" si="47"/>
        <v>7.0000000000000062E-2</v>
      </c>
      <c r="AF31" s="15">
        <f t="shared" si="47"/>
        <v>7.0000000000000062E-2</v>
      </c>
    </row>
    <row r="32" spans="1:37" s="15" customFormat="1" x14ac:dyDescent="0.25">
      <c r="B32" s="15" t="s">
        <v>47</v>
      </c>
      <c r="G32" s="15">
        <f t="shared" ref="G32:L32" si="48">G5/C5-1</f>
        <v>0.88142090467671874</v>
      </c>
      <c r="H32" s="15">
        <f t="shared" si="48"/>
        <v>1.0952852369756219</v>
      </c>
      <c r="I32" s="15">
        <f t="shared" si="48"/>
        <v>1.0584523809523807</v>
      </c>
      <c r="J32" s="15">
        <f t="shared" si="48"/>
        <v>1.1376102452579429</v>
      </c>
      <c r="K32" s="15">
        <f t="shared" si="48"/>
        <v>0.37404237978810095</v>
      </c>
      <c r="L32" s="15">
        <f t="shared" si="48"/>
        <v>0.4390503189227497</v>
      </c>
      <c r="P32" s="16"/>
      <c r="R32" s="15">
        <f t="shared" ref="R32:U32" si="49">R5/Q5-1</f>
        <v>6.2687835292198013E-2</v>
      </c>
      <c r="S32" s="15">
        <f t="shared" si="49"/>
        <v>6.7117241112197856E-2</v>
      </c>
      <c r="T32" s="15">
        <f t="shared" si="49"/>
        <v>5.5933631473199741E-2</v>
      </c>
      <c r="U32" s="15">
        <f t="shared" si="49"/>
        <v>1.0451755462803831</v>
      </c>
      <c r="V32" s="15">
        <f t="shared" ref="V32:AF32" si="50">V5/U5-1</f>
        <v>0.30000000000000004</v>
      </c>
      <c r="W32" s="15">
        <f t="shared" si="50"/>
        <v>0.19999999999999996</v>
      </c>
      <c r="X32" s="15">
        <f t="shared" si="50"/>
        <v>0.10000000000000009</v>
      </c>
      <c r="Y32" s="15">
        <f t="shared" si="50"/>
        <v>8.0000000000000071E-2</v>
      </c>
      <c r="Z32" s="15">
        <f t="shared" si="50"/>
        <v>7.0000000000000062E-2</v>
      </c>
      <c r="AA32" s="15">
        <f t="shared" si="50"/>
        <v>7.0000000000000062E-2</v>
      </c>
      <c r="AB32" s="15">
        <f t="shared" si="50"/>
        <v>7.0000000000000062E-2</v>
      </c>
      <c r="AC32" s="15">
        <f t="shared" si="50"/>
        <v>7.0000000000000062E-2</v>
      </c>
      <c r="AD32" s="15">
        <f t="shared" si="50"/>
        <v>7.0000000000000062E-2</v>
      </c>
      <c r="AE32" s="15">
        <f t="shared" si="50"/>
        <v>7.0000000000000062E-2</v>
      </c>
      <c r="AF32" s="15">
        <f t="shared" si="50"/>
        <v>7.0000000000000062E-2</v>
      </c>
    </row>
    <row r="33" spans="1:37" s="15" customFormat="1" x14ac:dyDescent="0.25">
      <c r="B33" s="15" t="s">
        <v>48</v>
      </c>
      <c r="G33" s="15">
        <f t="shared" ref="G33:L33" si="51">G6/C6-1</f>
        <v>0.65196930946291554</v>
      </c>
      <c r="H33" s="15">
        <f t="shared" si="51"/>
        <v>0.88728323699421985</v>
      </c>
      <c r="I33" s="15">
        <f t="shared" si="51"/>
        <v>0.64274070385126159</v>
      </c>
      <c r="J33" s="15">
        <f t="shared" si="51"/>
        <v>0.71545551198011537</v>
      </c>
      <c r="K33" s="15">
        <f t="shared" si="51"/>
        <v>0.2256626207579886</v>
      </c>
      <c r="L33" s="15">
        <f t="shared" si="51"/>
        <v>0.122894333843798</v>
      </c>
      <c r="P33" s="16"/>
      <c r="R33" s="15">
        <f t="shared" ref="R33:U33" si="52">R6/Q6-1</f>
        <v>1.5643670249648967E-2</v>
      </c>
      <c r="S33" s="15">
        <f t="shared" si="52"/>
        <v>2.6006252786924033E-2</v>
      </c>
      <c r="T33" s="15">
        <f t="shared" si="52"/>
        <v>8.6689289064149744E-2</v>
      </c>
      <c r="U33" s="15">
        <f t="shared" si="52"/>
        <v>0.72462534875712747</v>
      </c>
      <c r="V33" s="15">
        <f t="shared" ref="V33:AF33" si="53">V6/U6-1</f>
        <v>0.12000000000000011</v>
      </c>
      <c r="W33" s="15">
        <f t="shared" si="53"/>
        <v>9.000000000000008E-2</v>
      </c>
      <c r="X33" s="15">
        <f t="shared" si="53"/>
        <v>8.0000000000000071E-2</v>
      </c>
      <c r="Y33" s="15">
        <f t="shared" si="53"/>
        <v>7.0000000000000062E-2</v>
      </c>
      <c r="Z33" s="15">
        <f t="shared" si="53"/>
        <v>6.0000000000000053E-2</v>
      </c>
      <c r="AA33" s="15">
        <f t="shared" si="53"/>
        <v>6.0000000000000053E-2</v>
      </c>
      <c r="AB33" s="15">
        <f t="shared" si="53"/>
        <v>6.0000000000000053E-2</v>
      </c>
      <c r="AC33" s="15">
        <f t="shared" si="53"/>
        <v>6.0000000000000053E-2</v>
      </c>
      <c r="AD33" s="15">
        <f t="shared" si="53"/>
        <v>6.0000000000000053E-2</v>
      </c>
      <c r="AE33" s="15">
        <f t="shared" si="53"/>
        <v>6.0000000000000053E-2</v>
      </c>
      <c r="AF33" s="15">
        <f t="shared" si="53"/>
        <v>6.0000000000000053E-2</v>
      </c>
    </row>
    <row r="34" spans="1:37" s="4" customFormat="1" x14ac:dyDescent="0.25">
      <c r="A34" s="13"/>
      <c r="B34" s="13" t="s">
        <v>49</v>
      </c>
      <c r="C34" s="13"/>
      <c r="D34" s="13"/>
      <c r="E34" s="13"/>
      <c r="F34" s="13"/>
      <c r="G34" s="13">
        <f t="shared" ref="G34:K34" si="54">G7/C7-1</f>
        <v>1.3356463346390601</v>
      </c>
      <c r="H34" s="13">
        <f t="shared" si="54"/>
        <v>1.8662445262227338</v>
      </c>
      <c r="I34" s="13">
        <f t="shared" si="54"/>
        <v>1.3997908906750314</v>
      </c>
      <c r="J34" s="13">
        <f t="shared" si="54"/>
        <v>0.83117014471785056</v>
      </c>
      <c r="K34" s="13">
        <f t="shared" si="54"/>
        <v>0.36113373903876567</v>
      </c>
      <c r="L34" s="13">
        <f>L7/H7-1</f>
        <v>0.24201137594411004</v>
      </c>
      <c r="M34" s="13"/>
      <c r="N34" s="13"/>
      <c r="O34" s="13"/>
      <c r="P34" s="14"/>
      <c r="Q34" s="13"/>
      <c r="R34" s="13">
        <f t="shared" ref="R34:U34" si="55">R7/Q7-1</f>
        <v>9.8173210883967021E-2</v>
      </c>
      <c r="S34" s="13">
        <f t="shared" si="55"/>
        <v>-5.7521453713184956E-2</v>
      </c>
      <c r="T34" s="13">
        <f t="shared" si="55"/>
        <v>0.17560006757842594</v>
      </c>
      <c r="U34" s="13">
        <f t="shared" si="55"/>
        <v>1.3243711731239411</v>
      </c>
      <c r="V34" s="13">
        <f t="shared" ref="V34:AF34" si="56">V7/U7-1</f>
        <v>0.22381375389564684</v>
      </c>
      <c r="W34" s="13">
        <f t="shared" si="56"/>
        <v>0.16587118317731386</v>
      </c>
      <c r="X34" s="13">
        <f t="shared" si="56"/>
        <v>0.11700368338960732</v>
      </c>
      <c r="Y34" s="13">
        <f t="shared" si="56"/>
        <v>8.8432837223396232E-2</v>
      </c>
      <c r="Z34" s="13">
        <f t="shared" si="56"/>
        <v>7.0907471808112854E-2</v>
      </c>
      <c r="AA34" s="13">
        <f t="shared" si="56"/>
        <v>6.4838131204411065E-2</v>
      </c>
      <c r="AB34" s="13">
        <f t="shared" si="56"/>
        <v>6.1701302035573002E-2</v>
      </c>
      <c r="AC34" s="13">
        <f t="shared" si="56"/>
        <v>6.1778285555438961E-2</v>
      </c>
      <c r="AD34" s="13">
        <f t="shared" si="56"/>
        <v>6.1855034407952703E-2</v>
      </c>
      <c r="AE34" s="13">
        <f t="shared" si="56"/>
        <v>6.1931539310631001E-2</v>
      </c>
      <c r="AF34" s="13">
        <f t="shared" si="56"/>
        <v>6.200779111058119E-2</v>
      </c>
      <c r="AG34" s="13"/>
      <c r="AH34" s="13"/>
      <c r="AI34" s="13"/>
      <c r="AJ34" s="13"/>
      <c r="AK34" s="13"/>
    </row>
    <row r="35" spans="1:37" x14ac:dyDescent="0.25">
      <c r="A35" s="13"/>
      <c r="B35" s="13" t="s">
        <v>50</v>
      </c>
      <c r="C35" s="13"/>
      <c r="D35" s="13"/>
      <c r="E35" s="13"/>
      <c r="F35" s="13"/>
      <c r="G35" s="13">
        <f t="shared" ref="G35:K35" si="57">+G11/C11-1</f>
        <v>3.07192118226601</v>
      </c>
      <c r="H35" s="13">
        <f t="shared" si="57"/>
        <v>4.2593861141178255</v>
      </c>
      <c r="I35" s="13">
        <f t="shared" si="57"/>
        <v>4.9928443649373966</v>
      </c>
      <c r="J35" s="13">
        <f t="shared" si="57"/>
        <v>1.9044668783286292</v>
      </c>
      <c r="K35" s="13">
        <f t="shared" si="57"/>
        <v>2.483111541253324</v>
      </c>
      <c r="L35" s="13">
        <f>+L11/H11-1</f>
        <v>1.0079412097628953</v>
      </c>
      <c r="M35" s="13"/>
      <c r="N35" s="13"/>
      <c r="O35" s="13"/>
      <c r="P35" s="14"/>
      <c r="Q35" s="13"/>
      <c r="R35" s="13">
        <f t="shared" ref="R35:T35" si="58">R14/Q14-1</f>
        <v>4.2913099535843768</v>
      </c>
      <c r="S35" s="13">
        <f t="shared" si="58"/>
        <v>8.1053816576262872E-2</v>
      </c>
      <c r="T35" s="13">
        <f t="shared" si="58"/>
        <v>0.41215530881895379</v>
      </c>
      <c r="U35" s="13">
        <f>U14/T14-1</f>
        <v>4.5065648971930461</v>
      </c>
      <c r="V35" s="13">
        <f t="shared" ref="V35:AF35" si="59">V14/U14-1</f>
        <v>0.66746865545487788</v>
      </c>
      <c r="W35" s="13">
        <f t="shared" si="59"/>
        <v>8.5491385696024214E-2</v>
      </c>
      <c r="X35" s="13">
        <f t="shared" si="59"/>
        <v>2.5458431094259382E-2</v>
      </c>
      <c r="Y35" s="13">
        <f t="shared" si="59"/>
        <v>9.7573459956750819E-2</v>
      </c>
      <c r="Z35" s="13">
        <f t="shared" si="59"/>
        <v>-2.5533244634783681E-2</v>
      </c>
      <c r="AA35" s="13">
        <f t="shared" si="59"/>
        <v>-4.1942543830435608E-2</v>
      </c>
      <c r="AB35" s="13">
        <f t="shared" si="59"/>
        <v>0.19656122866694226</v>
      </c>
      <c r="AC35" s="13">
        <f t="shared" si="59"/>
        <v>6.9176562478859838E-2</v>
      </c>
      <c r="AD35" s="13">
        <f t="shared" si="59"/>
        <v>6.8840092137924636E-2</v>
      </c>
      <c r="AE35" s="13">
        <f t="shared" si="59"/>
        <v>6.8527862093586078E-2</v>
      </c>
      <c r="AF35" s="13">
        <f t="shared" si="59"/>
        <v>6.823816939902394E-2</v>
      </c>
      <c r="AG35" s="13"/>
      <c r="AH35" s="13"/>
      <c r="AI35" s="13"/>
      <c r="AJ35" s="13"/>
      <c r="AK35" s="13"/>
    </row>
    <row r="36" spans="1:37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 x14ac:dyDescent="0.25">
      <c r="B37" s="1"/>
    </row>
    <row r="38" spans="1:37" s="18" customFormat="1" x14ac:dyDescent="0.25">
      <c r="B38" s="18" t="s">
        <v>51</v>
      </c>
      <c r="G38" s="18">
        <f t="shared" ref="G38:L38" si="60">(1+G12/F22)^4-1</f>
        <v>-0.10182500721742749</v>
      </c>
      <c r="H38" s="18">
        <f t="shared" si="60"/>
        <v>-6.5588340237239806E-2</v>
      </c>
      <c r="I38" s="18">
        <f t="shared" si="60"/>
        <v>-7.1202650370490672E-2</v>
      </c>
      <c r="J38" s="18">
        <f t="shared" si="60"/>
        <v>-7.1409511649593305E-2</v>
      </c>
      <c r="K38" s="18">
        <f t="shared" si="60"/>
        <v>-5.6002358473118519E-2</v>
      </c>
      <c r="L38" s="18">
        <f t="shared" si="60"/>
        <v>-8.7804432220787598E-2</v>
      </c>
      <c r="P38" s="19"/>
      <c r="S38" s="18">
        <f t="shared" ref="S38:AF38" si="61">S12/R22</f>
        <v>-7.0622068050558623E-2</v>
      </c>
      <c r="T38" s="18">
        <f t="shared" si="61"/>
        <v>-0.10624072660363691</v>
      </c>
      <c r="U38" s="18">
        <f t="shared" si="61"/>
        <v>-0.11320896175136512</v>
      </c>
      <c r="V38" s="18">
        <f t="shared" si="61"/>
        <v>-9.9999999999999992E-2</v>
      </c>
      <c r="W38" s="18">
        <f t="shared" si="61"/>
        <v>-0.01</v>
      </c>
      <c r="X38" s="18">
        <f t="shared" si="61"/>
        <v>-0.01</v>
      </c>
      <c r="Y38" s="18">
        <f t="shared" si="61"/>
        <v>-0.01</v>
      </c>
      <c r="Z38" s="18">
        <f t="shared" si="61"/>
        <v>-0.01</v>
      </c>
      <c r="AA38" s="18">
        <f t="shared" si="61"/>
        <v>-0.01</v>
      </c>
      <c r="AB38" s="18">
        <f t="shared" si="61"/>
        <v>-0.01</v>
      </c>
      <c r="AC38" s="18">
        <f t="shared" si="61"/>
        <v>-0.01</v>
      </c>
      <c r="AD38" s="18">
        <f t="shared" si="61"/>
        <v>-0.01</v>
      </c>
      <c r="AE38" s="18">
        <f t="shared" si="61"/>
        <v>-0.01</v>
      </c>
      <c r="AF38" s="18">
        <f t="shared" si="61"/>
        <v>-0.01</v>
      </c>
    </row>
    <row r="39" spans="1:37" x14ac:dyDescent="0.25">
      <c r="AH39" s="10" t="s">
        <v>8</v>
      </c>
      <c r="AI39" s="18">
        <v>-0.01</v>
      </c>
    </row>
    <row r="40" spans="1:37" x14ac:dyDescent="0.25">
      <c r="AH40" s="15" t="s">
        <v>9</v>
      </c>
      <c r="AI40" s="18">
        <v>-0.01</v>
      </c>
    </row>
    <row r="41" spans="1:37" x14ac:dyDescent="0.25">
      <c r="AH41" t="s">
        <v>10</v>
      </c>
      <c r="AI41" s="18">
        <v>0.08</v>
      </c>
    </row>
    <row r="42" spans="1:37" x14ac:dyDescent="0.25">
      <c r="AH42" s="15" t="s">
        <v>11</v>
      </c>
      <c r="AI42" s="20">
        <f>NPV(AI41,V14:DD14)</f>
        <v>50207.036438406729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PC</cp:lastModifiedBy>
  <cp:revision/>
  <dcterms:created xsi:type="dcterms:W3CDTF">2022-07-29T15:39:37Z</dcterms:created>
  <dcterms:modified xsi:type="dcterms:W3CDTF">2022-08-03T03:10:13Z</dcterms:modified>
  <cp:category/>
  <cp:contentStatus/>
</cp:coreProperties>
</file>