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Models\"/>
    </mc:Choice>
  </mc:AlternateContent>
  <xr:revisionPtr revIDLastSave="0" documentId="13_ncr:1_{1156D149-76A2-40C4-8FBF-B393B75D03B4}" xr6:coauthVersionLast="47" xr6:coauthVersionMax="47" xr10:uidLastSave="{00000000-0000-0000-0000-000000000000}"/>
  <bookViews>
    <workbookView xWindow="26340" yWindow="2340" windowWidth="15825" windowHeight="17250" xr2:uid="{0059096E-FB45-4687-8E83-CA48A4808244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9" i="2" l="1"/>
  <c r="W19" i="1"/>
  <c r="X19" i="1" s="1"/>
  <c r="Y19" i="1" s="1"/>
  <c r="Z19" i="1" s="1"/>
  <c r="AA19" i="1" s="1"/>
  <c r="AB19" i="1" s="1"/>
  <c r="AC19" i="1" s="1"/>
  <c r="AD19" i="1" s="1"/>
  <c r="AE19" i="1" s="1"/>
  <c r="AF19" i="1" s="1"/>
  <c r="V14" i="1"/>
  <c r="W7" i="1"/>
  <c r="X7" i="1" s="1"/>
  <c r="Y7" i="1" s="1"/>
  <c r="Z7" i="1" s="1"/>
  <c r="AA7" i="1" s="1"/>
  <c r="AB7" i="1" s="1"/>
  <c r="AC7" i="1" s="1"/>
  <c r="AD7" i="1" s="1"/>
  <c r="AE7" i="1" s="1"/>
  <c r="AF7" i="1" s="1"/>
  <c r="V7" i="1"/>
  <c r="V3" i="1"/>
  <c r="V35" i="1" s="1"/>
  <c r="V20" i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V19" i="1"/>
  <c r="L5" i="1"/>
  <c r="L31" i="1"/>
  <c r="L30" i="1"/>
  <c r="L33" i="1"/>
  <c r="L49" i="1"/>
  <c r="L46" i="1"/>
  <c r="L44" i="1"/>
  <c r="L43" i="1"/>
  <c r="L42" i="1"/>
  <c r="L40" i="1"/>
  <c r="L39" i="1"/>
  <c r="L37" i="1"/>
  <c r="L36" i="1"/>
  <c r="L35" i="1"/>
  <c r="L11" i="1"/>
  <c r="L15" i="1" s="1"/>
  <c r="L16" i="1" s="1"/>
  <c r="N17" i="2"/>
  <c r="N16" i="2"/>
  <c r="N15" i="2"/>
  <c r="E37" i="1"/>
  <c r="D37" i="1"/>
  <c r="C37" i="1"/>
  <c r="E35" i="1"/>
  <c r="D35" i="1"/>
  <c r="C35" i="1"/>
  <c r="E34" i="1"/>
  <c r="D34" i="1"/>
  <c r="C34" i="1"/>
  <c r="E33" i="1"/>
  <c r="D33" i="1"/>
  <c r="C33" i="1"/>
  <c r="V12" i="1"/>
  <c r="V49" i="1" s="1"/>
  <c r="U44" i="1"/>
  <c r="T44" i="1"/>
  <c r="S44" i="1"/>
  <c r="U43" i="1"/>
  <c r="T43" i="1"/>
  <c r="S43" i="1"/>
  <c r="U42" i="1"/>
  <c r="T42" i="1"/>
  <c r="S42" i="1"/>
  <c r="U40" i="1"/>
  <c r="T40" i="1"/>
  <c r="S40" i="1"/>
  <c r="T39" i="1"/>
  <c r="S39" i="1"/>
  <c r="U39" i="1"/>
  <c r="K44" i="1"/>
  <c r="I44" i="1"/>
  <c r="H44" i="1"/>
  <c r="G44" i="1"/>
  <c r="K43" i="1"/>
  <c r="I43" i="1"/>
  <c r="H43" i="1"/>
  <c r="G43" i="1"/>
  <c r="K42" i="1"/>
  <c r="I42" i="1"/>
  <c r="H42" i="1"/>
  <c r="G42" i="1"/>
  <c r="K40" i="1"/>
  <c r="I40" i="1"/>
  <c r="H40" i="1"/>
  <c r="G40" i="1"/>
  <c r="I39" i="1"/>
  <c r="H39" i="1"/>
  <c r="G39" i="1"/>
  <c r="K39" i="1"/>
  <c r="T46" i="1"/>
  <c r="S46" i="1"/>
  <c r="U46" i="1"/>
  <c r="G49" i="1"/>
  <c r="U31" i="1"/>
  <c r="T31" i="1"/>
  <c r="U49" i="1" s="1"/>
  <c r="F31" i="1"/>
  <c r="I47" i="1"/>
  <c r="H47" i="1"/>
  <c r="J46" i="1"/>
  <c r="I46" i="1"/>
  <c r="H46" i="1"/>
  <c r="G46" i="1"/>
  <c r="K46" i="1"/>
  <c r="U36" i="1"/>
  <c r="T36" i="1"/>
  <c r="S36" i="1"/>
  <c r="R36" i="1"/>
  <c r="U35" i="1"/>
  <c r="T35" i="1"/>
  <c r="S35" i="1"/>
  <c r="R35" i="1"/>
  <c r="T34" i="1"/>
  <c r="S34" i="1"/>
  <c r="R34" i="1"/>
  <c r="U33" i="1"/>
  <c r="T33" i="1"/>
  <c r="U37" i="1"/>
  <c r="T37" i="1"/>
  <c r="S37" i="1"/>
  <c r="R37" i="1"/>
  <c r="K37" i="1"/>
  <c r="I37" i="1"/>
  <c r="H37" i="1"/>
  <c r="G37" i="1"/>
  <c r="F37" i="1"/>
  <c r="K36" i="1"/>
  <c r="J36" i="1"/>
  <c r="I36" i="1"/>
  <c r="H36" i="1"/>
  <c r="G36" i="1"/>
  <c r="K35" i="1"/>
  <c r="I35" i="1"/>
  <c r="H35" i="1"/>
  <c r="G35" i="1"/>
  <c r="I34" i="1"/>
  <c r="H34" i="1"/>
  <c r="K33" i="1"/>
  <c r="F24" i="1"/>
  <c r="F23" i="1"/>
  <c r="F22" i="1"/>
  <c r="J42" i="1" s="1"/>
  <c r="F20" i="1"/>
  <c r="F19" i="1"/>
  <c r="J24" i="1"/>
  <c r="J44" i="1" s="1"/>
  <c r="J23" i="1"/>
  <c r="J43" i="1" s="1"/>
  <c r="J22" i="1"/>
  <c r="J20" i="1"/>
  <c r="J40" i="1" s="1"/>
  <c r="J19" i="1"/>
  <c r="J39" i="1" s="1"/>
  <c r="F14" i="1"/>
  <c r="F35" i="1" s="1"/>
  <c r="F13" i="1"/>
  <c r="F12" i="1"/>
  <c r="F10" i="1"/>
  <c r="F9" i="1"/>
  <c r="F8" i="1"/>
  <c r="F7" i="1"/>
  <c r="F6" i="1"/>
  <c r="F4" i="1"/>
  <c r="F3" i="1"/>
  <c r="F36" i="1" s="1"/>
  <c r="J14" i="1"/>
  <c r="J35" i="1" s="1"/>
  <c r="J13" i="1"/>
  <c r="J12" i="1"/>
  <c r="J10" i="1"/>
  <c r="J9" i="1"/>
  <c r="J8" i="1"/>
  <c r="J7" i="1"/>
  <c r="J6" i="1"/>
  <c r="J4" i="1"/>
  <c r="J3" i="1"/>
  <c r="J5" i="1" s="1"/>
  <c r="R5" i="1"/>
  <c r="R11" i="1" s="1"/>
  <c r="R15" i="1" s="1"/>
  <c r="R16" i="1" s="1"/>
  <c r="S5" i="1"/>
  <c r="S11" i="1" s="1"/>
  <c r="S15" i="1" s="1"/>
  <c r="S16" i="1" s="1"/>
  <c r="K5" i="1"/>
  <c r="K11" i="1" s="1"/>
  <c r="K15" i="1" s="1"/>
  <c r="K16" i="1" s="1"/>
  <c r="R30" i="1"/>
  <c r="R31" i="1" s="1"/>
  <c r="S49" i="1" s="1"/>
  <c r="S30" i="1"/>
  <c r="S31" i="1" s="1"/>
  <c r="T49" i="1" s="1"/>
  <c r="G30" i="1"/>
  <c r="G31" i="1" s="1"/>
  <c r="H49" i="1" s="1"/>
  <c r="C5" i="1"/>
  <c r="C11" i="1" s="1"/>
  <c r="C15" i="1" s="1"/>
  <c r="C16" i="1" s="1"/>
  <c r="H30" i="1"/>
  <c r="H31" i="1" s="1"/>
  <c r="I49" i="1" s="1"/>
  <c r="D5" i="1"/>
  <c r="D11" i="1" s="1"/>
  <c r="D15" i="1" s="1"/>
  <c r="D16" i="1" s="1"/>
  <c r="H5" i="1"/>
  <c r="H11" i="1" s="1"/>
  <c r="H15" i="1" s="1"/>
  <c r="H16" i="1" s="1"/>
  <c r="F30" i="1"/>
  <c r="I30" i="1"/>
  <c r="I31" i="1" s="1"/>
  <c r="E5" i="1"/>
  <c r="E11" i="1" s="1"/>
  <c r="E15" i="1" s="1"/>
  <c r="E16" i="1" s="1"/>
  <c r="F16" i="1" s="1"/>
  <c r="I5" i="1"/>
  <c r="I11" i="1" s="1"/>
  <c r="I15" i="1" s="1"/>
  <c r="I16" i="1" s="1"/>
  <c r="J16" i="1" s="1"/>
  <c r="T30" i="1"/>
  <c r="U30" i="1"/>
  <c r="T5" i="1"/>
  <c r="T11" i="1" s="1"/>
  <c r="T15" i="1" s="1"/>
  <c r="T16" i="1" s="1"/>
  <c r="U5" i="1"/>
  <c r="U11" i="1" s="1"/>
  <c r="U15" i="1" s="1"/>
  <c r="U16" i="1" s="1"/>
  <c r="J30" i="1"/>
  <c r="J31" i="1" s="1"/>
  <c r="K49" i="1" s="1"/>
  <c r="K30" i="1"/>
  <c r="K31" i="1" s="1"/>
  <c r="G5" i="1"/>
  <c r="G11" i="1" s="1"/>
  <c r="G15" i="1" s="1"/>
  <c r="G16" i="1" s="1"/>
  <c r="AF3" i="1" l="1"/>
  <c r="AF14" i="1" s="1"/>
  <c r="AD3" i="1"/>
  <c r="AD14" i="1" s="1"/>
  <c r="AE3" i="1"/>
  <c r="AE14" i="1" s="1"/>
  <c r="W3" i="1"/>
  <c r="W14" i="1" s="1"/>
  <c r="X3" i="1"/>
  <c r="X14" i="1" s="1"/>
  <c r="Y3" i="1"/>
  <c r="Y14" i="1" s="1"/>
  <c r="Z3" i="1"/>
  <c r="Z14" i="1" s="1"/>
  <c r="AA3" i="1"/>
  <c r="AA14" i="1" s="1"/>
  <c r="AB3" i="1"/>
  <c r="AB14" i="1" s="1"/>
  <c r="AC3" i="1"/>
  <c r="AC14" i="1" s="1"/>
  <c r="V5" i="1"/>
  <c r="L34" i="1"/>
  <c r="L47" i="1"/>
  <c r="V46" i="1"/>
  <c r="W6" i="1"/>
  <c r="J49" i="1"/>
  <c r="J11" i="1"/>
  <c r="J33" i="1"/>
  <c r="G47" i="1"/>
  <c r="K34" i="1"/>
  <c r="K47" i="1"/>
  <c r="J37" i="1"/>
  <c r="U34" i="1"/>
  <c r="G33" i="1"/>
  <c r="U47" i="1"/>
  <c r="G34" i="1"/>
  <c r="F5" i="1"/>
  <c r="H33" i="1"/>
  <c r="R33" i="1"/>
  <c r="S47" i="1"/>
  <c r="I33" i="1"/>
  <c r="S33" i="1"/>
  <c r="T47" i="1"/>
  <c r="W35" i="1" l="1"/>
  <c r="W46" i="1"/>
  <c r="W5" i="1"/>
  <c r="X6" i="1"/>
  <c r="X35" i="1"/>
  <c r="X46" i="1"/>
  <c r="X5" i="1"/>
  <c r="F11" i="1"/>
  <c r="F33" i="1"/>
  <c r="J15" i="1"/>
  <c r="J34" i="1"/>
  <c r="W11" i="1" l="1"/>
  <c r="W34" i="1" s="1"/>
  <c r="X11" i="1"/>
  <c r="Y6" i="1"/>
  <c r="Y46" i="1"/>
  <c r="Y5" i="1"/>
  <c r="Y35" i="1"/>
  <c r="J17" i="1"/>
  <c r="F15" i="1"/>
  <c r="F17" i="1" s="1"/>
  <c r="F34" i="1"/>
  <c r="X34" i="1" l="1"/>
  <c r="Y11" i="1"/>
  <c r="Y34" i="1" s="1"/>
  <c r="Z46" i="1"/>
  <c r="Z5" i="1"/>
  <c r="Z6" i="1"/>
  <c r="Z35" i="1"/>
  <c r="J47" i="1"/>
  <c r="Z11" i="1" l="1"/>
  <c r="Z34" i="1" s="1"/>
  <c r="AA35" i="1"/>
  <c r="AA46" i="1"/>
  <c r="AA5" i="1"/>
  <c r="AA6" i="1"/>
  <c r="AA11" i="1" l="1"/>
  <c r="AA34" i="1" s="1"/>
  <c r="AB46" i="1"/>
  <c r="AB5" i="1"/>
  <c r="AB6" i="1"/>
  <c r="AB35" i="1"/>
  <c r="AC5" i="1" l="1"/>
  <c r="AC6" i="1"/>
  <c r="AC35" i="1"/>
  <c r="AC46" i="1"/>
  <c r="AB11" i="1"/>
  <c r="AB34" i="1" s="1"/>
  <c r="AD6" i="1" l="1"/>
  <c r="AD35" i="1"/>
  <c r="AD5" i="1"/>
  <c r="AD46" i="1"/>
  <c r="AC11" i="1"/>
  <c r="AC34" i="1" s="1"/>
  <c r="AE6" i="1" l="1"/>
  <c r="AE35" i="1"/>
  <c r="AE5" i="1"/>
  <c r="AE46" i="1"/>
  <c r="AD11" i="1"/>
  <c r="AD34" i="1" s="1"/>
  <c r="AF5" i="1" l="1"/>
  <c r="AF46" i="1"/>
  <c r="AF35" i="1"/>
  <c r="AF6" i="1"/>
  <c r="AE11" i="1"/>
  <c r="AE34" i="1" s="1"/>
  <c r="AF11" i="1" l="1"/>
  <c r="AF34" i="1" s="1"/>
  <c r="V6" i="1"/>
  <c r="V11" i="1" s="1"/>
  <c r="V15" i="1" l="1"/>
  <c r="V34" i="1"/>
  <c r="V47" i="1" l="1"/>
  <c r="V31" i="1"/>
  <c r="W12" i="1" l="1"/>
  <c r="W49" i="1" l="1"/>
  <c r="W15" i="1"/>
  <c r="W47" i="1" l="1"/>
  <c r="W31" i="1"/>
  <c r="X12" i="1" l="1"/>
  <c r="X15" i="1" s="1"/>
  <c r="X49" i="1" l="1"/>
  <c r="X47" i="1" l="1"/>
  <c r="X31" i="1"/>
  <c r="Y12" i="1" l="1"/>
  <c r="Y15" i="1" l="1"/>
  <c r="Y49" i="1"/>
  <c r="Y47" i="1" l="1"/>
  <c r="Y31" i="1"/>
  <c r="Z12" i="1" l="1"/>
  <c r="Z15" i="1" l="1"/>
  <c r="Z49" i="1"/>
  <c r="Z47" i="1" l="1"/>
  <c r="Z31" i="1"/>
  <c r="AA12" i="1" l="1"/>
  <c r="AA15" i="1" l="1"/>
  <c r="AA49" i="1"/>
  <c r="AA47" i="1" l="1"/>
  <c r="AA31" i="1"/>
  <c r="AB12" i="1" l="1"/>
  <c r="AB15" i="1" l="1"/>
  <c r="AB49" i="1"/>
  <c r="AB47" i="1" l="1"/>
  <c r="AB31" i="1"/>
  <c r="AC12" i="1" l="1"/>
  <c r="AC49" i="1" l="1"/>
  <c r="AC15" i="1"/>
  <c r="AC47" i="1" l="1"/>
  <c r="AC31" i="1"/>
  <c r="AD12" i="1" l="1"/>
  <c r="AD15" i="1" l="1"/>
  <c r="AD49" i="1"/>
  <c r="AD47" i="1" l="1"/>
  <c r="AD31" i="1"/>
  <c r="AE12" i="1" l="1"/>
  <c r="AE15" i="1" l="1"/>
  <c r="AE49" i="1"/>
  <c r="AE47" i="1" l="1"/>
  <c r="AE31" i="1"/>
  <c r="AF12" i="1" l="1"/>
  <c r="AF49" i="1" l="1"/>
  <c r="AF15" i="1"/>
  <c r="AG15" i="1" l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BM15" i="1" s="1"/>
  <c r="BN15" i="1" s="1"/>
  <c r="BO15" i="1" s="1"/>
  <c r="BP15" i="1" s="1"/>
  <c r="BQ15" i="1" s="1"/>
  <c r="BR15" i="1" s="1"/>
  <c r="BS15" i="1" s="1"/>
  <c r="BT15" i="1" s="1"/>
  <c r="BU15" i="1" s="1"/>
  <c r="BV15" i="1" s="1"/>
  <c r="BW15" i="1" s="1"/>
  <c r="BX15" i="1" s="1"/>
  <c r="BY15" i="1" s="1"/>
  <c r="BZ15" i="1" s="1"/>
  <c r="CA15" i="1" s="1"/>
  <c r="CB15" i="1" s="1"/>
  <c r="CC15" i="1" s="1"/>
  <c r="CD15" i="1" s="1"/>
  <c r="CE15" i="1" s="1"/>
  <c r="CF15" i="1" s="1"/>
  <c r="CG15" i="1" s="1"/>
  <c r="CH15" i="1" s="1"/>
  <c r="CI15" i="1" s="1"/>
  <c r="CJ15" i="1" s="1"/>
  <c r="CK15" i="1" s="1"/>
  <c r="CL15" i="1" s="1"/>
  <c r="CM15" i="1" s="1"/>
  <c r="CN15" i="1" s="1"/>
  <c r="CO15" i="1" s="1"/>
  <c r="CP15" i="1" s="1"/>
  <c r="CQ15" i="1" s="1"/>
  <c r="CR15" i="1" s="1"/>
  <c r="CS15" i="1" s="1"/>
  <c r="CT15" i="1" s="1"/>
  <c r="CU15" i="1" s="1"/>
  <c r="CV15" i="1" s="1"/>
  <c r="CW15" i="1" s="1"/>
  <c r="CX15" i="1" s="1"/>
  <c r="CY15" i="1" s="1"/>
  <c r="CZ15" i="1" s="1"/>
  <c r="DA15" i="1" s="1"/>
  <c r="DB15" i="1" s="1"/>
  <c r="DC15" i="1" s="1"/>
  <c r="DD15" i="1" s="1"/>
  <c r="DE15" i="1" s="1"/>
  <c r="AN22" i="1" s="1"/>
  <c r="N18" i="2" s="1"/>
  <c r="AF47" i="1"/>
  <c r="AF31" i="1"/>
  <c r="N5" i="2"/>
  <c r="N8" i="2" s="1"/>
</calcChain>
</file>

<file path=xl/sharedStrings.xml><?xml version="1.0" encoding="utf-8"?>
<sst xmlns="http://schemas.openxmlformats.org/spreadsheetml/2006/main" count="68" uniqueCount="61">
  <si>
    <t>20Q1</t>
  </si>
  <si>
    <t>20Q2</t>
  </si>
  <si>
    <t>20Q3</t>
  </si>
  <si>
    <t>20Q4</t>
  </si>
  <si>
    <t>21Q1</t>
  </si>
  <si>
    <t>21Q2</t>
  </si>
  <si>
    <t>21Q3</t>
  </si>
  <si>
    <t>21Q4</t>
  </si>
  <si>
    <t>22Q1</t>
  </si>
  <si>
    <t>22Q2</t>
  </si>
  <si>
    <t>22Q3</t>
  </si>
  <si>
    <t>22Q4</t>
  </si>
  <si>
    <t>Revenue</t>
  </si>
  <si>
    <t>COGS</t>
  </si>
  <si>
    <t>SG&amp;A</t>
  </si>
  <si>
    <t>Operating Income</t>
  </si>
  <si>
    <t>Taxes expense</t>
  </si>
  <si>
    <t>Net income</t>
  </si>
  <si>
    <t>Shares</t>
  </si>
  <si>
    <t>EPS</t>
  </si>
  <si>
    <t>Gross margin</t>
  </si>
  <si>
    <t>Operating margin</t>
  </si>
  <si>
    <t>Tax on revenue rate</t>
  </si>
  <si>
    <t>Revenue y/y</t>
  </si>
  <si>
    <t>Net income y/y</t>
  </si>
  <si>
    <t>Price</t>
  </si>
  <si>
    <t>MkCap</t>
  </si>
  <si>
    <t>Cash</t>
  </si>
  <si>
    <t>Debt</t>
  </si>
  <si>
    <t>EV</t>
  </si>
  <si>
    <t>Other expense</t>
  </si>
  <si>
    <t>Interest expense</t>
  </si>
  <si>
    <t>Inventory</t>
  </si>
  <si>
    <t>PP&amp;E, net</t>
  </si>
  <si>
    <t>PP&amp;E, gross</t>
  </si>
  <si>
    <t>Gross profit</t>
  </si>
  <si>
    <t>Net cash</t>
  </si>
  <si>
    <t>Revenue on PP&amp;E gross</t>
  </si>
  <si>
    <t>Interest on Cash</t>
  </si>
  <si>
    <t>Terminal</t>
  </si>
  <si>
    <t>ROIC</t>
  </si>
  <si>
    <t>Discount</t>
  </si>
  <si>
    <t>NPV</t>
  </si>
  <si>
    <t>SG&amp;A rate</t>
  </si>
  <si>
    <t>Depreciation and Amort</t>
  </si>
  <si>
    <t>Other op expense</t>
  </si>
  <si>
    <t>(Gain) sales of property</t>
  </si>
  <si>
    <t>Specialty products sales</t>
  </si>
  <si>
    <t>Structural products sales</t>
  </si>
  <si>
    <t>Direct (customer stores items)</t>
  </si>
  <si>
    <t>Warehouse and reload</t>
  </si>
  <si>
    <t>Discounts and rebates (gain)</t>
  </si>
  <si>
    <t>Amort of deferred gain on real estate</t>
  </si>
  <si>
    <t>Specialty y/y</t>
  </si>
  <si>
    <t>Structure y/y</t>
  </si>
  <si>
    <t>Direct y/y</t>
  </si>
  <si>
    <t>Discount y/y</t>
  </si>
  <si>
    <t>Warehouse and reload y/y</t>
  </si>
  <si>
    <t>BXC</t>
  </si>
  <si>
    <t>BlueLinx Holdings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</si>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</sst>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2" borderId="0" xfId="0" applyFill="1"/>
    <xf numFmtId="0" fontId="1" fillId="0" borderId="0" xfId="0" applyFont="1"/>
    <xf numFmtId="3" fontId="1" fillId="0" borderId="0" xfId="0" applyNumberFormat="1" applyFont="1"/>
    <xf numFmtId="0" fontId="1" fillId="2" borderId="0" xfId="0" applyFont="1" applyFill="1"/>
    <xf numFmtId="2" fontId="0" fillId="0" borderId="0" xfId="0" applyNumberFormat="1"/>
    <xf numFmtId="2" fontId="1" fillId="0" borderId="0" xfId="0" applyNumberFormat="1" applyFont="1"/>
    <xf numFmtId="2" fontId="0" fillId="2" borderId="0" xfId="0" applyNumberFormat="1" applyFill="1"/>
    <xf numFmtId="4" fontId="0" fillId="0" borderId="0" xfId="0" applyNumberFormat="1"/>
    <xf numFmtId="3" fontId="0" fillId="2" borderId="0" xfId="0" applyNumberFormat="1" applyFill="1"/>
    <xf numFmtId="4" fontId="0" fillId="2" borderId="0" xfId="0" applyNumberFormat="1" applyFill="1"/>
    <xf numFmtId="9" fontId="1" fillId="0" borderId="0" xfId="0" applyNumberFormat="1" applyFont="1"/>
    <xf numFmtId="9" fontId="1" fillId="2" borderId="0" xfId="0" applyNumberFormat="1" applyFont="1" applyFill="1"/>
    <xf numFmtId="9" fontId="0" fillId="0" borderId="0" xfId="0" applyNumberFormat="1"/>
    <xf numFmtId="9" fontId="0" fillId="2" borderId="0" xfId="0" applyNumberFormat="1" applyFill="1"/>
    <xf numFmtId="44" fontId="0" fillId="0" borderId="0" xfId="0" applyNumberFormat="1"/>
    <xf numFmtId="10" fontId="0" fillId="0" borderId="0" xfId="0" applyNumberFormat="1"/>
    <xf numFmtId="10" fontId="0" fillId="2" borderId="0" xfId="0" applyNumberFormat="1" applyFill="1"/>
    <xf numFmtId="8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164" fontId="1" fillId="2" borderId="0" xfId="0" applyNumberFormat="1" applyFont="1" applyFill="1"/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56417</xdr:colOff>
      <xdr:row>0</xdr:row>
      <xdr:rowOff>0</xdr:rowOff>
    </xdr:from>
    <xdr:to>
      <xdr:col>12</xdr:col>
      <xdr:colOff>56417</xdr:colOff>
      <xdr:row>49</xdr:row>
      <xdr:rowOff>168519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72345345-F0B6-4AE2-A6A9-0610AA28392A}"/>
            </a:ext>
          </a:extLst>
        </xdr:cNvPr>
        <xdr:cNvCxnSpPr/>
      </xdr:nvCxnSpPr>
      <xdr:spPr>
        <a:xfrm>
          <a:off x="8857517" y="0"/>
          <a:ext cx="0" cy="9503019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19050</xdr:colOff>
      <xdr:row>0</xdr:row>
      <xdr:rowOff>9525</xdr:rowOff>
    </xdr:from>
    <xdr:to>
      <xdr:col>21</xdr:col>
      <xdr:colOff>19050</xdr:colOff>
      <xdr:row>50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4BF9532-F513-4B59-AFF3-65781C501A93}"/>
            </a:ext>
          </a:extLst>
        </xdr:cNvPr>
        <xdr:cNvCxnSpPr/>
      </xdr:nvCxnSpPr>
      <xdr:spPr>
        <a:xfrm>
          <a:off x="13992225" y="9525"/>
          <a:ext cx="0" cy="9503019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10774-B749-4685-A014-25AB192F1EFE}">
  <dimension ref="M1:N19"/>
  <sheetViews>
    <sheetView tabSelected="1" workbookViewId="0">
      <selection activeCell="M23" sqref="M23"/>
    </sheetView>
  </sheetViews>
  <sheetFormatPr defaultRowHeight="15" x14ac:dyDescent="0.25"/>
  <cols>
    <col min="13" max="13" width="9.7109375" bestFit="1" customWidth="1"/>
    <col min="14" max="14" width="9.85546875" bestFit="1" customWidth="1"/>
  </cols>
  <sheetData>
    <row r="1" spans="13:14" x14ac:dyDescent="0.25">
      <c r="M1" t="s">
        <v>59</v>
      </c>
    </row>
    <row r="2" spans="13:14" x14ac:dyDescent="0.25">
      <c r="M2" t="s">
        <v>58</v>
      </c>
    </row>
    <row r="3" spans="13:14" x14ac:dyDescent="0.25">
      <c r="M3" t="s">
        <v>25</v>
      </c>
      <c r="N3" s="17">
        <v>87</v>
      </c>
    </row>
    <row r="4" spans="13:14" x14ac:dyDescent="0.25">
      <c r="M4" t="s">
        <v>18</v>
      </c>
      <c r="N4" s="1">
        <v>9.3350785340314246</v>
      </c>
    </row>
    <row r="5" spans="13:14" x14ac:dyDescent="0.25">
      <c r="M5" t="s">
        <v>26</v>
      </c>
      <c r="N5" s="1">
        <f>N3*N4</f>
        <v>812.15183246073389</v>
      </c>
    </row>
    <row r="6" spans="13:14" x14ac:dyDescent="0.25">
      <c r="M6" t="s">
        <v>27</v>
      </c>
      <c r="N6" s="1">
        <v>85.2</v>
      </c>
    </row>
    <row r="7" spans="13:14" x14ac:dyDescent="0.25">
      <c r="M7" t="s">
        <v>28</v>
      </c>
      <c r="N7" s="1">
        <v>302.87</v>
      </c>
    </row>
    <row r="8" spans="13:14" x14ac:dyDescent="0.25">
      <c r="M8" t="s">
        <v>29</v>
      </c>
      <c r="N8" s="1">
        <f>N5-N6+N7</f>
        <v>1029.8218324607337</v>
      </c>
    </row>
    <row r="11" spans="13:14" x14ac:dyDescent="0.25">
      <c r="M11" s="2">
        <v>44773</v>
      </c>
    </row>
    <row r="15" spans="13:14" x14ac:dyDescent="0.25">
      <c r="M15" s="10" t="s">
        <v>39</v>
      </c>
      <c r="N15" s="18">
        <f>Model!AN19</f>
        <v>-1.4999999999999999E-2</v>
      </c>
    </row>
    <row r="16" spans="13:14" x14ac:dyDescent="0.25">
      <c r="M16" s="15" t="s">
        <v>40</v>
      </c>
      <c r="N16" s="18">
        <f>Model!AN20</f>
        <v>-0.01</v>
      </c>
    </row>
    <row r="17" spans="13:14" x14ac:dyDescent="0.25">
      <c r="M17" t="s">
        <v>41</v>
      </c>
      <c r="N17" s="18">
        <f>Model!AN21</f>
        <v>0.08</v>
      </c>
    </row>
    <row r="18" spans="13:14" x14ac:dyDescent="0.25">
      <c r="M18" s="15" t="s">
        <v>42</v>
      </c>
      <c r="N18" s="1">
        <f>Model!AN22</f>
        <v>4076.5725319753483</v>
      </c>
    </row>
    <row r="19" spans="13:14" x14ac:dyDescent="0.25">
      <c r="M19" t="s">
        <v>60</v>
      </c>
      <c r="N19" s="17">
        <f>N18/N4</f>
        <v>436.69397285882815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CB4B3-79B0-4A5E-8A82-3BDE2546F8D8}">
  <dimension ref="A2:DE49"/>
  <sheetViews>
    <sheetView workbookViewId="0">
      <pane xSplit="2" ySplit="2" topLeftCell="AA3" activePane="bottomRight" state="frozen"/>
      <selection pane="topRight" activeCell="C1" sqref="C1"/>
      <selection pane="bottomLeft" activeCell="A3" sqref="A3"/>
      <selection pane="bottomRight" activeCell="AH21" sqref="AH21"/>
    </sheetView>
  </sheetViews>
  <sheetFormatPr defaultRowHeight="15" x14ac:dyDescent="0.25"/>
  <cols>
    <col min="2" max="2" width="31.42578125" customWidth="1"/>
    <col min="3" max="15" width="9.140625" style="1"/>
    <col min="16" max="16" width="4.42578125" style="3" customWidth="1"/>
    <col min="23" max="23" width="10.85546875" bestFit="1" customWidth="1"/>
    <col min="40" max="40" width="10.85546875" bestFit="1" customWidth="1"/>
  </cols>
  <sheetData>
    <row r="2" spans="1:109" x14ac:dyDescent="0.25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Q2" s="1">
        <v>17</v>
      </c>
      <c r="R2" s="1">
        <v>18</v>
      </c>
      <c r="S2" s="1">
        <v>19</v>
      </c>
      <c r="T2" s="1">
        <v>20</v>
      </c>
      <c r="U2" s="1">
        <v>21</v>
      </c>
      <c r="V2" s="1">
        <v>22</v>
      </c>
      <c r="W2" s="1">
        <v>23</v>
      </c>
      <c r="X2" s="1">
        <v>24</v>
      </c>
      <c r="Y2" s="1">
        <v>25</v>
      </c>
      <c r="Z2" s="1">
        <v>26</v>
      </c>
      <c r="AA2" s="1">
        <v>27</v>
      </c>
      <c r="AB2" s="1">
        <v>28</v>
      </c>
      <c r="AC2" s="1">
        <v>29</v>
      </c>
      <c r="AD2" s="1">
        <v>30</v>
      </c>
      <c r="AE2" s="1">
        <v>31</v>
      </c>
      <c r="AF2" s="1">
        <v>32</v>
      </c>
      <c r="AG2" s="1">
        <v>33</v>
      </c>
      <c r="AH2" s="1">
        <v>34</v>
      </c>
      <c r="AI2" s="1">
        <v>35</v>
      </c>
      <c r="AJ2" s="1">
        <v>36</v>
      </c>
      <c r="AK2" s="1">
        <v>37</v>
      </c>
    </row>
    <row r="3" spans="1:109" x14ac:dyDescent="0.25">
      <c r="A3" s="4"/>
      <c r="B3" s="4" t="s">
        <v>12</v>
      </c>
      <c r="C3" s="5">
        <v>662</v>
      </c>
      <c r="D3" s="5">
        <v>698.77</v>
      </c>
      <c r="E3" s="5">
        <v>871.06299999999999</v>
      </c>
      <c r="F3" s="5">
        <f>T3-E3-D3-C3</f>
        <v>865.4670000000001</v>
      </c>
      <c r="G3" s="5">
        <v>1025.46</v>
      </c>
      <c r="H3" s="5">
        <v>1307.9100000000001</v>
      </c>
      <c r="I3" s="5">
        <v>970.84199999999998</v>
      </c>
      <c r="J3" s="5">
        <f>U3-I3-H3-G3</f>
        <v>972.95799999999986</v>
      </c>
      <c r="K3" s="5">
        <v>1302.3</v>
      </c>
      <c r="L3" s="5">
        <v>1239.4000000000001</v>
      </c>
      <c r="M3" s="5"/>
      <c r="N3" s="5"/>
      <c r="O3" s="5"/>
      <c r="P3" s="6"/>
      <c r="Q3" s="5"/>
      <c r="R3" s="5">
        <v>2862.85</v>
      </c>
      <c r="S3" s="5">
        <v>2637.26</v>
      </c>
      <c r="T3" s="5">
        <v>3097.3</v>
      </c>
      <c r="U3" s="5">
        <v>4277.17</v>
      </c>
      <c r="V3" s="5">
        <f>SUM(V19:V20)</f>
        <v>5244.0844000000006</v>
      </c>
      <c r="W3" s="5">
        <f t="shared" ref="W3:AF3" si="0">SUM(W19:W20)</f>
        <v>5191.6435560000009</v>
      </c>
      <c r="X3" s="5">
        <f t="shared" si="0"/>
        <v>6210.4000028400005</v>
      </c>
      <c r="Y3" s="5">
        <f t="shared" si="0"/>
        <v>7195.0276093608009</v>
      </c>
      <c r="Z3" s="5">
        <f t="shared" si="0"/>
        <v>8075.3034557392566</v>
      </c>
      <c r="AA3" s="5">
        <f t="shared" si="0"/>
        <v>8858.0464417101903</v>
      </c>
      <c r="AB3" s="5">
        <f t="shared" si="0"/>
        <v>9515.5505499257742</v>
      </c>
      <c r="AC3" s="5">
        <f t="shared" si="0"/>
        <v>10160.547494399943</v>
      </c>
      <c r="AD3" s="5">
        <f t="shared" si="0"/>
        <v>10852.494310451251</v>
      </c>
      <c r="AE3" s="5">
        <f t="shared" si="0"/>
        <v>11594.960992446635</v>
      </c>
      <c r="AF3" s="5">
        <f t="shared" si="0"/>
        <v>12391.795694488021</v>
      </c>
      <c r="AG3" s="5"/>
      <c r="AH3" s="5"/>
      <c r="AI3" s="5"/>
      <c r="AJ3" s="5"/>
      <c r="AK3" s="5"/>
    </row>
    <row r="4" spans="1:109" x14ac:dyDescent="0.25">
      <c r="B4" t="s">
        <v>13</v>
      </c>
      <c r="C4" s="1">
        <v>568.86</v>
      </c>
      <c r="D4" s="1">
        <v>597.95000000000005</v>
      </c>
      <c r="E4" s="1">
        <v>711.6</v>
      </c>
      <c r="F4" s="24">
        <f>T4-E4-D4-C4</f>
        <v>741.18000000000018</v>
      </c>
      <c r="G4" s="1">
        <v>845</v>
      </c>
      <c r="H4" s="1">
        <v>1056.74</v>
      </c>
      <c r="I4" s="1">
        <v>817.51499999999999</v>
      </c>
      <c r="J4" s="24">
        <f>U4-I4-H4-G4</f>
        <v>779.49600000000032</v>
      </c>
      <c r="K4" s="1">
        <v>1011.25</v>
      </c>
      <c r="L4" s="1">
        <v>1037.97</v>
      </c>
      <c r="Q4" s="1"/>
      <c r="R4" s="1">
        <v>2530.9960000000001</v>
      </c>
      <c r="S4" s="1">
        <v>2280.3530000000001</v>
      </c>
      <c r="T4" s="1">
        <v>2619.59</v>
      </c>
      <c r="U4" s="1">
        <v>3498.7510000000002</v>
      </c>
    </row>
    <row r="5" spans="1:109" x14ac:dyDescent="0.25">
      <c r="A5" s="4"/>
      <c r="B5" s="4" t="s">
        <v>35</v>
      </c>
      <c r="C5" s="5">
        <f t="shared" ref="C5:K5" si="1">C3-C4</f>
        <v>93.139999999999986</v>
      </c>
      <c r="D5" s="5">
        <f t="shared" si="1"/>
        <v>100.81999999999994</v>
      </c>
      <c r="E5" s="5">
        <f t="shared" si="1"/>
        <v>159.46299999999997</v>
      </c>
      <c r="F5" s="5">
        <f t="shared" si="1"/>
        <v>124.28699999999992</v>
      </c>
      <c r="G5" s="5">
        <f t="shared" si="1"/>
        <v>180.46000000000004</v>
      </c>
      <c r="H5" s="5">
        <f t="shared" si="1"/>
        <v>251.17000000000007</v>
      </c>
      <c r="I5" s="5">
        <f t="shared" si="1"/>
        <v>153.327</v>
      </c>
      <c r="J5" s="5">
        <f t="shared" si="1"/>
        <v>193.46199999999953</v>
      </c>
      <c r="K5" s="5">
        <f t="shared" si="1"/>
        <v>291.04999999999995</v>
      </c>
      <c r="L5" s="5">
        <f t="shared" ref="L5" si="2">L3-L4</f>
        <v>201.43000000000006</v>
      </c>
      <c r="M5" s="5"/>
      <c r="N5" s="5"/>
      <c r="O5" s="5"/>
      <c r="P5" s="6"/>
      <c r="Q5" s="5"/>
      <c r="R5" s="5">
        <f>R3-R4</f>
        <v>331.85399999999981</v>
      </c>
      <c r="S5" s="5">
        <f>S3-S4</f>
        <v>356.90700000000015</v>
      </c>
      <c r="T5" s="5">
        <f>T3-T4</f>
        <v>477.71000000000004</v>
      </c>
      <c r="U5" s="5">
        <f>U3-U4</f>
        <v>778.41899999999987</v>
      </c>
      <c r="V5" s="5">
        <f>V33*V3</f>
        <v>891.49434800000017</v>
      </c>
      <c r="W5" s="5">
        <f>W3*0.17</f>
        <v>882.57940452000025</v>
      </c>
      <c r="X5" s="5">
        <f>X3*0.15</f>
        <v>931.56000042599999</v>
      </c>
      <c r="Y5" s="5">
        <f t="shared" ref="Y5" si="3">Y3*0.15</f>
        <v>1079.25414140412</v>
      </c>
      <c r="Z5" s="5">
        <f>Z3*0.14</f>
        <v>1130.542483803496</v>
      </c>
      <c r="AA5" s="5">
        <f t="shared" ref="AA5:AF5" si="4">AA3*0.14</f>
        <v>1240.1265018394267</v>
      </c>
      <c r="AB5" s="5">
        <f t="shared" si="4"/>
        <v>1332.1770769896086</v>
      </c>
      <c r="AC5" s="5">
        <f t="shared" si="4"/>
        <v>1422.4766492159922</v>
      </c>
      <c r="AD5" s="5">
        <f t="shared" si="4"/>
        <v>1519.3492034631754</v>
      </c>
      <c r="AE5" s="5">
        <f t="shared" si="4"/>
        <v>1623.294538942529</v>
      </c>
      <c r="AF5" s="5">
        <f t="shared" si="4"/>
        <v>1734.8513972283231</v>
      </c>
      <c r="AG5" s="5"/>
      <c r="AH5" s="5"/>
      <c r="AI5" s="5"/>
      <c r="AJ5" s="5"/>
      <c r="AK5" s="5"/>
    </row>
    <row r="6" spans="1:109" x14ac:dyDescent="0.25">
      <c r="B6" t="s">
        <v>14</v>
      </c>
      <c r="C6" s="1">
        <v>74.587999999999994</v>
      </c>
      <c r="D6" s="1">
        <v>70.7</v>
      </c>
      <c r="E6" s="1">
        <v>79.975999999999999</v>
      </c>
      <c r="F6" s="24">
        <f t="shared" ref="F6:F10" si="5">T6-E6-D6-C6</f>
        <v>88.964000000000027</v>
      </c>
      <c r="G6" s="1">
        <v>75.56</v>
      </c>
      <c r="H6" s="1">
        <v>87</v>
      </c>
      <c r="I6" s="1">
        <v>76.2</v>
      </c>
      <c r="J6" s="24">
        <f t="shared" ref="J6:J10" si="6">U6-I6-H6-G6</f>
        <v>83.44</v>
      </c>
      <c r="K6" s="1">
        <v>91.28</v>
      </c>
      <c r="L6" s="1">
        <v>91.337999999999994</v>
      </c>
      <c r="Q6" s="1"/>
      <c r="R6" s="1">
        <v>319.31</v>
      </c>
      <c r="S6" s="1">
        <v>304.61</v>
      </c>
      <c r="T6" s="1">
        <v>314.22800000000001</v>
      </c>
      <c r="U6" s="1">
        <v>322.2</v>
      </c>
      <c r="V6" s="1">
        <f>V3*V37</f>
        <v>367.08590800000007</v>
      </c>
      <c r="W6" s="1">
        <f>W3*0.08</f>
        <v>415.33148448000009</v>
      </c>
      <c r="X6" s="1">
        <f>X3*0.08</f>
        <v>496.83200022720007</v>
      </c>
      <c r="Y6" s="1">
        <f>Y3*0.075</f>
        <v>539.62707070206</v>
      </c>
      <c r="Z6" s="1">
        <f>Z3*0.075</f>
        <v>605.64775918044427</v>
      </c>
      <c r="AA6" s="1">
        <f>AA3*0.075</f>
        <v>664.3534831282642</v>
      </c>
      <c r="AB6" s="1">
        <f>AB3*0.075</f>
        <v>713.66629124443307</v>
      </c>
      <c r="AC6" s="1">
        <f t="shared" ref="AC6:AF6" si="7">AC3*0.07</f>
        <v>711.23832460799611</v>
      </c>
      <c r="AD6" s="1">
        <f t="shared" si="7"/>
        <v>759.6746017315877</v>
      </c>
      <c r="AE6" s="1">
        <f t="shared" si="7"/>
        <v>811.64726947126451</v>
      </c>
      <c r="AF6" s="1">
        <f t="shared" si="7"/>
        <v>867.42569861416155</v>
      </c>
      <c r="AG6" s="1"/>
      <c r="AH6" s="1"/>
      <c r="AI6" s="1"/>
      <c r="AJ6" s="1"/>
      <c r="AK6" s="1"/>
    </row>
    <row r="7" spans="1:109" x14ac:dyDescent="0.25">
      <c r="B7" t="s">
        <v>44</v>
      </c>
      <c r="C7" s="1">
        <v>7.63</v>
      </c>
      <c r="D7" s="1">
        <v>7.06</v>
      </c>
      <c r="E7" s="1">
        <v>7.0869999999999997</v>
      </c>
      <c r="F7" s="24">
        <f t="shared" si="5"/>
        <v>7.1230000000000002</v>
      </c>
      <c r="G7" s="1">
        <v>7.4649999999999999</v>
      </c>
      <c r="H7" s="1">
        <v>7.08</v>
      </c>
      <c r="I7" s="1">
        <v>6.88</v>
      </c>
      <c r="J7" s="24">
        <f t="shared" si="6"/>
        <v>6.7750000000000004</v>
      </c>
      <c r="K7" s="1">
        <v>6.7</v>
      </c>
      <c r="L7" s="1">
        <v>6.5179999999999998</v>
      </c>
      <c r="Q7" s="1"/>
      <c r="R7" s="1">
        <v>25.826000000000001</v>
      </c>
      <c r="S7" s="1">
        <v>30.23</v>
      </c>
      <c r="T7" s="1">
        <v>28.9</v>
      </c>
      <c r="U7" s="1">
        <v>28.2</v>
      </c>
      <c r="V7" s="1">
        <f>U7*1.04</f>
        <v>29.327999999999999</v>
      </c>
      <c r="W7" s="1">
        <f t="shared" ref="W7:AF7" si="8">V7*1.04</f>
        <v>30.50112</v>
      </c>
      <c r="X7" s="1">
        <f t="shared" si="8"/>
        <v>31.7211648</v>
      </c>
      <c r="Y7" s="1">
        <f t="shared" si="8"/>
        <v>32.990011392</v>
      </c>
      <c r="Z7" s="1">
        <f t="shared" si="8"/>
        <v>34.309611847680003</v>
      </c>
      <c r="AA7" s="1">
        <f t="shared" si="8"/>
        <v>35.681996321587206</v>
      </c>
      <c r="AB7" s="1">
        <f t="shared" si="8"/>
        <v>37.109276174450699</v>
      </c>
      <c r="AC7" s="1">
        <f t="shared" si="8"/>
        <v>38.593647221428725</v>
      </c>
      <c r="AD7" s="1">
        <f t="shared" si="8"/>
        <v>40.137393110285878</v>
      </c>
      <c r="AE7" s="1">
        <f t="shared" si="8"/>
        <v>41.742888834697311</v>
      </c>
      <c r="AF7" s="1">
        <f t="shared" si="8"/>
        <v>43.412604388085207</v>
      </c>
      <c r="AG7" s="1"/>
      <c r="AH7" s="1"/>
      <c r="AI7" s="1"/>
      <c r="AJ7" s="1"/>
      <c r="AK7" s="1"/>
    </row>
    <row r="8" spans="1:109" x14ac:dyDescent="0.25">
      <c r="B8" t="s">
        <v>52</v>
      </c>
      <c r="C8" s="1">
        <v>-1</v>
      </c>
      <c r="D8" s="1">
        <v>-1</v>
      </c>
      <c r="E8" s="1">
        <v>-1</v>
      </c>
      <c r="F8" s="24">
        <f t="shared" si="5"/>
        <v>-1</v>
      </c>
      <c r="G8" s="1">
        <v>-1</v>
      </c>
      <c r="H8" s="1">
        <v>-1</v>
      </c>
      <c r="I8" s="1">
        <v>-1</v>
      </c>
      <c r="J8" s="24">
        <f t="shared" si="6"/>
        <v>-1</v>
      </c>
      <c r="K8" s="1">
        <v>-1</v>
      </c>
      <c r="L8" s="1">
        <v>-0.98399999999999999</v>
      </c>
      <c r="Q8" s="1"/>
      <c r="R8" s="1">
        <v>0</v>
      </c>
      <c r="S8" s="1">
        <v>0</v>
      </c>
      <c r="T8" s="1">
        <v>-4</v>
      </c>
      <c r="U8" s="1">
        <v>-4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109" x14ac:dyDescent="0.25">
      <c r="B9" t="s">
        <v>46</v>
      </c>
      <c r="C9" s="1">
        <v>-0.52500000000000002</v>
      </c>
      <c r="D9" s="1">
        <v>0</v>
      </c>
      <c r="E9" s="1">
        <v>-8.68</v>
      </c>
      <c r="F9" s="24">
        <f t="shared" si="5"/>
        <v>-1.3149999999999999</v>
      </c>
      <c r="G9" s="1">
        <v>-1.2869999999999999</v>
      </c>
      <c r="H9" s="1">
        <v>0</v>
      </c>
      <c r="I9" s="1">
        <v>0</v>
      </c>
      <c r="J9" s="24">
        <f t="shared" si="6"/>
        <v>-7.1130000000000004</v>
      </c>
      <c r="K9" s="1">
        <v>0</v>
      </c>
      <c r="L9" s="1">
        <v>-0.14399999999999999</v>
      </c>
      <c r="Q9" s="1"/>
      <c r="R9" s="1">
        <v>0</v>
      </c>
      <c r="S9" s="1">
        <v>-13.08</v>
      </c>
      <c r="T9" s="1">
        <v>-10.52</v>
      </c>
      <c r="U9" s="1">
        <v>-8.4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109" x14ac:dyDescent="0.25">
      <c r="B10" t="s">
        <v>45</v>
      </c>
      <c r="C10" s="1">
        <v>4.165</v>
      </c>
      <c r="D10" s="1">
        <v>1.96</v>
      </c>
      <c r="E10" s="1">
        <v>0.6</v>
      </c>
      <c r="F10" s="24">
        <f t="shared" si="5"/>
        <v>0.17500000000000071</v>
      </c>
      <c r="G10" s="1">
        <v>0.112</v>
      </c>
      <c r="H10" s="1">
        <v>0.87</v>
      </c>
      <c r="I10" s="1">
        <v>0.2</v>
      </c>
      <c r="J10" s="24">
        <f t="shared" si="6"/>
        <v>1.1329999999999996</v>
      </c>
      <c r="K10" s="1">
        <v>0.83</v>
      </c>
      <c r="L10" s="1">
        <v>0.6</v>
      </c>
      <c r="Q10" s="1"/>
      <c r="R10" s="1">
        <v>0</v>
      </c>
      <c r="S10" s="1">
        <v>0</v>
      </c>
      <c r="T10" s="1">
        <v>6.9</v>
      </c>
      <c r="U10" s="1">
        <v>2.3149999999999999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109" x14ac:dyDescent="0.25">
      <c r="A11" s="4"/>
      <c r="B11" s="4" t="s">
        <v>15</v>
      </c>
      <c r="C11" s="5">
        <f t="shared" ref="C11:K11" si="9">C5-C6-C7-C8-C9-C10</f>
        <v>8.2819999999999929</v>
      </c>
      <c r="D11" s="5">
        <f t="shared" si="9"/>
        <v>22.099999999999934</v>
      </c>
      <c r="E11" s="5">
        <f t="shared" si="9"/>
        <v>81.479999999999961</v>
      </c>
      <c r="F11" s="5">
        <f t="shared" si="9"/>
        <v>30.339999999999893</v>
      </c>
      <c r="G11" s="5">
        <f t="shared" si="9"/>
        <v>99.610000000000042</v>
      </c>
      <c r="H11" s="5">
        <f t="shared" si="9"/>
        <v>157.22000000000006</v>
      </c>
      <c r="I11" s="5">
        <f t="shared" si="9"/>
        <v>71.046999999999997</v>
      </c>
      <c r="J11" s="5">
        <f t="shared" si="9"/>
        <v>110.22699999999953</v>
      </c>
      <c r="K11" s="5">
        <f t="shared" si="9"/>
        <v>193.23999999999995</v>
      </c>
      <c r="L11" s="5">
        <f t="shared" ref="L11" si="10">L5-L6-L7-L8-L9-L10</f>
        <v>104.10200000000007</v>
      </c>
      <c r="M11" s="5"/>
      <c r="N11" s="5"/>
      <c r="O11" s="5"/>
      <c r="P11" s="6"/>
      <c r="Q11" s="5"/>
      <c r="R11" s="5">
        <f t="shared" ref="R11:W11" si="11">R5-R6-R7-R8-R9-R10</f>
        <v>-13.282000000000188</v>
      </c>
      <c r="S11" s="5">
        <f t="shared" si="11"/>
        <v>35.147000000000141</v>
      </c>
      <c r="T11" s="5">
        <f t="shared" si="11"/>
        <v>142.20200000000003</v>
      </c>
      <c r="U11" s="5">
        <f t="shared" si="11"/>
        <v>438.10399999999987</v>
      </c>
      <c r="V11" s="5">
        <f t="shared" si="11"/>
        <v>495.08044000000018</v>
      </c>
      <c r="W11" s="5">
        <f t="shared" si="11"/>
        <v>436.74680004000015</v>
      </c>
      <c r="X11" s="5">
        <f t="shared" ref="X11:AF11" si="12">X5-X6-X7-X8-X9-X10</f>
        <v>403.00683539879992</v>
      </c>
      <c r="Y11" s="5">
        <f t="shared" si="12"/>
        <v>506.63705931006001</v>
      </c>
      <c r="Z11" s="5">
        <f t="shared" si="12"/>
        <v>490.58511277537173</v>
      </c>
      <c r="AA11" s="5">
        <f t="shared" si="12"/>
        <v>540.0910223895753</v>
      </c>
      <c r="AB11" s="5">
        <f t="shared" si="12"/>
        <v>581.4015095707249</v>
      </c>
      <c r="AC11" s="5">
        <f t="shared" si="12"/>
        <v>672.64467738656742</v>
      </c>
      <c r="AD11" s="5">
        <f t="shared" si="12"/>
        <v>719.53720862130183</v>
      </c>
      <c r="AE11" s="5">
        <f t="shared" si="12"/>
        <v>769.90438063656723</v>
      </c>
      <c r="AF11" s="5">
        <f t="shared" si="12"/>
        <v>824.0130942260763</v>
      </c>
      <c r="AG11" s="5"/>
      <c r="AH11" s="5"/>
      <c r="AI11" s="5"/>
      <c r="AJ11" s="5"/>
      <c r="AK11" s="5"/>
    </row>
    <row r="12" spans="1:109" x14ac:dyDescent="0.25">
      <c r="B12" t="s">
        <v>31</v>
      </c>
      <c r="C12" s="1">
        <v>14.38</v>
      </c>
      <c r="D12" s="1">
        <v>11.535</v>
      </c>
      <c r="E12" s="1">
        <v>10.776</v>
      </c>
      <c r="F12" s="24">
        <f t="shared" ref="F12:F14" si="13">T12-E12-D12-C12</f>
        <v>10.708999999999994</v>
      </c>
      <c r="G12" s="1">
        <v>16.234000000000002</v>
      </c>
      <c r="H12" s="1">
        <v>9.14</v>
      </c>
      <c r="I12" s="1">
        <v>8.3000000000000007</v>
      </c>
      <c r="J12" s="24">
        <f t="shared" ref="J12:J14" si="14">U12-I12-H12-G12</f>
        <v>11.826000000000001</v>
      </c>
      <c r="K12" s="1">
        <v>11.3</v>
      </c>
      <c r="L12" s="1">
        <v>11.255000000000001</v>
      </c>
      <c r="Q12" s="1"/>
      <c r="R12" s="1">
        <v>47.3</v>
      </c>
      <c r="S12" s="1">
        <v>54.2</v>
      </c>
      <c r="T12" s="1">
        <v>47.4</v>
      </c>
      <c r="U12" s="1">
        <v>45.5</v>
      </c>
      <c r="V12" s="1">
        <f>U31*-0.175</f>
        <v>38.09225</v>
      </c>
      <c r="W12" s="1">
        <f>V31*-0.01</f>
        <v>-1.082160800000002</v>
      </c>
      <c r="X12" s="1">
        <f t="shared" ref="X12:AF12" si="15">W31*-0.01</f>
        <v>-4.1625395194000037</v>
      </c>
      <c r="Y12" s="1">
        <f t="shared" si="15"/>
        <v>-6.6816332678720025</v>
      </c>
      <c r="Z12" s="1">
        <f t="shared" si="15"/>
        <v>-9.6563119108430833</v>
      </c>
      <c r="AA12" s="1">
        <f t="shared" si="15"/>
        <v>-12.236135120983453</v>
      </c>
      <c r="AB12" s="1">
        <f t="shared" si="15"/>
        <v>-15.101992763575986</v>
      </c>
      <c r="AC12" s="1">
        <f t="shared" si="15"/>
        <v>-17.736585094444973</v>
      </c>
      <c r="AD12" s="1">
        <f t="shared" si="15"/>
        <v>-21.084206096215116</v>
      </c>
      <c r="AE12" s="1">
        <f t="shared" si="15"/>
        <v>-24.692047234732346</v>
      </c>
      <c r="AF12" s="1">
        <f t="shared" si="15"/>
        <v>-28.579775166089021</v>
      </c>
      <c r="AG12" s="1"/>
      <c r="AH12" s="1"/>
      <c r="AI12" s="1"/>
      <c r="AJ12" s="1"/>
      <c r="AK12" s="1"/>
    </row>
    <row r="13" spans="1:109" x14ac:dyDescent="0.25">
      <c r="B13" t="s">
        <v>30</v>
      </c>
      <c r="C13" s="1">
        <v>-0.2</v>
      </c>
      <c r="D13" s="1">
        <v>0.4</v>
      </c>
      <c r="E13" s="1">
        <v>-0.2</v>
      </c>
      <c r="F13" s="24">
        <f t="shared" si="13"/>
        <v>-0.25</v>
      </c>
      <c r="G13" s="1">
        <v>-0.31</v>
      </c>
      <c r="H13" s="1">
        <v>-0.3</v>
      </c>
      <c r="I13" s="1">
        <v>-0.7</v>
      </c>
      <c r="J13" s="24">
        <f t="shared" si="14"/>
        <v>9.9999999999998979E-3</v>
      </c>
      <c r="K13" s="1">
        <v>1.1299999999999999</v>
      </c>
      <c r="L13" s="1">
        <v>0.13900000000000001</v>
      </c>
      <c r="Q13" s="1"/>
      <c r="R13" s="1">
        <v>-0.38</v>
      </c>
      <c r="S13" s="1">
        <v>2.5</v>
      </c>
      <c r="T13" s="1">
        <v>-0.25</v>
      </c>
      <c r="U13" s="1">
        <v>-1.3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109" x14ac:dyDescent="0.25">
      <c r="A14" s="4"/>
      <c r="B14" t="s">
        <v>16</v>
      </c>
      <c r="C14" s="1">
        <v>-5.0259999999999998</v>
      </c>
      <c r="D14" s="1">
        <v>3.4380000000000002</v>
      </c>
      <c r="E14" s="1">
        <v>15.8</v>
      </c>
      <c r="F14" s="24">
        <f t="shared" si="13"/>
        <v>-1.2000000000002231E-2</v>
      </c>
      <c r="G14" s="1">
        <v>21.745999999999999</v>
      </c>
      <c r="H14" s="1">
        <v>34.9</v>
      </c>
      <c r="I14" s="1">
        <v>16.231999999999999</v>
      </c>
      <c r="J14" s="24">
        <f t="shared" si="14"/>
        <v>24.861999999999998</v>
      </c>
      <c r="K14" s="1">
        <v>47.3</v>
      </c>
      <c r="L14" s="1">
        <v>21.388000000000002</v>
      </c>
      <c r="P14" s="6"/>
      <c r="Q14" s="1"/>
      <c r="R14" s="1">
        <v>-12.15</v>
      </c>
      <c r="S14" s="1">
        <v>-3.95</v>
      </c>
      <c r="T14" s="1">
        <v>14.2</v>
      </c>
      <c r="U14" s="1">
        <v>97.74</v>
      </c>
      <c r="V14" s="1">
        <f>V3*0.025</f>
        <v>131.10211000000001</v>
      </c>
      <c r="W14" s="1">
        <f t="shared" ref="W14:X14" si="16">W3*0.025</f>
        <v>129.79108890000003</v>
      </c>
      <c r="X14" s="1">
        <f t="shared" si="16"/>
        <v>155.26000007100004</v>
      </c>
      <c r="Y14" s="1">
        <f>Y3*0.03</f>
        <v>215.850828280824</v>
      </c>
      <c r="Z14" s="1">
        <f>Z3*0.03</f>
        <v>242.2591036721777</v>
      </c>
      <c r="AA14" s="1">
        <f>AA3*0.03</f>
        <v>265.74139325130568</v>
      </c>
      <c r="AB14" s="1">
        <f>AB3*0.035</f>
        <v>333.04426924740216</v>
      </c>
      <c r="AC14" s="1">
        <f t="shared" ref="AC14:AF14" si="17">AC3*0.035</f>
        <v>355.61916230399805</v>
      </c>
      <c r="AD14" s="1">
        <f t="shared" si="17"/>
        <v>379.83730086579385</v>
      </c>
      <c r="AE14" s="1">
        <f t="shared" si="17"/>
        <v>405.82363473563225</v>
      </c>
      <c r="AF14" s="1">
        <f t="shared" si="17"/>
        <v>433.71284930708077</v>
      </c>
      <c r="AG14" s="1"/>
      <c r="AH14" s="1"/>
      <c r="AI14" s="1"/>
      <c r="AJ14" s="1"/>
      <c r="AK14" s="1"/>
    </row>
    <row r="15" spans="1:109" x14ac:dyDescent="0.25">
      <c r="B15" s="4" t="s">
        <v>17</v>
      </c>
      <c r="C15" s="5">
        <f t="shared" ref="C15:K15" si="18">C11-C12-C13-C14</f>
        <v>-0.87200000000000788</v>
      </c>
      <c r="D15" s="5">
        <f t="shared" si="18"/>
        <v>6.7269999999999328</v>
      </c>
      <c r="E15" s="5">
        <f t="shared" si="18"/>
        <v>55.103999999999971</v>
      </c>
      <c r="F15" s="5">
        <f t="shared" si="18"/>
        <v>19.892999999999901</v>
      </c>
      <c r="G15" s="5">
        <f t="shared" si="18"/>
        <v>61.94000000000004</v>
      </c>
      <c r="H15" s="5">
        <f t="shared" si="18"/>
        <v>113.48000000000005</v>
      </c>
      <c r="I15" s="5">
        <f t="shared" si="18"/>
        <v>47.215000000000003</v>
      </c>
      <c r="J15" s="5">
        <f t="shared" si="18"/>
        <v>73.528999999999527</v>
      </c>
      <c r="K15" s="5">
        <f t="shared" si="18"/>
        <v>133.50999999999993</v>
      </c>
      <c r="L15" s="5">
        <f t="shared" ref="L15" si="19">L11-L12-L13-L14</f>
        <v>71.320000000000078</v>
      </c>
      <c r="M15" s="5"/>
      <c r="N15" s="5"/>
      <c r="O15" s="5"/>
      <c r="Q15" s="5"/>
      <c r="R15" s="5">
        <f>R11-R12-R13-R14</f>
        <v>-48.052000000000184</v>
      </c>
      <c r="S15" s="5">
        <f>S11-S12-S13-S14</f>
        <v>-17.602999999999863</v>
      </c>
      <c r="T15" s="5">
        <f>T11-T12-T13-T14</f>
        <v>80.852000000000018</v>
      </c>
      <c r="U15" s="5">
        <f>U11-U12-U13-U14</f>
        <v>296.16399999999987</v>
      </c>
      <c r="V15" s="5">
        <f>+V11-V12-V14</f>
        <v>325.88608000000022</v>
      </c>
      <c r="W15" s="5">
        <f>+W11-W12-W14</f>
        <v>308.03787194000012</v>
      </c>
      <c r="X15" s="5">
        <f t="shared" ref="X15:AF15" si="20">+X11-X12-X14</f>
        <v>251.9093748471999</v>
      </c>
      <c r="Y15" s="5">
        <f t="shared" si="20"/>
        <v>297.46786429710801</v>
      </c>
      <c r="Z15" s="5">
        <f t="shared" si="20"/>
        <v>257.9823210140371</v>
      </c>
      <c r="AA15" s="5">
        <f t="shared" si="20"/>
        <v>286.5857642592531</v>
      </c>
      <c r="AB15" s="5">
        <f t="shared" si="20"/>
        <v>263.45923308689868</v>
      </c>
      <c r="AC15" s="5">
        <f t="shared" si="20"/>
        <v>334.76210017701436</v>
      </c>
      <c r="AD15" s="5">
        <f t="shared" si="20"/>
        <v>360.78411385172308</v>
      </c>
      <c r="AE15" s="5">
        <f t="shared" si="20"/>
        <v>388.77279313566737</v>
      </c>
      <c r="AF15" s="5">
        <f t="shared" si="20"/>
        <v>418.88002008508454</v>
      </c>
      <c r="AG15" s="5">
        <f t="shared" ref="AG15:AK15" si="21">+AF15*(1+$AN19)</f>
        <v>412.59681978380826</v>
      </c>
      <c r="AH15" s="5">
        <f t="shared" si="21"/>
        <v>406.40786748705113</v>
      </c>
      <c r="AI15" s="5">
        <f t="shared" si="21"/>
        <v>400.31174947474534</v>
      </c>
      <c r="AJ15" s="5">
        <f t="shared" si="21"/>
        <v>394.30707323262413</v>
      </c>
      <c r="AK15" s="5">
        <f t="shared" si="21"/>
        <v>388.39246713413479</v>
      </c>
      <c r="AL15" s="5">
        <f>+AK15*(1+$AN19)</f>
        <v>382.56658012712279</v>
      </c>
      <c r="AM15" s="5">
        <f t="shared" ref="AM15:CX15" si="22">+AL15*(1+$AN19)</f>
        <v>376.82808142521594</v>
      </c>
      <c r="AN15" s="5">
        <f t="shared" si="22"/>
        <v>371.17566020383771</v>
      </c>
      <c r="AO15" s="5">
        <f t="shared" si="22"/>
        <v>365.60802530078013</v>
      </c>
      <c r="AP15" s="5">
        <f t="shared" si="22"/>
        <v>360.12390492126843</v>
      </c>
      <c r="AQ15" s="5">
        <f t="shared" si="22"/>
        <v>354.72204634744941</v>
      </c>
      <c r="AR15" s="5">
        <f t="shared" si="22"/>
        <v>349.40121565223768</v>
      </c>
      <c r="AS15" s="5">
        <f t="shared" si="22"/>
        <v>344.16019741745413</v>
      </c>
      <c r="AT15" s="5">
        <f t="shared" si="22"/>
        <v>338.99779445619231</v>
      </c>
      <c r="AU15" s="5">
        <f t="shared" si="22"/>
        <v>333.91282753934939</v>
      </c>
      <c r="AV15" s="5">
        <f t="shared" si="22"/>
        <v>328.90413512625912</v>
      </c>
      <c r="AW15" s="5">
        <f t="shared" si="22"/>
        <v>323.97057309936525</v>
      </c>
      <c r="AX15" s="5">
        <f t="shared" si="22"/>
        <v>319.11101450287475</v>
      </c>
      <c r="AY15" s="5">
        <f t="shared" si="22"/>
        <v>314.32434928533161</v>
      </c>
      <c r="AZ15" s="5">
        <f t="shared" si="22"/>
        <v>309.60948404605165</v>
      </c>
      <c r="BA15" s="5">
        <f t="shared" si="22"/>
        <v>304.96534178536086</v>
      </c>
      <c r="BB15" s="5">
        <f t="shared" si="22"/>
        <v>300.39086165858043</v>
      </c>
      <c r="BC15" s="5">
        <f t="shared" si="22"/>
        <v>295.88499873370171</v>
      </c>
      <c r="BD15" s="5">
        <f t="shared" si="22"/>
        <v>291.44672375269619</v>
      </c>
      <c r="BE15" s="5">
        <f t="shared" si="22"/>
        <v>287.07502289640576</v>
      </c>
      <c r="BF15" s="5">
        <f t="shared" si="22"/>
        <v>282.76889755295969</v>
      </c>
      <c r="BG15" s="5">
        <f t="shared" si="22"/>
        <v>278.5273640896653</v>
      </c>
      <c r="BH15" s="5">
        <f t="shared" si="22"/>
        <v>274.3494536283203</v>
      </c>
      <c r="BI15" s="5">
        <f t="shared" si="22"/>
        <v>270.23421182389552</v>
      </c>
      <c r="BJ15" s="5">
        <f t="shared" si="22"/>
        <v>266.18069864653711</v>
      </c>
      <c r="BK15" s="5">
        <f t="shared" si="22"/>
        <v>262.18798816683903</v>
      </c>
      <c r="BL15" s="5">
        <f t="shared" si="22"/>
        <v>258.25516834433643</v>
      </c>
      <c r="BM15" s="5">
        <f t="shared" si="22"/>
        <v>254.38134081917138</v>
      </c>
      <c r="BN15" s="5">
        <f t="shared" si="22"/>
        <v>250.56562070688381</v>
      </c>
      <c r="BO15" s="5">
        <f t="shared" si="22"/>
        <v>246.80713639628055</v>
      </c>
      <c r="BP15" s="5">
        <f t="shared" si="22"/>
        <v>243.10502935033634</v>
      </c>
      <c r="BQ15" s="5">
        <f t="shared" si="22"/>
        <v>239.45845391008129</v>
      </c>
      <c r="BR15" s="5">
        <f t="shared" si="22"/>
        <v>235.86657710143007</v>
      </c>
      <c r="BS15" s="5">
        <f t="shared" si="22"/>
        <v>232.3285784449086</v>
      </c>
      <c r="BT15" s="5">
        <f t="shared" si="22"/>
        <v>228.84364976823497</v>
      </c>
      <c r="BU15" s="5">
        <f t="shared" si="22"/>
        <v>225.41099502171144</v>
      </c>
      <c r="BV15" s="5">
        <f t="shared" si="22"/>
        <v>222.02983009638578</v>
      </c>
      <c r="BW15" s="5">
        <f t="shared" si="22"/>
        <v>218.69938264493999</v>
      </c>
      <c r="BX15" s="5">
        <f t="shared" si="22"/>
        <v>215.41889190526589</v>
      </c>
      <c r="BY15" s="5">
        <f t="shared" si="22"/>
        <v>212.18760852668692</v>
      </c>
      <c r="BZ15" s="5">
        <f t="shared" si="22"/>
        <v>209.0047943987866</v>
      </c>
      <c r="CA15" s="5">
        <f t="shared" si="22"/>
        <v>205.8697224828048</v>
      </c>
      <c r="CB15" s="5">
        <f t="shared" si="22"/>
        <v>202.78167664556273</v>
      </c>
      <c r="CC15" s="5">
        <f t="shared" si="22"/>
        <v>199.7399514958793</v>
      </c>
      <c r="CD15" s="5">
        <f t="shared" si="22"/>
        <v>196.74385222344111</v>
      </c>
      <c r="CE15" s="5">
        <f t="shared" si="22"/>
        <v>193.79269444008949</v>
      </c>
      <c r="CF15" s="5">
        <f t="shared" si="22"/>
        <v>190.88580402348813</v>
      </c>
      <c r="CG15" s="5">
        <f t="shared" si="22"/>
        <v>188.02251696313581</v>
      </c>
      <c r="CH15" s="5">
        <f t="shared" si="22"/>
        <v>185.20217920868876</v>
      </c>
      <c r="CI15" s="5">
        <f t="shared" si="22"/>
        <v>182.42414652055842</v>
      </c>
      <c r="CJ15" s="5">
        <f t="shared" si="22"/>
        <v>179.68778432275005</v>
      </c>
      <c r="CK15" s="5">
        <f t="shared" si="22"/>
        <v>176.99246755790878</v>
      </c>
      <c r="CL15" s="5">
        <f t="shared" si="22"/>
        <v>174.33758054454015</v>
      </c>
      <c r="CM15" s="5">
        <f t="shared" si="22"/>
        <v>171.72251683637205</v>
      </c>
      <c r="CN15" s="5">
        <f t="shared" si="22"/>
        <v>169.14667908382646</v>
      </c>
      <c r="CO15" s="5">
        <f t="shared" si="22"/>
        <v>166.60947889756906</v>
      </c>
      <c r="CP15" s="5">
        <f t="shared" si="22"/>
        <v>164.11033671410553</v>
      </c>
      <c r="CQ15" s="5">
        <f t="shared" si="22"/>
        <v>161.64868166339394</v>
      </c>
      <c r="CR15" s="5">
        <f t="shared" si="22"/>
        <v>159.22395143844304</v>
      </c>
      <c r="CS15" s="5">
        <f t="shared" si="22"/>
        <v>156.83559216686638</v>
      </c>
      <c r="CT15" s="5">
        <f t="shared" si="22"/>
        <v>154.48305828436338</v>
      </c>
      <c r="CU15" s="5">
        <f t="shared" si="22"/>
        <v>152.16581241009791</v>
      </c>
      <c r="CV15" s="5">
        <f t="shared" si="22"/>
        <v>149.88332522394646</v>
      </c>
      <c r="CW15" s="5">
        <f t="shared" si="22"/>
        <v>147.63507534558727</v>
      </c>
      <c r="CX15" s="5">
        <f t="shared" si="22"/>
        <v>145.42054921540347</v>
      </c>
      <c r="CY15" s="5">
        <f t="shared" ref="CY15:DE15" si="23">+CX15*(1+$AN19)</f>
        <v>143.23924097717241</v>
      </c>
      <c r="CZ15" s="5">
        <f t="shared" si="23"/>
        <v>141.09065236251482</v>
      </c>
      <c r="DA15" s="5">
        <f t="shared" si="23"/>
        <v>138.97429257707708</v>
      </c>
      <c r="DB15" s="5">
        <f t="shared" si="23"/>
        <v>136.88967818842093</v>
      </c>
      <c r="DC15" s="5">
        <f t="shared" si="23"/>
        <v>134.83633301559462</v>
      </c>
      <c r="DD15" s="5">
        <f t="shared" si="23"/>
        <v>132.8137880203607</v>
      </c>
      <c r="DE15" s="5">
        <f t="shared" si="23"/>
        <v>130.82158120005531</v>
      </c>
    </row>
    <row r="16" spans="1:109" s="22" customFormat="1" x14ac:dyDescent="0.25">
      <c r="A16" s="21"/>
      <c r="B16" s="22" t="s">
        <v>18</v>
      </c>
      <c r="C16" s="22">
        <f>C15/C17</f>
        <v>10.900000000000098</v>
      </c>
      <c r="D16" s="22">
        <f>D15/D17</f>
        <v>9.4746478873238491</v>
      </c>
      <c r="E16" s="22">
        <f>E15/E17</f>
        <v>9.4518010291595154</v>
      </c>
      <c r="F16" s="22">
        <f>E16</f>
        <v>9.4518010291595154</v>
      </c>
      <c r="G16" s="22">
        <f>G15/G17</f>
        <v>9.4854517611026097</v>
      </c>
      <c r="H16" s="22">
        <f>H15/H17</f>
        <v>9.5521885521885554</v>
      </c>
      <c r="I16" s="22">
        <f>I15/I17</f>
        <v>9.7350515463917535</v>
      </c>
      <c r="J16" s="22">
        <f>I16</f>
        <v>9.7350515463917535</v>
      </c>
      <c r="K16" s="22">
        <f>K15/K17</f>
        <v>9.7310495626822107</v>
      </c>
      <c r="L16" s="22">
        <f>L15/L17</f>
        <v>9.3350785340314246</v>
      </c>
      <c r="P16" s="23"/>
      <c r="R16" s="22">
        <f>R15/R17</f>
        <v>9.2230326295585758</v>
      </c>
      <c r="S16" s="22">
        <f>S15/S17</f>
        <v>9.3137566137565422</v>
      </c>
      <c r="T16" s="22">
        <f>T15/T17</f>
        <v>9.4233100233100249</v>
      </c>
      <c r="U16" s="22">
        <f>U15/U17</f>
        <v>9.6157142857142812</v>
      </c>
    </row>
    <row r="17" spans="1:40" x14ac:dyDescent="0.25">
      <c r="A17" s="7"/>
      <c r="B17" s="8" t="s">
        <v>19</v>
      </c>
      <c r="C17" s="7">
        <v>-0.08</v>
      </c>
      <c r="D17" s="7">
        <v>0.71</v>
      </c>
      <c r="E17" s="7">
        <v>5.83</v>
      </c>
      <c r="F17" s="7">
        <f>F15/F16</f>
        <v>2.1046782447735097</v>
      </c>
      <c r="G17" s="7">
        <v>6.53</v>
      </c>
      <c r="H17" s="7">
        <v>11.88</v>
      </c>
      <c r="I17" s="7">
        <v>4.8499999999999996</v>
      </c>
      <c r="J17" s="7">
        <f>J15/J16</f>
        <v>7.553015990680878</v>
      </c>
      <c r="K17" s="7">
        <v>13.72</v>
      </c>
      <c r="L17" s="7">
        <v>7.64</v>
      </c>
      <c r="M17" s="7"/>
      <c r="N17" s="7"/>
      <c r="O17" s="7"/>
      <c r="P17" s="9"/>
      <c r="Q17" s="7"/>
      <c r="R17" s="7">
        <v>-5.21</v>
      </c>
      <c r="S17" s="7">
        <v>-1.89</v>
      </c>
      <c r="T17" s="7">
        <v>8.58</v>
      </c>
      <c r="U17" s="7">
        <v>30.8</v>
      </c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spans="1:40" x14ac:dyDescent="0.25">
      <c r="A18" s="1"/>
      <c r="B18" s="1"/>
      <c r="C18" s="10"/>
      <c r="D18" s="10"/>
      <c r="E18" s="10"/>
      <c r="F18" s="10"/>
      <c r="G18" s="10"/>
      <c r="H18" s="10"/>
      <c r="I18" s="10"/>
      <c r="J18" s="10"/>
      <c r="L18" s="10"/>
      <c r="M18" s="10"/>
      <c r="N18" s="10"/>
      <c r="O18" s="10"/>
      <c r="P18" s="1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40" s="1" customFormat="1" x14ac:dyDescent="0.25">
      <c r="B19" s="1" t="s">
        <v>47</v>
      </c>
      <c r="C19" s="1">
        <v>421.34800000000001</v>
      </c>
      <c r="D19" s="1">
        <v>449.23399999999998</v>
      </c>
      <c r="E19" s="1">
        <v>495.99</v>
      </c>
      <c r="F19" s="1">
        <f t="shared" ref="F19:F20" si="24">T19-E19-D19-C19</f>
        <v>498.54799999999994</v>
      </c>
      <c r="G19" s="1">
        <v>563</v>
      </c>
      <c r="H19" s="1">
        <v>675.18899999999996</v>
      </c>
      <c r="I19" s="1">
        <v>641</v>
      </c>
      <c r="J19" s="1">
        <f t="shared" ref="J19:J20" si="25">U19-I19-H19-G19</f>
        <v>641.11100000000033</v>
      </c>
      <c r="K19" s="1">
        <v>767.9</v>
      </c>
      <c r="L19" s="1">
        <v>787.86</v>
      </c>
      <c r="P19" s="11"/>
      <c r="R19" s="1">
        <v>1818.5</v>
      </c>
      <c r="S19" s="1">
        <v>1774.999</v>
      </c>
      <c r="T19" s="1">
        <v>1865.12</v>
      </c>
      <c r="U19" s="1">
        <v>2520.3000000000002</v>
      </c>
      <c r="V19" s="1">
        <f>U19*(1+V39)</f>
        <v>3276.3900000000003</v>
      </c>
      <c r="W19" s="1">
        <f t="shared" ref="W19:AF19" si="26">V19*(1+W39)</f>
        <v>3243.6261000000004</v>
      </c>
      <c r="X19" s="1">
        <f t="shared" si="26"/>
        <v>3989.6601030000006</v>
      </c>
      <c r="Y19" s="1">
        <f t="shared" si="26"/>
        <v>4707.7989215400003</v>
      </c>
      <c r="Z19" s="1">
        <f t="shared" si="26"/>
        <v>5413.9687597709999</v>
      </c>
      <c r="AA19" s="1">
        <f t="shared" si="26"/>
        <v>6063.6450109435209</v>
      </c>
      <c r="AB19" s="1">
        <f t="shared" si="26"/>
        <v>6609.3730619284379</v>
      </c>
      <c r="AC19" s="1">
        <f t="shared" si="26"/>
        <v>7138.1229068827133</v>
      </c>
      <c r="AD19" s="1">
        <f t="shared" si="26"/>
        <v>7709.1727394333311</v>
      </c>
      <c r="AE19" s="1">
        <f t="shared" si="26"/>
        <v>8325.906558587998</v>
      </c>
      <c r="AF19" s="1">
        <f t="shared" si="26"/>
        <v>8991.9790832750386</v>
      </c>
      <c r="AM19" s="10" t="s">
        <v>39</v>
      </c>
      <c r="AN19" s="18">
        <v>-1.4999999999999999E-2</v>
      </c>
    </row>
    <row r="20" spans="1:40" s="1" customFormat="1" x14ac:dyDescent="0.25">
      <c r="B20" s="1" t="s">
        <v>48</v>
      </c>
      <c r="C20" s="1">
        <v>240.72200000000001</v>
      </c>
      <c r="D20" s="1">
        <v>249.542</v>
      </c>
      <c r="E20" s="1">
        <v>375.07</v>
      </c>
      <c r="F20" s="1">
        <f t="shared" si="24"/>
        <v>366.8660000000001</v>
      </c>
      <c r="G20" s="1">
        <v>462.4</v>
      </c>
      <c r="H20" s="1">
        <v>632.72400000000005</v>
      </c>
      <c r="I20" s="1">
        <v>329.81799999999998</v>
      </c>
      <c r="J20" s="1">
        <f t="shared" si="25"/>
        <v>331.92799999999988</v>
      </c>
      <c r="K20" s="1">
        <v>534.4</v>
      </c>
      <c r="L20" s="1">
        <v>451.51900000000001</v>
      </c>
      <c r="P20" s="11"/>
      <c r="R20" s="1">
        <v>1044.348</v>
      </c>
      <c r="S20" s="1">
        <v>862.3</v>
      </c>
      <c r="T20" s="1">
        <v>1232.2</v>
      </c>
      <c r="U20" s="1">
        <v>1756.87</v>
      </c>
      <c r="V20" s="1">
        <f t="shared" ref="V20:AF20" si="27">U20*(1+V40)</f>
        <v>1967.6944000000001</v>
      </c>
      <c r="W20" s="1">
        <f t="shared" si="27"/>
        <v>1948.017456</v>
      </c>
      <c r="X20" s="1">
        <f t="shared" si="27"/>
        <v>2220.7398998400004</v>
      </c>
      <c r="Y20" s="1">
        <f t="shared" si="27"/>
        <v>2487.2286878208006</v>
      </c>
      <c r="Z20" s="1">
        <f t="shared" si="27"/>
        <v>2661.3346959682567</v>
      </c>
      <c r="AA20" s="1">
        <f t="shared" si="27"/>
        <v>2794.4014307666698</v>
      </c>
      <c r="AB20" s="1">
        <f t="shared" si="27"/>
        <v>2906.1774879973368</v>
      </c>
      <c r="AC20" s="1">
        <f t="shared" si="27"/>
        <v>3022.4245875172305</v>
      </c>
      <c r="AD20" s="1">
        <f t="shared" si="27"/>
        <v>3143.3215710179197</v>
      </c>
      <c r="AE20" s="1">
        <f t="shared" si="27"/>
        <v>3269.0544338586365</v>
      </c>
      <c r="AF20" s="1">
        <f t="shared" si="27"/>
        <v>3399.816611212982</v>
      </c>
      <c r="AM20" s="15" t="s">
        <v>40</v>
      </c>
      <c r="AN20" s="18">
        <v>-0.01</v>
      </c>
    </row>
    <row r="21" spans="1:40" x14ac:dyDescent="0.25">
      <c r="R21" s="1"/>
      <c r="S21" s="1"/>
      <c r="V21" s="15"/>
      <c r="W21" s="15"/>
      <c r="AM21" t="s">
        <v>41</v>
      </c>
      <c r="AN21" s="18">
        <v>0.08</v>
      </c>
    </row>
    <row r="22" spans="1:40" s="1" customFormat="1" x14ac:dyDescent="0.25">
      <c r="B22" s="1" t="s">
        <v>50</v>
      </c>
      <c r="C22" s="1">
        <v>545.89200000000005</v>
      </c>
      <c r="D22" s="1">
        <v>601.279</v>
      </c>
      <c r="E22" s="1">
        <v>745.18499999999995</v>
      </c>
      <c r="F22" s="1">
        <f t="shared" ref="F22:F24" si="28">T22-E22-D22-C22</f>
        <v>725.49399999999991</v>
      </c>
      <c r="G22" s="1">
        <v>849.4</v>
      </c>
      <c r="H22" s="1">
        <v>1062.1489999999999</v>
      </c>
      <c r="I22" s="1">
        <v>783.75</v>
      </c>
      <c r="J22" s="1">
        <f t="shared" ref="J22:J24" si="29">U22-I22-H22-G22</f>
        <v>817.97800000000018</v>
      </c>
      <c r="K22" s="1">
        <v>1077.9000000000001</v>
      </c>
      <c r="P22" s="11"/>
      <c r="R22" s="1">
        <v>2373.92</v>
      </c>
      <c r="S22" s="1">
        <v>2206.2600000000002</v>
      </c>
      <c r="T22" s="1">
        <v>2617.85</v>
      </c>
      <c r="U22" s="1">
        <v>3513.277</v>
      </c>
      <c r="AM22" s="15" t="s">
        <v>42</v>
      </c>
      <c r="AN22" s="20">
        <f>NPV(AN21,V15:DE15)</f>
        <v>4076.5725319753483</v>
      </c>
    </row>
    <row r="23" spans="1:40" s="1" customFormat="1" x14ac:dyDescent="0.25">
      <c r="B23" s="1" t="s">
        <v>49</v>
      </c>
      <c r="C23" s="1">
        <v>125.58</v>
      </c>
      <c r="D23" s="1">
        <v>107.848</v>
      </c>
      <c r="E23" s="1">
        <v>138.75</v>
      </c>
      <c r="F23" s="1">
        <f t="shared" si="28"/>
        <v>153.47199999999998</v>
      </c>
      <c r="G23" s="1">
        <v>191.1</v>
      </c>
      <c r="H23" s="1">
        <v>265.27999999999997</v>
      </c>
      <c r="I23" s="1">
        <v>204.52</v>
      </c>
      <c r="J23" s="1">
        <f t="shared" si="29"/>
        <v>171.97000000000006</v>
      </c>
      <c r="K23" s="1">
        <v>246.65</v>
      </c>
      <c r="P23" s="11"/>
      <c r="R23" s="1">
        <v>526.9</v>
      </c>
      <c r="S23" s="1">
        <v>470.78</v>
      </c>
      <c r="T23" s="1">
        <v>525.65</v>
      </c>
      <c r="U23" s="1">
        <v>832.87</v>
      </c>
    </row>
    <row r="24" spans="1:40" s="1" customFormat="1" x14ac:dyDescent="0.25">
      <c r="B24" s="1" t="s">
        <v>51</v>
      </c>
      <c r="C24" s="1">
        <v>9.4</v>
      </c>
      <c r="D24" s="1">
        <v>10.35</v>
      </c>
      <c r="E24" s="1">
        <v>12.87</v>
      </c>
      <c r="F24" s="1">
        <f t="shared" si="28"/>
        <v>13.550000000000002</v>
      </c>
      <c r="G24" s="1">
        <v>15.1</v>
      </c>
      <c r="H24" s="1">
        <v>19.515999999999998</v>
      </c>
      <c r="I24" s="1">
        <v>17.440000000000001</v>
      </c>
      <c r="J24" s="1">
        <f t="shared" si="29"/>
        <v>16.914000000000001</v>
      </c>
      <c r="K24" s="1">
        <v>22.292999999999999</v>
      </c>
      <c r="P24" s="11"/>
      <c r="R24" s="1">
        <v>37.978000000000002</v>
      </c>
      <c r="S24" s="1">
        <v>39.770000000000003</v>
      </c>
      <c r="T24" s="1">
        <v>46.17</v>
      </c>
      <c r="U24" s="1">
        <v>68.97</v>
      </c>
    </row>
    <row r="25" spans="1:40" x14ac:dyDescent="0.25">
      <c r="V25" s="15"/>
      <c r="W25" s="20"/>
    </row>
    <row r="26" spans="1:40" s="1" customFormat="1" x14ac:dyDescent="0.25">
      <c r="B26" s="1" t="s">
        <v>27</v>
      </c>
      <c r="F26" s="1">
        <v>0</v>
      </c>
      <c r="G26" s="1">
        <v>0</v>
      </c>
      <c r="H26" s="1">
        <v>0</v>
      </c>
      <c r="I26" s="1">
        <v>0</v>
      </c>
      <c r="J26" s="1">
        <v>85.2</v>
      </c>
      <c r="K26" s="1">
        <v>74.400000000000006</v>
      </c>
      <c r="L26" s="1">
        <v>104.952</v>
      </c>
      <c r="P26" s="11"/>
      <c r="R26" s="1">
        <v>8.9390000000000001</v>
      </c>
      <c r="S26" s="1">
        <v>11.6</v>
      </c>
      <c r="T26" s="1">
        <v>0</v>
      </c>
      <c r="U26" s="1">
        <v>85.2</v>
      </c>
    </row>
    <row r="27" spans="1:40" s="1" customFormat="1" x14ac:dyDescent="0.25">
      <c r="B27" s="1" t="s">
        <v>32</v>
      </c>
      <c r="F27" s="1">
        <v>342.1</v>
      </c>
      <c r="G27" s="1">
        <v>376.4</v>
      </c>
      <c r="H27" s="1">
        <v>425.714</v>
      </c>
      <c r="I27" s="1">
        <v>436.4</v>
      </c>
      <c r="J27" s="1">
        <v>488.45</v>
      </c>
      <c r="K27" s="1">
        <v>562.54999999999995</v>
      </c>
      <c r="L27" s="1">
        <v>577.64800000000002</v>
      </c>
      <c r="P27" s="11"/>
      <c r="R27" s="1">
        <v>341.85</v>
      </c>
      <c r="S27" s="1">
        <v>345.8</v>
      </c>
      <c r="T27" s="1">
        <v>342.1</v>
      </c>
      <c r="U27" s="1">
        <v>488.45</v>
      </c>
    </row>
    <row r="28" spans="1:40" s="1" customFormat="1" x14ac:dyDescent="0.25">
      <c r="B28" s="1" t="s">
        <v>34</v>
      </c>
      <c r="F28" s="1">
        <v>299.935</v>
      </c>
      <c r="G28" s="1">
        <v>310.10000000000002</v>
      </c>
      <c r="H28" s="1">
        <v>307.72800000000001</v>
      </c>
      <c r="I28" s="1">
        <v>309.10000000000002</v>
      </c>
      <c r="J28" s="1">
        <v>318.25</v>
      </c>
      <c r="K28" s="1">
        <v>319.73</v>
      </c>
      <c r="L28" s="1">
        <v>324.786</v>
      </c>
      <c r="P28" s="11"/>
      <c r="R28" s="1">
        <v>308.39999999999998</v>
      </c>
      <c r="S28" s="1">
        <v>308.06700000000001</v>
      </c>
      <c r="T28" s="1">
        <v>299.935</v>
      </c>
      <c r="U28" s="1">
        <v>318.25</v>
      </c>
    </row>
    <row r="29" spans="1:40" s="1" customFormat="1" x14ac:dyDescent="0.25">
      <c r="B29" s="1" t="s">
        <v>33</v>
      </c>
      <c r="F29" s="1">
        <v>178.7</v>
      </c>
      <c r="G29" s="1">
        <v>184.33</v>
      </c>
      <c r="H29" s="1">
        <v>180.476</v>
      </c>
      <c r="I29" s="1">
        <v>177.52</v>
      </c>
      <c r="J29" s="1">
        <v>181.15</v>
      </c>
      <c r="K29" s="1">
        <v>177.96</v>
      </c>
      <c r="L29" s="1">
        <v>178.61600000000001</v>
      </c>
      <c r="P29" s="11"/>
      <c r="R29" s="1">
        <v>205.11</v>
      </c>
      <c r="S29" s="1">
        <v>195.768</v>
      </c>
      <c r="T29" s="1">
        <v>178.7</v>
      </c>
      <c r="U29" s="1">
        <v>181.15</v>
      </c>
    </row>
    <row r="30" spans="1:40" s="1" customFormat="1" x14ac:dyDescent="0.25">
      <c r="B30" s="1" t="s">
        <v>28</v>
      </c>
      <c r="F30" s="1">
        <f>321.27+22.7</f>
        <v>343.96999999999997</v>
      </c>
      <c r="G30" s="1">
        <f>0+355.899+21.73</f>
        <v>377.62900000000002</v>
      </c>
      <c r="H30" s="1">
        <f>0+318.226+20.878</f>
        <v>339.10399999999998</v>
      </c>
      <c r="I30" s="1">
        <f>219.54+19.92</f>
        <v>239.45999999999998</v>
      </c>
      <c r="J30" s="1">
        <f>291.27+11.6</f>
        <v>302.87</v>
      </c>
      <c r="K30" s="1">
        <f>291.53+10.813</f>
        <v>302.34299999999996</v>
      </c>
      <c r="L30" s="1">
        <f>291.764+9.98</f>
        <v>301.74400000000003</v>
      </c>
      <c r="P30" s="11"/>
      <c r="R30" s="1">
        <f>1.74+497.9+26.668</f>
        <v>526.30799999999999</v>
      </c>
      <c r="S30" s="1">
        <f>2.17+458.4+23.42</f>
        <v>483.99</v>
      </c>
      <c r="T30" s="1">
        <f>321.27+22.7</f>
        <v>343.96999999999997</v>
      </c>
      <c r="U30" s="1">
        <f>291.27+11.6</f>
        <v>302.87</v>
      </c>
    </row>
    <row r="31" spans="1:40" s="1" customFormat="1" x14ac:dyDescent="0.25">
      <c r="B31" s="5" t="s">
        <v>36</v>
      </c>
      <c r="F31" s="1">
        <f t="shared" ref="F31:J31" si="30">F26-F30</f>
        <v>-343.96999999999997</v>
      </c>
      <c r="G31" s="1">
        <f t="shared" si="30"/>
        <v>-377.62900000000002</v>
      </c>
      <c r="H31" s="1">
        <f t="shared" si="30"/>
        <v>-339.10399999999998</v>
      </c>
      <c r="I31" s="1">
        <f t="shared" si="30"/>
        <v>-239.45999999999998</v>
      </c>
      <c r="J31" s="1">
        <f t="shared" si="30"/>
        <v>-217.67000000000002</v>
      </c>
      <c r="K31" s="1">
        <f>K26-K30</f>
        <v>-227.94299999999996</v>
      </c>
      <c r="L31" s="1">
        <f>L26-L30</f>
        <v>-196.79200000000003</v>
      </c>
      <c r="P31" s="11"/>
      <c r="R31" s="1">
        <f t="shared" ref="R31:U31" si="31">R26-R30</f>
        <v>-517.36900000000003</v>
      </c>
      <c r="S31" s="1">
        <f t="shared" si="31"/>
        <v>-472.39</v>
      </c>
      <c r="T31" s="1">
        <f t="shared" si="31"/>
        <v>-343.96999999999997</v>
      </c>
      <c r="U31" s="1">
        <f t="shared" si="31"/>
        <v>-217.67000000000002</v>
      </c>
      <c r="V31" s="1">
        <f>+U31+V15</f>
        <v>108.2160800000002</v>
      </c>
      <c r="W31" s="1">
        <f>+V31+W15</f>
        <v>416.25395194000032</v>
      </c>
      <c r="X31" s="1">
        <f t="shared" ref="X31:AF31" si="32">+W31+X15</f>
        <v>668.16332678720028</v>
      </c>
      <c r="Y31" s="1">
        <f t="shared" si="32"/>
        <v>965.63119108430828</v>
      </c>
      <c r="Z31" s="1">
        <f t="shared" si="32"/>
        <v>1223.6135120983454</v>
      </c>
      <c r="AA31" s="1">
        <f t="shared" si="32"/>
        <v>1510.1992763575986</v>
      </c>
      <c r="AB31" s="1">
        <f t="shared" si="32"/>
        <v>1773.6585094444972</v>
      </c>
      <c r="AC31" s="1">
        <f t="shared" si="32"/>
        <v>2108.4206096215116</v>
      </c>
      <c r="AD31" s="1">
        <f t="shared" si="32"/>
        <v>2469.2047234732345</v>
      </c>
      <c r="AE31" s="1">
        <f t="shared" si="32"/>
        <v>2857.9775166089021</v>
      </c>
      <c r="AF31" s="1">
        <f t="shared" si="32"/>
        <v>3276.8575366939867</v>
      </c>
    </row>
    <row r="32" spans="1:40" x14ac:dyDescent="0.25">
      <c r="A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2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</row>
    <row r="33" spans="1:37" x14ac:dyDescent="0.25">
      <c r="A33" s="13"/>
      <c r="B33" s="13" t="s">
        <v>20</v>
      </c>
      <c r="C33" s="13">
        <f t="shared" ref="C33:E33" si="33">C5/C3</f>
        <v>0.14069486404833834</v>
      </c>
      <c r="D33" s="13">
        <f t="shared" si="33"/>
        <v>0.14428209568241329</v>
      </c>
      <c r="E33" s="13">
        <f t="shared" si="33"/>
        <v>0.1830671260287717</v>
      </c>
      <c r="F33" s="13">
        <f>F5/F3</f>
        <v>0.14360686196007463</v>
      </c>
      <c r="G33" s="13">
        <f t="shared" ref="G33:K33" si="34">G5/G3</f>
        <v>0.17597956039240928</v>
      </c>
      <c r="H33" s="13">
        <f t="shared" si="34"/>
        <v>0.19203920759073642</v>
      </c>
      <c r="I33" s="13">
        <f t="shared" si="34"/>
        <v>0.1579319806930479</v>
      </c>
      <c r="J33" s="13">
        <f t="shared" si="34"/>
        <v>0.1988390043557888</v>
      </c>
      <c r="K33" s="13">
        <f t="shared" si="34"/>
        <v>0.22348921139522382</v>
      </c>
      <c r="L33" s="13">
        <f>L5/L3</f>
        <v>0.16252218815555919</v>
      </c>
      <c r="M33" s="13"/>
      <c r="N33" s="13"/>
      <c r="O33" s="13"/>
      <c r="P33" s="14"/>
      <c r="Q33" s="13"/>
      <c r="R33" s="13">
        <f t="shared" ref="R33:U33" si="35">R5/R3</f>
        <v>0.11591735508322121</v>
      </c>
      <c r="S33" s="13">
        <f t="shared" si="35"/>
        <v>0.13533250418995477</v>
      </c>
      <c r="T33" s="13">
        <f t="shared" si="35"/>
        <v>0.15423433312885418</v>
      </c>
      <c r="U33" s="13">
        <f t="shared" si="35"/>
        <v>0.1819939352422279</v>
      </c>
      <c r="V33" s="13">
        <v>0.17</v>
      </c>
      <c r="W33" s="13">
        <v>0.16</v>
      </c>
      <c r="X33" s="13">
        <v>0.15</v>
      </c>
      <c r="Y33" s="13">
        <v>0.15</v>
      </c>
      <c r="Z33" s="13">
        <v>0.14000000000000001</v>
      </c>
      <c r="AA33" s="13">
        <v>0.14000000000000001</v>
      </c>
      <c r="AB33" s="13">
        <v>0.14000000000000001</v>
      </c>
      <c r="AC33" s="13">
        <v>0.14000000000000001</v>
      </c>
      <c r="AD33" s="13">
        <v>0.14000000000000001</v>
      </c>
      <c r="AE33" s="13">
        <v>0.14000000000000001</v>
      </c>
      <c r="AF33" s="13">
        <v>0.14000000000000001</v>
      </c>
      <c r="AG33" s="13"/>
      <c r="AH33" s="13"/>
      <c r="AI33" s="13"/>
      <c r="AJ33" s="13"/>
      <c r="AK33" s="13"/>
    </row>
    <row r="34" spans="1:37" x14ac:dyDescent="0.25">
      <c r="A34" s="15"/>
      <c r="B34" s="15" t="s">
        <v>21</v>
      </c>
      <c r="C34" s="15">
        <f t="shared" ref="C34:E34" si="36">C11/C3</f>
        <v>1.2510574018126877E-2</v>
      </c>
      <c r="D34" s="15">
        <f t="shared" si="36"/>
        <v>3.1627001731614028E-2</v>
      </c>
      <c r="E34" s="15">
        <f t="shared" si="36"/>
        <v>9.3540880510364882E-2</v>
      </c>
      <c r="F34" s="15">
        <f>F11/F3</f>
        <v>3.505621820358245E-2</v>
      </c>
      <c r="G34" s="15">
        <f t="shared" ref="G34:K34" si="37">G11/G3</f>
        <v>9.7136894661907863E-2</v>
      </c>
      <c r="H34" s="15">
        <f t="shared" si="37"/>
        <v>0.12020704788555792</v>
      </c>
      <c r="I34" s="15">
        <f t="shared" si="37"/>
        <v>7.3180805939586466E-2</v>
      </c>
      <c r="J34" s="15">
        <f t="shared" si="37"/>
        <v>0.11329060452763588</v>
      </c>
      <c r="K34" s="15">
        <f t="shared" si="37"/>
        <v>0.14838362896414034</v>
      </c>
      <c r="L34" s="15">
        <f t="shared" ref="L34" si="38">L11/L3</f>
        <v>8.3993868000645525E-2</v>
      </c>
      <c r="M34" s="15"/>
      <c r="N34" s="15"/>
      <c r="O34" s="15"/>
      <c r="P34" s="16"/>
      <c r="Q34" s="15"/>
      <c r="R34" s="15">
        <f t="shared" ref="R34:V34" si="39">R11/R3</f>
        <v>-4.6394327331156678E-3</v>
      </c>
      <c r="S34" s="15">
        <f t="shared" si="39"/>
        <v>1.3327089479232286E-2</v>
      </c>
      <c r="T34" s="15">
        <f t="shared" si="39"/>
        <v>4.5911600426177646E-2</v>
      </c>
      <c r="U34" s="15">
        <f t="shared" si="39"/>
        <v>0.10242847490279784</v>
      </c>
      <c r="V34" s="15">
        <f t="shared" si="39"/>
        <v>9.4407412664830506E-2</v>
      </c>
      <c r="W34" s="15">
        <f t="shared" ref="W34:AF34" si="40">W11/W3</f>
        <v>8.4124958759013865E-2</v>
      </c>
      <c r="X34" s="15">
        <f t="shared" si="40"/>
        <v>6.4892250936253046E-2</v>
      </c>
      <c r="Y34" s="15">
        <f t="shared" si="40"/>
        <v>7.0414887449621502E-2</v>
      </c>
      <c r="Z34" s="15">
        <f t="shared" si="40"/>
        <v>6.0751291324749469E-2</v>
      </c>
      <c r="AA34" s="15">
        <f t="shared" si="40"/>
        <v>6.0971798459582463E-2</v>
      </c>
      <c r="AB34" s="15">
        <f t="shared" si="40"/>
        <v>6.1100144076819615E-2</v>
      </c>
      <c r="AC34" s="15">
        <f t="shared" si="40"/>
        <v>6.6201617359428741E-2</v>
      </c>
      <c r="AD34" s="15">
        <f t="shared" si="40"/>
        <v>6.630155133353699E-2</v>
      </c>
      <c r="AE34" s="15">
        <f t="shared" si="40"/>
        <v>6.6399911231966202E-2</v>
      </c>
      <c r="AF34" s="15">
        <f t="shared" si="40"/>
        <v>6.6496665579517625E-2</v>
      </c>
      <c r="AG34" s="15"/>
      <c r="AH34" s="15"/>
      <c r="AI34" s="15"/>
      <c r="AJ34" s="15"/>
      <c r="AK34" s="15"/>
    </row>
    <row r="35" spans="1:37" s="18" customFormat="1" x14ac:dyDescent="0.25">
      <c r="B35" s="18" t="s">
        <v>22</v>
      </c>
      <c r="C35" s="18">
        <f t="shared" ref="C35:E35" si="41">C14/C3</f>
        <v>-7.5921450151057402E-3</v>
      </c>
      <c r="D35" s="18">
        <f t="shared" si="41"/>
        <v>4.9200738440402427E-3</v>
      </c>
      <c r="E35" s="18">
        <f t="shared" si="41"/>
        <v>1.813875689818073E-2</v>
      </c>
      <c r="F35" s="18">
        <f>F14/F3</f>
        <v>-1.3865346685664768E-5</v>
      </c>
      <c r="G35" s="18">
        <f t="shared" ref="G35:K35" si="42">G14/G3</f>
        <v>2.1206092875392504E-2</v>
      </c>
      <c r="H35" s="18">
        <f t="shared" si="42"/>
        <v>2.6683793227362737E-2</v>
      </c>
      <c r="I35" s="18">
        <f t="shared" si="42"/>
        <v>1.6719507396672165E-2</v>
      </c>
      <c r="J35" s="18">
        <f t="shared" si="42"/>
        <v>2.5553004343455733E-2</v>
      </c>
      <c r="K35" s="18">
        <f t="shared" si="42"/>
        <v>3.6320356292712894E-2</v>
      </c>
      <c r="L35" s="18">
        <f t="shared" ref="L35" si="43">L14/L3</f>
        <v>1.7256737130869775E-2</v>
      </c>
      <c r="P35" s="19"/>
      <c r="R35" s="18">
        <f t="shared" ref="R35:V35" si="44">R14/R3</f>
        <v>-4.2440225649265596E-3</v>
      </c>
      <c r="S35" s="18">
        <f t="shared" si="44"/>
        <v>-1.4977666214176834E-3</v>
      </c>
      <c r="T35" s="18">
        <f t="shared" si="44"/>
        <v>4.5846382332999707E-3</v>
      </c>
      <c r="U35" s="18">
        <f t="shared" si="44"/>
        <v>2.2851558390244015E-2</v>
      </c>
      <c r="V35" s="18">
        <f t="shared" si="44"/>
        <v>2.4999999999999998E-2</v>
      </c>
      <c r="W35" s="18">
        <f t="shared" ref="W35:AF35" si="45">W14/W3</f>
        <v>2.5000000000000001E-2</v>
      </c>
      <c r="X35" s="18">
        <f t="shared" si="45"/>
        <v>2.5000000000000005E-2</v>
      </c>
      <c r="Y35" s="18">
        <f t="shared" si="45"/>
        <v>2.9999999999999995E-2</v>
      </c>
      <c r="Z35" s="18">
        <f t="shared" si="45"/>
        <v>0.03</v>
      </c>
      <c r="AA35" s="18">
        <f t="shared" si="45"/>
        <v>2.9999999999999995E-2</v>
      </c>
      <c r="AB35" s="18">
        <f t="shared" si="45"/>
        <v>3.5000000000000003E-2</v>
      </c>
      <c r="AC35" s="18">
        <f t="shared" si="45"/>
        <v>3.5000000000000003E-2</v>
      </c>
      <c r="AD35" s="18">
        <f t="shared" si="45"/>
        <v>3.5000000000000003E-2</v>
      </c>
      <c r="AE35" s="18">
        <f t="shared" si="45"/>
        <v>3.5000000000000003E-2</v>
      </c>
      <c r="AF35" s="18">
        <f t="shared" si="45"/>
        <v>3.5000000000000003E-2</v>
      </c>
    </row>
    <row r="36" spans="1:37" x14ac:dyDescent="0.25">
      <c r="A36" s="15"/>
      <c r="B36" s="15" t="s">
        <v>37</v>
      </c>
      <c r="C36" s="15"/>
      <c r="D36" s="15"/>
      <c r="E36" s="15"/>
      <c r="F36" s="15">
        <f>F3/F28</f>
        <v>2.885515194958908</v>
      </c>
      <c r="G36" s="15">
        <f t="shared" ref="G36:K36" si="46">G3/G28</f>
        <v>3.3068687520154789</v>
      </c>
      <c r="H36" s="15">
        <f t="shared" si="46"/>
        <v>4.2502144751208863</v>
      </c>
      <c r="I36" s="15">
        <f t="shared" si="46"/>
        <v>3.1408670333225492</v>
      </c>
      <c r="J36" s="15">
        <f t="shared" si="46"/>
        <v>3.0572128829536522</v>
      </c>
      <c r="K36" s="15">
        <f t="shared" si="46"/>
        <v>4.0731241985425202</v>
      </c>
      <c r="L36" s="15">
        <f t="shared" ref="L36" si="47">L3/L28</f>
        <v>3.8160511844722373</v>
      </c>
      <c r="M36" s="15"/>
      <c r="N36" s="15"/>
      <c r="O36" s="15"/>
      <c r="P36" s="16"/>
      <c r="Q36" s="15"/>
      <c r="R36" s="15">
        <f t="shared" ref="R36:U36" si="48">R3/R28</f>
        <v>9.2829118028534374</v>
      </c>
      <c r="S36" s="15">
        <f t="shared" si="48"/>
        <v>8.5606702438106002</v>
      </c>
      <c r="T36" s="15">
        <f t="shared" si="48"/>
        <v>10.32657075699735</v>
      </c>
      <c r="U36" s="15">
        <f t="shared" si="48"/>
        <v>13.439654359780047</v>
      </c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</row>
    <row r="37" spans="1:37" x14ac:dyDescent="0.25">
      <c r="A37" s="15"/>
      <c r="B37" s="15" t="s">
        <v>43</v>
      </c>
      <c r="C37" s="15">
        <f t="shared" ref="C37:E37" si="49">C6/C3</f>
        <v>0.11267069486404833</v>
      </c>
      <c r="D37" s="15">
        <f t="shared" si="49"/>
        <v>0.10117778382014112</v>
      </c>
      <c r="E37" s="15">
        <f t="shared" si="49"/>
        <v>9.181425453727228E-2</v>
      </c>
      <c r="F37" s="15">
        <f>F6/F3</f>
        <v>0.10279305854527096</v>
      </c>
      <c r="G37" s="15">
        <f t="shared" ref="G37:K37" si="50">G6/G3</f>
        <v>7.3684005226922547E-2</v>
      </c>
      <c r="H37" s="15">
        <f t="shared" si="50"/>
        <v>6.6518338417781042E-2</v>
      </c>
      <c r="I37" s="15">
        <f t="shared" si="50"/>
        <v>7.8488569715772505E-2</v>
      </c>
      <c r="J37" s="15">
        <f t="shared" si="50"/>
        <v>8.575909751500066E-2</v>
      </c>
      <c r="K37" s="15">
        <f t="shared" si="50"/>
        <v>7.0091376794901336E-2</v>
      </c>
      <c r="L37" s="15">
        <f t="shared" ref="L37" si="51">L6/L3</f>
        <v>7.369533645312247E-2</v>
      </c>
      <c r="M37" s="15"/>
      <c r="N37" s="15"/>
      <c r="O37" s="15"/>
      <c r="P37" s="16"/>
      <c r="Q37" s="15"/>
      <c r="R37" s="15">
        <f t="shared" ref="R37:U37" si="52">R6/R3</f>
        <v>0.11153570742441972</v>
      </c>
      <c r="S37" s="15">
        <f t="shared" si="52"/>
        <v>0.11550245330380773</v>
      </c>
      <c r="T37" s="15">
        <f t="shared" si="52"/>
        <v>0.10145223258967488</v>
      </c>
      <c r="U37" s="15">
        <f t="shared" si="52"/>
        <v>7.5330183275390025E-2</v>
      </c>
      <c r="V37" s="15">
        <v>7.0000000000000007E-2</v>
      </c>
      <c r="W37" s="15">
        <v>7.0000000000000007E-2</v>
      </c>
      <c r="X37" s="15">
        <v>7.0000000000000007E-2</v>
      </c>
      <c r="Y37" s="15">
        <v>7.0000000000000007E-2</v>
      </c>
      <c r="Z37" s="15">
        <v>7.0000000000000007E-2</v>
      </c>
      <c r="AA37" s="15">
        <v>0.06</v>
      </c>
      <c r="AB37" s="15">
        <v>0.06</v>
      </c>
      <c r="AC37" s="15">
        <v>0.06</v>
      </c>
      <c r="AD37" s="15">
        <v>0.06</v>
      </c>
      <c r="AE37" s="15">
        <v>0.06</v>
      </c>
      <c r="AF37" s="15">
        <v>0.06</v>
      </c>
      <c r="AG37" s="15"/>
      <c r="AH37" s="15"/>
      <c r="AI37" s="15"/>
      <c r="AJ37" s="15"/>
      <c r="AK37" s="15"/>
    </row>
    <row r="38" spans="1:37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6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</row>
    <row r="39" spans="1:37" s="15" customFormat="1" x14ac:dyDescent="0.25">
      <c r="B39" s="15" t="s">
        <v>53</v>
      </c>
      <c r="G39" s="15">
        <f t="shared" ref="G39:J39" si="53">G19/C19-1</f>
        <v>0.33618766435345604</v>
      </c>
      <c r="H39" s="15">
        <f t="shared" si="53"/>
        <v>0.50297840323751086</v>
      </c>
      <c r="I39" s="15">
        <f t="shared" si="53"/>
        <v>0.29236476541865764</v>
      </c>
      <c r="J39" s="15">
        <f t="shared" si="53"/>
        <v>0.28595641743623568</v>
      </c>
      <c r="K39" s="15">
        <f>K19/G19-1</f>
        <v>0.3639431616341029</v>
      </c>
      <c r="L39" s="15">
        <f>L19/H19-1</f>
        <v>0.16687327548286479</v>
      </c>
      <c r="P39" s="16"/>
      <c r="S39" s="15">
        <f t="shared" ref="S39:T39" si="54">S19/R19-1</f>
        <v>-2.3921363761341796E-2</v>
      </c>
      <c r="T39" s="15">
        <f t="shared" si="54"/>
        <v>5.0772422970378983E-2</v>
      </c>
      <c r="U39" s="15">
        <f>U19/T19-1</f>
        <v>0.35128034657287488</v>
      </c>
      <c r="V39" s="15">
        <v>0.3</v>
      </c>
      <c r="W39" s="15">
        <v>-0.01</v>
      </c>
      <c r="X39" s="15">
        <v>0.23</v>
      </c>
      <c r="Y39" s="15">
        <v>0.18</v>
      </c>
      <c r="Z39" s="15">
        <v>0.15</v>
      </c>
      <c r="AA39" s="15">
        <v>0.12</v>
      </c>
      <c r="AB39" s="15">
        <v>0.09</v>
      </c>
      <c r="AC39" s="15">
        <v>0.08</v>
      </c>
      <c r="AD39" s="15">
        <v>0.08</v>
      </c>
      <c r="AE39" s="15">
        <v>0.08</v>
      </c>
      <c r="AF39" s="15">
        <v>0.08</v>
      </c>
    </row>
    <row r="40" spans="1:37" s="15" customFormat="1" x14ac:dyDescent="0.25">
      <c r="B40" s="15" t="s">
        <v>54</v>
      </c>
      <c r="G40" s="15">
        <f t="shared" ref="G40:L40" si="55">G20/C20-1</f>
        <v>0.92088799528086329</v>
      </c>
      <c r="H40" s="15">
        <f t="shared" si="55"/>
        <v>1.535541111315931</v>
      </c>
      <c r="I40" s="15">
        <f t="shared" si="55"/>
        <v>-0.12064947876396404</v>
      </c>
      <c r="J40" s="15">
        <f t="shared" si="55"/>
        <v>-9.5233682052848212E-2</v>
      </c>
      <c r="K40" s="15">
        <f t="shared" si="55"/>
        <v>0.15570934256055358</v>
      </c>
      <c r="L40" s="15">
        <f t="shared" si="55"/>
        <v>-0.28638869396450906</v>
      </c>
      <c r="P40" s="16"/>
      <c r="S40" s="15">
        <f t="shared" ref="S40:U40" si="56">S20/R20-1</f>
        <v>-0.17431737313615769</v>
      </c>
      <c r="T40" s="15">
        <f t="shared" si="56"/>
        <v>0.4289690362982721</v>
      </c>
      <c r="U40" s="15">
        <f t="shared" si="56"/>
        <v>0.42579938321701016</v>
      </c>
      <c r="V40" s="15">
        <v>0.12</v>
      </c>
      <c r="W40" s="15">
        <v>-0.01</v>
      </c>
      <c r="X40" s="15">
        <v>0.14000000000000001</v>
      </c>
      <c r="Y40" s="15">
        <v>0.12</v>
      </c>
      <c r="Z40" s="15">
        <v>7.0000000000000007E-2</v>
      </c>
      <c r="AA40" s="15">
        <v>0.05</v>
      </c>
      <c r="AB40" s="15">
        <v>0.04</v>
      </c>
      <c r="AC40" s="15">
        <v>0.04</v>
      </c>
      <c r="AD40" s="15">
        <v>0.04</v>
      </c>
      <c r="AE40" s="15">
        <v>0.04</v>
      </c>
      <c r="AF40" s="15">
        <v>0.04</v>
      </c>
    </row>
    <row r="41" spans="1:37" s="15" customFormat="1" x14ac:dyDescent="0.25">
      <c r="P41" s="16"/>
    </row>
    <row r="42" spans="1:37" s="15" customFormat="1" x14ac:dyDescent="0.25">
      <c r="B42" s="15" t="s">
        <v>57</v>
      </c>
      <c r="G42" s="15">
        <f t="shared" ref="G42:G44" si="57">G22/C22-1</f>
        <v>0.5559854330160543</v>
      </c>
      <c r="H42" s="15">
        <f t="shared" ref="H42:H44" si="58">H22/D22-1</f>
        <v>0.76648278087210753</v>
      </c>
      <c r="I42" s="15">
        <f t="shared" ref="I42:I44" si="59">I22/E22-1</f>
        <v>5.1752249441413989E-2</v>
      </c>
      <c r="J42" s="15">
        <f t="shared" ref="J42:J44" si="60">J22/F22-1</f>
        <v>0.12747727755157223</v>
      </c>
      <c r="K42" s="15">
        <f t="shared" ref="K42:L44" si="61">K22/G22-1</f>
        <v>0.26901342123852134</v>
      </c>
      <c r="L42" s="15">
        <f t="shared" si="61"/>
        <v>-1</v>
      </c>
      <c r="P42" s="16"/>
      <c r="S42" s="15">
        <f t="shared" ref="S42:U42" si="62">S22/R22-1</f>
        <v>-7.0625800363954938E-2</v>
      </c>
      <c r="T42" s="15">
        <f t="shared" si="62"/>
        <v>0.18655552836021116</v>
      </c>
      <c r="U42" s="15">
        <f t="shared" si="62"/>
        <v>0.34204671772637862</v>
      </c>
    </row>
    <row r="43" spans="1:37" s="15" customFormat="1" x14ac:dyDescent="0.25">
      <c r="B43" s="15" t="s">
        <v>55</v>
      </c>
      <c r="G43" s="15">
        <f t="shared" si="57"/>
        <v>0.52173913043478248</v>
      </c>
      <c r="H43" s="15">
        <f t="shared" si="58"/>
        <v>1.4597581781766928</v>
      </c>
      <c r="I43" s="15">
        <f t="shared" si="59"/>
        <v>0.47401801801801802</v>
      </c>
      <c r="J43" s="15">
        <f t="shared" si="60"/>
        <v>0.12053012927439588</v>
      </c>
      <c r="K43" s="15">
        <f t="shared" si="61"/>
        <v>0.29068550497121937</v>
      </c>
      <c r="L43" s="15">
        <f t="shared" si="61"/>
        <v>-1</v>
      </c>
      <c r="P43" s="16"/>
      <c r="S43" s="15">
        <f t="shared" ref="S43:U43" si="63">S23/R23-1</f>
        <v>-0.10650977415069274</v>
      </c>
      <c r="T43" s="15">
        <f t="shared" si="63"/>
        <v>0.11655125536343935</v>
      </c>
      <c r="U43" s="15">
        <f t="shared" si="63"/>
        <v>0.58445733853324455</v>
      </c>
    </row>
    <row r="44" spans="1:37" s="15" customFormat="1" x14ac:dyDescent="0.25">
      <c r="B44" s="15" t="s">
        <v>56</v>
      </c>
      <c r="G44" s="15">
        <f t="shared" si="57"/>
        <v>0.60638297872340408</v>
      </c>
      <c r="H44" s="15">
        <f t="shared" si="58"/>
        <v>0.88560386473429942</v>
      </c>
      <c r="I44" s="15">
        <f t="shared" si="59"/>
        <v>0.35508935508935524</v>
      </c>
      <c r="J44" s="15">
        <f t="shared" si="60"/>
        <v>0.24826568265682636</v>
      </c>
      <c r="K44" s="15">
        <f t="shared" si="61"/>
        <v>0.47635761589403969</v>
      </c>
      <c r="L44" s="15">
        <f t="shared" si="61"/>
        <v>-1</v>
      </c>
      <c r="P44" s="16"/>
      <c r="S44" s="15">
        <f t="shared" ref="S44:U44" si="64">S24/R24-1</f>
        <v>4.7185212491442474E-2</v>
      </c>
      <c r="T44" s="15">
        <f t="shared" si="64"/>
        <v>0.16092532059341202</v>
      </c>
      <c r="U44" s="15">
        <f t="shared" si="64"/>
        <v>0.49382716049382713</v>
      </c>
    </row>
    <row r="46" spans="1:37" s="4" customFormat="1" x14ac:dyDescent="0.25">
      <c r="A46" s="13"/>
      <c r="B46" s="13" t="s">
        <v>23</v>
      </c>
      <c r="C46" s="13"/>
      <c r="D46" s="13"/>
      <c r="E46" s="13"/>
      <c r="F46" s="13"/>
      <c r="G46" s="13">
        <f t="shared" ref="G46:J46" si="65">G3/C3-1</f>
        <v>0.54903323262839887</v>
      </c>
      <c r="H46" s="13">
        <f t="shared" si="65"/>
        <v>0.87173175723056251</v>
      </c>
      <c r="I46" s="13">
        <f t="shared" si="65"/>
        <v>0.11454854585718821</v>
      </c>
      <c r="J46" s="13">
        <f t="shared" si="65"/>
        <v>0.12419999838237583</v>
      </c>
      <c r="K46" s="13">
        <f>K3/G3-1</f>
        <v>0.26996664911356838</v>
      </c>
      <c r="L46" s="13">
        <f>L3/H3-1</f>
        <v>-5.2381280057496316E-2</v>
      </c>
      <c r="M46" s="13"/>
      <c r="N46" s="13"/>
      <c r="O46" s="13"/>
      <c r="P46" s="14"/>
      <c r="Q46" s="13"/>
      <c r="R46" s="13"/>
      <c r="S46" s="13">
        <f t="shared" ref="S46:T46" si="66">S3/R3-1</f>
        <v>-7.8799098800146572E-2</v>
      </c>
      <c r="T46" s="13">
        <f t="shared" si="66"/>
        <v>0.17443862190303561</v>
      </c>
      <c r="U46" s="13">
        <f>U3/T3-1</f>
        <v>0.38093500791011525</v>
      </c>
      <c r="V46" s="13">
        <f t="shared" ref="V46:AF46" si="67">V3/U3-1</f>
        <v>0.22606405637372395</v>
      </c>
      <c r="W46" s="13">
        <f t="shared" si="67"/>
        <v>-9.9999999999998979E-3</v>
      </c>
      <c r="X46" s="13">
        <f t="shared" si="67"/>
        <v>0.19623004465755733</v>
      </c>
      <c r="Y46" s="13">
        <f t="shared" si="67"/>
        <v>0.15854495782405853</v>
      </c>
      <c r="Z46" s="13">
        <f t="shared" si="67"/>
        <v>0.12234502689513072</v>
      </c>
      <c r="AA46" s="13">
        <f t="shared" si="67"/>
        <v>9.6930473295665953E-2</v>
      </c>
      <c r="AB46" s="13">
        <f t="shared" si="67"/>
        <v>7.4226762361458309E-2</v>
      </c>
      <c r="AC46" s="13">
        <f t="shared" si="67"/>
        <v>6.7783460461906753E-2</v>
      </c>
      <c r="AD46" s="13">
        <f t="shared" si="67"/>
        <v>6.8101331786764474E-2</v>
      </c>
      <c r="AE46" s="13">
        <f t="shared" si="67"/>
        <v>6.8414381132673618E-2</v>
      </c>
      <c r="AF46" s="13">
        <f t="shared" si="67"/>
        <v>6.8722499589301878E-2</v>
      </c>
      <c r="AG46" s="13"/>
      <c r="AH46" s="13"/>
      <c r="AI46" s="13"/>
      <c r="AJ46" s="13"/>
      <c r="AK46" s="13"/>
    </row>
    <row r="47" spans="1:37" x14ac:dyDescent="0.25">
      <c r="A47" s="13"/>
      <c r="B47" s="13" t="s">
        <v>24</v>
      </c>
      <c r="C47" s="13"/>
      <c r="D47" s="13"/>
      <c r="E47" s="13"/>
      <c r="F47" s="13"/>
      <c r="G47" s="13">
        <f t="shared" ref="G47:J47" si="68">G15/C15-1</f>
        <v>-72.032110091742524</v>
      </c>
      <c r="H47" s="13">
        <f t="shared" si="68"/>
        <v>15.869332540508573</v>
      </c>
      <c r="I47" s="13">
        <f t="shared" si="68"/>
        <v>-0.14316565040650353</v>
      </c>
      <c r="J47" s="13">
        <f t="shared" si="68"/>
        <v>2.6962248026944096</v>
      </c>
      <c r="K47" s="13">
        <f>K15/G15-1</f>
        <v>1.1554730384242791</v>
      </c>
      <c r="L47" s="13">
        <f>L15/H15-1</f>
        <v>-0.37151921043355618</v>
      </c>
      <c r="M47" s="13"/>
      <c r="N47" s="13"/>
      <c r="O47" s="13"/>
      <c r="P47" s="14"/>
      <c r="Q47" s="13"/>
      <c r="R47" s="13"/>
      <c r="S47" s="13">
        <f t="shared" ref="S47:T47" si="69">S15/R15-1</f>
        <v>-0.63366769333222761</v>
      </c>
      <c r="T47" s="13">
        <f t="shared" si="69"/>
        <v>-5.5930807248764784</v>
      </c>
      <c r="U47" s="13">
        <f>U15/T15-1</f>
        <v>2.6630386384999727</v>
      </c>
      <c r="V47" s="13">
        <f t="shared" ref="V47:AF47" si="70">V15/U15-1</f>
        <v>0.10035682932429446</v>
      </c>
      <c r="W47" s="13">
        <f t="shared" si="70"/>
        <v>-5.4768243123486826E-2</v>
      </c>
      <c r="X47" s="13">
        <f t="shared" si="70"/>
        <v>-0.18221297511019352</v>
      </c>
      <c r="Y47" s="13">
        <f t="shared" si="70"/>
        <v>0.18085269544868043</v>
      </c>
      <c r="Z47" s="13">
        <f t="shared" si="70"/>
        <v>-0.1327388535779217</v>
      </c>
      <c r="AA47" s="13">
        <f t="shared" si="70"/>
        <v>0.11087365650788006</v>
      </c>
      <c r="AB47" s="13">
        <f t="shared" si="70"/>
        <v>-8.0696719992810029E-2</v>
      </c>
      <c r="AC47" s="13">
        <f t="shared" si="70"/>
        <v>0.27064098780928791</v>
      </c>
      <c r="AD47" s="13">
        <f t="shared" si="70"/>
        <v>7.7732854647968974E-2</v>
      </c>
      <c r="AE47" s="13">
        <f t="shared" si="70"/>
        <v>7.7577360558195751E-2</v>
      </c>
      <c r="AF47" s="13">
        <f t="shared" si="70"/>
        <v>7.7441702405628199E-2</v>
      </c>
      <c r="AG47" s="13"/>
      <c r="AH47" s="13"/>
      <c r="AI47" s="13"/>
      <c r="AJ47" s="13"/>
      <c r="AK47" s="13"/>
    </row>
    <row r="48" spans="1:37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6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</row>
    <row r="49" spans="2:32" s="18" customFormat="1" x14ac:dyDescent="0.25">
      <c r="B49" s="18" t="s">
        <v>38</v>
      </c>
      <c r="G49" s="18">
        <f t="shared" ref="G49:J49" si="71">(1+G12/F31)^4-1</f>
        <v>-0.17583469150172226</v>
      </c>
      <c r="H49" s="18">
        <f t="shared" si="71"/>
        <v>-9.3356070950372683E-2</v>
      </c>
      <c r="I49" s="18">
        <f t="shared" si="71"/>
        <v>-9.4368836442965565E-2</v>
      </c>
      <c r="J49" s="18">
        <f t="shared" si="71"/>
        <v>-0.1833864027893044</v>
      </c>
      <c r="K49" s="18">
        <f>(1+K12/J31)^4-1</f>
        <v>-0.19203611713359203</v>
      </c>
      <c r="L49" s="18">
        <f>(1+L12/K31)^4-1</f>
        <v>-0.18335293557534404</v>
      </c>
      <c r="P49" s="19"/>
      <c r="S49" s="18">
        <f>S12/R31</f>
        <v>-0.10476081868067086</v>
      </c>
      <c r="T49" s="18">
        <f>T12/S31</f>
        <v>-0.10034082008509917</v>
      </c>
      <c r="U49" s="18">
        <f>U12/T31</f>
        <v>-0.13227897781783296</v>
      </c>
      <c r="V49" s="18">
        <f>V12/U31</f>
        <v>-0.17499999999999999</v>
      </c>
      <c r="W49" s="18">
        <f>W12/V31</f>
        <v>-0.01</v>
      </c>
      <c r="X49" s="18">
        <f t="shared" ref="X49:AF49" si="72">X12/W31</f>
        <v>-1.0000000000000002E-2</v>
      </c>
      <c r="Y49" s="18">
        <f t="shared" si="72"/>
        <v>-0.01</v>
      </c>
      <c r="Z49" s="18">
        <f t="shared" si="72"/>
        <v>-0.01</v>
      </c>
      <c r="AA49" s="18">
        <f t="shared" si="72"/>
        <v>-0.01</v>
      </c>
      <c r="AB49" s="18">
        <f t="shared" si="72"/>
        <v>-0.01</v>
      </c>
      <c r="AC49" s="18">
        <f t="shared" si="72"/>
        <v>-0.01</v>
      </c>
      <c r="AD49" s="18">
        <f t="shared" si="72"/>
        <v>-0.01</v>
      </c>
      <c r="AE49" s="18">
        <f t="shared" si="72"/>
        <v>-0.01</v>
      </c>
      <c r="AF49" s="18">
        <f t="shared" si="72"/>
        <v>-0.01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2022-07-29T15:39:37Z</dcterms:created>
  <dcterms:modified xsi:type="dcterms:W3CDTF">2022-08-03T03:09:39Z</dcterms:modified>
</cp:coreProperties>
</file>