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Models\"/>
    </mc:Choice>
  </mc:AlternateContent>
  <xr:revisionPtr revIDLastSave="0" documentId="13_ncr:1_{073CDBB1-F7F7-4935-8C5D-2760DE5FACA0}" xr6:coauthVersionLast="47" xr6:coauthVersionMax="47" xr10:uidLastSave="{00000000-0000-0000-0000-000000000000}"/>
  <bookViews>
    <workbookView xWindow="18930" yWindow="3480" windowWidth="32565" windowHeight="17250" activeTab="1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2" l="1"/>
  <c r="Z3" i="2" s="1"/>
  <c r="X3" i="2"/>
  <c r="W3" i="2"/>
  <c r="Q21" i="2"/>
  <c r="R21" i="2"/>
  <c r="Q19" i="2"/>
  <c r="R19" i="2"/>
  <c r="Q18" i="2"/>
  <c r="R18" i="2"/>
  <c r="R28" i="2"/>
  <c r="W26" i="2"/>
  <c r="V12" i="2"/>
  <c r="V11" i="2"/>
  <c r="S21" i="2"/>
  <c r="S19" i="2"/>
  <c r="S18" i="2"/>
  <c r="T21" i="2"/>
  <c r="T19" i="2"/>
  <c r="U19" i="2"/>
  <c r="V19" i="2" s="1"/>
  <c r="T18" i="2"/>
  <c r="U18" i="2"/>
  <c r="AG6" i="2"/>
  <c r="AF6" i="2"/>
  <c r="AE6" i="2"/>
  <c r="AD6" i="2"/>
  <c r="AC6" i="2"/>
  <c r="AB6" i="2"/>
  <c r="AA6" i="2"/>
  <c r="Z6" i="2"/>
  <c r="Y6" i="2"/>
  <c r="X6" i="2"/>
  <c r="K21" i="2"/>
  <c r="K19" i="2"/>
  <c r="W28" i="2" l="1"/>
  <c r="W12" i="2"/>
  <c r="W25" i="2" s="1"/>
  <c r="U21" i="2"/>
  <c r="V21" i="2"/>
  <c r="V3" i="2"/>
  <c r="V25" i="2" s="1"/>
  <c r="S28" i="2"/>
  <c r="Q26" i="2"/>
  <c r="S26" i="2"/>
  <c r="R26" i="2"/>
  <c r="S25" i="2"/>
  <c r="R25" i="2"/>
  <c r="Q25" i="2"/>
  <c r="S5" i="2"/>
  <c r="S9" i="2" s="1"/>
  <c r="S24" i="2" s="1"/>
  <c r="R5" i="2"/>
  <c r="R23" i="2" s="1"/>
  <c r="Q5" i="2"/>
  <c r="Q9" i="2" s="1"/>
  <c r="Q24" i="2" s="1"/>
  <c r="F25" i="2"/>
  <c r="E25" i="2"/>
  <c r="D25" i="2"/>
  <c r="C25" i="2"/>
  <c r="U4" i="2"/>
  <c r="U6" i="2"/>
  <c r="V6" i="2" s="1"/>
  <c r="W6" i="2" s="1"/>
  <c r="U7" i="2"/>
  <c r="U12" i="2"/>
  <c r="U3" i="2"/>
  <c r="T12" i="2"/>
  <c r="T6" i="2"/>
  <c r="T4" i="2"/>
  <c r="T3" i="2"/>
  <c r="G28" i="2"/>
  <c r="C7" i="2"/>
  <c r="C8" i="2" s="1"/>
  <c r="C9" i="2" s="1"/>
  <c r="C26" i="2"/>
  <c r="C5" i="2"/>
  <c r="C23" i="2" s="1"/>
  <c r="X5" i="2" l="1"/>
  <c r="X12" i="2"/>
  <c r="X25" i="2" s="1"/>
  <c r="X28" i="2"/>
  <c r="X26" i="2"/>
  <c r="T25" i="2"/>
  <c r="U28" i="2"/>
  <c r="U25" i="2"/>
  <c r="Q23" i="2"/>
  <c r="S23" i="2"/>
  <c r="V5" i="2"/>
  <c r="T26" i="2"/>
  <c r="V26" i="2"/>
  <c r="U26" i="2"/>
  <c r="T28" i="2"/>
  <c r="V9" i="2"/>
  <c r="V24" i="2" s="1"/>
  <c r="V23" i="2"/>
  <c r="R9" i="2"/>
  <c r="R24" i="2" s="1"/>
  <c r="V28" i="2"/>
  <c r="W5" i="2"/>
  <c r="V13" i="2"/>
  <c r="C24" i="2"/>
  <c r="C13" i="2"/>
  <c r="W9" i="2" l="1"/>
  <c r="W24" i="2" s="1"/>
  <c r="W23" i="2"/>
  <c r="Y5" i="2"/>
  <c r="Y12" i="2"/>
  <c r="Y25" i="2" s="1"/>
  <c r="Y28" i="2"/>
  <c r="Y26" i="2"/>
  <c r="X9" i="2"/>
  <c r="X24" i="2" s="1"/>
  <c r="X23" i="2"/>
  <c r="V15" i="2"/>
  <c r="W19" i="2"/>
  <c r="C15" i="2"/>
  <c r="Z5" i="2" l="1"/>
  <c r="Z26" i="2"/>
  <c r="Z28" i="2"/>
  <c r="AA3" i="2"/>
  <c r="Z12" i="2"/>
  <c r="Z25" i="2" s="1"/>
  <c r="Y9" i="2"/>
  <c r="Y24" i="2" s="1"/>
  <c r="Y23" i="2"/>
  <c r="W11" i="2"/>
  <c r="AA26" i="2" l="1"/>
  <c r="AA12" i="2"/>
  <c r="AA25" i="2" s="1"/>
  <c r="AA28" i="2"/>
  <c r="AB3" i="2"/>
  <c r="AA5" i="2"/>
  <c r="Z9" i="2"/>
  <c r="Z24" i="2" s="1"/>
  <c r="Z23" i="2"/>
  <c r="W13" i="2"/>
  <c r="X19" i="2" s="1"/>
  <c r="W21" i="2"/>
  <c r="AA9" i="2" l="1"/>
  <c r="AA24" i="2" s="1"/>
  <c r="AA23" i="2"/>
  <c r="AB5" i="2"/>
  <c r="AB28" i="2"/>
  <c r="AB26" i="2"/>
  <c r="AC3" i="2"/>
  <c r="AB12" i="2"/>
  <c r="AB25" i="2" s="1"/>
  <c r="X11" i="2"/>
  <c r="AC28" i="2" l="1"/>
  <c r="AD3" i="2"/>
  <c r="AC12" i="2"/>
  <c r="AC25" i="2" s="1"/>
  <c r="AC26" i="2"/>
  <c r="AC5" i="2"/>
  <c r="AB9" i="2"/>
  <c r="AB24" i="2" s="1"/>
  <c r="AB23" i="2"/>
  <c r="X21" i="2"/>
  <c r="X13" i="2"/>
  <c r="Y19" i="2" s="1"/>
  <c r="AC9" i="2" l="1"/>
  <c r="AC24" i="2" s="1"/>
  <c r="AC23" i="2"/>
  <c r="AE3" i="2"/>
  <c r="AD26" i="2"/>
  <c r="AD12" i="2"/>
  <c r="AD25" i="2" s="1"/>
  <c r="AD28" i="2"/>
  <c r="AD5" i="2"/>
  <c r="Y11" i="2"/>
  <c r="AD9" i="2" l="1"/>
  <c r="AD24" i="2" s="1"/>
  <c r="AD23" i="2"/>
  <c r="AF3" i="2"/>
  <c r="AE12" i="2"/>
  <c r="AE25" i="2" s="1"/>
  <c r="AE26" i="2"/>
  <c r="AE28" i="2"/>
  <c r="AE5" i="2"/>
  <c r="Y21" i="2"/>
  <c r="Y13" i="2"/>
  <c r="Z19" i="2" s="1"/>
  <c r="AE9" i="2" l="1"/>
  <c r="AE24" i="2" s="1"/>
  <c r="AE23" i="2"/>
  <c r="AF12" i="2"/>
  <c r="AF25" i="2" s="1"/>
  <c r="AF26" i="2"/>
  <c r="AF28" i="2"/>
  <c r="AG3" i="2"/>
  <c r="AF5" i="2"/>
  <c r="Z11" i="2"/>
  <c r="AF9" i="2" l="1"/>
  <c r="AF24" i="2" s="1"/>
  <c r="AF23" i="2"/>
  <c r="AG26" i="2"/>
  <c r="AG28" i="2"/>
  <c r="AG12" i="2"/>
  <c r="AG25" i="2" s="1"/>
  <c r="AG5" i="2"/>
  <c r="Z21" i="2"/>
  <c r="Z13" i="2"/>
  <c r="AA19" i="2" s="1"/>
  <c r="AG9" i="2" l="1"/>
  <c r="AG24" i="2" s="1"/>
  <c r="AG23" i="2"/>
  <c r="AA11" i="2"/>
  <c r="AA21" i="2" l="1"/>
  <c r="AA13" i="2"/>
  <c r="AB19" i="2" s="1"/>
  <c r="AB11" i="2" l="1"/>
  <c r="AB21" i="2" l="1"/>
  <c r="AB13" i="2"/>
  <c r="AC19" i="2" s="1"/>
  <c r="AC11" i="2" s="1"/>
  <c r="AC21" i="2" l="1"/>
  <c r="AC13" i="2"/>
  <c r="AD19" i="2" s="1"/>
  <c r="AD11" i="2" s="1"/>
  <c r="AD21" i="2" l="1"/>
  <c r="AD13" i="2"/>
  <c r="AE19" i="2" s="1"/>
  <c r="AE11" i="2" s="1"/>
  <c r="AE21" i="2" l="1"/>
  <c r="AE13" i="2"/>
  <c r="AF19" i="2" s="1"/>
  <c r="AF11" i="2" s="1"/>
  <c r="AF21" i="2" l="1"/>
  <c r="AF13" i="2"/>
  <c r="AG19" i="2" s="1"/>
  <c r="AG11" i="2" s="1"/>
  <c r="AG21" i="2" l="1"/>
  <c r="AG13" i="2"/>
  <c r="AH13" i="2" s="1"/>
  <c r="AI13" i="2" l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AK23" i="2" l="1"/>
  <c r="D26" i="2" l="1"/>
  <c r="E26" i="2"/>
  <c r="F26" i="2"/>
  <c r="G26" i="2"/>
  <c r="H26" i="2"/>
  <c r="I26" i="2"/>
  <c r="J26" i="2"/>
  <c r="K26" i="2"/>
  <c r="J28" i="2"/>
  <c r="I28" i="2"/>
  <c r="H28" i="2"/>
  <c r="K28" i="2"/>
  <c r="K25" i="2"/>
  <c r="J25" i="2"/>
  <c r="I25" i="2"/>
  <c r="H25" i="2"/>
  <c r="G25" i="2"/>
  <c r="D8" i="2"/>
  <c r="D5" i="2"/>
  <c r="H11" i="2"/>
  <c r="H10" i="2"/>
  <c r="H8" i="2"/>
  <c r="H9" i="2" s="1"/>
  <c r="H24" i="2" s="1"/>
  <c r="H5" i="2"/>
  <c r="H23" i="2" s="1"/>
  <c r="E8" i="2"/>
  <c r="E9" i="2" s="1"/>
  <c r="E13" i="2" s="1"/>
  <c r="E15" i="2" s="1"/>
  <c r="E5" i="2"/>
  <c r="E23" i="2" s="1"/>
  <c r="I11" i="2"/>
  <c r="I8" i="2"/>
  <c r="I9" i="2" s="1"/>
  <c r="I24" i="2" s="1"/>
  <c r="I5" i="2"/>
  <c r="I23" i="2" s="1"/>
  <c r="K8" i="2"/>
  <c r="K9" i="2" s="1"/>
  <c r="K24" i="2" s="1"/>
  <c r="J8" i="2"/>
  <c r="J9" i="2" s="1"/>
  <c r="J24" i="2" s="1"/>
  <c r="G8" i="2"/>
  <c r="F11" i="2"/>
  <c r="T11" i="2" s="1"/>
  <c r="F10" i="2"/>
  <c r="T10" i="2" s="1"/>
  <c r="F7" i="2"/>
  <c r="F5" i="2"/>
  <c r="F23" i="2" s="1"/>
  <c r="J11" i="2"/>
  <c r="J5" i="2"/>
  <c r="J23" i="2" s="1"/>
  <c r="G11" i="2"/>
  <c r="G10" i="2"/>
  <c r="U10" i="2" s="1"/>
  <c r="G5" i="2"/>
  <c r="K11" i="2"/>
  <c r="K5" i="2"/>
  <c r="K23" i="2" s="1"/>
  <c r="N8" i="1"/>
  <c r="N7" i="1"/>
  <c r="N5" i="1"/>
  <c r="G23" i="2" l="1"/>
  <c r="U5" i="2"/>
  <c r="U23" i="2" s="1"/>
  <c r="U11" i="2"/>
  <c r="D23" i="2"/>
  <c r="T5" i="2"/>
  <c r="T23" i="2" s="1"/>
  <c r="D9" i="2"/>
  <c r="G9" i="2"/>
  <c r="U8" i="2"/>
  <c r="F8" i="2"/>
  <c r="F9" i="2" s="1"/>
  <c r="F24" i="2" s="1"/>
  <c r="T7" i="2"/>
  <c r="D24" i="2"/>
  <c r="E24" i="2"/>
  <c r="J13" i="2"/>
  <c r="J15" i="2" s="1"/>
  <c r="K13" i="2"/>
  <c r="K15" i="2" s="1"/>
  <c r="H13" i="2"/>
  <c r="H15" i="2" s="1"/>
  <c r="I13" i="2"/>
  <c r="I15" i="2" s="1"/>
  <c r="T8" i="2" l="1"/>
  <c r="G24" i="2"/>
  <c r="U9" i="2"/>
  <c r="U24" i="2" s="1"/>
  <c r="G13" i="2"/>
  <c r="D13" i="2"/>
  <c r="T9" i="2"/>
  <c r="T24" i="2" s="1"/>
  <c r="F13" i="2"/>
  <c r="F15" i="2" s="1"/>
  <c r="G15" i="2" l="1"/>
  <c r="U13" i="2"/>
  <c r="U15" i="2" s="1"/>
  <c r="D15" i="2"/>
  <c r="T13" i="2"/>
  <c r="T15" i="2" s="1"/>
</calcChain>
</file>

<file path=xl/sharedStrings.xml><?xml version="1.0" encoding="utf-8"?>
<sst xmlns="http://schemas.openxmlformats.org/spreadsheetml/2006/main" count="52" uniqueCount="45">
  <si>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</si>
  <si>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</si>
  <si>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</si>
  <si>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</si>
  <si>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</si>
  <si>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</si>
  <si>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</si>
  <si>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</si>
  <si>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</si>
  <si>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</si>
  <si>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</si>
  <si>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</si>
  <si>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</si>
  <si>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</si>
  <si>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</si>
  <si>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</si>
  <si>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</si>
  <si>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Gross Margin</t>
  </si>
  <si>
    <t>SG&amp;A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</si>
  <si>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</si>
  <si>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</si>
  <si>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</si>
  <si>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</si>
  <si>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</si>
  <si>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</si>
  <si>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</si>
  <si>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</si>
  <si>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</si>
  <si>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</si>
  <si>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</si>
  <si>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JILL</t>
  </si>
  <si>
    <t>J JILL</t>
  </si>
  <si>
    <t>Impairments</t>
  </si>
  <si>
    <t>Operating margin</t>
  </si>
  <si>
    <t>Revenue on SG&amp;A</t>
  </si>
  <si>
    <t>20Q1</t>
  </si>
  <si>
    <t>N/A</t>
  </si>
  <si>
    <t>Interest expense</t>
  </si>
  <si>
    <t>Other expense</t>
  </si>
  <si>
    <t>Net cash</t>
  </si>
  <si>
    <t>Interest expense on net cash</t>
  </si>
  <si>
    <t>NPV</t>
  </si>
  <si>
    <t>Discount Rate</t>
  </si>
  <si>
    <t>Terminal value</t>
  </si>
  <si>
    <t>Annual 10y Grow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</si>
</sst>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  <xf numFmtId="10" fontId="0" fillId="0" borderId="0" xfId="0" applyNumberFormat="1" applyFont="1"/>
    <xf numFmtId="3" fontId="0" fillId="2" borderId="0" xfId="0" applyNumberFormat="1" applyFont="1" applyFill="1"/>
    <xf numFmtId="8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65942</xdr:colOff>
      <xdr:row>0</xdr:row>
      <xdr:rowOff>65944</xdr:rowOff>
    </xdr:from>
    <xdr:to>
      <xdr:col>11</xdr:col>
      <xdr:colOff>65942</xdr:colOff>
      <xdr:row>48</xdr:row>
      <xdr:rowOff>43963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719038" y="65944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29307</xdr:colOff>
      <xdr:row>0</xdr:row>
      <xdr:rowOff>0</xdr:rowOff>
    </xdr:from>
    <xdr:to>
      <xdr:col>19</xdr:col>
      <xdr:colOff>29307</xdr:colOff>
      <xdr:row>47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28C7F70-926A-4907-81FD-28FCD609166C}"/>
            </a:ext>
          </a:extLst>
        </xdr:cNvPr>
        <xdr:cNvCxnSpPr/>
      </xdr:nvCxnSpPr>
      <xdr:spPr>
        <a:xfrm>
          <a:off x="12331211" y="0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20515</xdr:colOff>
      <xdr:row>0</xdr:row>
      <xdr:rowOff>0</xdr:rowOff>
    </xdr:from>
    <xdr:to>
      <xdr:col>21</xdr:col>
      <xdr:colOff>20515</xdr:colOff>
      <xdr:row>47</xdr:row>
      <xdr:rowOff>168519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F07B4EC-0264-4490-8834-8D8A621AFD54}"/>
            </a:ext>
          </a:extLst>
        </xdr:cNvPr>
        <xdr:cNvCxnSpPr/>
      </xdr:nvCxnSpPr>
      <xdr:spPr>
        <a:xfrm>
          <a:off x="13538688" y="0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O20"/>
  <sheetViews>
    <sheetView workbookViewId="0">
      <selection activeCell="M11" sqref="M11"/>
    </sheetView>
  </sheetViews>
  <sheetFormatPr defaultRowHeight="15" x14ac:dyDescent="0.25"/>
  <cols>
    <col min="13" max="13" width="9.7109375" bestFit="1" customWidth="1"/>
    <col min="14" max="15" width="10.140625" bestFit="1" customWidth="1"/>
  </cols>
  <sheetData>
    <row r="1" spans="13:15" x14ac:dyDescent="0.25">
      <c r="M1" t="s">
        <v>31</v>
      </c>
    </row>
    <row r="2" spans="13:15" x14ac:dyDescent="0.25">
      <c r="M2" t="s">
        <v>30</v>
      </c>
    </row>
    <row r="3" spans="13:15" x14ac:dyDescent="0.25">
      <c r="M3" t="s">
        <v>0</v>
      </c>
      <c r="N3" s="2">
        <v>16.510000000000002</v>
      </c>
    </row>
    <row r="4" spans="13:15" x14ac:dyDescent="0.25">
      <c r="M4" t="s">
        <v>1</v>
      </c>
      <c r="N4" s="1">
        <v>13.874000000000001</v>
      </c>
    </row>
    <row r="5" spans="13:15" x14ac:dyDescent="0.25">
      <c r="M5" t="s">
        <v>2</v>
      </c>
      <c r="N5" s="1">
        <f>+N4*N3</f>
        <v>229.05974000000003</v>
      </c>
    </row>
    <row r="6" spans="13:15" x14ac:dyDescent="0.25">
      <c r="M6" t="s">
        <v>3</v>
      </c>
      <c r="N6" s="1">
        <v>40.799999999999997</v>
      </c>
    </row>
    <row r="7" spans="13:15" x14ac:dyDescent="0.25">
      <c r="M7" t="s">
        <v>4</v>
      </c>
      <c r="N7" s="1">
        <f>7.67+196.25+6.4</f>
        <v>210.32</v>
      </c>
    </row>
    <row r="8" spans="13:15" x14ac:dyDescent="0.25">
      <c r="M8" t="s">
        <v>5</v>
      </c>
      <c r="N8" s="1">
        <f>N5-N6+N7</f>
        <v>398.57974000000002</v>
      </c>
    </row>
    <row r="11" spans="13:15" x14ac:dyDescent="0.25">
      <c r="M11" s="19">
        <v>44767</v>
      </c>
    </row>
    <row r="16" spans="13:15" x14ac:dyDescent="0.25">
      <c r="M16" t="s">
        <v>44</v>
      </c>
      <c r="N16" s="21">
        <v>7.0000000000000007E-2</v>
      </c>
      <c r="O16" s="21">
        <v>0.05</v>
      </c>
    </row>
    <row r="17" spans="13:15" x14ac:dyDescent="0.25">
      <c r="M17" t="s">
        <v>43</v>
      </c>
      <c r="N17" s="21">
        <v>-0.01</v>
      </c>
      <c r="O17" s="21">
        <v>-0.01</v>
      </c>
    </row>
    <row r="18" spans="13:15" x14ac:dyDescent="0.25">
      <c r="M18" t="s">
        <v>42</v>
      </c>
      <c r="N18" s="21">
        <v>0.08</v>
      </c>
      <c r="O18" s="21">
        <v>0.08</v>
      </c>
    </row>
    <row r="19" spans="13:15" x14ac:dyDescent="0.25">
      <c r="M19" t="s">
        <v>41</v>
      </c>
      <c r="N19" s="1">
        <v>884.42815622737601</v>
      </c>
      <c r="O19" s="1">
        <v>302.71921082685645</v>
      </c>
    </row>
    <row r="20" spans="13:15" x14ac:dyDescent="0.25">
      <c r="M20" s="19">
        <v>44771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31"/>
  <sheetViews>
    <sheetView tabSelected="1"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Z15" sqref="Z15"/>
    </sheetView>
  </sheetViews>
  <sheetFormatPr defaultRowHeight="15" x14ac:dyDescent="0.25"/>
  <cols>
    <col min="2" max="2" width="23.85546875" bestFit="1" customWidth="1"/>
    <col min="3" max="11" width="9.140625" style="5"/>
    <col min="12" max="12" width="10.28515625" style="5" bestFit="1" customWidth="1"/>
    <col min="13" max="13" width="9.140625" style="5"/>
    <col min="16" max="16" width="4.42578125" style="11" customWidth="1"/>
    <col min="35" max="35" width="10.42578125" bestFit="1" customWidth="1"/>
  </cols>
  <sheetData>
    <row r="1" spans="2:216" x14ac:dyDescent="0.25">
      <c r="L1" s="8"/>
    </row>
    <row r="2" spans="2:216" x14ac:dyDescent="0.25">
      <c r="C2" s="5" t="s">
        <v>35</v>
      </c>
      <c r="D2" s="5" t="s">
        <v>14</v>
      </c>
      <c r="E2" s="5" t="s">
        <v>13</v>
      </c>
      <c r="F2" s="5" t="s">
        <v>12</v>
      </c>
      <c r="G2" s="5" t="s">
        <v>11</v>
      </c>
      <c r="H2" s="5" t="s">
        <v>9</v>
      </c>
      <c r="I2" s="5" t="s">
        <v>8</v>
      </c>
      <c r="J2" s="5" t="s">
        <v>7</v>
      </c>
      <c r="K2" s="5" t="s">
        <v>6</v>
      </c>
      <c r="L2" s="5" t="s">
        <v>10</v>
      </c>
      <c r="M2" s="5" t="s">
        <v>26</v>
      </c>
      <c r="N2" s="5" t="s">
        <v>27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216" x14ac:dyDescent="0.25">
      <c r="B3" t="s">
        <v>15</v>
      </c>
      <c r="C3" s="5">
        <v>90.968999999999994</v>
      </c>
      <c r="D3" s="5">
        <v>92.635999999999996</v>
      </c>
      <c r="E3" s="5">
        <v>117.22</v>
      </c>
      <c r="F3" s="5">
        <v>125.9</v>
      </c>
      <c r="G3" s="5">
        <v>129.1</v>
      </c>
      <c r="H3" s="5">
        <v>159.22999999999999</v>
      </c>
      <c r="I3" s="5">
        <v>151.72999999999999</v>
      </c>
      <c r="J3" s="5">
        <v>145.15</v>
      </c>
      <c r="K3" s="5">
        <v>157.06899999999999</v>
      </c>
      <c r="N3" s="5"/>
      <c r="Q3" s="1">
        <v>698.1</v>
      </c>
      <c r="R3" s="1">
        <v>706.3</v>
      </c>
      <c r="S3" s="1">
        <v>691.3</v>
      </c>
      <c r="T3" s="1">
        <f>SUM(C3:F3)</f>
        <v>426.72500000000002</v>
      </c>
      <c r="U3" s="5">
        <f>SUM(G3:J3)</f>
        <v>585.20999999999992</v>
      </c>
      <c r="V3" s="5">
        <f>K3*4</f>
        <v>628.27599999999995</v>
      </c>
      <c r="W3" s="5">
        <f>V3*1.07</f>
        <v>672.25531999999998</v>
      </c>
      <c r="X3" s="5">
        <f>W3*1.07</f>
        <v>719.31319240000005</v>
      </c>
      <c r="Y3" s="5">
        <f>X3*1.07</f>
        <v>769.66511586800004</v>
      </c>
      <c r="Z3" s="5">
        <f>Y3*1.07</f>
        <v>823.54167397876006</v>
      </c>
      <c r="AA3" s="5">
        <f>Z3*1.05</f>
        <v>864.71875767769814</v>
      </c>
      <c r="AB3" s="5">
        <f>AA3*1.05</f>
        <v>907.95469556158309</v>
      </c>
      <c r="AC3" s="5">
        <f>AB3*1.05</f>
        <v>953.35243033966231</v>
      </c>
      <c r="AD3" s="5">
        <f>AC3*1.03</f>
        <v>981.95300324985215</v>
      </c>
      <c r="AE3" s="5">
        <f>AD3*1.03</f>
        <v>1011.4115933473478</v>
      </c>
      <c r="AF3" s="5">
        <f>AE3*1.03</f>
        <v>1041.7539411477683</v>
      </c>
      <c r="AG3" s="5">
        <f>AF3*1.01</f>
        <v>1052.171480559246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2:216" x14ac:dyDescent="0.25">
      <c r="B4" t="s">
        <v>16</v>
      </c>
      <c r="C4" s="5">
        <v>40.799999999999997</v>
      </c>
      <c r="D4" s="5">
        <v>37.616</v>
      </c>
      <c r="E4" s="5">
        <v>48.22</v>
      </c>
      <c r="F4" s="5">
        <v>54.5</v>
      </c>
      <c r="G4" s="5">
        <v>41.26</v>
      </c>
      <c r="H4" s="5">
        <v>49.88</v>
      </c>
      <c r="I4" s="5">
        <v>47.2</v>
      </c>
      <c r="J4" s="5">
        <v>52.43</v>
      </c>
      <c r="K4" s="5">
        <v>47.6</v>
      </c>
      <c r="N4" s="5"/>
      <c r="Q4" s="1">
        <v>198.5</v>
      </c>
      <c r="R4" s="1">
        <v>208.8</v>
      </c>
      <c r="S4" s="1">
        <v>262.76</v>
      </c>
      <c r="T4" s="1">
        <f t="shared" ref="T4:T15" si="0">SUM(C4:F4)</f>
        <v>181.136</v>
      </c>
      <c r="U4" s="5">
        <f t="shared" ref="U4:U13" si="1">SUM(G4:J4)</f>
        <v>190.77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2:216" s="3" customFormat="1" x14ac:dyDescent="0.25">
      <c r="B5" s="3" t="s">
        <v>17</v>
      </c>
      <c r="C5" s="4">
        <f t="shared" ref="C5" si="2">C3-C4</f>
        <v>50.168999999999997</v>
      </c>
      <c r="D5" s="4">
        <f t="shared" ref="C5:K5" si="3">D3-D4</f>
        <v>55.019999999999996</v>
      </c>
      <c r="E5" s="4">
        <f t="shared" si="3"/>
        <v>69</v>
      </c>
      <c r="F5" s="4">
        <f t="shared" si="3"/>
        <v>71.400000000000006</v>
      </c>
      <c r="G5" s="4">
        <f t="shared" si="3"/>
        <v>87.84</v>
      </c>
      <c r="H5" s="4">
        <f t="shared" si="3"/>
        <v>109.35</v>
      </c>
      <c r="I5" s="4">
        <f t="shared" si="3"/>
        <v>104.52999999999999</v>
      </c>
      <c r="J5" s="4">
        <f t="shared" si="3"/>
        <v>92.72</v>
      </c>
      <c r="K5" s="4">
        <f t="shared" si="3"/>
        <v>109.46899999999999</v>
      </c>
      <c r="L5" s="4"/>
      <c r="M5" s="4"/>
      <c r="N5" s="4"/>
      <c r="P5" s="12"/>
      <c r="Q5" s="4">
        <f>Q3-Q4</f>
        <v>499.6</v>
      </c>
      <c r="R5" s="4">
        <f>R3-R4</f>
        <v>497.49999999999994</v>
      </c>
      <c r="S5" s="4">
        <f>S3-S4</f>
        <v>428.53999999999996</v>
      </c>
      <c r="T5" s="4">
        <f t="shared" si="0"/>
        <v>245.589</v>
      </c>
      <c r="U5" s="4">
        <f t="shared" si="1"/>
        <v>394.43999999999994</v>
      </c>
      <c r="V5" s="4">
        <f>V3*0.66</f>
        <v>414.66215999999997</v>
      </c>
      <c r="W5" s="4">
        <f>W3*0.66</f>
        <v>443.68851119999999</v>
      </c>
      <c r="X5" s="4">
        <f>X3*0.66</f>
        <v>474.74670698400007</v>
      </c>
      <c r="Y5" s="4">
        <f>Y3*0.66</f>
        <v>507.97897647288005</v>
      </c>
      <c r="Z5" s="4">
        <f>Z3*0.66</f>
        <v>543.53750482598161</v>
      </c>
      <c r="AA5" s="4">
        <f>AA3*0.66</f>
        <v>570.71438006728079</v>
      </c>
      <c r="AB5" s="4">
        <f>AB3*0.66</f>
        <v>599.25009907064486</v>
      </c>
      <c r="AC5" s="4">
        <f>AC3*0.66</f>
        <v>629.21260402417715</v>
      </c>
      <c r="AD5" s="4">
        <f>AD3*0.66</f>
        <v>648.0889821449025</v>
      </c>
      <c r="AE5" s="4">
        <f>AE3*0.66</f>
        <v>667.53165160924959</v>
      </c>
      <c r="AF5" s="4">
        <f>AF3*0.66</f>
        <v>687.55760115752707</v>
      </c>
      <c r="AG5" s="4">
        <f>AG3*0.66</f>
        <v>694.43317716910235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216" x14ac:dyDescent="0.25">
      <c r="B6" t="s">
        <v>18</v>
      </c>
      <c r="C6" s="5">
        <v>87.9</v>
      </c>
      <c r="D6" s="5">
        <v>77.7</v>
      </c>
      <c r="E6" s="5">
        <v>92</v>
      </c>
      <c r="F6" s="5">
        <v>85.6</v>
      </c>
      <c r="G6" s="5">
        <v>79.099999999999994</v>
      </c>
      <c r="H6" s="5">
        <v>85.85</v>
      </c>
      <c r="I6" s="5">
        <v>85.53</v>
      </c>
      <c r="J6" s="5">
        <v>85.2</v>
      </c>
      <c r="K6" s="5">
        <v>85.6</v>
      </c>
      <c r="N6" s="5"/>
      <c r="Q6" s="1">
        <v>402</v>
      </c>
      <c r="R6" s="1">
        <v>410</v>
      </c>
      <c r="S6" s="1">
        <v>380</v>
      </c>
      <c r="T6" s="1">
        <f t="shared" si="0"/>
        <v>343.20000000000005</v>
      </c>
      <c r="U6" s="5">
        <f t="shared" si="1"/>
        <v>335.68</v>
      </c>
      <c r="V6" s="5">
        <f>U6*1.05</f>
        <v>352.464</v>
      </c>
      <c r="W6" s="5">
        <f>V6*1.05</f>
        <v>370.0872</v>
      </c>
      <c r="X6" s="5">
        <f>W6*1.05</f>
        <v>388.59156000000002</v>
      </c>
      <c r="Y6" s="5">
        <f>X6*1.05</f>
        <v>408.02113800000001</v>
      </c>
      <c r="Z6" s="5">
        <f>Y6*1.05</f>
        <v>428.42219490000002</v>
      </c>
      <c r="AA6" s="5">
        <f>Z6*1.05</f>
        <v>449.84330464500005</v>
      </c>
      <c r="AB6" s="5">
        <f>AA6*1.05</f>
        <v>472.33546987725009</v>
      </c>
      <c r="AC6" s="5">
        <f>AB6*1.05</f>
        <v>495.95224337111262</v>
      </c>
      <c r="AD6" s="5">
        <f>AC6*1.05</f>
        <v>520.74985553966826</v>
      </c>
      <c r="AE6" s="5">
        <f>AD6*1.05</f>
        <v>546.78734831665167</v>
      </c>
      <c r="AF6" s="5">
        <f>AE6*1.05</f>
        <v>574.12671573248429</v>
      </c>
      <c r="AG6" s="5">
        <f>AF6*1.05</f>
        <v>602.83305151910849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2:216" x14ac:dyDescent="0.25">
      <c r="B7" t="s">
        <v>32</v>
      </c>
      <c r="C7" s="5">
        <f>27.48+17.9+6.62</f>
        <v>51.999999999999993</v>
      </c>
      <c r="D7" s="5">
        <v>-0.89300000000000002</v>
      </c>
      <c r="E7" s="5">
        <v>0.90600000000000003</v>
      </c>
      <c r="F7" s="5">
        <f>6.284+8</f>
        <v>14.283999999999999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N7" s="5"/>
      <c r="Q7" s="1"/>
      <c r="R7" s="1"/>
      <c r="S7" s="1"/>
      <c r="T7" s="1">
        <f t="shared" si="0"/>
        <v>66.296999999999997</v>
      </c>
      <c r="U7" s="5">
        <f t="shared" si="1"/>
        <v>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2:216" x14ac:dyDescent="0.25">
      <c r="B8" t="s">
        <v>21</v>
      </c>
      <c r="C8" s="5">
        <f t="shared" ref="C8" si="4">+C6+C4+C7</f>
        <v>180.7</v>
      </c>
      <c r="D8" s="5">
        <f t="shared" ref="D8:K8" si="5">+D6+D4+D7</f>
        <v>114.423</v>
      </c>
      <c r="E8" s="5">
        <f t="shared" si="5"/>
        <v>141.126</v>
      </c>
      <c r="F8" s="5">
        <f t="shared" si="5"/>
        <v>154.38399999999999</v>
      </c>
      <c r="G8" s="5">
        <f t="shared" si="5"/>
        <v>120.35999999999999</v>
      </c>
      <c r="H8" s="5">
        <f t="shared" si="5"/>
        <v>135.72999999999999</v>
      </c>
      <c r="I8" s="5">
        <f t="shared" si="5"/>
        <v>132.73000000000002</v>
      </c>
      <c r="J8" s="5">
        <f t="shared" si="5"/>
        <v>137.63</v>
      </c>
      <c r="K8" s="5">
        <f t="shared" si="5"/>
        <v>133.19999999999999</v>
      </c>
      <c r="N8" s="5"/>
      <c r="Q8" s="1"/>
      <c r="R8" s="1"/>
      <c r="S8" s="1"/>
      <c r="T8" s="1">
        <f t="shared" si="0"/>
        <v>590.63300000000004</v>
      </c>
      <c r="U8" s="5">
        <f t="shared" si="1"/>
        <v>526.45000000000005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2:216" s="3" customFormat="1" x14ac:dyDescent="0.25">
      <c r="B9" s="3" t="s">
        <v>22</v>
      </c>
      <c r="C9" s="4">
        <f t="shared" ref="C9" si="6">+C3-C8</f>
        <v>-89.730999999999995</v>
      </c>
      <c r="D9" s="4">
        <f t="shared" ref="D9:K9" si="7">+D3-D8</f>
        <v>-21.787000000000006</v>
      </c>
      <c r="E9" s="4">
        <f t="shared" si="7"/>
        <v>-23.906000000000006</v>
      </c>
      <c r="F9" s="4">
        <f t="shared" si="7"/>
        <v>-28.48399999999998</v>
      </c>
      <c r="G9" s="4">
        <f t="shared" si="7"/>
        <v>8.7400000000000091</v>
      </c>
      <c r="H9" s="4">
        <f t="shared" si="7"/>
        <v>23.5</v>
      </c>
      <c r="I9" s="4">
        <f t="shared" si="7"/>
        <v>18.999999999999972</v>
      </c>
      <c r="J9" s="4">
        <f t="shared" si="7"/>
        <v>7.5200000000000102</v>
      </c>
      <c r="K9" s="4">
        <f t="shared" si="7"/>
        <v>23.869</v>
      </c>
      <c r="L9" s="4"/>
      <c r="M9" s="4"/>
      <c r="N9" s="4"/>
      <c r="P9" s="12"/>
      <c r="Q9" s="4">
        <f>Q5-Q6</f>
        <v>97.600000000000023</v>
      </c>
      <c r="R9" s="4">
        <f>R5-R6</f>
        <v>87.499999999999943</v>
      </c>
      <c r="S9" s="4">
        <f>S5-S6</f>
        <v>48.539999999999964</v>
      </c>
      <c r="T9" s="4">
        <f t="shared" si="0"/>
        <v>-163.90799999999999</v>
      </c>
      <c r="U9" s="4">
        <f t="shared" si="1"/>
        <v>58.759999999999991</v>
      </c>
      <c r="V9" s="4">
        <f>V5-V6</f>
        <v>62.198159999999973</v>
      </c>
      <c r="W9" s="4">
        <f>W5-W6</f>
        <v>73.601311199999998</v>
      </c>
      <c r="X9" s="4">
        <f>X5-X6</f>
        <v>86.155146984000055</v>
      </c>
      <c r="Y9" s="4">
        <f>Y5-Y6</f>
        <v>99.957838472880042</v>
      </c>
      <c r="Z9" s="4">
        <f>Z5-Z6</f>
        <v>115.11530992598159</v>
      </c>
      <c r="AA9" s="4">
        <f>AA5-AA6</f>
        <v>120.87107542228074</v>
      </c>
      <c r="AB9" s="4">
        <f>AB5-AB6</f>
        <v>126.91462919339477</v>
      </c>
      <c r="AC9" s="4">
        <f>AC5-AC6</f>
        <v>133.26036065306454</v>
      </c>
      <c r="AD9" s="4">
        <f>AD5-AD6</f>
        <v>127.33912660523424</v>
      </c>
      <c r="AE9" s="4">
        <f>AE5-AE6</f>
        <v>120.74430329259792</v>
      </c>
      <c r="AF9" s="4">
        <f>AF5-AF6</f>
        <v>113.43088542504279</v>
      </c>
      <c r="AG9" s="4">
        <f>AG5-AG6</f>
        <v>91.600125649993856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216" x14ac:dyDescent="0.25">
      <c r="B10" t="s">
        <v>38</v>
      </c>
      <c r="C10" s="5">
        <v>0</v>
      </c>
      <c r="D10" s="5">
        <v>0</v>
      </c>
      <c r="E10" s="5">
        <v>1.6</v>
      </c>
      <c r="F10" s="5">
        <f>0.72+2.87</f>
        <v>3.59</v>
      </c>
      <c r="G10" s="5">
        <f>2.15+18.65</f>
        <v>20.799999999999997</v>
      </c>
      <c r="H10" s="5">
        <f>0.625+38.33</f>
        <v>38.954999999999998</v>
      </c>
      <c r="I10" s="5">
        <v>0</v>
      </c>
      <c r="J10" s="5">
        <v>0</v>
      </c>
      <c r="K10" s="5">
        <v>0</v>
      </c>
      <c r="N10" s="5"/>
      <c r="Q10" s="1"/>
      <c r="R10" s="1"/>
      <c r="S10" s="1"/>
      <c r="T10" s="1">
        <f t="shared" si="0"/>
        <v>5.1899999999999995</v>
      </c>
      <c r="U10" s="5">
        <f t="shared" si="1"/>
        <v>59.754999999999995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2:216" s="3" customFormat="1" x14ac:dyDescent="0.25">
      <c r="B11" t="s">
        <v>37</v>
      </c>
      <c r="C11" s="5">
        <v>4.6399999999999997</v>
      </c>
      <c r="D11" s="5">
        <v>4.2439999999999998</v>
      </c>
      <c r="E11" s="5">
        <v>4.7530000000000001</v>
      </c>
      <c r="F11" s="5">
        <f>4.188+0.4</f>
        <v>4.5880000000000001</v>
      </c>
      <c r="G11" s="5">
        <f>4.346+0.461</f>
        <v>4.8070000000000004</v>
      </c>
      <c r="H11" s="5">
        <f>4.217+0.529</f>
        <v>4.7459999999999996</v>
      </c>
      <c r="I11" s="5">
        <f>4.567+0.6</f>
        <v>5.1669999999999998</v>
      </c>
      <c r="J11" s="5">
        <f>3.927+0.432</f>
        <v>4.359</v>
      </c>
      <c r="K11" s="5">
        <f>3.65+0.8</f>
        <v>4.45</v>
      </c>
      <c r="L11" s="4"/>
      <c r="M11" s="4"/>
      <c r="N11" s="4"/>
      <c r="P11" s="12"/>
      <c r="Q11" s="5">
        <v>19.399999999999999</v>
      </c>
      <c r="R11" s="5">
        <v>19</v>
      </c>
      <c r="S11" s="5">
        <v>19.600000000000001</v>
      </c>
      <c r="T11" s="1">
        <f t="shared" si="0"/>
        <v>18.225000000000001</v>
      </c>
      <c r="U11" s="5">
        <f t="shared" si="1"/>
        <v>19.079000000000001</v>
      </c>
      <c r="V11" s="5">
        <f>V19*-0.105</f>
        <v>21.198239999999998</v>
      </c>
      <c r="W11" s="5">
        <f>W19*-0.105</f>
        <v>18.08069004</v>
      </c>
      <c r="X11" s="5">
        <f>X19*-0.105</f>
        <v>13.521587373000001</v>
      </c>
      <c r="Y11" s="5">
        <f>Y19*-0.105</f>
        <v>7.2545655474809951</v>
      </c>
      <c r="Z11" s="5">
        <f>Z19*-0.015</f>
        <v>-0.14637300581362653</v>
      </c>
      <c r="AA11" s="5">
        <f>AA19*-0.015</f>
        <v>-1.6529419978162896</v>
      </c>
      <c r="AB11" s="5">
        <f>AB19*-0.015</f>
        <v>-3.2573281945447659</v>
      </c>
      <c r="AC11" s="5">
        <f>AC19*-0.01</f>
        <v>-3.3098398583748212</v>
      </c>
      <c r="AD11" s="5">
        <f t="shared" ref="AD11:AG11" si="8">AD19*-0.01</f>
        <v>-4.5039384260280757</v>
      </c>
      <c r="AE11" s="5">
        <f t="shared" si="8"/>
        <v>-5.6456175357557257</v>
      </c>
      <c r="AF11" s="5">
        <f t="shared" si="8"/>
        <v>-6.7274626572367389</v>
      </c>
      <c r="AG11" s="5">
        <f t="shared" si="8"/>
        <v>-7.7415304286529363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216" s="3" customFormat="1" x14ac:dyDescent="0.25">
      <c r="B12" t="s">
        <v>19</v>
      </c>
      <c r="C12" s="5">
        <v>-24.1</v>
      </c>
      <c r="D12" s="5">
        <v>-7</v>
      </c>
      <c r="E12" s="5">
        <v>-7.3129999999999997</v>
      </c>
      <c r="F12" s="5">
        <v>-9.6989999999999998</v>
      </c>
      <c r="G12" s="5">
        <v>1.3919999999999999</v>
      </c>
      <c r="H12" s="5">
        <v>4.444</v>
      </c>
      <c r="I12" s="5">
        <v>2.59</v>
      </c>
      <c r="J12" s="5">
        <v>-0.41199999999999998</v>
      </c>
      <c r="K12" s="5">
        <v>5.01</v>
      </c>
      <c r="L12" s="4"/>
      <c r="M12" s="4"/>
      <c r="N12" s="4"/>
      <c r="P12" s="12"/>
      <c r="Q12" s="5">
        <v>-5.4</v>
      </c>
      <c r="R12" s="5">
        <v>11.6</v>
      </c>
      <c r="S12" s="5">
        <v>-3</v>
      </c>
      <c r="T12" s="1">
        <f t="shared" si="0"/>
        <v>-48.112000000000002</v>
      </c>
      <c r="U12" s="5">
        <f t="shared" si="1"/>
        <v>8.0139999999999993</v>
      </c>
      <c r="V12" s="5">
        <f>V3*0.018</f>
        <v>11.308967999999998</v>
      </c>
      <c r="W12" s="5">
        <f t="shared" ref="W12:AG12" si="9">W3*0.018</f>
        <v>12.100595759999999</v>
      </c>
      <c r="X12" s="5">
        <f t="shared" si="9"/>
        <v>12.9476374632</v>
      </c>
      <c r="Y12" s="5">
        <f t="shared" si="9"/>
        <v>13.853972085623999</v>
      </c>
      <c r="Z12" s="5">
        <f t="shared" si="9"/>
        <v>14.823750131617681</v>
      </c>
      <c r="AA12" s="5">
        <f t="shared" si="9"/>
        <v>15.564937638198565</v>
      </c>
      <c r="AB12" s="5">
        <f t="shared" si="9"/>
        <v>16.343184520108494</v>
      </c>
      <c r="AC12" s="5">
        <f t="shared" si="9"/>
        <v>17.16034374611392</v>
      </c>
      <c r="AD12" s="5">
        <f t="shared" si="9"/>
        <v>17.675154058497338</v>
      </c>
      <c r="AE12" s="5">
        <f t="shared" si="9"/>
        <v>18.205408680252258</v>
      </c>
      <c r="AF12" s="5">
        <f t="shared" si="9"/>
        <v>18.751570940659828</v>
      </c>
      <c r="AG12" s="5">
        <f t="shared" si="9"/>
        <v>18.939086650066425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216" s="3" customFormat="1" x14ac:dyDescent="0.25">
      <c r="B13" s="3" t="s">
        <v>20</v>
      </c>
      <c r="C13" s="4">
        <f t="shared" ref="C13" si="10">+C9-C12-C11-C10</f>
        <v>-70.271000000000001</v>
      </c>
      <c r="D13" s="4">
        <f t="shared" ref="D13:K13" si="11">+D9-D12-D11-D10</f>
        <v>-19.031000000000006</v>
      </c>
      <c r="E13" s="4">
        <f t="shared" si="11"/>
        <v>-22.946000000000009</v>
      </c>
      <c r="F13" s="4">
        <f t="shared" si="11"/>
        <v>-26.962999999999983</v>
      </c>
      <c r="G13" s="4">
        <f t="shared" si="11"/>
        <v>-18.258999999999986</v>
      </c>
      <c r="H13" s="4">
        <f t="shared" si="11"/>
        <v>-24.644999999999996</v>
      </c>
      <c r="I13" s="4">
        <f t="shared" si="11"/>
        <v>11.242999999999972</v>
      </c>
      <c r="J13" s="4">
        <f t="shared" si="11"/>
        <v>3.5730000000000102</v>
      </c>
      <c r="K13" s="4">
        <f t="shared" si="11"/>
        <v>14.409000000000002</v>
      </c>
      <c r="L13" s="4"/>
      <c r="M13" s="4"/>
      <c r="N13" s="4"/>
      <c r="P13" s="12"/>
      <c r="Q13" s="4">
        <v>55.4</v>
      </c>
      <c r="R13" s="4">
        <v>30.5</v>
      </c>
      <c r="S13" s="4">
        <v>-128.6</v>
      </c>
      <c r="T13" s="4">
        <f t="shared" si="0"/>
        <v>-139.21100000000001</v>
      </c>
      <c r="U13" s="4">
        <f t="shared" si="1"/>
        <v>-28.087999999999997</v>
      </c>
      <c r="V13" s="4">
        <f>V9-V11-V12</f>
        <v>29.690951999999974</v>
      </c>
      <c r="W13" s="4">
        <f>W9-W11-W12</f>
        <v>43.4200254</v>
      </c>
      <c r="X13" s="4">
        <f>X9-X11-X12</f>
        <v>59.685922147800056</v>
      </c>
      <c r="Y13" s="4">
        <f>Y9-Y11-Y12</f>
        <v>78.849300839775054</v>
      </c>
      <c r="Z13" s="4">
        <f>Z9-Z11-Z12</f>
        <v>100.43793280017753</v>
      </c>
      <c r="AA13" s="4">
        <f>AA9-AA11-AA12</f>
        <v>106.95907978189845</v>
      </c>
      <c r="AB13" s="4">
        <f>AB9-AB11-AB12</f>
        <v>113.82877286783103</v>
      </c>
      <c r="AC13" s="4">
        <f>AC9-AC11-AC12</f>
        <v>119.40985676532544</v>
      </c>
      <c r="AD13" s="4">
        <f>AD9-AD11-AD12</f>
        <v>114.16791097276497</v>
      </c>
      <c r="AE13" s="4">
        <f>AE9-AE11-AE12</f>
        <v>108.18451214810138</v>
      </c>
      <c r="AF13" s="4">
        <f>AF9-AF11-AF12</f>
        <v>101.4067771416197</v>
      </c>
      <c r="AG13" s="4">
        <f>AG9-AG11-AG12</f>
        <v>80.402569428580364</v>
      </c>
      <c r="AH13" s="4">
        <f>AG13*(1+$AK21)</f>
        <v>79.598543734294566</v>
      </c>
      <c r="AI13" s="4">
        <f>AH13*(1+$AK21)</f>
        <v>78.802558296951617</v>
      </c>
      <c r="AJ13" s="4">
        <f>AI13*(1+$AK21)</f>
        <v>78.014532713982106</v>
      </c>
      <c r="AK13" s="4">
        <f>AJ13*(1+$AK21)</f>
        <v>77.234387386842286</v>
      </c>
      <c r="AL13" s="4">
        <f>AK13*(1+$AK21)</f>
        <v>76.462043512973864</v>
      </c>
      <c r="AM13" s="4">
        <f>AL13*(1+$AK21)</f>
        <v>75.697423077844121</v>
      </c>
      <c r="AN13" s="4">
        <f>AM13*(1+$AK21)</f>
        <v>74.940448847065682</v>
      </c>
      <c r="AO13" s="4">
        <f>AN13*(1+$AK21)</f>
        <v>74.191044358595022</v>
      </c>
      <c r="AP13" s="4">
        <f>AO13*(1+$AK21)</f>
        <v>73.449133915009071</v>
      </c>
      <c r="AQ13" s="4">
        <f>AP13*(1+$AK21)</f>
        <v>72.714642575858974</v>
      </c>
      <c r="AR13" s="4">
        <f>AQ13*(1+$AK21)</f>
        <v>71.987496150100384</v>
      </c>
      <c r="AS13" s="4">
        <f>AR13*(1+$AK21)</f>
        <v>71.267621188599378</v>
      </c>
      <c r="AT13" s="4">
        <f>AS13*(1+$AK21)</f>
        <v>70.554944976713386</v>
      </c>
      <c r="AU13" s="4">
        <f>AT13*(1+$AK21)</f>
        <v>69.849395526946253</v>
      </c>
      <c r="AV13" s="4">
        <f>AU13*(1+$AK21)</f>
        <v>69.150901571676783</v>
      </c>
      <c r="AW13" s="4">
        <f>AV13*(1+$AK21)</f>
        <v>68.459392555960008</v>
      </c>
      <c r="AX13" s="4">
        <f>AW13*(1+$AK21)</f>
        <v>67.774798630400412</v>
      </c>
      <c r="AY13" s="4">
        <f>AX13*(1+$AK21)</f>
        <v>67.097050644096413</v>
      </c>
      <c r="AZ13" s="4">
        <f>AY13*(1+$AK21)</f>
        <v>66.426080137655447</v>
      </c>
      <c r="BA13" s="4">
        <f>AZ13*(1+$AK21)</f>
        <v>65.76181933627889</v>
      </c>
      <c r="BB13" s="4">
        <f>BA13*(1+$AK21)</f>
        <v>65.104201142916097</v>
      </c>
      <c r="BC13" s="4">
        <f>BB13*(1+$AK21)</f>
        <v>64.453159131486942</v>
      </c>
      <c r="BD13" s="4">
        <f>BC13*(1+$AK21)</f>
        <v>63.808627540172068</v>
      </c>
      <c r="BE13" s="4">
        <f>BD13*(1+$AK21)</f>
        <v>63.17054126477035</v>
      </c>
      <c r="BF13" s="4">
        <f>BE13*(1+$AK21)</f>
        <v>62.538835852122645</v>
      </c>
      <c r="BG13" s="4">
        <f>BF13*(1+$AK21)</f>
        <v>61.913447493601417</v>
      </c>
      <c r="BH13" s="4">
        <f>BG13*(1+$AK21)</f>
        <v>61.294313018665406</v>
      </c>
      <c r="BI13" s="4">
        <f>BH13*(1+$AK21)</f>
        <v>60.681369888478748</v>
      </c>
      <c r="BJ13" s="4">
        <f>BI13*(1+$AK21)</f>
        <v>60.074556189593963</v>
      </c>
      <c r="BK13" s="4">
        <f>BJ13*(1+$AK21)</f>
        <v>59.473810627698022</v>
      </c>
      <c r="BL13" s="4">
        <f>BK13*(1+$AK21)</f>
        <v>58.879072521421044</v>
      </c>
      <c r="BM13" s="4">
        <f>BL13*(1+$AK21)</f>
        <v>58.290281796206834</v>
      </c>
      <c r="BN13" s="4">
        <f>BM13*(1+$AK21)</f>
        <v>57.707378978244762</v>
      </c>
      <c r="BO13" s="4">
        <f>BN13*(1+$AK21)</f>
        <v>57.130305188462316</v>
      </c>
      <c r="BP13" s="4">
        <f>BO13*(1+$AK21)</f>
        <v>56.559002136577689</v>
      </c>
      <c r="BQ13" s="4">
        <f>BP13*(1+$AK21)</f>
        <v>55.99341211521191</v>
      </c>
      <c r="BR13" s="4">
        <f>BQ13*(1+$AK21)</f>
        <v>55.433477994059793</v>
      </c>
      <c r="BS13" s="4">
        <f>BR13*(1+$AK21)</f>
        <v>54.879143214119196</v>
      </c>
      <c r="BT13" s="4">
        <f>BS13*(1+$AK21)</f>
        <v>54.330351781978003</v>
      </c>
      <c r="BU13" s="4">
        <f>BT13*(1+$AK21)</f>
        <v>53.787048264158223</v>
      </c>
      <c r="BV13" s="4">
        <f>BU13*(1+$AK21)</f>
        <v>53.249177781516643</v>
      </c>
      <c r="BW13" s="4">
        <f>BV13*(1+$AK21)</f>
        <v>52.716686003701476</v>
      </c>
      <c r="BX13" s="4">
        <f>BW13*(1+$AK21)</f>
        <v>52.189519143664462</v>
      </c>
      <c r="BY13" s="4">
        <f>BX13*(1+$AK21)</f>
        <v>51.667623952227814</v>
      </c>
      <c r="BZ13" s="4">
        <f>BY13*(1+$AK21)</f>
        <v>51.150947712705538</v>
      </c>
      <c r="CA13" s="4">
        <f>BZ13*(1+$AK21)</f>
        <v>50.639438235578481</v>
      </c>
      <c r="CB13" s="4">
        <f>CA13*(1+$AK21)</f>
        <v>50.133043853222695</v>
      </c>
      <c r="CC13" s="4">
        <f>CB13*(1+$AK21)</f>
        <v>49.631713414690466</v>
      </c>
      <c r="CD13" s="4">
        <f>CC13*(1+$AK21)</f>
        <v>49.13539628054356</v>
      </c>
      <c r="CE13" s="4">
        <f>CD13*(1+$AK21)</f>
        <v>48.644042317738126</v>
      </c>
      <c r="CF13" s="4">
        <f>CE13*(1+$AK21)</f>
        <v>48.157601894560742</v>
      </c>
      <c r="CG13" s="4">
        <f>CF13*(1+$AK21)</f>
        <v>47.676025875615132</v>
      </c>
      <c r="CH13" s="4">
        <f>CG13*(1+$AK21)</f>
        <v>47.19926561685898</v>
      </c>
      <c r="CI13" s="4">
        <f>CH13*(1+$AK21)</f>
        <v>46.727272960690392</v>
      </c>
      <c r="CJ13" s="4">
        <f>CI13*(1+$AK21)</f>
        <v>46.260000231083488</v>
      </c>
      <c r="CK13" s="4">
        <f>CJ13*(1+$AK21)</f>
        <v>45.797400228772652</v>
      </c>
      <c r="CL13" s="4">
        <f>CK13*(1+$AK21)</f>
        <v>45.339426226484925</v>
      </c>
      <c r="CM13" s="4">
        <f>CL13*(1+$AK21)</f>
        <v>44.886031964220074</v>
      </c>
      <c r="CN13" s="4">
        <f>CM13*(1+$AK21)</f>
        <v>44.437171644577873</v>
      </c>
      <c r="CO13" s="4">
        <f>CN13*(1+$AK21)</f>
        <v>43.992799928132094</v>
      </c>
      <c r="CP13" s="4">
        <f>CO13*(1+$AK21)</f>
        <v>43.55287192885077</v>
      </c>
      <c r="CQ13" s="4">
        <f>CP13*(1+$AK21)</f>
        <v>43.117343209562264</v>
      </c>
      <c r="CR13" s="4">
        <f>CQ13*(1+$AK21)</f>
        <v>42.686169777466638</v>
      </c>
      <c r="CS13" s="4">
        <f>CR13*(1+$AK21)</f>
        <v>42.259308079691969</v>
      </c>
      <c r="CT13" s="4">
        <f>CS13*(1+$AK21)</f>
        <v>41.836714998895047</v>
      </c>
      <c r="CU13" s="4">
        <f>CT13*(1+$AK21)</f>
        <v>41.418347848906095</v>
      </c>
      <c r="CV13" s="4">
        <f>CU13*(1+$AK21)</f>
        <v>41.00416437041703</v>
      </c>
      <c r="CW13" s="4">
        <f>CV13*(1+$AK21)</f>
        <v>40.594122726712861</v>
      </c>
      <c r="CX13" s="4">
        <f>CW13*(1+$AK21)</f>
        <v>40.188181499445733</v>
      </c>
      <c r="CY13" s="4">
        <f>CX13*(1+$AK21)</f>
        <v>39.786299684451272</v>
      </c>
      <c r="CZ13" s="4">
        <f>CY13*(1+$AK21)</f>
        <v>39.388436687606756</v>
      </c>
      <c r="DA13" s="4">
        <f>CZ13*(1+$AK21)</f>
        <v>38.994552320730691</v>
      </c>
      <c r="DB13" s="4">
        <f>DA13*(1+$AK21)</f>
        <v>38.604606797523381</v>
      </c>
      <c r="DC13" s="4">
        <f>DB13*(1+$AK21)</f>
        <v>38.218560729548145</v>
      </c>
      <c r="DD13" s="4">
        <f>DC13*(1+$AK21)</f>
        <v>37.836375122252662</v>
      </c>
      <c r="DE13" s="4">
        <f>DD13*(1+$AK21)</f>
        <v>37.458011371030132</v>
      </c>
      <c r="DF13" s="4">
        <f>DE13*(1+$AK21)</f>
        <v>37.08343125731983</v>
      </c>
      <c r="DG13" s="4">
        <f>DF13*(1+$AK21)</f>
        <v>36.712596944746629</v>
      </c>
      <c r="DH13" s="4">
        <f>DG13*(1+$AK21)</f>
        <v>36.345470975299165</v>
      </c>
      <c r="DI13" s="4">
        <f>DH13*(1+$AK21)</f>
        <v>35.982016265546171</v>
      </c>
      <c r="DJ13" s="4">
        <f>DI13*(1+$AK21)</f>
        <v>35.622196102890712</v>
      </c>
      <c r="DK13" s="4">
        <f>DJ13*(1+$AK21)</f>
        <v>35.265974141861804</v>
      </c>
      <c r="DL13" s="4">
        <f>DK13*(1+$AK21)</f>
        <v>34.913314400443184</v>
      </c>
      <c r="DM13" s="4">
        <f>DL13*(1+$AK21)</f>
        <v>34.564181256438751</v>
      </c>
      <c r="DN13" s="4">
        <f>DM13*(1+$AK21)</f>
        <v>34.218539443874363</v>
      </c>
      <c r="DO13" s="4">
        <f>DN13*(1+$AK21)</f>
        <v>33.876354049435619</v>
      </c>
      <c r="DP13" s="4">
        <f>DO13*(1+$AK21)</f>
        <v>33.537590508941264</v>
      </c>
      <c r="DQ13" s="4">
        <f>DP13*(1+$AK21)</f>
        <v>33.20221460385185</v>
      </c>
      <c r="DR13" s="4">
        <f>DQ13*(1+$AK21)</f>
        <v>32.870192457813332</v>
      </c>
      <c r="DS13" s="4">
        <f>DR13*(1+$AK21)</f>
        <v>32.541490533235198</v>
      </c>
      <c r="DT13" s="4">
        <f>DS13*(1+$AK21)</f>
        <v>32.216075627902846</v>
      </c>
      <c r="DU13" s="4">
        <f>DT13*(1+$AK21)</f>
        <v>31.893914871623817</v>
      </c>
      <c r="DV13" s="4">
        <f>DU13*(1+$AK21)</f>
        <v>31.574975722907578</v>
      </c>
      <c r="DW13" s="4">
        <f>DV13*(1+$AK21)</f>
        <v>31.259225965678503</v>
      </c>
      <c r="DX13" s="4">
        <f>DW13*(1+$AK21)</f>
        <v>30.946633706021718</v>
      </c>
      <c r="DY13" s="4">
        <f>DX13*(1+$AK21)</f>
        <v>30.637167368961499</v>
      </c>
      <c r="DZ13" s="4">
        <f>DY13*(1+$AK21)</f>
        <v>30.330795695271885</v>
      </c>
      <c r="EA13" s="4">
        <f>DZ13*(1+$AK21)</f>
        <v>30.027487738319167</v>
      </c>
      <c r="EB13" s="4">
        <f>EA13*(1+$AK21)</f>
        <v>29.727212860935975</v>
      </c>
      <c r="EC13" s="4">
        <f>EB13*(1+$AK21)</f>
        <v>29.429940732326614</v>
      </c>
      <c r="ED13" s="4">
        <f>EC13*(1+$AK21)</f>
        <v>29.135641325003348</v>
      </c>
      <c r="EE13" s="4">
        <f>ED13*(1+$AK21)</f>
        <v>28.844284911753313</v>
      </c>
      <c r="EF13" s="4">
        <f>EE13*(1+$AK21)</f>
        <v>28.555842062635779</v>
      </c>
      <c r="EG13" s="4">
        <f>EF13*(1+$AK21)</f>
        <v>28.270283642009421</v>
      </c>
      <c r="EH13" s="4">
        <f>EG13*(1+$AK21)</f>
        <v>27.987580805589328</v>
      </c>
      <c r="EI13" s="4">
        <f>EH13*(1+$AK21)</f>
        <v>27.707704997533433</v>
      </c>
      <c r="EJ13" s="4">
        <f>EI13*(1+$AK21)</f>
        <v>27.430627947558097</v>
      </c>
      <c r="EK13" s="4">
        <f>EJ13*(1+$AK21)</f>
        <v>27.156321668082516</v>
      </c>
      <c r="EL13" s="4">
        <f>EK13*(1+$AK21)</f>
        <v>26.884758451401691</v>
      </c>
      <c r="EM13" s="4">
        <f>EL13*(1+$AK21)</f>
        <v>26.615910866887674</v>
      </c>
      <c r="EN13" s="4">
        <f>EM13*(1+$AK21)</f>
        <v>26.349751758218797</v>
      </c>
      <c r="EO13" s="4">
        <f>EN13*(1+$AK21)</f>
        <v>26.08625424063661</v>
      </c>
      <c r="EP13" s="4">
        <f>EO13*(1+$AK21)</f>
        <v>25.825391698230245</v>
      </c>
      <c r="EQ13" s="4">
        <f>EP13*(1+$AK21)</f>
        <v>25.567137781247943</v>
      </c>
      <c r="ER13" s="4">
        <f>EQ13*(1+$AK21)</f>
        <v>25.311466403435464</v>
      </c>
      <c r="ES13" s="4">
        <f>ER13*(1+$AK21)</f>
        <v>25.058351739401107</v>
      </c>
      <c r="ET13" s="4">
        <f>ES13*(1+$AK21)</f>
        <v>24.807768222007095</v>
      </c>
      <c r="EU13" s="4">
        <f>ET13*(1+$AK21)</f>
        <v>24.559690539787024</v>
      </c>
      <c r="EV13" s="4">
        <f>EU13*(1+$AK21)</f>
        <v>24.314093634389152</v>
      </c>
      <c r="EW13" s="4">
        <f>EV13*(1+$AK21)</f>
        <v>24.070952698045261</v>
      </c>
      <c r="EX13" s="4">
        <f>EW13*(1+$AK21)</f>
        <v>23.830243171064808</v>
      </c>
      <c r="EY13" s="4">
        <f>EX13*(1+$AK21)</f>
        <v>23.591940739354161</v>
      </c>
      <c r="EZ13" s="4">
        <f>EY13*(1+$AK21)</f>
        <v>23.356021331960619</v>
      </c>
      <c r="FA13" s="4">
        <f>EZ13*(1+$AK21)</f>
        <v>23.122461118641013</v>
      </c>
      <c r="FB13" s="4">
        <f>FA13*(1+$AK21)</f>
        <v>22.891236507454604</v>
      </c>
      <c r="FC13" s="4">
        <f>FB13*(1+$AK21)</f>
        <v>22.662324142380058</v>
      </c>
      <c r="FD13" s="4">
        <f>FC13*(1+$AK21)</f>
        <v>22.435700900956256</v>
      </c>
      <c r="FE13" s="4">
        <f>FD13*(1+$AK21)</f>
        <v>22.211343891946694</v>
      </c>
      <c r="FF13" s="4">
        <f>FE13*(1+$AK21)</f>
        <v>21.989230453027226</v>
      </c>
      <c r="FG13" s="4">
        <f>FF13*(1+$AK21)</f>
        <v>21.769338148496953</v>
      </c>
      <c r="FH13" s="4">
        <f>FG13*(1+$AK21)</f>
        <v>21.551644767011982</v>
      </c>
      <c r="FI13" s="4">
        <f>FH13*(1+$AK21)</f>
        <v>21.336128319341864</v>
      </c>
      <c r="FJ13" s="4">
        <f>FI13*(1+$AK21)</f>
        <v>21.122767036148446</v>
      </c>
      <c r="FK13" s="4">
        <f>FJ13*(1+$AK21)</f>
        <v>20.911539365786961</v>
      </c>
      <c r="FL13" s="4">
        <f>FK13*(1+$AK21)</f>
        <v>20.70242397212909</v>
      </c>
      <c r="FM13" s="4">
        <f>FL13*(1+$AK21)</f>
        <v>20.495399732407797</v>
      </c>
      <c r="FN13" s="4">
        <f>FM13*(1+$AK21)</f>
        <v>20.290445735083718</v>
      </c>
      <c r="FO13" s="4">
        <f>FN13*(1+$AK21)</f>
        <v>20.087541277732882</v>
      </c>
      <c r="FP13" s="4">
        <f>FO13*(1+$AK21)</f>
        <v>19.886665864955553</v>
      </c>
      <c r="FQ13" s="4">
        <f>FP13*(1+$AK21)</f>
        <v>19.687799206305996</v>
      </c>
      <c r="FR13" s="4">
        <f>FQ13*(1+$AK21)</f>
        <v>19.490921214242935</v>
      </c>
      <c r="FS13" s="4">
        <f>FR13*(1+$AK21)</f>
        <v>19.296012002100504</v>
      </c>
      <c r="FT13" s="4">
        <f>FS13*(1+$AK21)</f>
        <v>19.103051882079498</v>
      </c>
      <c r="FU13" s="4">
        <f>FT13*(1+$AK21)</f>
        <v>18.912021363258702</v>
      </c>
      <c r="FV13" s="4">
        <f>FU13*(1+$AK21)</f>
        <v>18.722901149626114</v>
      </c>
      <c r="FW13" s="4">
        <f>FV13*(1+$AK21)</f>
        <v>18.535672138129854</v>
      </c>
      <c r="FX13" s="4">
        <f>FW13*(1+$AK21)</f>
        <v>18.350315416748554</v>
      </c>
      <c r="FY13" s="4">
        <f>FX13*(1+$AK21)</f>
        <v>18.166812262581068</v>
      </c>
      <c r="FZ13" s="4">
        <f>FY13*(1+$AK21)</f>
        <v>17.985144139955256</v>
      </c>
      <c r="GA13" s="4">
        <f>FZ13*(1+$AK21)</f>
        <v>17.805292698555704</v>
      </c>
      <c r="GB13" s="4">
        <f>GA13*(1+$AK21)</f>
        <v>17.627239771570146</v>
      </c>
      <c r="GC13" s="4">
        <f>GB13*(1+$AK21)</f>
        <v>17.450967373854443</v>
      </c>
      <c r="GD13" s="4">
        <f>GC13*(1+$AK21)</f>
        <v>17.276457700115898</v>
      </c>
      <c r="GE13" s="4">
        <f>GD13*(1+$AK21)</f>
        <v>17.103693123114738</v>
      </c>
      <c r="GF13" s="4">
        <f>GE13*(1+$AK21)</f>
        <v>16.932656191883591</v>
      </c>
      <c r="GG13" s="4">
        <f>GF13*(1+$AK21)</f>
        <v>16.763329629964755</v>
      </c>
      <c r="GH13" s="4">
        <f>GG13*(1+$AK21)</f>
        <v>16.595696333665106</v>
      </c>
      <c r="GI13" s="4">
        <f>GH13*(1+$AK21)</f>
        <v>16.429739370328456</v>
      </c>
      <c r="GJ13" s="4">
        <f>GI13*(1+$AK21)</f>
        <v>16.265441976625169</v>
      </c>
      <c r="GK13" s="4">
        <f>GJ13*(1+$AK21)</f>
        <v>16.102787556858917</v>
      </c>
      <c r="GL13" s="4">
        <f>GK13*(1+$AK21)</f>
        <v>15.941759681290328</v>
      </c>
      <c r="GM13" s="4">
        <f>GL13*(1+$AK21)</f>
        <v>15.782342084477426</v>
      </c>
      <c r="GN13" s="4">
        <f>GM13*(1+$AK21)</f>
        <v>15.624518663632651</v>
      </c>
      <c r="GO13" s="4">
        <f>GN13*(1+$AK21)</f>
        <v>15.468273476996325</v>
      </c>
      <c r="GP13" s="4">
        <f>GO13*(1+$AK21)</f>
        <v>15.313590742226362</v>
      </c>
      <c r="GQ13" s="4">
        <f>GP13*(1+$AK21)</f>
        <v>15.160454834804098</v>
      </c>
      <c r="GR13" s="4">
        <f>GQ13*(1+$AK21)</f>
        <v>15.008850286456056</v>
      </c>
      <c r="GS13" s="4">
        <f>GR13*(1+$AK21)</f>
        <v>14.858761783591495</v>
      </c>
      <c r="GT13" s="4">
        <f>GS13*(1+$AK21)</f>
        <v>14.71017416575558</v>
      </c>
      <c r="GU13" s="4">
        <f>GT13*(1+$AK21)</f>
        <v>14.563072424098024</v>
      </c>
      <c r="GV13" s="4">
        <f>GU13*(1+$AK21)</f>
        <v>14.417441699857044</v>
      </c>
      <c r="GW13" s="4">
        <f>GV13*(1+$AK21)</f>
        <v>14.273267282858473</v>
      </c>
      <c r="GX13" s="4">
        <f>GW13*(1+$AK21)</f>
        <v>14.130534610029889</v>
      </c>
      <c r="GY13" s="4">
        <f>GX13*(1+$AK21)</f>
        <v>13.989229263929589</v>
      </c>
      <c r="GZ13" s="4">
        <f>GY13*(1+$AK21)</f>
        <v>13.849336971290294</v>
      </c>
      <c r="HA13" s="4">
        <f>GZ13*(1+$AK21)</f>
        <v>13.710843601577391</v>
      </c>
      <c r="HB13" s="4">
        <f>HA13*(1+$AK21)</f>
        <v>13.573735165561617</v>
      </c>
      <c r="HC13" s="4">
        <f>HB13*(1+$AK21)</f>
        <v>13.437997813906001</v>
      </c>
      <c r="HD13" s="4">
        <f>HC13*(1+$AK21)</f>
        <v>13.303617835766941</v>
      </c>
      <c r="HE13" s="4">
        <f>HD13*(1+$AK21)</f>
        <v>13.170581657409272</v>
      </c>
      <c r="HF13" s="4">
        <f>HE13*(1+$AK21)</f>
        <v>13.03887584083518</v>
      </c>
      <c r="HG13" s="4">
        <f>HF13*(1+$AK21)</f>
        <v>12.908487082426829</v>
      </c>
      <c r="HH13" s="4">
        <f>HG13*(1+$AK21)</f>
        <v>12.779402211602561</v>
      </c>
    </row>
    <row r="14" spans="2:216" s="3" customFormat="1" x14ac:dyDescent="0.25">
      <c r="B14" t="s">
        <v>1</v>
      </c>
      <c r="C14" s="5">
        <v>44.4</v>
      </c>
      <c r="D14" s="5">
        <v>8.9529999999999994</v>
      </c>
      <c r="E14" s="5">
        <v>9.1773500000000006</v>
      </c>
      <c r="F14" s="5">
        <v>9.6257800000000007</v>
      </c>
      <c r="G14" s="5">
        <v>9.66</v>
      </c>
      <c r="H14" s="5">
        <v>12.45</v>
      </c>
      <c r="I14" s="5">
        <v>13.805999999999999</v>
      </c>
      <c r="J14" s="5">
        <v>13.805999999999999</v>
      </c>
      <c r="K14" s="5">
        <v>13.874000000000001</v>
      </c>
      <c r="L14" s="4"/>
      <c r="M14" s="4"/>
      <c r="N14" s="4"/>
      <c r="P14" s="12"/>
      <c r="Q14" s="4"/>
      <c r="R14" s="4"/>
      <c r="S14" s="4"/>
      <c r="T14" s="5">
        <v>9.6257800000000007</v>
      </c>
      <c r="U14" s="5">
        <v>13.805999999999999</v>
      </c>
      <c r="V14" s="5">
        <v>13.805999999999999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</row>
    <row r="15" spans="2:216" s="17" customFormat="1" x14ac:dyDescent="0.25">
      <c r="B15" s="15" t="s">
        <v>23</v>
      </c>
      <c r="C15" s="16">
        <f t="shared" ref="C15" si="12">C13/C14</f>
        <v>-1.5826801801801802</v>
      </c>
      <c r="D15" s="16">
        <f t="shared" ref="D15:K15" si="13">D13/D14</f>
        <v>-2.1256562046241489</v>
      </c>
      <c r="E15" s="16">
        <f t="shared" si="13"/>
        <v>-2.5002860302810732</v>
      </c>
      <c r="F15" s="16">
        <f t="shared" si="13"/>
        <v>-2.8011236492003744</v>
      </c>
      <c r="G15" s="16">
        <f t="shared" si="13"/>
        <v>-1.8901656314699777</v>
      </c>
      <c r="H15" s="16">
        <f t="shared" si="13"/>
        <v>-1.9795180722891563</v>
      </c>
      <c r="I15" s="16">
        <f t="shared" si="13"/>
        <v>0.81435607706793944</v>
      </c>
      <c r="J15" s="16">
        <f t="shared" si="13"/>
        <v>0.25880052151238669</v>
      </c>
      <c r="K15" s="16">
        <f t="shared" si="13"/>
        <v>1.0385613377540726</v>
      </c>
      <c r="L15" s="16"/>
      <c r="M15" s="16"/>
      <c r="N15" s="16"/>
      <c r="P15" s="18"/>
      <c r="Q15" s="16"/>
      <c r="T15" s="16">
        <f t="shared" ref="T15:W15" si="14">T13/T14</f>
        <v>-14.462308509024723</v>
      </c>
      <c r="U15" s="16">
        <f t="shared" si="14"/>
        <v>-2.0344777632913225</v>
      </c>
      <c r="V15" s="16">
        <f t="shared" si="14"/>
        <v>2.1505832246849179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2:216" s="7" customFormat="1" x14ac:dyDescent="0.25">
      <c r="B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2:79" s="5" customFormat="1" x14ac:dyDescent="0.25">
      <c r="B17" s="5" t="s">
        <v>3</v>
      </c>
      <c r="K17" s="5">
        <v>41</v>
      </c>
      <c r="P17" s="22"/>
      <c r="Q17" s="5">
        <v>25.99</v>
      </c>
      <c r="R17" s="5">
        <v>66.2</v>
      </c>
      <c r="S17" s="5">
        <v>21.5</v>
      </c>
      <c r="T17" s="5">
        <v>4.4000000000000004</v>
      </c>
      <c r="U17" s="5">
        <v>36</v>
      </c>
    </row>
    <row r="18" spans="2:79" s="5" customFormat="1" x14ac:dyDescent="0.25">
      <c r="B18" s="5" t="s">
        <v>4</v>
      </c>
      <c r="K18" s="5">
        <v>210</v>
      </c>
      <c r="P18" s="22"/>
      <c r="Q18" s="5">
        <f>2.8+238.9</f>
        <v>241.70000000000002</v>
      </c>
      <c r="R18" s="5">
        <f>2.8+237.46</f>
        <v>240.26000000000002</v>
      </c>
      <c r="S18" s="5">
        <f>2.8+231.2</f>
        <v>234</v>
      </c>
      <c r="T18" s="5">
        <f>2.799+225.4+3.311</f>
        <v>231.51000000000002</v>
      </c>
      <c r="U18" s="5">
        <f>7.7+196.5+5.6</f>
        <v>209.79999999999998</v>
      </c>
    </row>
    <row r="19" spans="2:79" s="5" customFormat="1" x14ac:dyDescent="0.25">
      <c r="B19" s="5" t="s">
        <v>39</v>
      </c>
      <c r="K19" s="5">
        <f>K17-K18</f>
        <v>-169</v>
      </c>
      <c r="P19" s="22"/>
      <c r="Q19" s="5">
        <f>Q17-Q18</f>
        <v>-215.71</v>
      </c>
      <c r="R19" s="5">
        <f>R17-R18</f>
        <v>-174.06</v>
      </c>
      <c r="S19" s="5">
        <f>S17-S18</f>
        <v>-212.5</v>
      </c>
      <c r="T19" s="5">
        <f>T17-T18</f>
        <v>-227.11</v>
      </c>
      <c r="U19" s="5">
        <f>U17-U18</f>
        <v>-173.79999999999998</v>
      </c>
      <c r="V19" s="5">
        <f>U19+U13</f>
        <v>-201.88799999999998</v>
      </c>
      <c r="W19" s="5">
        <f>V19+V13</f>
        <v>-172.197048</v>
      </c>
      <c r="X19" s="5">
        <f>W19+W13</f>
        <v>-128.77702260000001</v>
      </c>
      <c r="Y19" s="5">
        <f>X19+X13</f>
        <v>-69.091100452199953</v>
      </c>
      <c r="Z19" s="5">
        <f>Y19+Y13</f>
        <v>9.7582003875751013</v>
      </c>
      <c r="AA19" s="5">
        <f>Z19+Z13</f>
        <v>110.19613318775264</v>
      </c>
      <c r="AB19" s="5">
        <f>AA19+AA13</f>
        <v>217.15521296965107</v>
      </c>
      <c r="AC19" s="5">
        <f>AB19+AB13</f>
        <v>330.98398583748212</v>
      </c>
      <c r="AD19" s="5">
        <f>AC19+AC13</f>
        <v>450.39384260280758</v>
      </c>
      <c r="AE19" s="5">
        <f>AD19+AD13</f>
        <v>564.56175357557254</v>
      </c>
      <c r="AF19" s="5">
        <f>AE19+AE13</f>
        <v>672.7462657236739</v>
      </c>
      <c r="AG19" s="5">
        <f>AF19+AF13</f>
        <v>774.15304286529363</v>
      </c>
    </row>
    <row r="20" spans="2:79" s="7" customFormat="1" x14ac:dyDescent="0.25">
      <c r="B2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"/>
      <c r="AI20" s="1"/>
      <c r="AJ20" s="1" t="s">
        <v>44</v>
      </c>
      <c r="AK20" s="9">
        <v>7.0000000000000007E-2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2:79" s="7" customFormat="1" x14ac:dyDescent="0.25">
      <c r="B21" s="5" t="s">
        <v>40</v>
      </c>
      <c r="C21" s="6"/>
      <c r="D21" s="6"/>
      <c r="E21" s="6"/>
      <c r="F21" s="6"/>
      <c r="G21" s="6"/>
      <c r="H21" s="6"/>
      <c r="I21" s="6"/>
      <c r="J21" s="6"/>
      <c r="K21" s="21">
        <f>K11/K19</f>
        <v>-2.6331360946745562E-2</v>
      </c>
      <c r="L21" s="6"/>
      <c r="M21" s="6"/>
      <c r="N21" s="6"/>
      <c r="P21" s="13"/>
      <c r="Q21" s="21">
        <f>Q11/Q19</f>
        <v>-8.9935561633674832E-2</v>
      </c>
      <c r="R21" s="21">
        <f>R11/R19</f>
        <v>-0.10915776169137079</v>
      </c>
      <c r="S21" s="21">
        <f>S11/S19</f>
        <v>-9.2235294117647068E-2</v>
      </c>
      <c r="T21" s="21">
        <f>T11/T19</f>
        <v>-8.0247457179340412E-2</v>
      </c>
      <c r="U21" s="21">
        <f>U11/U19</f>
        <v>-0.10977560414269276</v>
      </c>
      <c r="V21" s="21">
        <f>V11/V19</f>
        <v>-0.10500000000000001</v>
      </c>
      <c r="W21" s="21">
        <f>W11/W19</f>
        <v>-0.10500000000000001</v>
      </c>
      <c r="X21" s="21">
        <f>X11/X19</f>
        <v>-0.105</v>
      </c>
      <c r="Y21" s="21">
        <f>Y11/Y19</f>
        <v>-0.105</v>
      </c>
      <c r="Z21" s="21">
        <f>Z11/Z19</f>
        <v>-1.5000000000000001E-2</v>
      </c>
      <c r="AA21" s="21">
        <f>AA11/AA19</f>
        <v>-1.5000000000000001E-2</v>
      </c>
      <c r="AB21" s="21">
        <f>AB11/AB19</f>
        <v>-1.4999999999999999E-2</v>
      </c>
      <c r="AC21" s="21">
        <f>AC11/AC19</f>
        <v>-0.01</v>
      </c>
      <c r="AD21" s="21">
        <f>AD11/AD19</f>
        <v>-0.01</v>
      </c>
      <c r="AE21" s="21">
        <f>AE11/AE19</f>
        <v>-0.01</v>
      </c>
      <c r="AF21" s="21">
        <f>AF11/AF19</f>
        <v>-0.01</v>
      </c>
      <c r="AG21" s="21">
        <f>AG11/AG19</f>
        <v>-0.01</v>
      </c>
      <c r="AH21" s="1"/>
      <c r="AI21" s="1"/>
      <c r="AJ21" s="9" t="s">
        <v>43</v>
      </c>
      <c r="AK21" s="9">
        <v>-0.01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2:79" s="7" customFormat="1" x14ac:dyDescent="0.25">
      <c r="B2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P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1"/>
      <c r="AB22" s="1"/>
      <c r="AC22" s="1"/>
      <c r="AD22" s="1"/>
      <c r="AE22" s="1"/>
      <c r="AF22" s="1"/>
      <c r="AG22" s="1"/>
      <c r="AH22" s="1"/>
      <c r="AI22" s="1"/>
      <c r="AJ22" s="9" t="s">
        <v>42</v>
      </c>
      <c r="AK22" s="9">
        <v>0.08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2:79" s="9" customFormat="1" x14ac:dyDescent="0.25">
      <c r="B23" s="9" t="s">
        <v>25</v>
      </c>
      <c r="C23" s="10">
        <f>C5/C3</f>
        <v>0.55149556442304526</v>
      </c>
      <c r="D23" s="10">
        <f>D5/D3</f>
        <v>0.59393756207090109</v>
      </c>
      <c r="E23" s="10">
        <f t="shared" ref="E23:K23" si="15">E5/E3</f>
        <v>0.58863675140760963</v>
      </c>
      <c r="F23" s="10">
        <f t="shared" si="15"/>
        <v>0.56711675933280381</v>
      </c>
      <c r="G23" s="10">
        <f t="shared" si="15"/>
        <v>0.68040278853601865</v>
      </c>
      <c r="H23" s="10">
        <f t="shared" si="15"/>
        <v>0.68674244803114992</v>
      </c>
      <c r="I23" s="10">
        <f t="shared" si="15"/>
        <v>0.68892110986620969</v>
      </c>
      <c r="J23" s="10">
        <f t="shared" si="15"/>
        <v>0.63878746124698582</v>
      </c>
      <c r="K23" s="10">
        <f t="shared" si="15"/>
        <v>0.69694847487409994</v>
      </c>
      <c r="L23" s="10"/>
      <c r="M23" s="10"/>
      <c r="N23" s="10"/>
      <c r="P23" s="14"/>
      <c r="Q23" s="10">
        <f t="shared" ref="Q23" si="16">Q5/Q3</f>
        <v>0.71565678269588884</v>
      </c>
      <c r="R23" s="10">
        <f t="shared" ref="R23:T23" si="17">R5/R3</f>
        <v>0.70437491151068943</v>
      </c>
      <c r="S23" s="10">
        <f t="shared" si="17"/>
        <v>0.61990452770143212</v>
      </c>
      <c r="T23" s="10">
        <f t="shared" si="17"/>
        <v>0.57552053430195083</v>
      </c>
      <c r="U23" s="10">
        <f t="shared" ref="U23:V23" si="18">U5/U3</f>
        <v>0.67401445634900292</v>
      </c>
      <c r="V23" s="10">
        <f t="shared" si="18"/>
        <v>0.66</v>
      </c>
      <c r="W23" s="10">
        <f t="shared" ref="W23:AG23" si="19">W5/W3</f>
        <v>0.66</v>
      </c>
      <c r="X23" s="10">
        <f t="shared" si="19"/>
        <v>0.66</v>
      </c>
      <c r="Y23" s="10">
        <f t="shared" si="19"/>
        <v>0.66</v>
      </c>
      <c r="Z23" s="10">
        <f t="shared" si="19"/>
        <v>0.65999999999999992</v>
      </c>
      <c r="AA23" s="10">
        <f t="shared" si="19"/>
        <v>0.66</v>
      </c>
      <c r="AB23" s="10">
        <f t="shared" si="19"/>
        <v>0.66</v>
      </c>
      <c r="AC23" s="10">
        <f t="shared" si="19"/>
        <v>0.66</v>
      </c>
      <c r="AD23" s="10">
        <f t="shared" si="19"/>
        <v>0.66000000000000014</v>
      </c>
      <c r="AE23" s="10">
        <f t="shared" si="19"/>
        <v>0.66</v>
      </c>
      <c r="AF23" s="10">
        <f t="shared" si="19"/>
        <v>0.66</v>
      </c>
      <c r="AG23" s="10">
        <f t="shared" si="19"/>
        <v>0.66</v>
      </c>
      <c r="AJ23" s="9" t="s">
        <v>41</v>
      </c>
      <c r="AK23" s="23">
        <f>NPV(AK22,AH13:HH13)</f>
        <v>884.42815622737601</v>
      </c>
    </row>
    <row r="24" spans="2:79" s="9" customFormat="1" x14ac:dyDescent="0.25">
      <c r="B24" s="9" t="s">
        <v>33</v>
      </c>
      <c r="C24" s="10">
        <f t="shared" ref="C24" si="20">C9/C3</f>
        <v>-0.98639096835185613</v>
      </c>
      <c r="D24" s="10">
        <f t="shared" ref="D24:K24" si="21">D9/D3</f>
        <v>-0.23518934323589108</v>
      </c>
      <c r="E24" s="10">
        <f t="shared" si="21"/>
        <v>-0.20394130694420753</v>
      </c>
      <c r="F24" s="10">
        <f t="shared" si="21"/>
        <v>-0.2262430500397139</v>
      </c>
      <c r="G24" s="10">
        <f t="shared" si="21"/>
        <v>6.7699457784663131E-2</v>
      </c>
      <c r="H24" s="10">
        <f t="shared" si="21"/>
        <v>0.14758525403504366</v>
      </c>
      <c r="I24" s="10">
        <f t="shared" si="21"/>
        <v>0.12522243458775439</v>
      </c>
      <c r="J24" s="10">
        <f t="shared" si="21"/>
        <v>5.1808473992421701E-2</v>
      </c>
      <c r="K24" s="10">
        <f t="shared" si="21"/>
        <v>0.15196505994180903</v>
      </c>
      <c r="L24" s="10"/>
      <c r="M24" s="10"/>
      <c r="N24" s="10"/>
      <c r="P24" s="14"/>
      <c r="Q24" s="10">
        <f t="shared" ref="P24:T24" si="22">Q9/Q3</f>
        <v>0.1398080504225756</v>
      </c>
      <c r="R24" s="10">
        <f t="shared" si="22"/>
        <v>0.12388503468780963</v>
      </c>
      <c r="S24" s="10">
        <f t="shared" si="22"/>
        <v>7.021553594676691E-2</v>
      </c>
      <c r="T24" s="10">
        <f t="shared" si="22"/>
        <v>-0.38410686039018099</v>
      </c>
      <c r="U24" s="10">
        <f t="shared" ref="U24:V24" si="23">U9/U3</f>
        <v>0.10040840040327403</v>
      </c>
      <c r="V24" s="10">
        <f t="shared" si="23"/>
        <v>9.8998147311054344E-2</v>
      </c>
      <c r="W24" s="10">
        <f t="shared" ref="W24:AG24" si="24">W9/W3</f>
        <v>0.1094841632491655</v>
      </c>
      <c r="X24" s="10">
        <f t="shared" si="24"/>
        <v>0.11977417888936809</v>
      </c>
      <c r="Y24" s="10">
        <f t="shared" si="24"/>
        <v>0.12987185778863222</v>
      </c>
      <c r="Z24" s="10">
        <f t="shared" si="24"/>
        <v>0.13978079502622781</v>
      </c>
      <c r="AA24" s="10">
        <f t="shared" si="24"/>
        <v>0.13978079502622789</v>
      </c>
      <c r="AB24" s="10">
        <f t="shared" si="24"/>
        <v>0.13978079502622787</v>
      </c>
      <c r="AC24" s="10">
        <f t="shared" si="24"/>
        <v>0.13978079502622789</v>
      </c>
      <c r="AD24" s="10">
        <f t="shared" si="24"/>
        <v>0.12967945124032942</v>
      </c>
      <c r="AE24" s="10">
        <f t="shared" si="24"/>
        <v>0.11938196485664651</v>
      </c>
      <c r="AF24" s="10">
        <f t="shared" si="24"/>
        <v>0.10888452728104736</v>
      </c>
      <c r="AG24" s="10">
        <f t="shared" si="24"/>
        <v>8.7058171925841324E-2</v>
      </c>
    </row>
    <row r="25" spans="2:79" s="9" customFormat="1" x14ac:dyDescent="0.25">
      <c r="B25" s="24" t="s">
        <v>29</v>
      </c>
      <c r="C25" s="24">
        <f t="shared" ref="C25:F25" si="25">C12/C3</f>
        <v>-0.26492541415207382</v>
      </c>
      <c r="D25" s="24">
        <f t="shared" si="25"/>
        <v>-7.5564575327086672E-2</v>
      </c>
      <c r="E25" s="24">
        <f t="shared" si="25"/>
        <v>-6.2386964681794915E-2</v>
      </c>
      <c r="F25" s="24">
        <f t="shared" si="25"/>
        <v>-7.7037331215250193E-2</v>
      </c>
      <c r="G25" s="24">
        <f>G12/G3</f>
        <v>1.0782339271882262E-2</v>
      </c>
      <c r="H25" s="24">
        <f>H12/H3</f>
        <v>2.7909313571563149E-2</v>
      </c>
      <c r="I25" s="24">
        <f>I12/I3</f>
        <v>1.7069795030646543E-2</v>
      </c>
      <c r="J25" s="24">
        <f>J12/J3</f>
        <v>-2.8384429900103337E-3</v>
      </c>
      <c r="K25" s="24">
        <f>K12/K3</f>
        <v>3.1896809682368896E-2</v>
      </c>
      <c r="L25" s="10"/>
      <c r="M25" s="10"/>
      <c r="N25" s="10"/>
      <c r="P25" s="14"/>
      <c r="Q25" s="21">
        <f t="shared" ref="Q25:S25" si="26">Q12/Q3</f>
        <v>-7.7352814782982379E-3</v>
      </c>
      <c r="R25" s="21">
        <f t="shared" si="26"/>
        <v>1.6423616027183917E-2</v>
      </c>
      <c r="S25" s="21">
        <f t="shared" si="26"/>
        <v>-4.3396499349052514E-3</v>
      </c>
      <c r="T25" s="21">
        <f>T12/T3</f>
        <v>-0.11274708535942352</v>
      </c>
      <c r="U25" s="21">
        <f>U12/U3</f>
        <v>1.3694229421916919E-2</v>
      </c>
      <c r="V25" s="21">
        <f>V12/V3</f>
        <v>1.7999999999999999E-2</v>
      </c>
      <c r="W25" s="21">
        <f t="shared" ref="W25:AG25" si="27">W12/W3</f>
        <v>1.7999999999999999E-2</v>
      </c>
      <c r="X25" s="21">
        <f t="shared" si="27"/>
        <v>1.7999999999999999E-2</v>
      </c>
      <c r="Y25" s="21">
        <f t="shared" si="27"/>
        <v>1.7999999999999999E-2</v>
      </c>
      <c r="Z25" s="21">
        <f t="shared" si="27"/>
        <v>1.7999999999999999E-2</v>
      </c>
      <c r="AA25" s="21">
        <f t="shared" si="27"/>
        <v>1.7999999999999999E-2</v>
      </c>
      <c r="AB25" s="21">
        <f t="shared" si="27"/>
        <v>1.7999999999999999E-2</v>
      </c>
      <c r="AC25" s="21">
        <f t="shared" si="27"/>
        <v>1.7999999999999999E-2</v>
      </c>
      <c r="AD25" s="21">
        <f t="shared" si="27"/>
        <v>1.7999999999999999E-2</v>
      </c>
      <c r="AE25" s="21">
        <f t="shared" si="27"/>
        <v>1.7999999999999999E-2</v>
      </c>
      <c r="AF25" s="21">
        <f t="shared" si="27"/>
        <v>1.7999999999999999E-2</v>
      </c>
      <c r="AG25" s="21">
        <f t="shared" si="27"/>
        <v>1.7999999999999999E-2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</row>
    <row r="26" spans="2:79" s="10" customFormat="1" x14ac:dyDescent="0.25">
      <c r="B26" s="9" t="s">
        <v>34</v>
      </c>
      <c r="C26" s="10">
        <f t="shared" ref="C26" si="28">C3/C6</f>
        <v>1.034914675767918</v>
      </c>
      <c r="D26" s="10">
        <f t="shared" ref="D26:J26" si="29">D3/D6</f>
        <v>1.1922265122265121</v>
      </c>
      <c r="E26" s="10">
        <f t="shared" si="29"/>
        <v>1.2741304347826088</v>
      </c>
      <c r="F26" s="10">
        <f t="shared" si="29"/>
        <v>1.4707943925233646</v>
      </c>
      <c r="G26" s="10">
        <f t="shared" si="29"/>
        <v>1.6321112515802783</v>
      </c>
      <c r="H26" s="10">
        <f t="shared" si="29"/>
        <v>1.8547466511357018</v>
      </c>
      <c r="I26" s="10">
        <f t="shared" si="29"/>
        <v>1.7739974278031099</v>
      </c>
      <c r="J26" s="10">
        <f t="shared" si="29"/>
        <v>1.7036384976525822</v>
      </c>
      <c r="K26" s="10">
        <f>K3/K6</f>
        <v>1.8349182242990654</v>
      </c>
      <c r="P26" s="20"/>
      <c r="Q26" s="10">
        <f>Q3/Q6</f>
        <v>1.7365671641791045</v>
      </c>
      <c r="R26" s="10">
        <f t="shared" ref="R26:S26" si="30">R3/R6</f>
        <v>1.7226829268292683</v>
      </c>
      <c r="S26" s="10">
        <f t="shared" si="30"/>
        <v>1.8192105263157894</v>
      </c>
      <c r="T26" s="10">
        <f>T3/T6</f>
        <v>1.2433712121212119</v>
      </c>
      <c r="U26" s="10">
        <f>U3/U6</f>
        <v>1.74335676835081</v>
      </c>
      <c r="V26" s="10">
        <f>V3/V6</f>
        <v>1.7825253075491396</v>
      </c>
      <c r="W26" s="10">
        <f t="shared" ref="W26:AG26" si="31">W3/W6</f>
        <v>1.8164781705500757</v>
      </c>
      <c r="X26" s="10">
        <f t="shared" si="31"/>
        <v>1.8510777547510295</v>
      </c>
      <c r="Y26" s="10">
        <f t="shared" si="31"/>
        <v>1.8863363786510492</v>
      </c>
      <c r="Z26" s="10">
        <f t="shared" si="31"/>
        <v>1.9222665953872597</v>
      </c>
      <c r="AA26" s="10">
        <f t="shared" si="31"/>
        <v>1.9222665953872597</v>
      </c>
      <c r="AB26" s="10">
        <f t="shared" si="31"/>
        <v>1.9222665953872597</v>
      </c>
      <c r="AC26" s="10">
        <f t="shared" si="31"/>
        <v>1.9222665953872597</v>
      </c>
      <c r="AD26" s="10">
        <f t="shared" si="31"/>
        <v>1.8856519935703595</v>
      </c>
      <c r="AE26" s="10">
        <f t="shared" si="31"/>
        <v>1.849734812740448</v>
      </c>
      <c r="AF26" s="10">
        <f t="shared" si="31"/>
        <v>1.814501768688249</v>
      </c>
      <c r="AG26" s="10">
        <f t="shared" si="31"/>
        <v>1.7453778917858396</v>
      </c>
    </row>
    <row r="27" spans="2:79" x14ac:dyDescent="0.25">
      <c r="B27" s="9"/>
      <c r="N27" s="5"/>
      <c r="U27" s="5"/>
    </row>
    <row r="28" spans="2:79" s="9" customFormat="1" x14ac:dyDescent="0.25">
      <c r="B28" s="9" t="s">
        <v>24</v>
      </c>
      <c r="C28" s="10"/>
      <c r="D28" s="10"/>
      <c r="E28" s="10"/>
      <c r="F28" s="10"/>
      <c r="G28" s="10">
        <f t="shared" ref="G28:J28" si="32">G3/C3-1</f>
        <v>0.41916477041629574</v>
      </c>
      <c r="H28" s="10">
        <f t="shared" si="32"/>
        <v>0.71887818990457264</v>
      </c>
      <c r="I28" s="10">
        <f t="shared" si="32"/>
        <v>0.29440368537792172</v>
      </c>
      <c r="J28" s="10">
        <f t="shared" si="32"/>
        <v>0.1528991262907069</v>
      </c>
      <c r="K28" s="10">
        <f>K3/G3-1</f>
        <v>0.21664601084430668</v>
      </c>
      <c r="L28" s="10"/>
      <c r="M28" s="10"/>
      <c r="N28" s="10"/>
      <c r="P28" s="14"/>
      <c r="R28" s="10">
        <f>R3/Q3-1</f>
        <v>1.1746168170749138E-2</v>
      </c>
      <c r="S28" s="10">
        <f t="shared" ref="R28:T28" si="33">S3/R3-1</f>
        <v>-2.123743451791027E-2</v>
      </c>
      <c r="T28" s="10">
        <f t="shared" si="33"/>
        <v>-0.38272096050918547</v>
      </c>
      <c r="U28" s="10">
        <f>U3/T3-1</f>
        <v>0.37139844161930968</v>
      </c>
      <c r="V28" s="10">
        <f>V3/U3-1</f>
        <v>7.3590676851045034E-2</v>
      </c>
      <c r="W28" s="10">
        <f t="shared" ref="W28:AG28" si="34">W3/V3-1</f>
        <v>7.0000000000000062E-2</v>
      </c>
      <c r="X28" s="10">
        <f t="shared" si="34"/>
        <v>7.0000000000000062E-2</v>
      </c>
      <c r="Y28" s="10">
        <f t="shared" si="34"/>
        <v>7.0000000000000062E-2</v>
      </c>
      <c r="Z28" s="10">
        <f t="shared" si="34"/>
        <v>7.0000000000000062E-2</v>
      </c>
      <c r="AA28" s="10">
        <f t="shared" si="34"/>
        <v>5.0000000000000044E-2</v>
      </c>
      <c r="AB28" s="10">
        <f t="shared" si="34"/>
        <v>5.0000000000000044E-2</v>
      </c>
      <c r="AC28" s="10">
        <f t="shared" si="34"/>
        <v>5.0000000000000044E-2</v>
      </c>
      <c r="AD28" s="10">
        <f t="shared" si="34"/>
        <v>3.0000000000000027E-2</v>
      </c>
      <c r="AE28" s="10">
        <f t="shared" si="34"/>
        <v>3.0000000000000027E-2</v>
      </c>
      <c r="AF28" s="10">
        <f t="shared" si="34"/>
        <v>3.0000000000000027E-2</v>
      </c>
      <c r="AG28" s="10">
        <f t="shared" si="34"/>
        <v>1.0000000000000009E-2</v>
      </c>
    </row>
    <row r="29" spans="2:79" s="9" customFormat="1" x14ac:dyDescent="0.25">
      <c r="B29" s="9" t="s">
        <v>28</v>
      </c>
      <c r="C29" s="10"/>
      <c r="D29" s="10"/>
      <c r="E29" s="10"/>
      <c r="F29" s="10"/>
      <c r="G29" s="10"/>
      <c r="H29" s="10"/>
      <c r="I29" s="10"/>
      <c r="J29" s="10"/>
      <c r="K29" s="10" t="s">
        <v>36</v>
      </c>
      <c r="L29" s="10"/>
      <c r="M29" s="10"/>
      <c r="N29" s="10"/>
      <c r="P29" s="14"/>
    </row>
    <row r="30" spans="2:79" s="9" customForma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P30" s="14"/>
    </row>
    <row r="31" spans="2:79" s="9" customFormat="1" x14ac:dyDescent="0.25">
      <c r="C31" s="10"/>
      <c r="D31" s="10"/>
      <c r="E31" s="10"/>
      <c r="F31" s="10"/>
      <c r="G31" s="10"/>
      <c r="H31" s="10"/>
      <c r="P31" s="14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2022-07-29T18:44:26Z</cp:lastPrinted>
  <dcterms:created xsi:type="dcterms:W3CDTF">2022-07-24T17:54:11Z</dcterms:created>
  <dcterms:modified xsi:type="dcterms:W3CDTF">2022-07-29T18:47:56Z</dcterms:modified>
</cp:coreProperties>
</file>