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7A98BF4E-F615-434A-B075-92FFB8C65706}" xr6:coauthVersionLast="47" xr6:coauthVersionMax="47" xr10:uidLastSave="{00000000-0000-0000-0000-000000000000}"/>
  <bookViews>
    <workbookView xWindow="23220" yWindow="2760" windowWidth="15825" windowHeight="17250" xr2:uid="{0059096E-FB45-4687-8E83-CA48A480824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" l="1"/>
  <c r="N18" i="2"/>
  <c r="N17" i="2"/>
  <c r="N16" i="2"/>
  <c r="N15" i="2"/>
  <c r="AC3" i="1"/>
  <c r="AD3" i="1" s="1"/>
  <c r="AE3" i="1" s="1"/>
  <c r="AF3" i="1" s="1"/>
  <c r="AB3" i="1"/>
  <c r="W3" i="1"/>
  <c r="W4" i="1"/>
  <c r="V4" i="1"/>
  <c r="V7" i="1"/>
  <c r="V15" i="1" s="1"/>
  <c r="AD6" i="1"/>
  <c r="AE6" i="1" s="1"/>
  <c r="AF6" i="1" s="1"/>
  <c r="AC6" i="1"/>
  <c r="X6" i="1"/>
  <c r="W6" i="1"/>
  <c r="AA3" i="1"/>
  <c r="Z3" i="1"/>
  <c r="Y3" i="1"/>
  <c r="X3" i="1"/>
  <c r="X5" i="1"/>
  <c r="Y5" i="1" s="1"/>
  <c r="Z5" i="1" s="1"/>
  <c r="AA5" i="1" s="1"/>
  <c r="AB5" i="1" s="1"/>
  <c r="AC5" i="1" s="1"/>
  <c r="AD5" i="1" s="1"/>
  <c r="AE5" i="1" s="1"/>
  <c r="AF5" i="1" s="1"/>
  <c r="W5" i="1"/>
  <c r="V6" i="1"/>
  <c r="V3" i="1"/>
  <c r="W7" i="1" l="1"/>
  <c r="W9" i="1" s="1"/>
  <c r="V9" i="1"/>
  <c r="V10" i="1"/>
  <c r="W10" i="1"/>
  <c r="W15" i="1"/>
  <c r="X4" i="1"/>
  <c r="Y6" i="1"/>
  <c r="Z6" i="1" s="1"/>
  <c r="AA6" i="1" s="1"/>
  <c r="AB6" i="1" s="1"/>
  <c r="V13" i="1"/>
  <c r="U24" i="1"/>
  <c r="T24" i="1"/>
  <c r="S24" i="1"/>
  <c r="R24" i="1"/>
  <c r="K28" i="1"/>
  <c r="J28" i="1"/>
  <c r="I28" i="1"/>
  <c r="H28" i="1"/>
  <c r="G28" i="1"/>
  <c r="F28" i="1"/>
  <c r="E28" i="1"/>
  <c r="D28" i="1"/>
  <c r="C28" i="1"/>
  <c r="U28" i="1"/>
  <c r="T28" i="1"/>
  <c r="S28" i="1"/>
  <c r="R28" i="1"/>
  <c r="Q28" i="1"/>
  <c r="Q6" i="1"/>
  <c r="R6" i="1"/>
  <c r="R23" i="1"/>
  <c r="R20" i="1"/>
  <c r="S23" i="1"/>
  <c r="S20" i="1"/>
  <c r="Q11" i="1"/>
  <c r="Q9" i="1"/>
  <c r="R11" i="1"/>
  <c r="R9" i="1"/>
  <c r="G40" i="1"/>
  <c r="H40" i="1"/>
  <c r="I40" i="1"/>
  <c r="J40" i="1"/>
  <c r="K40" i="1"/>
  <c r="K24" i="1"/>
  <c r="J24" i="1"/>
  <c r="I24" i="1"/>
  <c r="H24" i="1"/>
  <c r="G24" i="1"/>
  <c r="F24" i="1"/>
  <c r="F16" i="1"/>
  <c r="F18" i="1" s="1"/>
  <c r="F15" i="1"/>
  <c r="F14" i="1"/>
  <c r="F13" i="1"/>
  <c r="F11" i="1"/>
  <c r="F10" i="1"/>
  <c r="F9" i="1"/>
  <c r="F8" i="1"/>
  <c r="F7" i="1"/>
  <c r="F6" i="1"/>
  <c r="F5" i="1"/>
  <c r="F4" i="1"/>
  <c r="F3" i="1"/>
  <c r="J15" i="1"/>
  <c r="J14" i="1"/>
  <c r="J13" i="1"/>
  <c r="J11" i="1"/>
  <c r="J10" i="1"/>
  <c r="J12" i="1"/>
  <c r="J16" i="1" s="1"/>
  <c r="J18" i="1" s="1"/>
  <c r="J9" i="1"/>
  <c r="J8" i="1"/>
  <c r="J4" i="1"/>
  <c r="J5" i="1"/>
  <c r="J7" i="1"/>
  <c r="J6" i="1"/>
  <c r="J3" i="1"/>
  <c r="C6" i="1"/>
  <c r="G23" i="1"/>
  <c r="G20" i="1"/>
  <c r="C13" i="1"/>
  <c r="C11" i="1"/>
  <c r="C9" i="1"/>
  <c r="C12" i="1" s="1"/>
  <c r="C16" i="1" s="1"/>
  <c r="C18" i="1" s="1"/>
  <c r="D6" i="1"/>
  <c r="E6" i="1"/>
  <c r="H6" i="1"/>
  <c r="H23" i="1"/>
  <c r="H20" i="1"/>
  <c r="D13" i="1"/>
  <c r="D11" i="1"/>
  <c r="D9" i="1"/>
  <c r="H9" i="1"/>
  <c r="H12" i="1" s="1"/>
  <c r="H16" i="1" s="1"/>
  <c r="H18" i="1" s="1"/>
  <c r="I6" i="1"/>
  <c r="I23" i="1"/>
  <c r="I20" i="1"/>
  <c r="E11" i="1"/>
  <c r="E9" i="1"/>
  <c r="I9" i="1"/>
  <c r="I12" i="1" s="1"/>
  <c r="I16" i="1" s="1"/>
  <c r="I18" i="1" s="1"/>
  <c r="F23" i="1"/>
  <c r="F20" i="1"/>
  <c r="S6" i="1"/>
  <c r="T6" i="1"/>
  <c r="U6" i="1"/>
  <c r="T23" i="1"/>
  <c r="T20" i="1"/>
  <c r="U23" i="1"/>
  <c r="U20" i="1"/>
  <c r="J23" i="1"/>
  <c r="J20" i="1"/>
  <c r="K23" i="1"/>
  <c r="K20" i="1"/>
  <c r="S13" i="1"/>
  <c r="S11" i="1"/>
  <c r="S9" i="1"/>
  <c r="S12" i="1" s="1"/>
  <c r="K9" i="1"/>
  <c r="K12" i="1" s="1"/>
  <c r="K16" i="1" s="1"/>
  <c r="K18" i="1" s="1"/>
  <c r="K13" i="1"/>
  <c r="T13" i="1"/>
  <c r="T11" i="1"/>
  <c r="T9" i="1"/>
  <c r="U13" i="1"/>
  <c r="U11" i="1"/>
  <c r="U9" i="1"/>
  <c r="G9" i="1"/>
  <c r="G12" i="1" s="1"/>
  <c r="G16" i="1" s="1"/>
  <c r="G18" i="1" s="1"/>
  <c r="G6" i="1"/>
  <c r="K6" i="1"/>
  <c r="V12" i="1" l="1"/>
  <c r="V16" i="1" s="1"/>
  <c r="X7" i="1"/>
  <c r="Y4" i="1"/>
  <c r="V24" i="1"/>
  <c r="W13" i="1" s="1"/>
  <c r="W12" i="1"/>
  <c r="Q12" i="1"/>
  <c r="Q16" i="1" s="1"/>
  <c r="Q18" i="1" s="1"/>
  <c r="R12" i="1"/>
  <c r="R16" i="1" s="1"/>
  <c r="R18" i="1" s="1"/>
  <c r="F12" i="1"/>
  <c r="D12" i="1"/>
  <c r="D16" i="1" s="1"/>
  <c r="D18" i="1" s="1"/>
  <c r="E12" i="1"/>
  <c r="E16" i="1" s="1"/>
  <c r="E18" i="1" s="1"/>
  <c r="S16" i="1"/>
  <c r="S18" i="1" s="1"/>
  <c r="T12" i="1"/>
  <c r="T16" i="1" s="1"/>
  <c r="T18" i="1" s="1"/>
  <c r="U12" i="1"/>
  <c r="U16" i="1" s="1"/>
  <c r="U18" i="1" s="1"/>
  <c r="AA35" i="1"/>
  <c r="V40" i="1"/>
  <c r="V36" i="1"/>
  <c r="Z35" i="1"/>
  <c r="Y35" i="1"/>
  <c r="X35" i="1"/>
  <c r="W35" i="1"/>
  <c r="V35" i="1"/>
  <c r="AA34" i="1"/>
  <c r="Z34" i="1"/>
  <c r="Y34" i="1"/>
  <c r="X34" i="1"/>
  <c r="W34" i="1"/>
  <c r="V34" i="1"/>
  <c r="W33" i="1"/>
  <c r="V33" i="1"/>
  <c r="X32" i="1"/>
  <c r="W32" i="1"/>
  <c r="V32" i="1"/>
  <c r="V30" i="1"/>
  <c r="V29" i="1"/>
  <c r="V28" i="1"/>
  <c r="V27" i="1"/>
  <c r="V26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T32" i="1"/>
  <c r="S32" i="1"/>
  <c r="R32" i="1"/>
  <c r="U32" i="1"/>
  <c r="W16" i="1" l="1"/>
  <c r="W40" i="1"/>
  <c r="Y7" i="1"/>
  <c r="Y36" i="1" s="1"/>
  <c r="Z4" i="1"/>
  <c r="Y33" i="1"/>
  <c r="X15" i="1"/>
  <c r="X9" i="1"/>
  <c r="X10" i="1"/>
  <c r="X30" i="1" s="1"/>
  <c r="V37" i="1"/>
  <c r="AB34" i="1"/>
  <c r="AA32" i="1"/>
  <c r="Y32" i="1"/>
  <c r="Z32" i="1"/>
  <c r="Y29" i="1"/>
  <c r="X33" i="1"/>
  <c r="X29" i="1"/>
  <c r="X36" i="1"/>
  <c r="W36" i="1"/>
  <c r="W27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6" i="1"/>
  <c r="I36" i="1"/>
  <c r="H36" i="1"/>
  <c r="G36" i="1"/>
  <c r="U30" i="1"/>
  <c r="T30" i="1"/>
  <c r="S30" i="1"/>
  <c r="R30" i="1"/>
  <c r="Q30" i="1"/>
  <c r="U29" i="1"/>
  <c r="T29" i="1"/>
  <c r="S29" i="1"/>
  <c r="R29" i="1"/>
  <c r="K30" i="1"/>
  <c r="I30" i="1"/>
  <c r="H30" i="1"/>
  <c r="G30" i="1"/>
  <c r="E30" i="1"/>
  <c r="D30" i="1"/>
  <c r="C30" i="1"/>
  <c r="K29" i="1"/>
  <c r="I29" i="1"/>
  <c r="H29" i="1"/>
  <c r="G29" i="1"/>
  <c r="S40" i="1"/>
  <c r="T40" i="1"/>
  <c r="D26" i="1"/>
  <c r="U40" i="1"/>
  <c r="N5" i="2"/>
  <c r="N8" i="2" s="1"/>
  <c r="AA4" i="1" l="1"/>
  <c r="Z7" i="1"/>
  <c r="Z33" i="1"/>
  <c r="Y10" i="1"/>
  <c r="Y30" i="1" s="1"/>
  <c r="Y15" i="1"/>
  <c r="Y9" i="1"/>
  <c r="X12" i="1"/>
  <c r="X27" i="1" s="1"/>
  <c r="W24" i="1"/>
  <c r="AB35" i="1"/>
  <c r="AB32" i="1"/>
  <c r="AC34" i="1"/>
  <c r="W29" i="1"/>
  <c r="W30" i="1"/>
  <c r="W26" i="1"/>
  <c r="X28" i="1"/>
  <c r="X26" i="1"/>
  <c r="R37" i="1"/>
  <c r="S37" i="1"/>
  <c r="U37" i="1"/>
  <c r="Q26" i="1"/>
  <c r="T37" i="1"/>
  <c r="C26" i="1"/>
  <c r="E26" i="1"/>
  <c r="H27" i="1"/>
  <c r="I27" i="1"/>
  <c r="R26" i="1"/>
  <c r="I37" i="1"/>
  <c r="S26" i="1"/>
  <c r="I26" i="1"/>
  <c r="T26" i="1"/>
  <c r="Q27" i="1"/>
  <c r="F29" i="1"/>
  <c r="H26" i="1"/>
  <c r="R27" i="1"/>
  <c r="U26" i="1"/>
  <c r="S27" i="1"/>
  <c r="G37" i="1"/>
  <c r="T27" i="1"/>
  <c r="K37" i="1"/>
  <c r="K26" i="1"/>
  <c r="U27" i="1"/>
  <c r="G27" i="1"/>
  <c r="K27" i="1"/>
  <c r="G26" i="1"/>
  <c r="C27" i="1"/>
  <c r="E27" i="1"/>
  <c r="X13" i="1" l="1"/>
  <c r="X16" i="1" s="1"/>
  <c r="Z15" i="1"/>
  <c r="Z10" i="1"/>
  <c r="Z30" i="1" s="1"/>
  <c r="Z9" i="1"/>
  <c r="Z36" i="1"/>
  <c r="Z29" i="1"/>
  <c r="Y12" i="1"/>
  <c r="Y27" i="1" s="1"/>
  <c r="AB4" i="1"/>
  <c r="AA7" i="1"/>
  <c r="AA33" i="1"/>
  <c r="AD34" i="1"/>
  <c r="AC35" i="1"/>
  <c r="AC32" i="1"/>
  <c r="W28" i="1"/>
  <c r="Y26" i="1"/>
  <c r="Y28" i="1"/>
  <c r="H37" i="1"/>
  <c r="D27" i="1"/>
  <c r="F30" i="1"/>
  <c r="X24" i="1" l="1"/>
  <c r="Z12" i="1"/>
  <c r="Z27" i="1" s="1"/>
  <c r="Y13" i="1"/>
  <c r="Y16" i="1" s="1"/>
  <c r="Y24" i="1" s="1"/>
  <c r="AA15" i="1"/>
  <c r="AA10" i="1"/>
  <c r="AA30" i="1" s="1"/>
  <c r="AA9" i="1"/>
  <c r="AA12" i="1" s="1"/>
  <c r="AA36" i="1"/>
  <c r="AA29" i="1"/>
  <c r="AC4" i="1"/>
  <c r="AB7" i="1"/>
  <c r="AB33" i="1"/>
  <c r="AD32" i="1"/>
  <c r="AD35" i="1"/>
  <c r="AE34" i="1"/>
  <c r="AF34" i="1"/>
  <c r="W37" i="1"/>
  <c r="Z26" i="1"/>
  <c r="Z28" i="1"/>
  <c r="F26" i="1"/>
  <c r="J37" i="1"/>
  <c r="Z13" i="1" l="1"/>
  <c r="Z16" i="1" s="1"/>
  <c r="Z24" i="1" s="1"/>
  <c r="AB15" i="1"/>
  <c r="AB10" i="1"/>
  <c r="AB30" i="1" s="1"/>
  <c r="AB9" i="1"/>
  <c r="AB36" i="1"/>
  <c r="AB29" i="1"/>
  <c r="AD4" i="1"/>
  <c r="AC7" i="1"/>
  <c r="AC33" i="1"/>
  <c r="AE35" i="1"/>
  <c r="AF35" i="1"/>
  <c r="AE32" i="1"/>
  <c r="AA28" i="1"/>
  <c r="F27" i="1"/>
  <c r="AB12" i="1" l="1"/>
  <c r="AA13" i="1"/>
  <c r="AA16" i="1" s="1"/>
  <c r="AC15" i="1"/>
  <c r="AC10" i="1"/>
  <c r="AC30" i="1" s="1"/>
  <c r="AC9" i="1"/>
  <c r="AC12" i="1" s="1"/>
  <c r="AC29" i="1"/>
  <c r="AC36" i="1"/>
  <c r="AE4" i="1"/>
  <c r="AD7" i="1"/>
  <c r="AD33" i="1"/>
  <c r="AA26" i="1"/>
  <c r="AA27" i="1"/>
  <c r="AF32" i="1"/>
  <c r="X40" i="1"/>
  <c r="AB28" i="1"/>
  <c r="AA24" i="1" l="1"/>
  <c r="AB13" i="1" s="1"/>
  <c r="AB16" i="1" s="1"/>
  <c r="AB24" i="1" s="1"/>
  <c r="AC13" i="1" s="1"/>
  <c r="AC16" i="1" s="1"/>
  <c r="AD15" i="1"/>
  <c r="AD10" i="1"/>
  <c r="AD30" i="1" s="1"/>
  <c r="AD9" i="1"/>
  <c r="AD12" i="1" s="1"/>
  <c r="AD29" i="1"/>
  <c r="AD36" i="1"/>
  <c r="AF4" i="1"/>
  <c r="AE7" i="1"/>
  <c r="AE33" i="1"/>
  <c r="AB26" i="1"/>
  <c r="AB27" i="1"/>
  <c r="X37" i="1"/>
  <c r="AC28" i="1"/>
  <c r="AF7" i="1" l="1"/>
  <c r="AF33" i="1"/>
  <c r="AE10" i="1"/>
  <c r="AE30" i="1" s="1"/>
  <c r="AE9" i="1"/>
  <c r="AE15" i="1"/>
  <c r="AE36" i="1"/>
  <c r="AE29" i="1"/>
  <c r="AC24" i="1"/>
  <c r="AD13" i="1" s="1"/>
  <c r="AD16" i="1" s="1"/>
  <c r="AC26" i="1"/>
  <c r="AC27" i="1"/>
  <c r="AD28" i="1"/>
  <c r="AE12" i="1" l="1"/>
  <c r="AF9" i="1"/>
  <c r="AF10" i="1"/>
  <c r="AF30" i="1" s="1"/>
  <c r="AF15" i="1"/>
  <c r="AF29" i="1"/>
  <c r="AF36" i="1"/>
  <c r="AD24" i="1"/>
  <c r="AE13" i="1" s="1"/>
  <c r="AE16" i="1" s="1"/>
  <c r="AD26" i="1"/>
  <c r="AD27" i="1"/>
  <c r="Y40" i="1"/>
  <c r="AF28" i="1"/>
  <c r="AE28" i="1"/>
  <c r="AF12" i="1" l="1"/>
  <c r="AE24" i="1"/>
  <c r="AF13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AI44" i="1" s="1"/>
  <c r="AE26" i="1"/>
  <c r="AE27" i="1"/>
  <c r="AF26" i="1"/>
  <c r="AF27" i="1"/>
  <c r="Y37" i="1"/>
  <c r="AF24" i="1" l="1"/>
  <c r="Z40" i="1"/>
  <c r="Z37" i="1" l="1"/>
  <c r="AA40" i="1" l="1"/>
  <c r="AA37" i="1" l="1"/>
  <c r="AB40" i="1" l="1"/>
  <c r="AB37" i="1" l="1"/>
  <c r="AC40" i="1" l="1"/>
  <c r="AC37" i="1" l="1"/>
  <c r="AD40" i="1" l="1"/>
  <c r="AD37" i="1" l="1"/>
  <c r="AE40" i="1" l="1"/>
  <c r="AE37" i="1" l="1"/>
  <c r="AF40" i="1" l="1"/>
  <c r="AF37" i="1" l="1"/>
  <c r="J27" i="1"/>
  <c r="J36" i="1"/>
  <c r="J29" i="1"/>
  <c r="J26" i="1"/>
  <c r="J30" i="1"/>
</calcChain>
</file>

<file path=xl/sharedStrings.xml><?xml version="1.0" encoding="utf-8"?>
<sst xmlns="http://schemas.openxmlformats.org/spreadsheetml/2006/main" count="62" uniqueCount="55">
  <si>
    <t>20Q1</t>
  </si>
  <si>
    <t>20Q2</t>
  </si>
  <si>
    <t>20Q3</t>
  </si>
  <si>
    <t>20Q4</t>
  </si>
  <si>
    <t>21Q1</t>
  </si>
  <si>
    <t>21Q2</t>
  </si>
  <si>
    <t>21Q3</t>
  </si>
  <si>
    <t>21Q4</t>
  </si>
  <si>
    <t>22Q1</t>
  </si>
  <si>
    <t>22Q2</t>
  </si>
  <si>
    <t>22Q3</t>
  </si>
  <si>
    <t>22Q4</t>
  </si>
  <si>
    <t>Revenue</t>
  </si>
  <si>
    <t>COGS</t>
  </si>
  <si>
    <t>SG&amp;A</t>
  </si>
  <si>
    <t>Operating Income</t>
  </si>
  <si>
    <t>Taxes expense</t>
  </si>
  <si>
    <t>Net income</t>
  </si>
  <si>
    <t>Shares</t>
  </si>
  <si>
    <t>EPS</t>
  </si>
  <si>
    <t>Gross margin</t>
  </si>
  <si>
    <t>Operating margin</t>
  </si>
  <si>
    <t>Tax on revenue rate</t>
  </si>
  <si>
    <t>Revenue y/y</t>
  </si>
  <si>
    <t>Net income y/y</t>
  </si>
  <si>
    <t>Price</t>
  </si>
  <si>
    <t>MkCap</t>
  </si>
  <si>
    <t>Cash</t>
  </si>
  <si>
    <t>Debt</t>
  </si>
  <si>
    <t>EV</t>
  </si>
  <si>
    <t>Interest expense</t>
  </si>
  <si>
    <t>Inventory</t>
  </si>
  <si>
    <t>PP&amp;E, net</t>
  </si>
  <si>
    <t>Gross profit</t>
  </si>
  <si>
    <t>Net cash</t>
  </si>
  <si>
    <t>Revenue on PP&amp;E gross</t>
  </si>
  <si>
    <t>Interest on Cash</t>
  </si>
  <si>
    <t>Terminal</t>
  </si>
  <si>
    <t>ROIC</t>
  </si>
  <si>
    <t>Discount</t>
  </si>
  <si>
    <t>NPV</t>
  </si>
  <si>
    <t>SG&amp;A rate</t>
  </si>
  <si>
    <t>LPX</t>
  </si>
  <si>
    <t>Louisiana-Pacific Corporation</t>
  </si>
  <si>
    <t>Siding</t>
  </si>
  <si>
    <t>OSB</t>
  </si>
  <si>
    <t>Engineered wood products</t>
  </si>
  <si>
    <t>Other (S.America, etc.)</t>
  </si>
  <si>
    <t>Other operating expense</t>
  </si>
  <si>
    <t>Other expense</t>
  </si>
  <si>
    <t>Siding y/y</t>
  </si>
  <si>
    <t>OSB y/y</t>
  </si>
  <si>
    <t>Engineered wood products y/y</t>
  </si>
  <si>
    <t>Other (S.America, etc.) y/y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</si>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</sst>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2" fontId="0" fillId="0" borderId="0" xfId="0" applyNumberFormat="1"/>
    <xf numFmtId="2" fontId="1" fillId="0" borderId="0" xfId="0" applyNumberFormat="1" applyFont="1"/>
    <xf numFmtId="2" fontId="0" fillId="2" borderId="0" xfId="0" applyNumberFormat="1" applyFill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  <xf numFmtId="9" fontId="1" fillId="0" borderId="0" xfId="0" applyNumberFormat="1" applyFont="1"/>
    <xf numFmtId="9" fontId="1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4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8" fontId="0" fillId="0" borderId="0" xfId="0" applyNumberFormat="1"/>
    <xf numFmtId="3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18317</xdr:colOff>
      <xdr:row>0</xdr:row>
      <xdr:rowOff>0</xdr:rowOff>
    </xdr:from>
    <xdr:to>
      <xdr:col>11</xdr:col>
      <xdr:colOff>18317</xdr:colOff>
      <xdr:row>40</xdr:row>
      <xdr:rowOff>168519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2345345-F0B6-4AE2-A6A9-0610AA28392A}"/>
            </a:ext>
          </a:extLst>
        </xdr:cNvPr>
        <xdr:cNvCxnSpPr/>
      </xdr:nvCxnSpPr>
      <xdr:spPr>
        <a:xfrm>
          <a:off x="8209817" y="0"/>
          <a:ext cx="0" cy="74075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9525</xdr:rowOff>
    </xdr:from>
    <xdr:to>
      <xdr:col>21</xdr:col>
      <xdr:colOff>19050</xdr:colOff>
      <xdr:row>41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4BF9532-F513-4B59-AFF3-65781C501A93}"/>
            </a:ext>
          </a:extLst>
        </xdr:cNvPr>
        <xdr:cNvCxnSpPr/>
      </xdr:nvCxnSpPr>
      <xdr:spPr>
        <a:xfrm>
          <a:off x="13992225" y="9525"/>
          <a:ext cx="0" cy="9503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0774-B749-4685-A014-25AB192F1EFE}">
  <dimension ref="M1:N19"/>
  <sheetViews>
    <sheetView tabSelected="1" workbookViewId="0">
      <selection activeCell="N19" sqref="N19"/>
    </sheetView>
  </sheetViews>
  <sheetFormatPr defaultRowHeight="15" x14ac:dyDescent="0.25"/>
  <cols>
    <col min="13" max="13" width="9.7109375" bestFit="1" customWidth="1"/>
    <col min="14" max="14" width="9.85546875" bestFit="1" customWidth="1"/>
  </cols>
  <sheetData>
    <row r="1" spans="13:14" ht="18" x14ac:dyDescent="0.25">
      <c r="M1" s="22" t="s">
        <v>43</v>
      </c>
    </row>
    <row r="2" spans="13:14" x14ac:dyDescent="0.25">
      <c r="M2" t="s">
        <v>42</v>
      </c>
    </row>
    <row r="3" spans="13:14" x14ac:dyDescent="0.25">
      <c r="M3" t="s">
        <v>25</v>
      </c>
      <c r="N3" s="17">
        <v>64.44</v>
      </c>
    </row>
    <row r="4" spans="13:14" x14ac:dyDescent="0.25">
      <c r="M4" t="s">
        <v>18</v>
      </c>
      <c r="N4" s="1">
        <v>86</v>
      </c>
    </row>
    <row r="5" spans="13:14" x14ac:dyDescent="0.25">
      <c r="M5" t="s">
        <v>26</v>
      </c>
      <c r="N5" s="1">
        <f>N3*N4</f>
        <v>5541.84</v>
      </c>
    </row>
    <row r="6" spans="13:14" x14ac:dyDescent="0.25">
      <c r="M6" t="s">
        <v>27</v>
      </c>
      <c r="N6" s="1">
        <v>645</v>
      </c>
    </row>
    <row r="7" spans="13:14" x14ac:dyDescent="0.25">
      <c r="M7" t="s">
        <v>28</v>
      </c>
      <c r="N7" s="1">
        <v>369</v>
      </c>
    </row>
    <row r="8" spans="13:14" x14ac:dyDescent="0.25">
      <c r="M8" t="s">
        <v>29</v>
      </c>
      <c r="N8" s="1">
        <f>N5-N6+N7</f>
        <v>5265.84</v>
      </c>
    </row>
    <row r="11" spans="13:14" x14ac:dyDescent="0.25">
      <c r="M11" s="2">
        <v>44774</v>
      </c>
    </row>
    <row r="15" spans="13:14" x14ac:dyDescent="0.25">
      <c r="M15" s="10" t="s">
        <v>37</v>
      </c>
      <c r="N15" s="18">
        <f>Model!AI41</f>
        <v>-1.4999999999999999E-2</v>
      </c>
    </row>
    <row r="16" spans="13:14" x14ac:dyDescent="0.25">
      <c r="M16" s="15" t="s">
        <v>38</v>
      </c>
      <c r="N16" s="18">
        <f>Model!AI42</f>
        <v>-0.01</v>
      </c>
    </row>
    <row r="17" spans="13:14" x14ac:dyDescent="0.25">
      <c r="M17" t="s">
        <v>39</v>
      </c>
      <c r="N17" s="18">
        <f>Model!AI43</f>
        <v>8.5000000000000006E-2</v>
      </c>
    </row>
    <row r="18" spans="13:14" x14ac:dyDescent="0.25">
      <c r="M18" s="15" t="s">
        <v>40</v>
      </c>
      <c r="N18" s="1">
        <f>Model!AI44</f>
        <v>12229.883434318077</v>
      </c>
    </row>
    <row r="19" spans="13:14" x14ac:dyDescent="0.25">
      <c r="M19" t="s">
        <v>54</v>
      </c>
      <c r="N19" s="17">
        <f>N18/N4</f>
        <v>142.2079469106753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4B3-79B0-4A5E-8A82-3BDE2546F8D8}">
  <dimension ref="A2:DE44"/>
  <sheetViews>
    <sheetView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I44" sqref="AI44"/>
    </sheetView>
  </sheetViews>
  <sheetFormatPr defaultRowHeight="15" x14ac:dyDescent="0.25"/>
  <cols>
    <col min="2" max="2" width="31.42578125" customWidth="1"/>
    <col min="3" max="15" width="9.140625" style="1"/>
    <col min="16" max="16" width="4.42578125" style="3" customWidth="1"/>
    <col min="23" max="23" width="10.85546875" bestFit="1" customWidth="1"/>
    <col min="35" max="35" width="10.85546875" bestFit="1" customWidth="1"/>
    <col min="40" max="40" width="10.85546875" bestFit="1" customWidth="1"/>
  </cols>
  <sheetData>
    <row r="2" spans="1:109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</row>
    <row r="3" spans="1:109" s="1" customFormat="1" x14ac:dyDescent="0.25">
      <c r="B3" s="1" t="s">
        <v>44</v>
      </c>
      <c r="C3" s="1">
        <v>212</v>
      </c>
      <c r="D3" s="1">
        <v>220</v>
      </c>
      <c r="E3" s="1">
        <v>268</v>
      </c>
      <c r="F3" s="1">
        <f>T3-E3-D3-C3</f>
        <v>259</v>
      </c>
      <c r="G3" s="1">
        <v>285</v>
      </c>
      <c r="H3" s="1">
        <v>291</v>
      </c>
      <c r="I3" s="1">
        <v>312</v>
      </c>
      <c r="J3" s="1">
        <f>+U3-I3-H3-G3</f>
        <v>282</v>
      </c>
      <c r="K3" s="1">
        <v>332</v>
      </c>
      <c r="P3" s="11"/>
      <c r="Q3" s="1">
        <v>942</v>
      </c>
      <c r="R3" s="1">
        <v>963</v>
      </c>
      <c r="S3" s="1">
        <v>917</v>
      </c>
      <c r="T3" s="1">
        <v>959</v>
      </c>
      <c r="U3" s="1">
        <v>1170</v>
      </c>
      <c r="V3" s="1">
        <f>+U3*1.07</f>
        <v>1251.9000000000001</v>
      </c>
      <c r="W3" s="1">
        <f>+V3*1.07</f>
        <v>1339.5330000000001</v>
      </c>
      <c r="X3" s="1">
        <f>+W3*1.06</f>
        <v>1419.9049800000003</v>
      </c>
      <c r="Y3" s="1">
        <f>+X3*1.06</f>
        <v>1505.0992788000003</v>
      </c>
      <c r="Z3" s="1">
        <f>+Y3*1.05</f>
        <v>1580.3542427400005</v>
      </c>
      <c r="AA3" s="1">
        <f t="shared" ref="AA3" si="0">+Z3*1.05</f>
        <v>1659.3719548770005</v>
      </c>
      <c r="AB3" s="1">
        <f>+AA3*1.04</f>
        <v>1725.7468330720806</v>
      </c>
      <c r="AC3" s="1">
        <f t="shared" ref="AC3:AF3" si="1">+AB3*1.04</f>
        <v>1794.7767063949639</v>
      </c>
      <c r="AD3" s="1">
        <f t="shared" si="1"/>
        <v>1866.5677746507624</v>
      </c>
      <c r="AE3" s="1">
        <f t="shared" si="1"/>
        <v>1941.230485636793</v>
      </c>
      <c r="AF3" s="1">
        <f t="shared" si="1"/>
        <v>2018.8797050622647</v>
      </c>
    </row>
    <row r="4" spans="1:109" s="1" customFormat="1" x14ac:dyDescent="0.25">
      <c r="B4" s="1" t="s">
        <v>45</v>
      </c>
      <c r="C4" s="1">
        <v>220</v>
      </c>
      <c r="D4" s="1">
        <v>204</v>
      </c>
      <c r="E4" s="1">
        <v>368</v>
      </c>
      <c r="F4" s="1">
        <f t="shared" ref="F4:F15" si="2">T4-E4-D4-C4</f>
        <v>428</v>
      </c>
      <c r="G4" s="1">
        <v>539</v>
      </c>
      <c r="H4" s="1">
        <v>778</v>
      </c>
      <c r="I4" s="1">
        <v>600</v>
      </c>
      <c r="J4" s="1">
        <f>+U4-I4-H4-G4</f>
        <v>470</v>
      </c>
      <c r="K4" s="1">
        <v>744</v>
      </c>
      <c r="P4" s="11"/>
      <c r="Q4" s="1">
        <v>1305</v>
      </c>
      <c r="R4" s="1">
        <v>777</v>
      </c>
      <c r="S4" s="1">
        <v>777</v>
      </c>
      <c r="T4" s="1">
        <v>1220</v>
      </c>
      <c r="U4" s="1">
        <v>2387</v>
      </c>
      <c r="V4" s="1">
        <f>+U4*1.12</f>
        <v>2673.44</v>
      </c>
      <c r="W4" s="1">
        <f>+V4*1.1</f>
        <v>2940.7840000000001</v>
      </c>
      <c r="X4" s="1">
        <f>+W4*1.09</f>
        <v>3205.4545600000001</v>
      </c>
      <c r="Y4" s="1">
        <f>+X4*1.07</f>
        <v>3429.8363792000005</v>
      </c>
      <c r="Z4" s="1">
        <f t="shared" ref="Z4:AF4" si="3">+Y4*1.07</f>
        <v>3669.9249257440006</v>
      </c>
      <c r="AA4" s="1">
        <f t="shared" si="3"/>
        <v>3926.8196705460809</v>
      </c>
      <c r="AB4" s="1">
        <f t="shared" si="3"/>
        <v>4201.6970474843065</v>
      </c>
      <c r="AC4" s="1">
        <f t="shared" si="3"/>
        <v>4495.8158408082081</v>
      </c>
      <c r="AD4" s="1">
        <f t="shared" si="3"/>
        <v>4810.5229496647826</v>
      </c>
      <c r="AE4" s="1">
        <f t="shared" si="3"/>
        <v>5147.2595561413173</v>
      </c>
      <c r="AF4" s="1">
        <f t="shared" si="3"/>
        <v>5507.5677250712097</v>
      </c>
    </row>
    <row r="5" spans="1:109" s="1" customFormat="1" x14ac:dyDescent="0.25">
      <c r="B5" s="1" t="s">
        <v>46</v>
      </c>
      <c r="C5" s="1">
        <v>99</v>
      </c>
      <c r="D5" s="1">
        <v>79</v>
      </c>
      <c r="E5" s="1">
        <v>103</v>
      </c>
      <c r="F5" s="1">
        <f t="shared" si="2"/>
        <v>108</v>
      </c>
      <c r="G5" s="1">
        <v>123</v>
      </c>
      <c r="H5" s="1">
        <v>158</v>
      </c>
      <c r="I5" s="1">
        <v>301</v>
      </c>
      <c r="J5" s="1">
        <f>+U5-I5-H5-G5</f>
        <v>56</v>
      </c>
      <c r="K5" s="1">
        <v>170</v>
      </c>
      <c r="P5" s="11"/>
      <c r="Q5" s="1">
        <v>409</v>
      </c>
      <c r="R5" s="1">
        <v>396</v>
      </c>
      <c r="S5" s="1">
        <v>396</v>
      </c>
      <c r="T5" s="1">
        <v>389</v>
      </c>
      <c r="U5" s="1">
        <v>638</v>
      </c>
      <c r="V5" s="1">
        <v>450</v>
      </c>
      <c r="W5" s="1">
        <f>+V5*1.03</f>
        <v>463.5</v>
      </c>
      <c r="X5" s="1">
        <f t="shared" ref="X5:AF5" si="4">+W5*1.03</f>
        <v>477.40500000000003</v>
      </c>
      <c r="Y5" s="1">
        <f t="shared" si="4"/>
        <v>491.72715000000005</v>
      </c>
      <c r="Z5" s="1">
        <f t="shared" si="4"/>
        <v>506.47896450000007</v>
      </c>
      <c r="AA5" s="1">
        <f t="shared" si="4"/>
        <v>521.67333343500013</v>
      </c>
      <c r="AB5" s="1">
        <f t="shared" si="4"/>
        <v>537.32353343805016</v>
      </c>
      <c r="AC5" s="1">
        <f t="shared" si="4"/>
        <v>553.44323944119174</v>
      </c>
      <c r="AD5" s="1">
        <f t="shared" si="4"/>
        <v>570.04653662442752</v>
      </c>
      <c r="AE5" s="1">
        <f t="shared" si="4"/>
        <v>587.14793272316035</v>
      </c>
      <c r="AF5" s="1">
        <f t="shared" si="4"/>
        <v>604.76237070485513</v>
      </c>
    </row>
    <row r="6" spans="1:109" s="1" customFormat="1" x14ac:dyDescent="0.25">
      <c r="B6" s="1" t="s">
        <v>47</v>
      </c>
      <c r="C6" s="1">
        <f>36+18</f>
        <v>54</v>
      </c>
      <c r="D6" s="1">
        <f>38+7</f>
        <v>45</v>
      </c>
      <c r="E6" s="1">
        <f>45+11</f>
        <v>56</v>
      </c>
      <c r="F6" s="1">
        <f t="shared" si="2"/>
        <v>65</v>
      </c>
      <c r="G6" s="1">
        <f>53+18</f>
        <v>71</v>
      </c>
      <c r="H6" s="1">
        <f>74+26</f>
        <v>100</v>
      </c>
      <c r="I6" s="1">
        <f>76+30-1</f>
        <v>105</v>
      </c>
      <c r="J6" s="1">
        <f t="shared" ref="J6:J15" si="5">+U6-I6-H6-G6</f>
        <v>81</v>
      </c>
      <c r="K6" s="1">
        <f>67+26-1</f>
        <v>92</v>
      </c>
      <c r="P6" s="11"/>
      <c r="Q6" s="1">
        <f>161+11</f>
        <v>172</v>
      </c>
      <c r="R6" s="1">
        <f>159+20-5</f>
        <v>174</v>
      </c>
      <c r="S6" s="1">
        <f>159+66-5</f>
        <v>220</v>
      </c>
      <c r="T6" s="1">
        <f>169+52-1</f>
        <v>220</v>
      </c>
      <c r="U6" s="1">
        <f>265+95-3</f>
        <v>357</v>
      </c>
      <c r="V6" s="1">
        <f>+U6*1.07</f>
        <v>381.99</v>
      </c>
      <c r="W6" s="1">
        <f>+V6*1.07</f>
        <v>408.72930000000002</v>
      </c>
      <c r="X6" s="1">
        <f>+W6*1.07</f>
        <v>437.34035100000006</v>
      </c>
      <c r="Y6" s="1">
        <f t="shared" ref="Y6:AB6" si="6">+X6*1.06</f>
        <v>463.58077206000007</v>
      </c>
      <c r="Z6" s="1">
        <f t="shared" si="6"/>
        <v>491.39561838360009</v>
      </c>
      <c r="AA6" s="1">
        <f t="shared" si="6"/>
        <v>520.87935548661608</v>
      </c>
      <c r="AB6" s="1">
        <f t="shared" si="6"/>
        <v>552.13211681581311</v>
      </c>
      <c r="AC6" s="1">
        <f>+AB6*1.05</f>
        <v>579.73872265660384</v>
      </c>
      <c r="AD6" s="1">
        <f t="shared" ref="AD6:AF6" si="7">+AC6*1.05</f>
        <v>608.72565878943408</v>
      </c>
      <c r="AE6" s="1">
        <f t="shared" si="7"/>
        <v>639.16194172890584</v>
      </c>
      <c r="AF6" s="1">
        <f t="shared" si="7"/>
        <v>671.12003881535111</v>
      </c>
    </row>
    <row r="7" spans="1:109" x14ac:dyDescent="0.25">
      <c r="A7" s="4"/>
      <c r="B7" s="4" t="s">
        <v>12</v>
      </c>
      <c r="C7" s="5">
        <v>585</v>
      </c>
      <c r="D7" s="5">
        <v>548</v>
      </c>
      <c r="E7" s="5">
        <v>795</v>
      </c>
      <c r="F7" s="5">
        <f>SUM(F3:F6)</f>
        <v>860</v>
      </c>
      <c r="G7" s="5">
        <v>1017</v>
      </c>
      <c r="H7" s="5">
        <v>1325</v>
      </c>
      <c r="I7" s="5">
        <v>1219</v>
      </c>
      <c r="J7" s="5">
        <f>SUM(J3:J6)</f>
        <v>889</v>
      </c>
      <c r="K7" s="5">
        <v>1337</v>
      </c>
      <c r="L7" s="5"/>
      <c r="M7" s="5"/>
      <c r="N7" s="5"/>
      <c r="O7" s="5"/>
      <c r="P7" s="6"/>
      <c r="Q7" s="5">
        <v>2734</v>
      </c>
      <c r="R7" s="5">
        <v>2828</v>
      </c>
      <c r="S7" s="5">
        <v>2310</v>
      </c>
      <c r="T7" s="5">
        <v>2788</v>
      </c>
      <c r="U7" s="5">
        <v>4553</v>
      </c>
      <c r="V7" s="5">
        <f>SUM(V3:V6)</f>
        <v>4757.33</v>
      </c>
      <c r="W7" s="5">
        <f t="shared" ref="W7:AF7" si="8">SUM(W3:W6)</f>
        <v>5152.5463</v>
      </c>
      <c r="X7" s="5">
        <f t="shared" si="8"/>
        <v>5540.104891</v>
      </c>
      <c r="Y7" s="5">
        <f t="shared" si="8"/>
        <v>5890.2435800599997</v>
      </c>
      <c r="Z7" s="5">
        <f t="shared" si="8"/>
        <v>6248.1537513676012</v>
      </c>
      <c r="AA7" s="5">
        <f t="shared" si="8"/>
        <v>6628.7443143446981</v>
      </c>
      <c r="AB7" s="5">
        <f t="shared" si="8"/>
        <v>7016.8995308102503</v>
      </c>
      <c r="AC7" s="5">
        <f t="shared" si="8"/>
        <v>7423.7745093009671</v>
      </c>
      <c r="AD7" s="5">
        <f t="shared" si="8"/>
        <v>7855.8629197294076</v>
      </c>
      <c r="AE7" s="5">
        <f t="shared" si="8"/>
        <v>8314.7999162301767</v>
      </c>
      <c r="AF7" s="5">
        <f t="shared" si="8"/>
        <v>8802.3298396536811</v>
      </c>
      <c r="AG7" s="5"/>
      <c r="AH7" s="5"/>
      <c r="AI7" s="5"/>
      <c r="AJ7" s="5"/>
      <c r="AK7" s="5"/>
    </row>
    <row r="8" spans="1:109" s="1" customFormat="1" x14ac:dyDescent="0.25">
      <c r="B8" s="1" t="s">
        <v>13</v>
      </c>
      <c r="C8" s="1">
        <v>477</v>
      </c>
      <c r="D8" s="1">
        <v>431</v>
      </c>
      <c r="E8" s="1">
        <v>503</v>
      </c>
      <c r="F8" s="1">
        <f t="shared" si="2"/>
        <v>509</v>
      </c>
      <c r="G8" s="1">
        <v>538</v>
      </c>
      <c r="H8" s="1">
        <v>619</v>
      </c>
      <c r="I8" s="1">
        <v>670</v>
      </c>
      <c r="J8" s="1">
        <f t="shared" si="5"/>
        <v>655</v>
      </c>
      <c r="K8" s="1">
        <v>676</v>
      </c>
      <c r="P8" s="11"/>
      <c r="Q8" s="1">
        <v>1998</v>
      </c>
      <c r="R8" s="1">
        <v>2084</v>
      </c>
      <c r="S8" s="1">
        <v>2007</v>
      </c>
      <c r="T8" s="1">
        <v>1920</v>
      </c>
      <c r="U8" s="1">
        <v>2482</v>
      </c>
    </row>
    <row r="9" spans="1:109" x14ac:dyDescent="0.25">
      <c r="A9" s="4"/>
      <c r="B9" s="4" t="s">
        <v>33</v>
      </c>
      <c r="C9" s="5">
        <f t="shared" ref="C9:K9" si="9">+C7-C8</f>
        <v>108</v>
      </c>
      <c r="D9" s="5">
        <f t="shared" si="9"/>
        <v>117</v>
      </c>
      <c r="E9" s="5">
        <f t="shared" si="9"/>
        <v>292</v>
      </c>
      <c r="F9" s="5">
        <f t="shared" si="9"/>
        <v>351</v>
      </c>
      <c r="G9" s="5">
        <f t="shared" si="9"/>
        <v>479</v>
      </c>
      <c r="H9" s="5">
        <f t="shared" si="9"/>
        <v>706</v>
      </c>
      <c r="I9" s="5">
        <f t="shared" si="9"/>
        <v>549</v>
      </c>
      <c r="J9" s="5">
        <f t="shared" si="9"/>
        <v>234</v>
      </c>
      <c r="K9" s="5">
        <f t="shared" si="9"/>
        <v>661</v>
      </c>
      <c r="L9" s="5"/>
      <c r="M9" s="5"/>
      <c r="N9" s="5"/>
      <c r="O9" s="5"/>
      <c r="P9" s="6"/>
      <c r="Q9" s="5">
        <f>+Q7-Q8</f>
        <v>736</v>
      </c>
      <c r="R9" s="5">
        <f>+R7-R8</f>
        <v>744</v>
      </c>
      <c r="S9" s="5">
        <f>+S7-S8</f>
        <v>303</v>
      </c>
      <c r="T9" s="5">
        <f>+T7-T8</f>
        <v>868</v>
      </c>
      <c r="U9" s="5">
        <f>+U7-U8</f>
        <v>2071</v>
      </c>
      <c r="V9" s="5">
        <f>V7*0.38</f>
        <v>1807.7854</v>
      </c>
      <c r="W9" s="5">
        <f>W7*0.34</f>
        <v>1751.8657420000002</v>
      </c>
      <c r="X9" s="5">
        <f>X7*0.34</f>
        <v>1883.6356629400002</v>
      </c>
      <c r="Y9" s="5">
        <f>Y7*0.32</f>
        <v>1884.8779456191999</v>
      </c>
      <c r="Z9" s="5">
        <f>Z7*0.3</f>
        <v>1874.4461254102803</v>
      </c>
      <c r="AA9" s="5">
        <f>AA7*0.29</f>
        <v>1922.3358511599622</v>
      </c>
      <c r="AB9" s="5">
        <f t="shared" ref="AB9:AF9" si="10">AB7*0.29</f>
        <v>2034.9008639349724</v>
      </c>
      <c r="AC9" s="5">
        <f t="shared" si="10"/>
        <v>2152.8946076972802</v>
      </c>
      <c r="AD9" s="5">
        <f t="shared" si="10"/>
        <v>2278.2002467215279</v>
      </c>
      <c r="AE9" s="5">
        <f t="shared" si="10"/>
        <v>2411.2919757067511</v>
      </c>
      <c r="AF9" s="5">
        <f t="shared" si="10"/>
        <v>2552.6756534995675</v>
      </c>
      <c r="AG9" s="5"/>
      <c r="AH9" s="5"/>
      <c r="AI9" s="5"/>
      <c r="AJ9" s="5"/>
      <c r="AK9" s="5"/>
    </row>
    <row r="10" spans="1:109" x14ac:dyDescent="0.25">
      <c r="B10" t="s">
        <v>14</v>
      </c>
      <c r="C10" s="1">
        <v>55</v>
      </c>
      <c r="D10" s="1">
        <v>50</v>
      </c>
      <c r="E10" s="1">
        <v>52</v>
      </c>
      <c r="F10" s="1">
        <f t="shared" si="2"/>
        <v>54</v>
      </c>
      <c r="G10" s="1">
        <v>48</v>
      </c>
      <c r="H10" s="1">
        <v>57</v>
      </c>
      <c r="I10" s="1">
        <v>63</v>
      </c>
      <c r="J10" s="1">
        <f t="shared" si="5"/>
        <v>73</v>
      </c>
      <c r="K10" s="1">
        <v>65</v>
      </c>
      <c r="Q10" s="1">
        <v>191</v>
      </c>
      <c r="R10" s="1">
        <v>209</v>
      </c>
      <c r="S10" s="1">
        <v>230</v>
      </c>
      <c r="T10" s="1">
        <v>211</v>
      </c>
      <c r="U10" s="1">
        <v>241</v>
      </c>
      <c r="V10" s="1">
        <f>V7*0.07</f>
        <v>333.01310000000001</v>
      </c>
      <c r="W10" s="1">
        <f t="shared" ref="W10:X10" si="11">W7*0.07</f>
        <v>360.67824100000001</v>
      </c>
      <c r="X10" s="1">
        <f t="shared" si="11"/>
        <v>387.80734237000001</v>
      </c>
      <c r="Y10" s="1">
        <f>Y7*0.06</f>
        <v>353.41461480359999</v>
      </c>
      <c r="Z10" s="1">
        <f t="shared" ref="Z10:AB10" si="12">Z7*0.06</f>
        <v>374.88922508205604</v>
      </c>
      <c r="AA10" s="1">
        <f t="shared" si="12"/>
        <v>397.72465886068187</v>
      </c>
      <c r="AB10" s="1">
        <f t="shared" si="12"/>
        <v>421.01397184861503</v>
      </c>
      <c r="AC10" s="1">
        <f>AC7*0.05</f>
        <v>371.18872546504838</v>
      </c>
      <c r="AD10" s="1">
        <f t="shared" ref="AD10:AF10" si="13">AD7*0.05</f>
        <v>392.79314598647039</v>
      </c>
      <c r="AE10" s="1">
        <f t="shared" si="13"/>
        <v>415.73999581150883</v>
      </c>
      <c r="AF10" s="1">
        <f t="shared" si="13"/>
        <v>440.11649198268407</v>
      </c>
      <c r="AG10" s="1"/>
      <c r="AH10" s="1"/>
      <c r="AI10" s="1"/>
      <c r="AJ10" s="1"/>
      <c r="AK10" s="1"/>
    </row>
    <row r="11" spans="1:109" x14ac:dyDescent="0.25">
      <c r="B11" t="s">
        <v>48</v>
      </c>
      <c r="C11" s="1">
        <f>7+2</f>
        <v>9</v>
      </c>
      <c r="D11" s="1">
        <f>8+6</f>
        <v>14</v>
      </c>
      <c r="E11" s="1">
        <f>1-3</f>
        <v>-2</v>
      </c>
      <c r="F11" s="1">
        <f t="shared" si="2"/>
        <v>-1</v>
      </c>
      <c r="G11" s="1">
        <v>0</v>
      </c>
      <c r="H11" s="1">
        <v>-3</v>
      </c>
      <c r="I11" s="1">
        <v>-2</v>
      </c>
      <c r="J11" s="1">
        <f t="shared" si="5"/>
        <v>10</v>
      </c>
      <c r="K11" s="1">
        <v>-38</v>
      </c>
      <c r="Q11" s="1">
        <f>9+3</f>
        <v>12</v>
      </c>
      <c r="R11" s="1">
        <f>11-2</f>
        <v>9</v>
      </c>
      <c r="S11" s="1">
        <f>92+1</f>
        <v>93</v>
      </c>
      <c r="T11" s="1">
        <f>16+4</f>
        <v>20</v>
      </c>
      <c r="U11" s="1">
        <f>6-1</f>
        <v>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109" x14ac:dyDescent="0.25">
      <c r="A12" s="4"/>
      <c r="B12" s="4" t="s">
        <v>15</v>
      </c>
      <c r="C12" s="5">
        <f t="shared" ref="C12:K12" si="14">+C9-C10-C11</f>
        <v>44</v>
      </c>
      <c r="D12" s="5">
        <f t="shared" si="14"/>
        <v>53</v>
      </c>
      <c r="E12" s="5">
        <f t="shared" si="14"/>
        <v>242</v>
      </c>
      <c r="F12" s="5">
        <f t="shared" si="14"/>
        <v>298</v>
      </c>
      <c r="G12" s="5">
        <f t="shared" si="14"/>
        <v>431</v>
      </c>
      <c r="H12" s="5">
        <f t="shared" si="14"/>
        <v>652</v>
      </c>
      <c r="I12" s="5">
        <f t="shared" si="14"/>
        <v>488</v>
      </c>
      <c r="J12" s="5">
        <f t="shared" si="14"/>
        <v>151</v>
      </c>
      <c r="K12" s="5">
        <f t="shared" si="14"/>
        <v>634</v>
      </c>
      <c r="L12" s="5"/>
      <c r="M12" s="5"/>
      <c r="N12" s="5"/>
      <c r="O12" s="5"/>
      <c r="P12" s="6"/>
      <c r="Q12" s="5">
        <f>+Q9-Q10-Q11</f>
        <v>533</v>
      </c>
      <c r="R12" s="5">
        <f>+R9-R10-R11</f>
        <v>526</v>
      </c>
      <c r="S12" s="5">
        <f>+S9-S10-S11</f>
        <v>-20</v>
      </c>
      <c r="T12" s="5">
        <f>+T9-T10-T11</f>
        <v>637</v>
      </c>
      <c r="U12" s="5">
        <f>+U9-U10-U11</f>
        <v>1825</v>
      </c>
      <c r="V12" s="5">
        <f t="shared" ref="V12:AF12" si="15">+V9-V10-V11</f>
        <v>1474.7723000000001</v>
      </c>
      <c r="W12" s="5">
        <f t="shared" si="15"/>
        <v>1391.1875010000001</v>
      </c>
      <c r="X12" s="5">
        <f t="shared" si="15"/>
        <v>1495.8283205700002</v>
      </c>
      <c r="Y12" s="5">
        <f t="shared" si="15"/>
        <v>1531.4633308155999</v>
      </c>
      <c r="Z12" s="5">
        <f t="shared" si="15"/>
        <v>1499.5569003282242</v>
      </c>
      <c r="AA12" s="5">
        <f t="shared" si="15"/>
        <v>1524.6111922992804</v>
      </c>
      <c r="AB12" s="5">
        <f t="shared" si="15"/>
        <v>1613.8868920863574</v>
      </c>
      <c r="AC12" s="5">
        <f t="shared" si="15"/>
        <v>1781.7058822322319</v>
      </c>
      <c r="AD12" s="5">
        <f t="shared" si="15"/>
        <v>1885.4071007350576</v>
      </c>
      <c r="AE12" s="5">
        <f t="shared" si="15"/>
        <v>1995.5519798952423</v>
      </c>
      <c r="AF12" s="5">
        <f t="shared" si="15"/>
        <v>2112.5591615168833</v>
      </c>
      <c r="AG12" s="5"/>
      <c r="AH12" s="5"/>
      <c r="AI12" s="5"/>
      <c r="AJ12" s="5"/>
      <c r="AK12" s="5"/>
    </row>
    <row r="13" spans="1:109" x14ac:dyDescent="0.25">
      <c r="B13" t="s">
        <v>30</v>
      </c>
      <c r="C13" s="1">
        <f>5+2</f>
        <v>7</v>
      </c>
      <c r="D13" s="1">
        <f>6-4</f>
        <v>2</v>
      </c>
      <c r="E13" s="1">
        <v>5</v>
      </c>
      <c r="F13" s="1">
        <f t="shared" si="2"/>
        <v>1</v>
      </c>
      <c r="G13" s="1">
        <v>5</v>
      </c>
      <c r="H13" s="1">
        <v>4</v>
      </c>
      <c r="I13" s="1">
        <v>4</v>
      </c>
      <c r="J13" s="1">
        <f t="shared" si="5"/>
        <v>0</v>
      </c>
      <c r="K13" s="1">
        <f>3-1</f>
        <v>2</v>
      </c>
      <c r="Q13" s="1">
        <v>9</v>
      </c>
      <c r="R13" s="1">
        <v>-2</v>
      </c>
      <c r="S13" s="1">
        <f>19-10</f>
        <v>9</v>
      </c>
      <c r="T13" s="1">
        <f>19-4</f>
        <v>15</v>
      </c>
      <c r="U13" s="1">
        <f>14-1</f>
        <v>13</v>
      </c>
      <c r="V13" s="1">
        <f>U24*0.01</f>
        <v>0.22</v>
      </c>
      <c r="W13" s="1">
        <f t="shared" ref="W13:AF13" si="16">V24*0.01</f>
        <v>10.921792499999999</v>
      </c>
      <c r="X13" s="1">
        <f t="shared" si="16"/>
        <v>20.344785229999999</v>
      </c>
      <c r="Y13" s="1">
        <f t="shared" si="16"/>
        <v>30.390531426050003</v>
      </c>
      <c r="Z13" s="1">
        <f t="shared" si="16"/>
        <v>40.394552376894502</v>
      </c>
      <c r="AA13" s="1">
        <f t="shared" si="16"/>
        <v>49.675245167745338</v>
      </c>
      <c r="AB13" s="1">
        <f t="shared" si="16"/>
        <v>58.790171971867693</v>
      </c>
      <c r="AC13" s="1">
        <f t="shared" si="16"/>
        <v>68.376774571823887</v>
      </c>
      <c r="AD13" s="1">
        <f t="shared" si="16"/>
        <v>79.199857315522138</v>
      </c>
      <c r="AE13" s="1">
        <f t="shared" si="16"/>
        <v>90.584446267947499</v>
      </c>
      <c r="AF13" s="1">
        <f t="shared" si="16"/>
        <v>102.5665416754248</v>
      </c>
      <c r="AG13" s="1"/>
      <c r="AH13" s="1"/>
      <c r="AI13" s="1"/>
      <c r="AJ13" s="1"/>
      <c r="AK13" s="1"/>
    </row>
    <row r="14" spans="1:109" x14ac:dyDescent="0.25">
      <c r="A14" s="4"/>
      <c r="B14" t="s">
        <v>49</v>
      </c>
      <c r="C14" s="1">
        <v>-5</v>
      </c>
      <c r="D14" s="1">
        <v>1</v>
      </c>
      <c r="E14" s="1">
        <v>0</v>
      </c>
      <c r="F14" s="1">
        <f t="shared" si="2"/>
        <v>4</v>
      </c>
      <c r="G14" s="1">
        <v>10</v>
      </c>
      <c r="H14" s="1">
        <v>6</v>
      </c>
      <c r="I14" s="1">
        <v>-2</v>
      </c>
      <c r="J14" s="1">
        <f t="shared" si="5"/>
        <v>2</v>
      </c>
      <c r="K14" s="1">
        <v>10</v>
      </c>
      <c r="P14" s="6"/>
      <c r="Q14" s="1">
        <v>14</v>
      </c>
      <c r="R14" s="1">
        <v>4</v>
      </c>
      <c r="S14" s="1">
        <v>-6</v>
      </c>
      <c r="T14" s="1">
        <v>0</v>
      </c>
      <c r="U14" s="1">
        <v>16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109" x14ac:dyDescent="0.25">
      <c r="A15" s="4"/>
      <c r="B15" t="s">
        <v>16</v>
      </c>
      <c r="C15" s="1">
        <v>9</v>
      </c>
      <c r="D15" s="1">
        <v>19</v>
      </c>
      <c r="E15" s="1">
        <v>60</v>
      </c>
      <c r="F15" s="1">
        <f t="shared" si="2"/>
        <v>37</v>
      </c>
      <c r="G15" s="1">
        <v>96</v>
      </c>
      <c r="H15" s="1">
        <v>147</v>
      </c>
      <c r="I15" s="1">
        <v>123</v>
      </c>
      <c r="J15" s="1">
        <f t="shared" si="5"/>
        <v>60</v>
      </c>
      <c r="K15" s="1">
        <v>139</v>
      </c>
      <c r="P15" s="6"/>
      <c r="Q15" s="1">
        <v>119</v>
      </c>
      <c r="R15" s="1">
        <v>122</v>
      </c>
      <c r="S15" s="1">
        <v>-13</v>
      </c>
      <c r="T15" s="1">
        <v>125</v>
      </c>
      <c r="U15" s="1">
        <v>426</v>
      </c>
      <c r="V15" s="1">
        <f>V7*0.085</f>
        <v>404.37305000000003</v>
      </c>
      <c r="W15" s="1">
        <f t="shared" ref="W15:AF15" si="17">W7*0.085</f>
        <v>437.96643550000005</v>
      </c>
      <c r="X15" s="1">
        <f t="shared" si="17"/>
        <v>470.90891573500005</v>
      </c>
      <c r="Y15" s="1">
        <f t="shared" si="17"/>
        <v>500.6707043051</v>
      </c>
      <c r="Z15" s="1">
        <f t="shared" si="17"/>
        <v>531.09306886624609</v>
      </c>
      <c r="AA15" s="1">
        <f t="shared" si="17"/>
        <v>563.44326671929934</v>
      </c>
      <c r="AB15" s="1">
        <f t="shared" si="17"/>
        <v>596.43646011887131</v>
      </c>
      <c r="AC15" s="1">
        <f t="shared" si="17"/>
        <v>631.02083329058223</v>
      </c>
      <c r="AD15" s="1">
        <f t="shared" si="17"/>
        <v>667.74834817699968</v>
      </c>
      <c r="AE15" s="1">
        <f t="shared" si="17"/>
        <v>706.75799287956511</v>
      </c>
      <c r="AF15" s="1">
        <f t="shared" si="17"/>
        <v>748.19803637056293</v>
      </c>
      <c r="AG15" s="1"/>
      <c r="AH15" s="1"/>
      <c r="AI15" s="1"/>
      <c r="AJ15" s="1"/>
      <c r="AK15" s="1"/>
    </row>
    <row r="16" spans="1:109" x14ac:dyDescent="0.25">
      <c r="B16" s="4" t="s">
        <v>17</v>
      </c>
      <c r="C16" s="5">
        <f t="shared" ref="C16:K16" si="18">+C12-C15-C14-C13</f>
        <v>33</v>
      </c>
      <c r="D16" s="5">
        <f t="shared" si="18"/>
        <v>31</v>
      </c>
      <c r="E16" s="5">
        <f t="shared" si="18"/>
        <v>177</v>
      </c>
      <c r="F16" s="5">
        <f t="shared" si="18"/>
        <v>256</v>
      </c>
      <c r="G16" s="5">
        <f t="shared" si="18"/>
        <v>320</v>
      </c>
      <c r="H16" s="5">
        <f t="shared" si="18"/>
        <v>495</v>
      </c>
      <c r="I16" s="5">
        <f t="shared" si="18"/>
        <v>363</v>
      </c>
      <c r="J16" s="5">
        <f t="shared" si="18"/>
        <v>89</v>
      </c>
      <c r="K16" s="5">
        <f t="shared" si="18"/>
        <v>483</v>
      </c>
      <c r="L16" s="5"/>
      <c r="M16" s="5"/>
      <c r="N16" s="5"/>
      <c r="O16" s="5"/>
      <c r="Q16" s="5">
        <f>+Q12-Q15-Q14-Q13</f>
        <v>391</v>
      </c>
      <c r="R16" s="5">
        <f>+R12-R15-R14-R13</f>
        <v>402</v>
      </c>
      <c r="S16" s="5">
        <f>+S12-S15-S14-S13</f>
        <v>-10</v>
      </c>
      <c r="T16" s="5">
        <f>+T12-T15-T14-T13</f>
        <v>497</v>
      </c>
      <c r="U16" s="5">
        <f>+U12-U15-U14-U13</f>
        <v>1370</v>
      </c>
      <c r="V16" s="5">
        <f t="shared" ref="V16:AF16" si="19">+V12-V15-V14-V13</f>
        <v>1070.1792499999999</v>
      </c>
      <c r="W16" s="5">
        <f t="shared" si="19"/>
        <v>942.29927300000008</v>
      </c>
      <c r="X16" s="5">
        <f t="shared" si="19"/>
        <v>1004.5746196050001</v>
      </c>
      <c r="Y16" s="5">
        <f t="shared" si="19"/>
        <v>1000.4020950844498</v>
      </c>
      <c r="Z16" s="5">
        <f t="shared" si="19"/>
        <v>928.06927908508362</v>
      </c>
      <c r="AA16" s="5">
        <f t="shared" si="19"/>
        <v>911.49268041223581</v>
      </c>
      <c r="AB16" s="5">
        <f t="shared" si="19"/>
        <v>958.66025999561839</v>
      </c>
      <c r="AC16" s="5">
        <f t="shared" si="19"/>
        <v>1082.3082743698258</v>
      </c>
      <c r="AD16" s="5">
        <f t="shared" si="19"/>
        <v>1138.4588952425358</v>
      </c>
      <c r="AE16" s="5">
        <f t="shared" si="19"/>
        <v>1198.2095407477298</v>
      </c>
      <c r="AF16" s="5">
        <f t="shared" si="19"/>
        <v>1261.7945834708955</v>
      </c>
      <c r="AG16" s="5">
        <f>AF16*(1+$AI41)</f>
        <v>1242.867664718832</v>
      </c>
      <c r="AH16" s="5">
        <f t="shared" ref="AH16:CS16" si="20">AG16*(1+$AI41)</f>
        <v>1224.2246497480494</v>
      </c>
      <c r="AI16" s="5">
        <f t="shared" si="20"/>
        <v>1205.8612800018286</v>
      </c>
      <c r="AJ16" s="5">
        <f t="shared" si="20"/>
        <v>1187.7733608018011</v>
      </c>
      <c r="AK16" s="5">
        <f t="shared" si="20"/>
        <v>1169.956760389774</v>
      </c>
      <c r="AL16" s="5">
        <f t="shared" si="20"/>
        <v>1152.4074089839273</v>
      </c>
      <c r="AM16" s="5">
        <f t="shared" si="20"/>
        <v>1135.1212978491685</v>
      </c>
      <c r="AN16" s="5">
        <f t="shared" si="20"/>
        <v>1118.0944783814309</v>
      </c>
      <c r="AO16" s="5">
        <f t="shared" si="20"/>
        <v>1101.3230612057093</v>
      </c>
      <c r="AP16" s="5">
        <f t="shared" si="20"/>
        <v>1084.8032152876237</v>
      </c>
      <c r="AQ16" s="5">
        <f t="shared" si="20"/>
        <v>1068.5311670583094</v>
      </c>
      <c r="AR16" s="5">
        <f t="shared" si="20"/>
        <v>1052.5031995524348</v>
      </c>
      <c r="AS16" s="5">
        <f t="shared" si="20"/>
        <v>1036.7156515591482</v>
      </c>
      <c r="AT16" s="5">
        <f t="shared" si="20"/>
        <v>1021.164916785761</v>
      </c>
      <c r="AU16" s="5">
        <f t="shared" si="20"/>
        <v>1005.8474430339745</v>
      </c>
      <c r="AV16" s="5">
        <f t="shared" si="20"/>
        <v>990.75973138846484</v>
      </c>
      <c r="AW16" s="5">
        <f t="shared" si="20"/>
        <v>975.8983354176379</v>
      </c>
      <c r="AX16" s="5">
        <f t="shared" si="20"/>
        <v>961.25986038637336</v>
      </c>
      <c r="AY16" s="5">
        <f t="shared" si="20"/>
        <v>946.84096248057779</v>
      </c>
      <c r="AZ16" s="5">
        <f t="shared" si="20"/>
        <v>932.63834804336909</v>
      </c>
      <c r="BA16" s="5">
        <f t="shared" si="20"/>
        <v>918.64877282271857</v>
      </c>
      <c r="BB16" s="5">
        <f t="shared" si="20"/>
        <v>904.86904123037777</v>
      </c>
      <c r="BC16" s="5">
        <f t="shared" si="20"/>
        <v>891.29600561192206</v>
      </c>
      <c r="BD16" s="5">
        <f t="shared" si="20"/>
        <v>877.92656552774326</v>
      </c>
      <c r="BE16" s="5">
        <f t="shared" si="20"/>
        <v>864.75766704482714</v>
      </c>
      <c r="BF16" s="5">
        <f t="shared" si="20"/>
        <v>851.78630203915475</v>
      </c>
      <c r="BG16" s="5">
        <f t="shared" si="20"/>
        <v>839.00950750856737</v>
      </c>
      <c r="BH16" s="5">
        <f t="shared" si="20"/>
        <v>826.42436489593888</v>
      </c>
      <c r="BI16" s="5">
        <f t="shared" si="20"/>
        <v>814.02799942249976</v>
      </c>
      <c r="BJ16" s="5">
        <f t="shared" si="20"/>
        <v>801.81757943116224</v>
      </c>
      <c r="BK16" s="5">
        <f t="shared" si="20"/>
        <v>789.79031573969485</v>
      </c>
      <c r="BL16" s="5">
        <f t="shared" si="20"/>
        <v>777.9434610035994</v>
      </c>
      <c r="BM16" s="5">
        <f t="shared" si="20"/>
        <v>766.27430908854535</v>
      </c>
      <c r="BN16" s="5">
        <f t="shared" si="20"/>
        <v>754.78019445221719</v>
      </c>
      <c r="BO16" s="5">
        <f t="shared" si="20"/>
        <v>743.45849153543395</v>
      </c>
      <c r="BP16" s="5">
        <f t="shared" si="20"/>
        <v>732.30661416240241</v>
      </c>
      <c r="BQ16" s="5">
        <f t="shared" si="20"/>
        <v>721.32201494996639</v>
      </c>
      <c r="BR16" s="5">
        <f t="shared" si="20"/>
        <v>710.50218472571692</v>
      </c>
      <c r="BS16" s="5">
        <f t="shared" si="20"/>
        <v>699.84465195483119</v>
      </c>
      <c r="BT16" s="5">
        <f t="shared" si="20"/>
        <v>689.34698217550874</v>
      </c>
      <c r="BU16" s="5">
        <f t="shared" si="20"/>
        <v>679.00677744287611</v>
      </c>
      <c r="BV16" s="5">
        <f t="shared" si="20"/>
        <v>668.82167578123301</v>
      </c>
      <c r="BW16" s="5">
        <f t="shared" si="20"/>
        <v>658.78935064451446</v>
      </c>
      <c r="BX16" s="5">
        <f t="shared" si="20"/>
        <v>648.90751038484677</v>
      </c>
      <c r="BY16" s="5">
        <f t="shared" si="20"/>
        <v>639.17389772907404</v>
      </c>
      <c r="BZ16" s="5">
        <f t="shared" si="20"/>
        <v>629.58628926313793</v>
      </c>
      <c r="CA16" s="5">
        <f t="shared" si="20"/>
        <v>620.14249492419083</v>
      </c>
      <c r="CB16" s="5">
        <f t="shared" si="20"/>
        <v>610.84035750032797</v>
      </c>
      <c r="CC16" s="5">
        <f t="shared" si="20"/>
        <v>601.67775213782306</v>
      </c>
      <c r="CD16" s="5">
        <f t="shared" si="20"/>
        <v>592.65258585575566</v>
      </c>
      <c r="CE16" s="5">
        <f t="shared" si="20"/>
        <v>583.76279706791934</v>
      </c>
      <c r="CF16" s="5">
        <f t="shared" si="20"/>
        <v>575.00635511190058</v>
      </c>
      <c r="CG16" s="5">
        <f t="shared" si="20"/>
        <v>566.38125978522203</v>
      </c>
      <c r="CH16" s="5">
        <f t="shared" si="20"/>
        <v>557.88554088844364</v>
      </c>
      <c r="CI16" s="5">
        <f t="shared" si="20"/>
        <v>549.51725777511695</v>
      </c>
      <c r="CJ16" s="5">
        <f t="shared" si="20"/>
        <v>541.27449890849016</v>
      </c>
      <c r="CK16" s="5">
        <f t="shared" si="20"/>
        <v>533.15538142486275</v>
      </c>
      <c r="CL16" s="5">
        <f t="shared" si="20"/>
        <v>525.15805070348983</v>
      </c>
      <c r="CM16" s="5">
        <f t="shared" si="20"/>
        <v>517.28067994293747</v>
      </c>
      <c r="CN16" s="5">
        <f t="shared" si="20"/>
        <v>509.52146974379338</v>
      </c>
      <c r="CO16" s="5">
        <f t="shared" si="20"/>
        <v>501.8786476976365</v>
      </c>
      <c r="CP16" s="5">
        <f t="shared" si="20"/>
        <v>494.35046798217195</v>
      </c>
      <c r="CQ16" s="5">
        <f t="shared" si="20"/>
        <v>486.93521096243938</v>
      </c>
      <c r="CR16" s="5">
        <f t="shared" si="20"/>
        <v>479.63118279800278</v>
      </c>
      <c r="CS16" s="5">
        <f t="shared" si="20"/>
        <v>472.43671505603271</v>
      </c>
      <c r="CT16" s="5">
        <f t="shared" ref="CT16:DD16" si="21">CS16*(1+$AI41)</f>
        <v>465.35016433019223</v>
      </c>
      <c r="CU16" s="5">
        <f t="shared" si="21"/>
        <v>458.36991186523932</v>
      </c>
      <c r="CV16" s="5">
        <f t="shared" si="21"/>
        <v>451.49436318726072</v>
      </c>
      <c r="CW16" s="5">
        <f t="shared" si="21"/>
        <v>444.72194773945182</v>
      </c>
      <c r="CX16" s="5">
        <f t="shared" si="21"/>
        <v>438.05111852336006</v>
      </c>
      <c r="CY16" s="5">
        <f t="shared" si="21"/>
        <v>431.48035174550967</v>
      </c>
      <c r="CZ16" s="5">
        <f t="shared" si="21"/>
        <v>425.00814646932702</v>
      </c>
      <c r="DA16" s="5">
        <f t="shared" si="21"/>
        <v>418.63302427228712</v>
      </c>
      <c r="DB16" s="5">
        <f t="shared" si="21"/>
        <v>412.3535289082028</v>
      </c>
      <c r="DC16" s="5">
        <f t="shared" si="21"/>
        <v>406.16822597457974</v>
      </c>
      <c r="DD16" s="5">
        <f t="shared" si="21"/>
        <v>400.07570258496105</v>
      </c>
      <c r="DE16" s="5"/>
    </row>
    <row r="17" spans="1:37" s="1" customFormat="1" x14ac:dyDescent="0.25">
      <c r="A17" s="5"/>
      <c r="B17" s="1" t="s">
        <v>18</v>
      </c>
      <c r="C17" s="1">
        <v>112</v>
      </c>
      <c r="D17" s="1">
        <v>112</v>
      </c>
      <c r="E17" s="1">
        <v>112</v>
      </c>
      <c r="F17" s="1">
        <v>112</v>
      </c>
      <c r="G17" s="1">
        <v>106</v>
      </c>
      <c r="H17" s="1">
        <v>101</v>
      </c>
      <c r="I17" s="1">
        <v>94</v>
      </c>
      <c r="J17" s="1">
        <v>94</v>
      </c>
      <c r="K17" s="1">
        <v>86</v>
      </c>
      <c r="P17" s="21"/>
      <c r="Q17" s="1">
        <v>144</v>
      </c>
      <c r="R17" s="1">
        <v>143</v>
      </c>
      <c r="S17" s="1">
        <v>123</v>
      </c>
      <c r="T17" s="1">
        <v>111</v>
      </c>
      <c r="U17" s="1">
        <v>97</v>
      </c>
    </row>
    <row r="18" spans="1:37" x14ac:dyDescent="0.25">
      <c r="A18" s="7"/>
      <c r="B18" s="8" t="s">
        <v>19</v>
      </c>
      <c r="C18" s="7">
        <f t="shared" ref="C18:K18" si="22">+C16/C17</f>
        <v>0.29464285714285715</v>
      </c>
      <c r="D18" s="7">
        <f t="shared" si="22"/>
        <v>0.2767857142857143</v>
      </c>
      <c r="E18" s="7">
        <f t="shared" si="22"/>
        <v>1.5803571428571428</v>
      </c>
      <c r="F18" s="7">
        <f t="shared" si="22"/>
        <v>2.2857142857142856</v>
      </c>
      <c r="G18" s="7">
        <f t="shared" si="22"/>
        <v>3.0188679245283021</v>
      </c>
      <c r="H18" s="7">
        <f t="shared" si="22"/>
        <v>4.9009900990099009</v>
      </c>
      <c r="I18" s="7">
        <f t="shared" si="22"/>
        <v>3.8617021276595747</v>
      </c>
      <c r="J18" s="7">
        <f t="shared" si="22"/>
        <v>0.94680851063829785</v>
      </c>
      <c r="K18" s="7">
        <f t="shared" si="22"/>
        <v>5.6162790697674421</v>
      </c>
      <c r="L18" s="7"/>
      <c r="M18" s="7"/>
      <c r="N18" s="7"/>
      <c r="O18" s="7"/>
      <c r="P18" s="9"/>
      <c r="Q18" s="7">
        <f>+Q16/Q17</f>
        <v>2.7152777777777777</v>
      </c>
      <c r="R18" s="7">
        <f>+R16/R17</f>
        <v>2.8111888111888113</v>
      </c>
      <c r="S18" s="7">
        <f>+S16/S17</f>
        <v>-8.1300813008130079E-2</v>
      </c>
      <c r="T18" s="7">
        <f>+T16/T17</f>
        <v>4.4774774774774775</v>
      </c>
      <c r="U18" s="7">
        <f>+U16/U17</f>
        <v>14.123711340206185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A19" s="1"/>
      <c r="B19" s="1"/>
      <c r="C19" s="10"/>
      <c r="D19" s="10"/>
      <c r="E19" s="10"/>
      <c r="F19" s="10"/>
      <c r="G19" s="10"/>
      <c r="H19" s="10"/>
      <c r="I19" s="10"/>
      <c r="J19" s="10"/>
      <c r="L19" s="10"/>
      <c r="M19" s="10"/>
      <c r="N19" s="10"/>
      <c r="O19" s="10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1" customFormat="1" x14ac:dyDescent="0.25">
      <c r="B20" s="1" t="s">
        <v>27</v>
      </c>
      <c r="F20" s="1">
        <f>535+11+0</f>
        <v>546</v>
      </c>
      <c r="G20" s="1">
        <f>645+9+13</f>
        <v>667</v>
      </c>
      <c r="H20" s="1">
        <f>590+10+13</f>
        <v>613</v>
      </c>
      <c r="I20" s="1">
        <f>607+18+13</f>
        <v>638</v>
      </c>
      <c r="J20" s="1">
        <f>358+21+13</f>
        <v>392</v>
      </c>
      <c r="K20" s="1">
        <f>624+7+14</f>
        <v>645</v>
      </c>
      <c r="P20" s="11"/>
      <c r="R20" s="1">
        <f>878+49+14</f>
        <v>941</v>
      </c>
      <c r="S20" s="1">
        <f>181+10+14</f>
        <v>205</v>
      </c>
      <c r="T20" s="1">
        <f>535+11+0</f>
        <v>546</v>
      </c>
      <c r="U20" s="1">
        <f>358+21+13</f>
        <v>392</v>
      </c>
    </row>
    <row r="21" spans="1:37" s="1" customFormat="1" x14ac:dyDescent="0.25">
      <c r="B21" s="1" t="s">
        <v>31</v>
      </c>
      <c r="F21" s="1">
        <v>259</v>
      </c>
      <c r="G21" s="1">
        <v>307</v>
      </c>
      <c r="H21" s="1">
        <v>311</v>
      </c>
      <c r="I21" s="1">
        <v>320</v>
      </c>
      <c r="J21" s="1">
        <v>323</v>
      </c>
      <c r="K21" s="1">
        <v>382</v>
      </c>
      <c r="P21" s="11"/>
      <c r="R21" s="1">
        <v>273</v>
      </c>
      <c r="S21" s="1">
        <v>265</v>
      </c>
      <c r="T21" s="1">
        <v>259</v>
      </c>
      <c r="U21" s="1">
        <v>323</v>
      </c>
    </row>
    <row r="22" spans="1:37" s="1" customFormat="1" x14ac:dyDescent="0.25">
      <c r="B22" s="1" t="s">
        <v>32</v>
      </c>
      <c r="F22" s="1">
        <v>918</v>
      </c>
      <c r="G22" s="1">
        <v>921</v>
      </c>
      <c r="H22" s="1">
        <v>938</v>
      </c>
      <c r="I22" s="1">
        <v>980</v>
      </c>
      <c r="J22" s="1">
        <v>1069</v>
      </c>
      <c r="K22" s="1">
        <v>1132</v>
      </c>
      <c r="P22" s="11"/>
      <c r="R22" s="1">
        <v>1010</v>
      </c>
      <c r="S22" s="1">
        <v>965</v>
      </c>
      <c r="T22" s="1">
        <v>918</v>
      </c>
      <c r="U22" s="1">
        <v>1069</v>
      </c>
    </row>
    <row r="23" spans="1:37" s="1" customFormat="1" x14ac:dyDescent="0.25">
      <c r="B23" s="1" t="s">
        <v>28</v>
      </c>
      <c r="F23" s="1">
        <f>348+13</f>
        <v>361</v>
      </c>
      <c r="G23" s="1">
        <f>1+346+13</f>
        <v>360</v>
      </c>
      <c r="H23" s="1">
        <f>1+346+13</f>
        <v>360</v>
      </c>
      <c r="I23" s="1">
        <f>1+346+13</f>
        <v>360</v>
      </c>
      <c r="J23" s="1">
        <f>346+24</f>
        <v>370</v>
      </c>
      <c r="K23" s="1">
        <f>346+23</f>
        <v>369</v>
      </c>
      <c r="P23" s="11"/>
      <c r="R23" s="1">
        <f>5+347+9</f>
        <v>361</v>
      </c>
      <c r="S23" s="1">
        <f>0+348+8</f>
        <v>356</v>
      </c>
      <c r="T23" s="1">
        <f>348+13</f>
        <v>361</v>
      </c>
      <c r="U23" s="1">
        <f>346+24</f>
        <v>370</v>
      </c>
    </row>
    <row r="24" spans="1:37" s="1" customFormat="1" x14ac:dyDescent="0.25">
      <c r="B24" s="5" t="s">
        <v>34</v>
      </c>
      <c r="F24" s="1">
        <f>F20-F23</f>
        <v>185</v>
      </c>
      <c r="G24" s="1">
        <f t="shared" ref="G24:K24" si="23">G20-G23</f>
        <v>307</v>
      </c>
      <c r="H24" s="1">
        <f t="shared" si="23"/>
        <v>253</v>
      </c>
      <c r="I24" s="1">
        <f t="shared" si="23"/>
        <v>278</v>
      </c>
      <c r="J24" s="1">
        <f t="shared" si="23"/>
        <v>22</v>
      </c>
      <c r="K24" s="1">
        <f t="shared" si="23"/>
        <v>276</v>
      </c>
      <c r="P24" s="11"/>
      <c r="R24" s="1">
        <f t="shared" ref="R24" si="24">R20-R23</f>
        <v>580</v>
      </c>
      <c r="S24" s="1">
        <f t="shared" ref="S24" si="25">S20-S23</f>
        <v>-151</v>
      </c>
      <c r="T24" s="1">
        <f t="shared" ref="T24" si="26">T20-T23</f>
        <v>185</v>
      </c>
      <c r="U24" s="1">
        <f t="shared" ref="U24" si="27">U20-U23</f>
        <v>22</v>
      </c>
      <c r="V24" s="1">
        <f>U24+V16</f>
        <v>1092.1792499999999</v>
      </c>
      <c r="W24" s="1">
        <f t="shared" ref="W24:AF24" si="28">V24+W16</f>
        <v>2034.478523</v>
      </c>
      <c r="X24" s="1">
        <f t="shared" si="28"/>
        <v>3039.0531426050002</v>
      </c>
      <c r="Y24" s="1">
        <f t="shared" si="28"/>
        <v>4039.4552376894499</v>
      </c>
      <c r="Z24" s="1">
        <f t="shared" si="28"/>
        <v>4967.5245167745334</v>
      </c>
      <c r="AA24" s="1">
        <f t="shared" si="28"/>
        <v>5879.0171971867694</v>
      </c>
      <c r="AB24" s="1">
        <f t="shared" si="28"/>
        <v>6837.677457182388</v>
      </c>
      <c r="AC24" s="1">
        <f t="shared" si="28"/>
        <v>7919.985731552214</v>
      </c>
      <c r="AD24" s="1">
        <f t="shared" si="28"/>
        <v>9058.4446267947496</v>
      </c>
      <c r="AE24" s="1">
        <f t="shared" si="28"/>
        <v>10256.65416754248</v>
      </c>
      <c r="AF24" s="1">
        <f t="shared" si="28"/>
        <v>11518.448751013375</v>
      </c>
    </row>
    <row r="25" spans="1:37" x14ac:dyDescent="0.25">
      <c r="A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2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x14ac:dyDescent="0.25">
      <c r="A26" s="13"/>
      <c r="B26" s="13" t="s">
        <v>20</v>
      </c>
      <c r="C26" s="13">
        <f t="shared" ref="C26:K26" si="29">C9/C7</f>
        <v>0.18461538461538463</v>
      </c>
      <c r="D26" s="13">
        <f t="shared" si="29"/>
        <v>0.21350364963503649</v>
      </c>
      <c r="E26" s="13">
        <f t="shared" si="29"/>
        <v>0.3672955974842767</v>
      </c>
      <c r="F26" s="13">
        <f t="shared" si="29"/>
        <v>0.40813953488372096</v>
      </c>
      <c r="G26" s="13">
        <f t="shared" si="29"/>
        <v>0.47099311701081614</v>
      </c>
      <c r="H26" s="13">
        <f t="shared" si="29"/>
        <v>0.53283018867924525</v>
      </c>
      <c r="I26" s="13">
        <f t="shared" si="29"/>
        <v>0.45036915504511893</v>
      </c>
      <c r="J26" s="13">
        <f t="shared" si="29"/>
        <v>0.26321709786276715</v>
      </c>
      <c r="K26" s="13">
        <f t="shared" si="29"/>
        <v>0.49439042632759911</v>
      </c>
      <c r="L26" s="13"/>
      <c r="M26" s="13"/>
      <c r="N26" s="13"/>
      <c r="O26" s="13"/>
      <c r="P26" s="14"/>
      <c r="Q26" s="13">
        <f t="shared" ref="Q26:U26" si="30">Q9/Q7</f>
        <v>0.2692026335040234</v>
      </c>
      <c r="R26" s="13">
        <f t="shared" si="30"/>
        <v>0.26308345120226306</v>
      </c>
      <c r="S26" s="13">
        <f t="shared" si="30"/>
        <v>0.13116883116883116</v>
      </c>
      <c r="T26" s="13">
        <f t="shared" si="30"/>
        <v>0.31133428981348638</v>
      </c>
      <c r="U26" s="13">
        <f t="shared" si="30"/>
        <v>0.45486492422578517</v>
      </c>
      <c r="V26" s="13">
        <f t="shared" ref="V26:AF26" si="31">V9/V7</f>
        <v>0.38</v>
      </c>
      <c r="W26" s="13">
        <f t="shared" si="31"/>
        <v>0.34</v>
      </c>
      <c r="X26" s="13">
        <f t="shared" si="31"/>
        <v>0.34</v>
      </c>
      <c r="Y26" s="13">
        <f t="shared" si="31"/>
        <v>0.32</v>
      </c>
      <c r="Z26" s="13">
        <f t="shared" si="31"/>
        <v>0.3</v>
      </c>
      <c r="AA26" s="13">
        <f t="shared" si="31"/>
        <v>0.28999999999999998</v>
      </c>
      <c r="AB26" s="13">
        <f t="shared" si="31"/>
        <v>0.28999999999999998</v>
      </c>
      <c r="AC26" s="13">
        <f t="shared" si="31"/>
        <v>0.28999999999999998</v>
      </c>
      <c r="AD26" s="13">
        <f t="shared" si="31"/>
        <v>0.28999999999999998</v>
      </c>
      <c r="AE26" s="13">
        <f t="shared" si="31"/>
        <v>0.28999999999999998</v>
      </c>
      <c r="AF26" s="13">
        <f t="shared" si="31"/>
        <v>0.28999999999999998</v>
      </c>
      <c r="AG26" s="13"/>
      <c r="AH26" s="13"/>
      <c r="AI26" s="13"/>
      <c r="AJ26" s="13"/>
      <c r="AK26" s="13"/>
    </row>
    <row r="27" spans="1:37" x14ac:dyDescent="0.25">
      <c r="A27" s="15"/>
      <c r="B27" s="15" t="s">
        <v>21</v>
      </c>
      <c r="C27" s="15">
        <f t="shared" ref="C27:K27" si="32">C12/C7</f>
        <v>7.521367521367521E-2</v>
      </c>
      <c r="D27" s="15">
        <f t="shared" si="32"/>
        <v>9.6715328467153291E-2</v>
      </c>
      <c r="E27" s="15">
        <f t="shared" si="32"/>
        <v>0.30440251572327043</v>
      </c>
      <c r="F27" s="15">
        <f t="shared" si="32"/>
        <v>0.34651162790697676</v>
      </c>
      <c r="G27" s="15">
        <f t="shared" si="32"/>
        <v>0.42379547689282204</v>
      </c>
      <c r="H27" s="15">
        <f t="shared" si="32"/>
        <v>0.49207547169811322</v>
      </c>
      <c r="I27" s="15">
        <f t="shared" si="32"/>
        <v>0.40032813781788351</v>
      </c>
      <c r="J27" s="15">
        <f t="shared" si="32"/>
        <v>0.16985376827896512</v>
      </c>
      <c r="K27" s="15">
        <f t="shared" si="32"/>
        <v>0.47419596110695589</v>
      </c>
      <c r="L27" s="15"/>
      <c r="M27" s="15"/>
      <c r="N27" s="15"/>
      <c r="O27" s="15"/>
      <c r="P27" s="16"/>
      <c r="Q27" s="15">
        <f t="shared" ref="Q27:U27" si="33">Q12/Q7</f>
        <v>0.19495245062179956</v>
      </c>
      <c r="R27" s="15">
        <f t="shared" si="33"/>
        <v>0.18599717114568601</v>
      </c>
      <c r="S27" s="15">
        <f t="shared" si="33"/>
        <v>-8.658008658008658E-3</v>
      </c>
      <c r="T27" s="15">
        <f t="shared" si="33"/>
        <v>0.22847919655667145</v>
      </c>
      <c r="U27" s="15">
        <f t="shared" si="33"/>
        <v>0.4008346145398638</v>
      </c>
      <c r="V27" s="15">
        <f t="shared" ref="V27:AF27" si="34">V12/V7</f>
        <v>0.31</v>
      </c>
      <c r="W27" s="15">
        <f t="shared" si="34"/>
        <v>0.27</v>
      </c>
      <c r="X27" s="15">
        <f t="shared" si="34"/>
        <v>0.27</v>
      </c>
      <c r="Y27" s="15">
        <f t="shared" si="34"/>
        <v>0.26</v>
      </c>
      <c r="Z27" s="15">
        <f t="shared" si="34"/>
        <v>0.24</v>
      </c>
      <c r="AA27" s="15">
        <f t="shared" si="34"/>
        <v>0.22999999999999998</v>
      </c>
      <c r="AB27" s="15">
        <f t="shared" si="34"/>
        <v>0.22999999999999998</v>
      </c>
      <c r="AC27" s="15">
        <f t="shared" si="34"/>
        <v>0.24</v>
      </c>
      <c r="AD27" s="15">
        <f t="shared" si="34"/>
        <v>0.23999999999999996</v>
      </c>
      <c r="AE27" s="15">
        <f t="shared" si="34"/>
        <v>0.24</v>
      </c>
      <c r="AF27" s="15">
        <f t="shared" si="34"/>
        <v>0.23999999999999996</v>
      </c>
      <c r="AG27" s="15"/>
      <c r="AH27" s="15"/>
      <c r="AI27" s="15"/>
      <c r="AJ27" s="15"/>
      <c r="AK27" s="15"/>
    </row>
    <row r="28" spans="1:37" s="18" customFormat="1" x14ac:dyDescent="0.25">
      <c r="B28" s="18" t="s">
        <v>22</v>
      </c>
      <c r="C28" s="18">
        <f t="shared" ref="C28:K28" si="35">C15/C7</f>
        <v>1.5384615384615385E-2</v>
      </c>
      <c r="D28" s="18">
        <f t="shared" si="35"/>
        <v>3.4671532846715328E-2</v>
      </c>
      <c r="E28" s="18">
        <f t="shared" si="35"/>
        <v>7.5471698113207544E-2</v>
      </c>
      <c r="F28" s="18">
        <f t="shared" si="35"/>
        <v>4.3023255813953491E-2</v>
      </c>
      <c r="G28" s="18">
        <f t="shared" si="35"/>
        <v>9.4395280235988199E-2</v>
      </c>
      <c r="H28" s="18">
        <f t="shared" si="35"/>
        <v>0.11094339622641509</v>
      </c>
      <c r="I28" s="18">
        <f t="shared" si="35"/>
        <v>0.10090237899917966</v>
      </c>
      <c r="J28" s="18">
        <f t="shared" si="35"/>
        <v>6.7491563554555684E-2</v>
      </c>
      <c r="K28" s="18">
        <f t="shared" si="35"/>
        <v>0.10396409872849663</v>
      </c>
      <c r="P28" s="19"/>
      <c r="Q28" s="18">
        <f>Q15/Q7</f>
        <v>4.3525969275786391E-2</v>
      </c>
      <c r="R28" s="18">
        <f t="shared" ref="R28:U28" si="36">R15/R7</f>
        <v>4.3140028288543138E-2</v>
      </c>
      <c r="S28" s="18">
        <f t="shared" si="36"/>
        <v>-5.6277056277056281E-3</v>
      </c>
      <c r="T28" s="18">
        <f t="shared" si="36"/>
        <v>4.483500717360115E-2</v>
      </c>
      <c r="U28" s="18">
        <f t="shared" si="36"/>
        <v>9.3564682626839452E-2</v>
      </c>
      <c r="V28" s="18">
        <f t="shared" ref="V28:AF28" si="37">V14/V7</f>
        <v>0</v>
      </c>
      <c r="W28" s="18">
        <f t="shared" si="37"/>
        <v>0</v>
      </c>
      <c r="X28" s="18">
        <f t="shared" si="37"/>
        <v>0</v>
      </c>
      <c r="Y28" s="18">
        <f t="shared" si="37"/>
        <v>0</v>
      </c>
      <c r="Z28" s="18">
        <f t="shared" si="37"/>
        <v>0</v>
      </c>
      <c r="AA28" s="18">
        <f t="shared" si="37"/>
        <v>0</v>
      </c>
      <c r="AB28" s="18">
        <f t="shared" si="37"/>
        <v>0</v>
      </c>
      <c r="AC28" s="18">
        <f t="shared" si="37"/>
        <v>0</v>
      </c>
      <c r="AD28" s="18">
        <f t="shared" si="37"/>
        <v>0</v>
      </c>
      <c r="AE28" s="18">
        <f t="shared" si="37"/>
        <v>0</v>
      </c>
      <c r="AF28" s="18">
        <f t="shared" si="37"/>
        <v>0</v>
      </c>
    </row>
    <row r="29" spans="1:37" x14ac:dyDescent="0.25">
      <c r="A29" s="15"/>
      <c r="B29" s="15" t="s">
        <v>35</v>
      </c>
      <c r="C29" s="15"/>
      <c r="D29" s="15"/>
      <c r="E29" s="15"/>
      <c r="F29" s="15">
        <f t="shared" ref="F29:K29" si="38">F7/F22</f>
        <v>0.9368191721132898</v>
      </c>
      <c r="G29" s="15">
        <f t="shared" si="38"/>
        <v>1.1042345276872965</v>
      </c>
      <c r="H29" s="15">
        <f t="shared" si="38"/>
        <v>1.4125799573560767</v>
      </c>
      <c r="I29" s="15">
        <f t="shared" si="38"/>
        <v>1.2438775510204081</v>
      </c>
      <c r="J29" s="15">
        <f t="shared" si="38"/>
        <v>0.83161833489242287</v>
      </c>
      <c r="K29" s="15">
        <f t="shared" si="38"/>
        <v>1.181095406360424</v>
      </c>
      <c r="L29" s="15"/>
      <c r="M29" s="15"/>
      <c r="N29" s="15"/>
      <c r="O29" s="15"/>
      <c r="P29" s="16"/>
      <c r="Q29" s="15"/>
      <c r="R29" s="15">
        <f t="shared" ref="R29:U29" si="39">R7/R22</f>
        <v>2.8</v>
      </c>
      <c r="S29" s="15">
        <f t="shared" si="39"/>
        <v>2.3937823834196892</v>
      </c>
      <c r="T29" s="15">
        <f t="shared" si="39"/>
        <v>3.0370370370370372</v>
      </c>
      <c r="U29" s="15">
        <f t="shared" si="39"/>
        <v>4.2591206735266605</v>
      </c>
      <c r="V29" s="15" t="e">
        <f t="shared" ref="V29:AF29" si="40">V7/V22</f>
        <v>#DIV/0!</v>
      </c>
      <c r="W29" s="15" t="e">
        <f t="shared" si="40"/>
        <v>#DIV/0!</v>
      </c>
      <c r="X29" s="15" t="e">
        <f t="shared" si="40"/>
        <v>#DIV/0!</v>
      </c>
      <c r="Y29" s="15" t="e">
        <f t="shared" si="40"/>
        <v>#DIV/0!</v>
      </c>
      <c r="Z29" s="15" t="e">
        <f t="shared" si="40"/>
        <v>#DIV/0!</v>
      </c>
      <c r="AA29" s="15" t="e">
        <f t="shared" si="40"/>
        <v>#DIV/0!</v>
      </c>
      <c r="AB29" s="15" t="e">
        <f t="shared" si="40"/>
        <v>#DIV/0!</v>
      </c>
      <c r="AC29" s="15" t="e">
        <f t="shared" si="40"/>
        <v>#DIV/0!</v>
      </c>
      <c r="AD29" s="15" t="e">
        <f t="shared" si="40"/>
        <v>#DIV/0!</v>
      </c>
      <c r="AE29" s="15" t="e">
        <f t="shared" si="40"/>
        <v>#DIV/0!</v>
      </c>
      <c r="AF29" s="15" t="e">
        <f t="shared" si="40"/>
        <v>#DIV/0!</v>
      </c>
      <c r="AG29" s="15"/>
      <c r="AH29" s="15"/>
      <c r="AI29" s="15"/>
      <c r="AJ29" s="15"/>
      <c r="AK29" s="15"/>
    </row>
    <row r="30" spans="1:37" x14ac:dyDescent="0.25">
      <c r="A30" s="15"/>
      <c r="B30" s="15" t="s">
        <v>41</v>
      </c>
      <c r="C30" s="15">
        <f t="shared" ref="C30:K30" si="41">C10/C7</f>
        <v>9.4017094017094016E-2</v>
      </c>
      <c r="D30" s="15">
        <f t="shared" si="41"/>
        <v>9.1240875912408759E-2</v>
      </c>
      <c r="E30" s="15">
        <f t="shared" si="41"/>
        <v>6.540880503144654E-2</v>
      </c>
      <c r="F30" s="15">
        <f t="shared" si="41"/>
        <v>6.2790697674418611E-2</v>
      </c>
      <c r="G30" s="15">
        <f t="shared" si="41"/>
        <v>4.71976401179941E-2</v>
      </c>
      <c r="H30" s="15">
        <f t="shared" si="41"/>
        <v>4.3018867924528303E-2</v>
      </c>
      <c r="I30" s="15">
        <f t="shared" si="41"/>
        <v>5.1681706316652996E-2</v>
      </c>
      <c r="J30" s="15">
        <f t="shared" si="41"/>
        <v>8.211473565804274E-2</v>
      </c>
      <c r="K30" s="15">
        <f t="shared" si="41"/>
        <v>4.8616305160807775E-2</v>
      </c>
      <c r="L30" s="15"/>
      <c r="M30" s="15"/>
      <c r="N30" s="15"/>
      <c r="O30" s="15"/>
      <c r="P30" s="16"/>
      <c r="Q30" s="15">
        <f t="shared" ref="Q30:U30" si="42">Q10/Q7</f>
        <v>6.9861009509875643E-2</v>
      </c>
      <c r="R30" s="15">
        <f t="shared" si="42"/>
        <v>7.3903818953323902E-2</v>
      </c>
      <c r="S30" s="15">
        <f t="shared" si="42"/>
        <v>9.9567099567099568E-2</v>
      </c>
      <c r="T30" s="15">
        <f t="shared" si="42"/>
        <v>7.5681492109038739E-2</v>
      </c>
      <c r="U30" s="15">
        <f t="shared" si="42"/>
        <v>5.2932132659784754E-2</v>
      </c>
      <c r="V30" s="15">
        <f t="shared" ref="V30:AF30" si="43">V10/V7</f>
        <v>7.0000000000000007E-2</v>
      </c>
      <c r="W30" s="15">
        <f t="shared" si="43"/>
        <v>7.0000000000000007E-2</v>
      </c>
      <c r="X30" s="15">
        <f t="shared" si="43"/>
        <v>7.0000000000000007E-2</v>
      </c>
      <c r="Y30" s="15">
        <f t="shared" si="43"/>
        <v>6.0000000000000005E-2</v>
      </c>
      <c r="Z30" s="15">
        <f t="shared" si="43"/>
        <v>0.06</v>
      </c>
      <c r="AA30" s="15">
        <f t="shared" si="43"/>
        <v>0.06</v>
      </c>
      <c r="AB30" s="15">
        <f t="shared" si="43"/>
        <v>6.0000000000000005E-2</v>
      </c>
      <c r="AC30" s="15">
        <f t="shared" si="43"/>
        <v>0.05</v>
      </c>
      <c r="AD30" s="15">
        <f t="shared" si="43"/>
        <v>0.05</v>
      </c>
      <c r="AE30" s="15">
        <f t="shared" si="43"/>
        <v>0.05</v>
      </c>
      <c r="AF30" s="15">
        <f t="shared" si="43"/>
        <v>0.05</v>
      </c>
      <c r="AG30" s="15"/>
      <c r="AH30" s="15"/>
      <c r="AI30" s="15"/>
      <c r="AJ30" s="15"/>
      <c r="AK30" s="15"/>
    </row>
    <row r="31" spans="1:37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s="15" customFormat="1" x14ac:dyDescent="0.25">
      <c r="B32" s="1" t="s">
        <v>50</v>
      </c>
      <c r="G32" s="15">
        <f t="shared" ref="G32:K32" si="44">G3/C3-1</f>
        <v>0.34433962264150941</v>
      </c>
      <c r="H32" s="15">
        <f t="shared" si="44"/>
        <v>0.32272727272727275</v>
      </c>
      <c r="I32" s="15">
        <f t="shared" si="44"/>
        <v>0.16417910447761197</v>
      </c>
      <c r="J32" s="15">
        <f t="shared" si="44"/>
        <v>8.8803088803088848E-2</v>
      </c>
      <c r="K32" s="15">
        <f t="shared" si="44"/>
        <v>0.16491228070175445</v>
      </c>
      <c r="P32" s="16"/>
      <c r="R32" s="15">
        <f t="shared" ref="R32:T32" si="45">R3/Q3-1</f>
        <v>2.2292993630573354E-2</v>
      </c>
      <c r="S32" s="15">
        <f t="shared" si="45"/>
        <v>-4.7767393561786053E-2</v>
      </c>
      <c r="T32" s="15">
        <f t="shared" si="45"/>
        <v>4.5801526717557328E-2</v>
      </c>
      <c r="U32" s="15">
        <f>U3/T3-1</f>
        <v>0.22002085505735147</v>
      </c>
      <c r="V32" s="15">
        <f t="shared" ref="V32:AF32" si="46">V3/U3-1</f>
        <v>7.0000000000000062E-2</v>
      </c>
      <c r="W32" s="15">
        <f t="shared" si="46"/>
        <v>7.0000000000000062E-2</v>
      </c>
      <c r="X32" s="15">
        <f t="shared" si="46"/>
        <v>6.0000000000000053E-2</v>
      </c>
      <c r="Y32" s="15">
        <f t="shared" si="46"/>
        <v>6.0000000000000053E-2</v>
      </c>
      <c r="Z32" s="15">
        <f t="shared" si="46"/>
        <v>5.0000000000000044E-2</v>
      </c>
      <c r="AA32" s="15">
        <f t="shared" si="46"/>
        <v>5.0000000000000044E-2</v>
      </c>
      <c r="AB32" s="15">
        <f t="shared" si="46"/>
        <v>4.0000000000000036E-2</v>
      </c>
      <c r="AC32" s="15">
        <f t="shared" si="46"/>
        <v>4.0000000000000036E-2</v>
      </c>
      <c r="AD32" s="15">
        <f t="shared" si="46"/>
        <v>4.0000000000000036E-2</v>
      </c>
      <c r="AE32" s="15">
        <f t="shared" si="46"/>
        <v>4.0000000000000036E-2</v>
      </c>
      <c r="AF32" s="15">
        <f t="shared" si="46"/>
        <v>4.0000000000000036E-2</v>
      </c>
    </row>
    <row r="33" spans="1:37" s="15" customFormat="1" x14ac:dyDescent="0.25">
      <c r="B33" s="1" t="s">
        <v>51</v>
      </c>
      <c r="G33" s="15">
        <f t="shared" ref="G33:K35" si="47">G4/C4-1</f>
        <v>1.4500000000000002</v>
      </c>
      <c r="H33" s="15">
        <f t="shared" si="47"/>
        <v>2.8137254901960786</v>
      </c>
      <c r="I33" s="15">
        <f t="shared" si="47"/>
        <v>0.63043478260869557</v>
      </c>
      <c r="J33" s="15">
        <f t="shared" si="47"/>
        <v>9.8130841121495394E-2</v>
      </c>
      <c r="K33" s="15">
        <f t="shared" si="47"/>
        <v>0.38033395176252327</v>
      </c>
      <c r="P33" s="16"/>
      <c r="R33" s="15">
        <f t="shared" ref="R33:U33" si="48">R4/Q4-1</f>
        <v>-0.40459770114942528</v>
      </c>
      <c r="S33" s="15">
        <f t="shared" si="48"/>
        <v>0</v>
      </c>
      <c r="T33" s="15">
        <f t="shared" si="48"/>
        <v>0.57014157014157019</v>
      </c>
      <c r="U33" s="15">
        <f t="shared" si="48"/>
        <v>0.95655737704918042</v>
      </c>
      <c r="V33" s="15">
        <f t="shared" ref="V33:AF33" si="49">V4/U4-1</f>
        <v>0.12000000000000011</v>
      </c>
      <c r="W33" s="15">
        <f t="shared" si="49"/>
        <v>0.10000000000000009</v>
      </c>
      <c r="X33" s="15">
        <f t="shared" si="49"/>
        <v>9.000000000000008E-2</v>
      </c>
      <c r="Y33" s="15">
        <f t="shared" si="49"/>
        <v>7.0000000000000062E-2</v>
      </c>
      <c r="Z33" s="15">
        <f t="shared" si="49"/>
        <v>7.0000000000000062E-2</v>
      </c>
      <c r="AA33" s="15">
        <f t="shared" si="49"/>
        <v>7.0000000000000062E-2</v>
      </c>
      <c r="AB33" s="15">
        <f t="shared" si="49"/>
        <v>7.0000000000000062E-2</v>
      </c>
      <c r="AC33" s="15">
        <f t="shared" si="49"/>
        <v>7.0000000000000062E-2</v>
      </c>
      <c r="AD33" s="15">
        <f t="shared" si="49"/>
        <v>7.0000000000000062E-2</v>
      </c>
      <c r="AE33" s="15">
        <f t="shared" si="49"/>
        <v>7.0000000000000062E-2</v>
      </c>
      <c r="AF33" s="15">
        <f t="shared" si="49"/>
        <v>7.0000000000000062E-2</v>
      </c>
    </row>
    <row r="34" spans="1:37" s="15" customFormat="1" x14ac:dyDescent="0.25">
      <c r="B34" s="1" t="s">
        <v>52</v>
      </c>
      <c r="G34" s="15">
        <f t="shared" si="47"/>
        <v>0.24242424242424243</v>
      </c>
      <c r="H34" s="15">
        <f t="shared" si="47"/>
        <v>1</v>
      </c>
      <c r="I34" s="15">
        <f t="shared" si="47"/>
        <v>1.9223300970873787</v>
      </c>
      <c r="J34" s="15">
        <f t="shared" si="47"/>
        <v>-0.48148148148148151</v>
      </c>
      <c r="K34" s="15">
        <f t="shared" si="47"/>
        <v>0.38211382113821135</v>
      </c>
      <c r="P34" s="16"/>
      <c r="R34" s="15">
        <f t="shared" ref="R34:U34" si="50">R5/Q5-1</f>
        <v>-3.1784841075794601E-2</v>
      </c>
      <c r="S34" s="15">
        <f t="shared" si="50"/>
        <v>0</v>
      </c>
      <c r="T34" s="15">
        <f t="shared" si="50"/>
        <v>-1.7676767676767624E-2</v>
      </c>
      <c r="U34" s="15">
        <f t="shared" si="50"/>
        <v>0.64010282776349614</v>
      </c>
      <c r="V34" s="15">
        <f t="shared" ref="V34:AF34" si="51">V5/U5-1</f>
        <v>-0.29467084639498431</v>
      </c>
      <c r="W34" s="15">
        <f t="shared" si="51"/>
        <v>3.0000000000000027E-2</v>
      </c>
      <c r="X34" s="15">
        <f t="shared" si="51"/>
        <v>3.0000000000000027E-2</v>
      </c>
      <c r="Y34" s="15">
        <f t="shared" si="51"/>
        <v>3.0000000000000027E-2</v>
      </c>
      <c r="Z34" s="15">
        <f t="shared" si="51"/>
        <v>3.0000000000000027E-2</v>
      </c>
      <c r="AA34" s="15">
        <f t="shared" si="51"/>
        <v>3.0000000000000027E-2</v>
      </c>
      <c r="AB34" s="15">
        <f t="shared" si="51"/>
        <v>3.0000000000000027E-2</v>
      </c>
      <c r="AC34" s="15">
        <f t="shared" si="51"/>
        <v>3.0000000000000027E-2</v>
      </c>
      <c r="AD34" s="15">
        <f t="shared" si="51"/>
        <v>3.0000000000000027E-2</v>
      </c>
      <c r="AE34" s="15">
        <f t="shared" si="51"/>
        <v>3.0000000000000027E-2</v>
      </c>
      <c r="AF34" s="15">
        <f t="shared" si="51"/>
        <v>3.0000000000000027E-2</v>
      </c>
    </row>
    <row r="35" spans="1:37" s="15" customFormat="1" x14ac:dyDescent="0.25">
      <c r="B35" s="1" t="s">
        <v>53</v>
      </c>
      <c r="G35" s="15">
        <f t="shared" si="47"/>
        <v>0.31481481481481488</v>
      </c>
      <c r="H35" s="15">
        <f t="shared" si="47"/>
        <v>1.2222222222222223</v>
      </c>
      <c r="I35" s="15">
        <f t="shared" si="47"/>
        <v>0.875</v>
      </c>
      <c r="J35" s="15">
        <f t="shared" si="47"/>
        <v>0.24615384615384617</v>
      </c>
      <c r="K35" s="15">
        <f t="shared" si="47"/>
        <v>0.29577464788732399</v>
      </c>
      <c r="P35" s="16"/>
      <c r="R35" s="15">
        <f t="shared" ref="R35:U35" si="52">R6/Q6-1</f>
        <v>1.1627906976744207E-2</v>
      </c>
      <c r="S35" s="15">
        <f t="shared" si="52"/>
        <v>0.26436781609195403</v>
      </c>
      <c r="T35" s="15">
        <f t="shared" si="52"/>
        <v>0</v>
      </c>
      <c r="U35" s="15">
        <f t="shared" si="52"/>
        <v>0.6227272727272728</v>
      </c>
      <c r="V35" s="15">
        <f t="shared" ref="V35:AF35" si="53">V6/U6-1</f>
        <v>7.0000000000000062E-2</v>
      </c>
      <c r="W35" s="15">
        <f t="shared" si="53"/>
        <v>7.0000000000000062E-2</v>
      </c>
      <c r="X35" s="15">
        <f t="shared" si="53"/>
        <v>7.0000000000000062E-2</v>
      </c>
      <c r="Y35" s="15">
        <f t="shared" si="53"/>
        <v>6.0000000000000053E-2</v>
      </c>
      <c r="Z35" s="15">
        <f t="shared" si="53"/>
        <v>6.0000000000000053E-2</v>
      </c>
      <c r="AA35" s="15">
        <f t="shared" si="53"/>
        <v>6.0000000000000053E-2</v>
      </c>
      <c r="AB35" s="15">
        <f t="shared" si="53"/>
        <v>6.0000000000000053E-2</v>
      </c>
      <c r="AC35" s="15">
        <f t="shared" si="53"/>
        <v>5.0000000000000044E-2</v>
      </c>
      <c r="AD35" s="15">
        <f t="shared" si="53"/>
        <v>5.0000000000000044E-2</v>
      </c>
      <c r="AE35" s="15">
        <f t="shared" si="53"/>
        <v>5.0000000000000044E-2</v>
      </c>
      <c r="AF35" s="15">
        <f t="shared" si="53"/>
        <v>5.0000000000000044E-2</v>
      </c>
    </row>
    <row r="36" spans="1:37" s="4" customFormat="1" x14ac:dyDescent="0.25">
      <c r="A36" s="13"/>
      <c r="B36" s="13" t="s">
        <v>23</v>
      </c>
      <c r="C36" s="13"/>
      <c r="D36" s="13"/>
      <c r="E36" s="13"/>
      <c r="F36" s="13"/>
      <c r="G36" s="13">
        <f t="shared" ref="G36:K36" si="54">G7/C7-1</f>
        <v>0.7384615384615385</v>
      </c>
      <c r="H36" s="13">
        <f t="shared" si="54"/>
        <v>1.417883211678832</v>
      </c>
      <c r="I36" s="13">
        <f t="shared" si="54"/>
        <v>0.53333333333333344</v>
      </c>
      <c r="J36" s="13">
        <f t="shared" si="54"/>
        <v>3.3720930232558066E-2</v>
      </c>
      <c r="K36" s="13">
        <f t="shared" si="54"/>
        <v>0.31465093411996059</v>
      </c>
      <c r="L36" s="13"/>
      <c r="M36" s="13"/>
      <c r="N36" s="13"/>
      <c r="O36" s="13"/>
      <c r="P36" s="14"/>
      <c r="Q36" s="13"/>
      <c r="R36" s="13">
        <f t="shared" ref="R36:U36" si="55">R7/Q7-1</f>
        <v>3.4381858083394334E-2</v>
      </c>
      <c r="S36" s="13">
        <f t="shared" si="55"/>
        <v>-0.18316831683168322</v>
      </c>
      <c r="T36" s="13">
        <f t="shared" si="55"/>
        <v>0.20692640692640696</v>
      </c>
      <c r="U36" s="13">
        <f t="shared" si="55"/>
        <v>0.63307030129124819</v>
      </c>
      <c r="V36" s="13">
        <f t="shared" ref="V36:AF36" si="56">V7/U7-1</f>
        <v>4.4878102350098814E-2</v>
      </c>
      <c r="W36" s="13">
        <f t="shared" si="56"/>
        <v>8.3075233376705082E-2</v>
      </c>
      <c r="X36" s="13">
        <f t="shared" si="56"/>
        <v>7.5216906056720045E-2</v>
      </c>
      <c r="Y36" s="13">
        <f t="shared" si="56"/>
        <v>6.3200732828868622E-2</v>
      </c>
      <c r="Z36" s="13">
        <f t="shared" si="56"/>
        <v>6.0763220814707974E-2</v>
      </c>
      <c r="AA36" s="13">
        <f t="shared" si="56"/>
        <v>6.0912483610665369E-2</v>
      </c>
      <c r="AB36" s="13">
        <f t="shared" si="56"/>
        <v>5.8556371773999416E-2</v>
      </c>
      <c r="AC36" s="13">
        <f t="shared" si="56"/>
        <v>5.7985008436302055E-2</v>
      </c>
      <c r="AD36" s="13">
        <f t="shared" si="56"/>
        <v>5.8203331726615959E-2</v>
      </c>
      <c r="AE36" s="13">
        <f t="shared" si="56"/>
        <v>5.8419679822592441E-2</v>
      </c>
      <c r="AF36" s="13">
        <f t="shared" si="56"/>
        <v>5.8633993401556728E-2</v>
      </c>
      <c r="AG36" s="13"/>
      <c r="AH36" s="13"/>
      <c r="AI36" s="13"/>
      <c r="AJ36" s="13"/>
      <c r="AK36" s="13"/>
    </row>
    <row r="37" spans="1:37" x14ac:dyDescent="0.25">
      <c r="A37" s="13"/>
      <c r="B37" s="13" t="s">
        <v>24</v>
      </c>
      <c r="C37" s="13"/>
      <c r="D37" s="13"/>
      <c r="E37" s="13"/>
      <c r="F37" s="13"/>
      <c r="G37" s="13">
        <f t="shared" ref="G37:K37" si="57">+G12/C12-1</f>
        <v>8.795454545454545</v>
      </c>
      <c r="H37" s="13">
        <f t="shared" si="57"/>
        <v>11.30188679245283</v>
      </c>
      <c r="I37" s="13">
        <f t="shared" si="57"/>
        <v>1.0165289256198347</v>
      </c>
      <c r="J37" s="13">
        <f t="shared" si="57"/>
        <v>-0.49328859060402686</v>
      </c>
      <c r="K37" s="13">
        <f t="shared" si="57"/>
        <v>0.47099767981438512</v>
      </c>
      <c r="L37" s="13"/>
      <c r="M37" s="13"/>
      <c r="N37" s="13"/>
      <c r="O37" s="13"/>
      <c r="P37" s="14"/>
      <c r="Q37" s="13"/>
      <c r="R37" s="13">
        <f t="shared" ref="R37:T37" si="58">R16/Q16-1</f>
        <v>2.8132992327365658E-2</v>
      </c>
      <c r="S37" s="13">
        <f t="shared" si="58"/>
        <v>-1.0248756218905473</v>
      </c>
      <c r="T37" s="13">
        <f t="shared" si="58"/>
        <v>-50.7</v>
      </c>
      <c r="U37" s="13">
        <f>U16/T16-1</f>
        <v>1.7565392354124749</v>
      </c>
      <c r="V37" s="13">
        <f t="shared" ref="V37:AF37" si="59">V16/U16-1</f>
        <v>-0.21884726277372268</v>
      </c>
      <c r="W37" s="13">
        <f t="shared" si="59"/>
        <v>-0.11949397916283633</v>
      </c>
      <c r="X37" s="13">
        <f t="shared" si="59"/>
        <v>6.6088713415573208E-2</v>
      </c>
      <c r="Y37" s="13">
        <f t="shared" si="59"/>
        <v>-4.1535237294676453E-3</v>
      </c>
      <c r="Z37" s="13">
        <f t="shared" si="59"/>
        <v>-7.2303743019710653E-2</v>
      </c>
      <c r="AA37" s="13">
        <f t="shared" si="59"/>
        <v>-1.7861380660277315E-2</v>
      </c>
      <c r="AB37" s="13">
        <f t="shared" si="59"/>
        <v>5.1747622989194442E-2</v>
      </c>
      <c r="AC37" s="13">
        <f t="shared" si="59"/>
        <v>0.12898001464540987</v>
      </c>
      <c r="AD37" s="13">
        <f t="shared" si="59"/>
        <v>5.1880432038093671E-2</v>
      </c>
      <c r="AE37" s="13">
        <f t="shared" si="59"/>
        <v>5.2483796959981399E-2</v>
      </c>
      <c r="AF37" s="13">
        <f t="shared" si="59"/>
        <v>5.3066713759837292E-2</v>
      </c>
      <c r="AG37" s="13"/>
      <c r="AH37" s="13"/>
      <c r="AI37" s="13"/>
      <c r="AJ37" s="13"/>
      <c r="AK37" s="13"/>
    </row>
    <row r="38" spans="1:37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5">
      <c r="B39" s="1"/>
    </row>
    <row r="40" spans="1:37" s="18" customFormat="1" x14ac:dyDescent="0.25">
      <c r="B40" s="18" t="s">
        <v>36</v>
      </c>
      <c r="G40" s="18">
        <f>(1+G13/F24)^4-1</f>
        <v>0.11257037148889526</v>
      </c>
      <c r="H40" s="18">
        <f>(1+H13/G24)^4-1</f>
        <v>5.3144718696545246E-2</v>
      </c>
      <c r="I40" s="18">
        <f>(1+I13/H24)^4-1</f>
        <v>6.475676634762384E-2</v>
      </c>
      <c r="J40" s="18">
        <f>(1+J13/I24)^4-1</f>
        <v>0</v>
      </c>
      <c r="K40" s="18">
        <f>(1+K13/J24)^4-1</f>
        <v>0.41629670104501004</v>
      </c>
      <c r="P40" s="19"/>
      <c r="S40" s="18">
        <f t="shared" ref="S40:AF40" si="60">S13/R24</f>
        <v>1.5517241379310345E-2</v>
      </c>
      <c r="T40" s="18">
        <f t="shared" si="60"/>
        <v>-9.9337748344370855E-2</v>
      </c>
      <c r="U40" s="18">
        <f t="shared" si="60"/>
        <v>7.0270270270270274E-2</v>
      </c>
      <c r="V40" s="18">
        <f t="shared" si="60"/>
        <v>0.01</v>
      </c>
      <c r="W40" s="18">
        <f t="shared" si="60"/>
        <v>0.01</v>
      </c>
      <c r="X40" s="18">
        <f t="shared" si="60"/>
        <v>0.01</v>
      </c>
      <c r="Y40" s="18">
        <f t="shared" si="60"/>
        <v>0.01</v>
      </c>
      <c r="Z40" s="18">
        <f t="shared" si="60"/>
        <v>0.01</v>
      </c>
      <c r="AA40" s="18">
        <f t="shared" si="60"/>
        <v>0.01</v>
      </c>
      <c r="AB40" s="18">
        <f t="shared" si="60"/>
        <v>0.01</v>
      </c>
      <c r="AC40" s="18">
        <f t="shared" si="60"/>
        <v>0.01</v>
      </c>
      <c r="AD40" s="18">
        <f t="shared" si="60"/>
        <v>0.01</v>
      </c>
      <c r="AE40" s="18">
        <f t="shared" si="60"/>
        <v>0.01</v>
      </c>
      <c r="AF40" s="18">
        <f t="shared" si="60"/>
        <v>0.01</v>
      </c>
    </row>
    <row r="41" spans="1:37" x14ac:dyDescent="0.25">
      <c r="AH41" s="10" t="s">
        <v>37</v>
      </c>
      <c r="AI41" s="18">
        <v>-1.4999999999999999E-2</v>
      </c>
    </row>
    <row r="42" spans="1:37" x14ac:dyDescent="0.25">
      <c r="AH42" s="15" t="s">
        <v>38</v>
      </c>
      <c r="AI42" s="18">
        <v>-0.01</v>
      </c>
    </row>
    <row r="43" spans="1:37" x14ac:dyDescent="0.25">
      <c r="AH43" t="s">
        <v>39</v>
      </c>
      <c r="AI43" s="18">
        <v>8.5000000000000006E-2</v>
      </c>
    </row>
    <row r="44" spans="1:37" x14ac:dyDescent="0.25">
      <c r="AH44" s="15" t="s">
        <v>40</v>
      </c>
      <c r="AI44" s="20">
        <f>NPV(AI43,V16:DD16)</f>
        <v>12229.883434318077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2022-07-29T15:39:37Z</dcterms:created>
  <dcterms:modified xsi:type="dcterms:W3CDTF">2022-08-03T03:11:33Z</dcterms:modified>
</cp:coreProperties>
</file>