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2936A543-7A66-4937-8D9A-00DB28A1F380}" xr6:coauthVersionLast="47" xr6:coauthVersionMax="47" xr10:uidLastSave="{00000000-0000-0000-0000-000000000000}"/>
  <bookViews>
    <workbookView xWindow="22260" yWindow="2910" windowWidth="15825" windowHeight="17250" xr2:uid="{0059096E-FB45-4687-8E83-CA48A4808244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2" l="1"/>
  <c r="N17" i="2"/>
  <c r="N16" i="2"/>
  <c r="N15" i="2"/>
  <c r="N18" i="2"/>
  <c r="AE5" i="1"/>
  <c r="AF5" i="1" s="1"/>
  <c r="AG5" i="1" s="1"/>
  <c r="AH5" i="1" s="1"/>
  <c r="AI5" i="1" s="1"/>
  <c r="AJ5" i="1" s="1"/>
  <c r="AK5" i="1" s="1"/>
  <c r="AE4" i="1"/>
  <c r="AF4" i="1" s="1"/>
  <c r="AG4" i="1" s="1"/>
  <c r="AH4" i="1" s="1"/>
  <c r="AI4" i="1" s="1"/>
  <c r="AJ4" i="1" s="1"/>
  <c r="AK4" i="1" s="1"/>
  <c r="AE3" i="1"/>
  <c r="AF3" i="1" s="1"/>
  <c r="AG3" i="1" s="1"/>
  <c r="AH3" i="1" s="1"/>
  <c r="AI3" i="1" s="1"/>
  <c r="AJ3" i="1" s="1"/>
  <c r="AK3" i="1" s="1"/>
  <c r="AD4" i="1"/>
  <c r="AD3" i="1"/>
  <c r="V34" i="1"/>
  <c r="AC35" i="1"/>
  <c r="AB35" i="1"/>
  <c r="AA35" i="1"/>
  <c r="Z35" i="1"/>
  <c r="Y35" i="1"/>
  <c r="X35" i="1"/>
  <c r="W35" i="1"/>
  <c r="V35" i="1"/>
  <c r="AC33" i="1"/>
  <c r="AB33" i="1"/>
  <c r="AA33" i="1"/>
  <c r="Z33" i="1"/>
  <c r="Y33" i="1"/>
  <c r="X33" i="1"/>
  <c r="W33" i="1"/>
  <c r="V33" i="1"/>
  <c r="AC32" i="1"/>
  <c r="AB32" i="1"/>
  <c r="AA32" i="1"/>
  <c r="Z32" i="1"/>
  <c r="Y32" i="1"/>
  <c r="X32" i="1"/>
  <c r="W32" i="1"/>
  <c r="V32" i="1"/>
  <c r="AC31" i="1"/>
  <c r="AB31" i="1"/>
  <c r="AA31" i="1"/>
  <c r="Z31" i="1"/>
  <c r="Y31" i="1"/>
  <c r="X31" i="1"/>
  <c r="W31" i="1"/>
  <c r="V31" i="1"/>
  <c r="AC5" i="1"/>
  <c r="AC43" i="1" s="1"/>
  <c r="AC4" i="1"/>
  <c r="AC3" i="1"/>
  <c r="AB5" i="1"/>
  <c r="AB4" i="1"/>
  <c r="AB3" i="1"/>
  <c r="AA45" i="1"/>
  <c r="AA44" i="1"/>
  <c r="AB43" i="1"/>
  <c r="AA43" i="1"/>
  <c r="AB42" i="1"/>
  <c r="AA42" i="1"/>
  <c r="AB41" i="1"/>
  <c r="AA41" i="1"/>
  <c r="Z45" i="1"/>
  <c r="Z44" i="1"/>
  <c r="Z43" i="1"/>
  <c r="Z42" i="1"/>
  <c r="Z41" i="1"/>
  <c r="AK10" i="1"/>
  <c r="AJ10" i="1"/>
  <c r="AI10" i="1"/>
  <c r="AH10" i="1"/>
  <c r="AG10" i="1"/>
  <c r="AA13" i="1"/>
  <c r="Z13" i="1"/>
  <c r="W29" i="1"/>
  <c r="X13" i="1" s="1"/>
  <c r="X47" i="1" s="1"/>
  <c r="V29" i="1"/>
  <c r="AA5" i="1"/>
  <c r="AA4" i="1"/>
  <c r="AA3" i="1"/>
  <c r="AA6" i="1" s="1"/>
  <c r="AA19" i="1" s="1"/>
  <c r="Z5" i="1"/>
  <c r="Z3" i="1"/>
  <c r="Y3" i="1"/>
  <c r="X3" i="1"/>
  <c r="Z4" i="1"/>
  <c r="Y5" i="1"/>
  <c r="Y4" i="1"/>
  <c r="X5" i="1"/>
  <c r="X43" i="1" s="1"/>
  <c r="X4" i="1"/>
  <c r="W5" i="1"/>
  <c r="W4" i="1"/>
  <c r="W3" i="1"/>
  <c r="V45" i="1"/>
  <c r="V44" i="1"/>
  <c r="Y43" i="1"/>
  <c r="W43" i="1"/>
  <c r="V43" i="1"/>
  <c r="Y42" i="1"/>
  <c r="X42" i="1"/>
  <c r="W42" i="1"/>
  <c r="V42" i="1"/>
  <c r="W41" i="1"/>
  <c r="V41" i="1"/>
  <c r="V20" i="1"/>
  <c r="V19" i="1"/>
  <c r="W13" i="1"/>
  <c r="W47" i="1" s="1"/>
  <c r="V47" i="1"/>
  <c r="V13" i="1"/>
  <c r="AD42" i="1" l="1"/>
  <c r="AD5" i="1"/>
  <c r="AC42" i="1"/>
  <c r="AF42" i="1"/>
  <c r="AE42" i="1"/>
  <c r="Z6" i="1"/>
  <c r="Z19" i="1" s="1"/>
  <c r="Y41" i="1"/>
  <c r="Y6" i="1"/>
  <c r="Y19" i="1" s="1"/>
  <c r="X6" i="1"/>
  <c r="X41" i="1"/>
  <c r="Y44" i="1"/>
  <c r="X19" i="1"/>
  <c r="W6" i="1"/>
  <c r="W19" i="1" s="1"/>
  <c r="X44" i="1"/>
  <c r="W44" i="1"/>
  <c r="AD43" i="1" l="1"/>
  <c r="AG42" i="1"/>
  <c r="AC41" i="1"/>
  <c r="AB6" i="1"/>
  <c r="AH42" i="1" l="1"/>
  <c r="AE43" i="1"/>
  <c r="AI42" i="1"/>
  <c r="AB19" i="1"/>
  <c r="AB44" i="1"/>
  <c r="AC6" i="1"/>
  <c r="AD41" i="1"/>
  <c r="AF43" i="1" l="1"/>
  <c r="AJ42" i="1"/>
  <c r="AK42" i="1"/>
  <c r="AC19" i="1"/>
  <c r="AC44" i="1"/>
  <c r="AD6" i="1"/>
  <c r="AE41" i="1"/>
  <c r="AG43" i="1" l="1"/>
  <c r="AD19" i="1"/>
  <c r="AD33" i="1" s="1"/>
  <c r="AD44" i="1"/>
  <c r="AE6" i="1"/>
  <c r="AH43" i="1" l="1"/>
  <c r="AE19" i="1"/>
  <c r="AE33" i="1" s="1"/>
  <c r="AE44" i="1"/>
  <c r="AF6" i="1"/>
  <c r="AF41" i="1"/>
  <c r="AI43" i="1" l="1"/>
  <c r="AG6" i="1"/>
  <c r="AG41" i="1"/>
  <c r="AF19" i="1"/>
  <c r="AF33" i="1" s="1"/>
  <c r="AF44" i="1"/>
  <c r="AK43" i="1" l="1"/>
  <c r="AJ43" i="1"/>
  <c r="AH6" i="1"/>
  <c r="AH41" i="1"/>
  <c r="AG44" i="1"/>
  <c r="AG8" i="1"/>
  <c r="AG31" i="1" s="1"/>
  <c r="AG9" i="1"/>
  <c r="AG35" i="1" s="1"/>
  <c r="AG19" i="1"/>
  <c r="AG33" i="1" s="1"/>
  <c r="AG12" i="1" l="1"/>
  <c r="AG32" i="1" s="1"/>
  <c r="AI6" i="1"/>
  <c r="AI41" i="1"/>
  <c r="AH44" i="1"/>
  <c r="AH9" i="1"/>
  <c r="AH35" i="1" s="1"/>
  <c r="AH19" i="1"/>
  <c r="AH33" i="1" s="1"/>
  <c r="AH8" i="1"/>
  <c r="AH12" i="1" l="1"/>
  <c r="AH32" i="1" s="1"/>
  <c r="AH31" i="1"/>
  <c r="AI44" i="1"/>
  <c r="AI19" i="1"/>
  <c r="AI33" i="1" s="1"/>
  <c r="AI9" i="1"/>
  <c r="AI35" i="1" s="1"/>
  <c r="AI8" i="1"/>
  <c r="AJ6" i="1"/>
  <c r="AJ41" i="1"/>
  <c r="AI12" i="1" l="1"/>
  <c r="AI32" i="1" s="1"/>
  <c r="AI31" i="1"/>
  <c r="AJ44" i="1"/>
  <c r="AJ8" i="1"/>
  <c r="AJ31" i="1" s="1"/>
  <c r="AJ19" i="1"/>
  <c r="AJ33" i="1" s="1"/>
  <c r="AJ9" i="1"/>
  <c r="AJ35" i="1" s="1"/>
  <c r="AK6" i="1"/>
  <c r="AK41" i="1"/>
  <c r="AJ12" i="1" l="1"/>
  <c r="AJ32" i="1" s="1"/>
  <c r="AK44" i="1"/>
  <c r="AK8" i="1"/>
  <c r="AK31" i="1" s="1"/>
  <c r="AK19" i="1"/>
  <c r="AK33" i="1" s="1"/>
  <c r="AK9" i="1"/>
  <c r="AK35" i="1" s="1"/>
  <c r="AK12" i="1" l="1"/>
  <c r="AK32" i="1" s="1"/>
  <c r="W12" i="1"/>
  <c r="W20" i="1" s="1"/>
  <c r="AF9" i="1"/>
  <c r="AF35" i="1" s="1"/>
  <c r="AE9" i="1"/>
  <c r="AE35" i="1" s="1"/>
  <c r="AD9" i="1"/>
  <c r="AD35" i="1" s="1"/>
  <c r="AC9" i="1"/>
  <c r="AB9" i="1"/>
  <c r="AA9" i="1"/>
  <c r="Z9" i="1"/>
  <c r="Y9" i="1"/>
  <c r="X9" i="1"/>
  <c r="W9" i="1"/>
  <c r="V9" i="1"/>
  <c r="V12" i="1" s="1"/>
  <c r="W10" i="1"/>
  <c r="X10" i="1" s="1"/>
  <c r="Y10" i="1" s="1"/>
  <c r="Z10" i="1" s="1"/>
  <c r="AA10" i="1" s="1"/>
  <c r="AB10" i="1" s="1"/>
  <c r="AC10" i="1" s="1"/>
  <c r="AD10" i="1" s="1"/>
  <c r="AE10" i="1" s="1"/>
  <c r="AF10" i="1" s="1"/>
  <c r="V10" i="1"/>
  <c r="U35" i="1"/>
  <c r="T35" i="1"/>
  <c r="S35" i="1"/>
  <c r="R35" i="1"/>
  <c r="Q35" i="1"/>
  <c r="K35" i="1"/>
  <c r="J35" i="1"/>
  <c r="I35" i="1"/>
  <c r="H35" i="1"/>
  <c r="G35" i="1"/>
  <c r="F35" i="1"/>
  <c r="E35" i="1"/>
  <c r="D35" i="1"/>
  <c r="C35" i="1"/>
  <c r="L35" i="1"/>
  <c r="AF8" i="1"/>
  <c r="AF31" i="1" s="1"/>
  <c r="AE8" i="1"/>
  <c r="AE31" i="1" s="1"/>
  <c r="AD8" i="1"/>
  <c r="AD31" i="1" s="1"/>
  <c r="AC8" i="1"/>
  <c r="AB8" i="1"/>
  <c r="AA8" i="1"/>
  <c r="AA12" i="1" s="1"/>
  <c r="Z8" i="1"/>
  <c r="Y8" i="1"/>
  <c r="X8" i="1"/>
  <c r="X12" i="1" s="1"/>
  <c r="X20" i="1" s="1"/>
  <c r="X29" i="1" s="1"/>
  <c r="W8" i="1"/>
  <c r="V5" i="1"/>
  <c r="V4" i="1"/>
  <c r="V3" i="1"/>
  <c r="V6" i="1" s="1"/>
  <c r="V8" i="1" s="1"/>
  <c r="K47" i="1"/>
  <c r="U44" i="1"/>
  <c r="T44" i="1"/>
  <c r="S44" i="1"/>
  <c r="R44" i="1"/>
  <c r="U43" i="1"/>
  <c r="T43" i="1"/>
  <c r="S43" i="1"/>
  <c r="R43" i="1"/>
  <c r="U42" i="1"/>
  <c r="T42" i="1"/>
  <c r="S42" i="1"/>
  <c r="R42" i="1"/>
  <c r="T41" i="1"/>
  <c r="S41" i="1"/>
  <c r="R41" i="1"/>
  <c r="U41" i="1"/>
  <c r="U39" i="1"/>
  <c r="T39" i="1"/>
  <c r="S39" i="1"/>
  <c r="R39" i="1"/>
  <c r="Q39" i="1"/>
  <c r="U38" i="1"/>
  <c r="T38" i="1"/>
  <c r="S38" i="1"/>
  <c r="R38" i="1"/>
  <c r="Q38" i="1"/>
  <c r="U37" i="1"/>
  <c r="T37" i="1"/>
  <c r="S37" i="1"/>
  <c r="R37" i="1"/>
  <c r="Q37" i="1"/>
  <c r="L44" i="1"/>
  <c r="K44" i="1"/>
  <c r="I44" i="1"/>
  <c r="H44" i="1"/>
  <c r="G44" i="1"/>
  <c r="L43" i="1"/>
  <c r="K43" i="1"/>
  <c r="I43" i="1"/>
  <c r="H43" i="1"/>
  <c r="G43" i="1"/>
  <c r="L42" i="1"/>
  <c r="K42" i="1"/>
  <c r="I42" i="1"/>
  <c r="H42" i="1"/>
  <c r="G42" i="1"/>
  <c r="K41" i="1"/>
  <c r="I41" i="1"/>
  <c r="H41" i="1"/>
  <c r="G41" i="1"/>
  <c r="L41" i="1"/>
  <c r="K37" i="1"/>
  <c r="I37" i="1"/>
  <c r="H37" i="1"/>
  <c r="G37" i="1"/>
  <c r="E37" i="1"/>
  <c r="D37" i="1"/>
  <c r="C37" i="1"/>
  <c r="L39" i="1"/>
  <c r="K39" i="1"/>
  <c r="I39" i="1"/>
  <c r="H39" i="1"/>
  <c r="G39" i="1"/>
  <c r="E39" i="1"/>
  <c r="D39" i="1"/>
  <c r="C39" i="1"/>
  <c r="L38" i="1"/>
  <c r="K38" i="1"/>
  <c r="I38" i="1"/>
  <c r="H38" i="1"/>
  <c r="G38" i="1"/>
  <c r="E38" i="1"/>
  <c r="D38" i="1"/>
  <c r="C38" i="1"/>
  <c r="L37" i="1"/>
  <c r="U33" i="1"/>
  <c r="T33" i="1"/>
  <c r="S33" i="1"/>
  <c r="R33" i="1"/>
  <c r="Q33" i="1"/>
  <c r="K33" i="1"/>
  <c r="I33" i="1"/>
  <c r="H33" i="1"/>
  <c r="G33" i="1"/>
  <c r="E33" i="1"/>
  <c r="D33" i="1"/>
  <c r="C33" i="1"/>
  <c r="L33" i="1"/>
  <c r="U34" i="1"/>
  <c r="T34" i="1"/>
  <c r="S34" i="1"/>
  <c r="R34" i="1"/>
  <c r="L34" i="1"/>
  <c r="K34" i="1"/>
  <c r="I34" i="1"/>
  <c r="H34" i="1"/>
  <c r="G34" i="1"/>
  <c r="F19" i="1"/>
  <c r="F17" i="1"/>
  <c r="F16" i="1"/>
  <c r="F15" i="1"/>
  <c r="F13" i="1"/>
  <c r="F11" i="1"/>
  <c r="F10" i="1"/>
  <c r="F9" i="1"/>
  <c r="F7" i="1"/>
  <c r="F6" i="1"/>
  <c r="F34" i="1" s="1"/>
  <c r="F5" i="1"/>
  <c r="F4" i="1"/>
  <c r="F3" i="1"/>
  <c r="F21" i="1"/>
  <c r="J21" i="1"/>
  <c r="J19" i="1"/>
  <c r="J17" i="1"/>
  <c r="J16" i="1"/>
  <c r="J15" i="1"/>
  <c r="J13" i="1"/>
  <c r="J47" i="1" s="1"/>
  <c r="J11" i="1"/>
  <c r="J10" i="1"/>
  <c r="J9" i="1"/>
  <c r="J7" i="1"/>
  <c r="J6" i="1"/>
  <c r="J5" i="1"/>
  <c r="J4" i="1"/>
  <c r="J3" i="1"/>
  <c r="R28" i="1"/>
  <c r="R29" i="1" s="1"/>
  <c r="S47" i="1" s="1"/>
  <c r="S28" i="1"/>
  <c r="S29" i="1" s="1"/>
  <c r="T47" i="1" s="1"/>
  <c r="Q8" i="1"/>
  <c r="Q12" i="1" s="1"/>
  <c r="Q32" i="1" s="1"/>
  <c r="R8" i="1"/>
  <c r="R12" i="1" s="1"/>
  <c r="R32" i="1" s="1"/>
  <c r="G28" i="1"/>
  <c r="G29" i="1" s="1"/>
  <c r="H47" i="1" s="1"/>
  <c r="C8" i="1"/>
  <c r="C12" i="1" s="1"/>
  <c r="C32" i="1" s="1"/>
  <c r="H28" i="1"/>
  <c r="H29" i="1" s="1"/>
  <c r="I47" i="1" s="1"/>
  <c r="D8" i="1"/>
  <c r="D12" i="1" s="1"/>
  <c r="D32" i="1" s="1"/>
  <c r="K28" i="1"/>
  <c r="K29" i="1" s="1"/>
  <c r="L47" i="1" s="1"/>
  <c r="G8" i="1"/>
  <c r="G12" i="1" s="1"/>
  <c r="G32" i="1" s="1"/>
  <c r="K8" i="1"/>
  <c r="K12" i="1" s="1"/>
  <c r="K32" i="1" s="1"/>
  <c r="F28" i="1"/>
  <c r="F29" i="1" s="1"/>
  <c r="G47" i="1" s="1"/>
  <c r="I28" i="1"/>
  <c r="I29" i="1" s="1"/>
  <c r="E8" i="1"/>
  <c r="E12" i="1" s="1"/>
  <c r="E32" i="1" s="1"/>
  <c r="I8" i="1"/>
  <c r="I12" i="1" s="1"/>
  <c r="I18" i="1" s="1"/>
  <c r="S8" i="1"/>
  <c r="S12" i="1" s="1"/>
  <c r="S32" i="1" s="1"/>
  <c r="T14" i="1"/>
  <c r="F14" i="1" s="1"/>
  <c r="T8" i="1"/>
  <c r="T12" i="1" s="1"/>
  <c r="T32" i="1" s="1"/>
  <c r="T28" i="1"/>
  <c r="T29" i="1" s="1"/>
  <c r="U47" i="1" s="1"/>
  <c r="U28" i="1"/>
  <c r="U29" i="1" s="1"/>
  <c r="U14" i="1"/>
  <c r="J14" i="1" s="1"/>
  <c r="U8" i="1"/>
  <c r="U12" i="1" s="1"/>
  <c r="U32" i="1" s="1"/>
  <c r="J28" i="1"/>
  <c r="J29" i="1" s="1"/>
  <c r="L28" i="1"/>
  <c r="L29" i="1" s="1"/>
  <c r="N7" i="2"/>
  <c r="H8" i="1"/>
  <c r="H12" i="1" s="1"/>
  <c r="H32" i="1" s="1"/>
  <c r="L8" i="1"/>
  <c r="L12" i="1" s="1"/>
  <c r="L32" i="1" s="1"/>
  <c r="N5" i="2"/>
  <c r="AB12" i="1" l="1"/>
  <c r="AC12" i="1"/>
  <c r="AD12" i="1"/>
  <c r="AD32" i="1" s="1"/>
  <c r="AE12" i="1"/>
  <c r="AE32" i="1" s="1"/>
  <c r="AF12" i="1"/>
  <c r="AF32" i="1" s="1"/>
  <c r="Y13" i="1"/>
  <c r="Y47" i="1" s="1"/>
  <c r="Y12" i="1"/>
  <c r="Y20" i="1" s="1"/>
  <c r="Y29" i="1" s="1"/>
  <c r="Z12" i="1"/>
  <c r="X45" i="1"/>
  <c r="W45" i="1"/>
  <c r="J42" i="1"/>
  <c r="F37" i="1"/>
  <c r="J37" i="1"/>
  <c r="F38" i="1"/>
  <c r="J38" i="1"/>
  <c r="F39" i="1"/>
  <c r="J39" i="1"/>
  <c r="F33" i="1"/>
  <c r="J41" i="1"/>
  <c r="J43" i="1"/>
  <c r="J8" i="1"/>
  <c r="J31" i="1" s="1"/>
  <c r="J44" i="1"/>
  <c r="Q31" i="1"/>
  <c r="L31" i="1"/>
  <c r="R31" i="1"/>
  <c r="C31" i="1"/>
  <c r="T31" i="1"/>
  <c r="J33" i="1"/>
  <c r="D31" i="1"/>
  <c r="U31" i="1"/>
  <c r="G31" i="1"/>
  <c r="J34" i="1"/>
  <c r="S31" i="1"/>
  <c r="I32" i="1"/>
  <c r="E31" i="1"/>
  <c r="H31" i="1"/>
  <c r="I31" i="1"/>
  <c r="K31" i="1"/>
  <c r="F8" i="1"/>
  <c r="F31" i="1" s="1"/>
  <c r="J12" i="1"/>
  <c r="J32" i="1" s="1"/>
  <c r="F12" i="1"/>
  <c r="J18" i="1"/>
  <c r="Q20" i="1"/>
  <c r="Q22" i="1" s="1"/>
  <c r="Q18" i="1"/>
  <c r="R20" i="1"/>
  <c r="R18" i="1"/>
  <c r="C20" i="1"/>
  <c r="C22" i="1" s="1"/>
  <c r="C18" i="1"/>
  <c r="D20" i="1"/>
  <c r="D22" i="1" s="1"/>
  <c r="D18" i="1"/>
  <c r="G20" i="1"/>
  <c r="G18" i="1"/>
  <c r="K20" i="1"/>
  <c r="K18" i="1"/>
  <c r="E20" i="1"/>
  <c r="E22" i="1" s="1"/>
  <c r="E18" i="1"/>
  <c r="I20" i="1"/>
  <c r="S20" i="1"/>
  <c r="S18" i="1"/>
  <c r="T20" i="1"/>
  <c r="T18" i="1"/>
  <c r="L20" i="1"/>
  <c r="H20" i="1"/>
  <c r="L18" i="1"/>
  <c r="H18" i="1"/>
  <c r="U20" i="1"/>
  <c r="U18" i="1"/>
  <c r="N8" i="2"/>
  <c r="Z47" i="1" l="1"/>
  <c r="Z20" i="1"/>
  <c r="Z29" i="1" s="1"/>
  <c r="Y45" i="1"/>
  <c r="T22" i="1"/>
  <c r="T45" i="1"/>
  <c r="L22" i="1"/>
  <c r="L45" i="1"/>
  <c r="R22" i="1"/>
  <c r="R45" i="1"/>
  <c r="I22" i="1"/>
  <c r="I45" i="1"/>
  <c r="U22" i="1"/>
  <c r="U45" i="1"/>
  <c r="S22" i="1"/>
  <c r="S45" i="1"/>
  <c r="K22" i="1"/>
  <c r="K45" i="1"/>
  <c r="H22" i="1"/>
  <c r="H45" i="1"/>
  <c r="G22" i="1"/>
  <c r="G45" i="1"/>
  <c r="J20" i="1"/>
  <c r="F18" i="1"/>
  <c r="F32" i="1"/>
  <c r="F20" i="1"/>
  <c r="F22" i="1" s="1"/>
  <c r="J22" i="1" l="1"/>
  <c r="J45" i="1"/>
  <c r="AA47" i="1" l="1"/>
  <c r="AA20" i="1"/>
  <c r="AA29" i="1" s="1"/>
  <c r="AB13" i="1" s="1"/>
  <c r="AB47" i="1" l="1"/>
  <c r="AB20" i="1"/>
  <c r="AB29" i="1" l="1"/>
  <c r="AB45" i="1"/>
  <c r="AC13" i="1" l="1"/>
  <c r="AC47" i="1" l="1"/>
  <c r="AC20" i="1"/>
  <c r="AC45" i="1" l="1"/>
  <c r="AC29" i="1"/>
  <c r="AD13" i="1" s="1"/>
  <c r="AD47" i="1" l="1"/>
  <c r="AD20" i="1"/>
  <c r="AD29" i="1" l="1"/>
  <c r="AE13" i="1" s="1"/>
  <c r="AD45" i="1"/>
  <c r="AE47" i="1" l="1"/>
  <c r="AE20" i="1"/>
  <c r="AE29" i="1" l="1"/>
  <c r="AF13" i="1" s="1"/>
  <c r="AE45" i="1"/>
  <c r="AF47" i="1" l="1"/>
  <c r="AF20" i="1"/>
  <c r="AF29" i="1" l="1"/>
  <c r="AG13" i="1" s="1"/>
  <c r="AG20" i="1" s="1"/>
  <c r="AF45" i="1"/>
  <c r="AG29" i="1" l="1"/>
  <c r="AH13" i="1" s="1"/>
  <c r="AH20" i="1" s="1"/>
  <c r="AG45" i="1"/>
  <c r="AH29" i="1" l="1"/>
  <c r="AI13" i="1" s="1"/>
  <c r="AI20" i="1" s="1"/>
  <c r="AH45" i="1"/>
  <c r="AI29" i="1" l="1"/>
  <c r="AJ13" i="1" s="1"/>
  <c r="AJ20" i="1" s="1"/>
  <c r="AI45" i="1"/>
  <c r="AJ29" i="1" l="1"/>
  <c r="AK13" i="1" s="1"/>
  <c r="AK20" i="1" s="1"/>
  <c r="AJ45" i="1"/>
  <c r="AK29" i="1" l="1"/>
  <c r="AL20" i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CT20" i="1" s="1"/>
  <c r="CU20" i="1" s="1"/>
  <c r="CV20" i="1" s="1"/>
  <c r="CW20" i="1" s="1"/>
  <c r="CX20" i="1" s="1"/>
  <c r="CY20" i="1" s="1"/>
  <c r="CZ20" i="1" s="1"/>
  <c r="DA20" i="1" s="1"/>
  <c r="DB20" i="1" s="1"/>
  <c r="DC20" i="1" s="1"/>
  <c r="DD20" i="1" s="1"/>
  <c r="AK45" i="1"/>
  <c r="DE20" i="1" l="1"/>
  <c r="W53" i="1"/>
</calcChain>
</file>

<file path=xl/sharedStrings.xml><?xml version="1.0" encoding="utf-8"?>
<sst xmlns="http://schemas.openxmlformats.org/spreadsheetml/2006/main" count="69" uniqueCount="62">
  <si>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</si>
  <si>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</si>
  <si>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</si>
  <si>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</si>
  <si>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</si>
  <si>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</si>
  <si>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</si>
  <si>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</si>
  <si>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</si>
  <si>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</si>
  <si>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</si>
  <si>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</si>
  <si>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</si>
  <si>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</si>
  <si>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SG&amp;A</t>
  </si>
  <si>
    <t>Operating Income</t>
  </si>
  <si>
    <t>Taxes expense</t>
  </si>
  <si>
    <t>Net income</t>
  </si>
  <si>
    <t>Shares</t>
  </si>
  <si>
    <t>EPS</t>
  </si>
  <si>
    <t>Gross margin</t>
  </si>
  <si>
    <t>Operating margin</t>
  </si>
  <si>
    <t>Tax on revenue rate</t>
  </si>
  <si>
    <t>Revenue y/y</t>
  </si>
  <si>
    <t>Net income y/y</t>
  </si>
  <si>
    <t>Price</t>
  </si>
  <si>
    <t>MkCap</t>
  </si>
  <si>
    <t>Cash</t>
  </si>
  <si>
    <t>Debt</t>
  </si>
  <si>
    <t>EV</t>
  </si>
  <si>
    <t>Other expense</t>
  </si>
  <si>
    <t>R&amp;D</t>
  </si>
  <si>
    <t>Interest expense</t>
  </si>
  <si>
    <t>nVent Electric</t>
  </si>
  <si>
    <t>NVT</t>
  </si>
  <si>
    <t>Inventory</t>
  </si>
  <si>
    <t>PP&amp;E, net</t>
  </si>
  <si>
    <t>PP&amp;E, gross</t>
  </si>
  <si>
    <t>Enclosure sales</t>
  </si>
  <si>
    <t>Electric &amp; fastening sales</t>
  </si>
  <si>
    <t>Thermal management sales</t>
  </si>
  <si>
    <t>Gross profit</t>
  </si>
  <si>
    <t>EBT</t>
  </si>
  <si>
    <t>Enclosure EBT</t>
  </si>
  <si>
    <t>Electric &amp; fastening EBT</t>
  </si>
  <si>
    <t>Thermal management EBT</t>
  </si>
  <si>
    <t>Impairments</t>
  </si>
  <si>
    <t>Net cash</t>
  </si>
  <si>
    <t>Revenue on PP&amp;E gross</t>
  </si>
  <si>
    <t>Enclosure margin EBT%</t>
  </si>
  <si>
    <t>Electric &amp; fastening marginEBT%</t>
  </si>
  <si>
    <t>Thermal management marginEBT%</t>
  </si>
  <si>
    <t>Enclosure sales y/y</t>
  </si>
  <si>
    <t>Electric &amp; fastening sales y/y</t>
  </si>
  <si>
    <t>Thermal management sales y/y</t>
  </si>
  <si>
    <t>Interest on Cash</t>
  </si>
  <si>
    <t>SG&amp;A%</t>
  </si>
  <si>
    <t>Terminal</t>
  </si>
  <si>
    <t>ROIC</t>
  </si>
  <si>
    <t>Discount</t>
  </si>
  <si>
    <t>NPV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</si>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</sst>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46892</xdr:colOff>
      <xdr:row>0</xdr:row>
      <xdr:rowOff>104044</xdr:rowOff>
    </xdr:from>
    <xdr:to>
      <xdr:col>12</xdr:col>
      <xdr:colOff>46892</xdr:colOff>
      <xdr:row>55</xdr:row>
      <xdr:rowOff>82063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8476517" y="104044"/>
          <a:ext cx="0" cy="8931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0</xdr:row>
      <xdr:rowOff>9525</xdr:rowOff>
    </xdr:from>
    <xdr:to>
      <xdr:col>21</xdr:col>
      <xdr:colOff>47625</xdr:colOff>
      <xdr:row>54</xdr:row>
      <xdr:rowOff>178044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592175" y="9525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M1:N19"/>
  <sheetViews>
    <sheetView tabSelected="1" workbookViewId="0">
      <selection activeCell="N19" sqref="N19"/>
    </sheetView>
  </sheetViews>
  <sheetFormatPr defaultRowHeight="15" x14ac:dyDescent="0.25"/>
  <cols>
    <col min="13" max="13" width="9.7109375" bestFit="1" customWidth="1"/>
    <col min="14" max="14" width="9.85546875" bestFit="1" customWidth="1"/>
  </cols>
  <sheetData>
    <row r="1" spans="13:14" x14ac:dyDescent="0.25">
      <c r="M1" t="s">
        <v>33</v>
      </c>
    </row>
    <row r="2" spans="13:14" x14ac:dyDescent="0.25">
      <c r="M2" t="s">
        <v>34</v>
      </c>
    </row>
    <row r="3" spans="13:14" x14ac:dyDescent="0.25">
      <c r="M3" t="s">
        <v>25</v>
      </c>
      <c r="N3" s="17">
        <v>35.31</v>
      </c>
    </row>
    <row r="4" spans="13:14" x14ac:dyDescent="0.25">
      <c r="M4" t="s">
        <v>18</v>
      </c>
      <c r="N4" s="1">
        <v>166.4</v>
      </c>
    </row>
    <row r="5" spans="13:14" x14ac:dyDescent="0.25">
      <c r="M5" t="s">
        <v>26</v>
      </c>
      <c r="N5" s="1">
        <f>N3*N4</f>
        <v>5875.5840000000007</v>
      </c>
    </row>
    <row r="6" spans="13:14" x14ac:dyDescent="0.25">
      <c r="M6" t="s">
        <v>27</v>
      </c>
      <c r="N6" s="1">
        <v>55.8</v>
      </c>
    </row>
    <row r="7" spans="13:14" x14ac:dyDescent="0.25">
      <c r="M7" t="s">
        <v>28</v>
      </c>
      <c r="N7" s="1">
        <f>5+1043.2+194.4</f>
        <v>1242.6000000000001</v>
      </c>
    </row>
    <row r="8" spans="13:14" x14ac:dyDescent="0.25">
      <c r="M8" t="s">
        <v>29</v>
      </c>
      <c r="N8" s="1">
        <f>N5-N6+N7</f>
        <v>7062.3840000000009</v>
      </c>
    </row>
    <row r="11" spans="13:14" x14ac:dyDescent="0.25">
      <c r="M11" s="2">
        <v>44773</v>
      </c>
    </row>
    <row r="15" spans="13:14" x14ac:dyDescent="0.25">
      <c r="M15" s="10" t="s">
        <v>57</v>
      </c>
      <c r="N15" s="18">
        <f>Model!W50</f>
        <v>-0.01</v>
      </c>
    </row>
    <row r="16" spans="13:14" x14ac:dyDescent="0.25">
      <c r="M16" s="15" t="s">
        <v>58</v>
      </c>
      <c r="N16" s="18">
        <f>Model!W51</f>
        <v>0.01</v>
      </c>
    </row>
    <row r="17" spans="13:14" x14ac:dyDescent="0.25">
      <c r="M17" t="s">
        <v>59</v>
      </c>
      <c r="N17" s="18">
        <f>Model!W52</f>
        <v>0.08</v>
      </c>
    </row>
    <row r="18" spans="13:14" x14ac:dyDescent="0.25">
      <c r="M18" s="15" t="s">
        <v>60</v>
      </c>
      <c r="N18" s="1">
        <f>Model!W53</f>
        <v>8817.3705876180775</v>
      </c>
    </row>
    <row r="19" spans="13:14" x14ac:dyDescent="0.25">
      <c r="M19" t="s">
        <v>61</v>
      </c>
      <c r="N19" s="17">
        <f>N18/N4</f>
        <v>52.989005935204794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2:DE53"/>
  <sheetViews>
    <sheetView workbookViewId="0">
      <pane xSplit="2" ySplit="2" topLeftCell="N38" activePane="bottomRight" state="frozen"/>
      <selection pane="topRight" activeCell="C1" sqref="C1"/>
      <selection pane="bottomLeft" activeCell="A3" sqref="A3"/>
      <selection pane="bottomRight" activeCell="W53" sqref="W53"/>
    </sheetView>
  </sheetViews>
  <sheetFormatPr defaultRowHeight="15" x14ac:dyDescent="0.25"/>
  <cols>
    <col min="2" max="2" width="31.42578125" customWidth="1"/>
    <col min="3" max="15" width="9.140625" style="1"/>
    <col min="16" max="16" width="4.42578125" style="3" customWidth="1"/>
    <col min="23" max="23" width="10.85546875" bestFit="1" customWidth="1"/>
  </cols>
  <sheetData>
    <row r="2" spans="1:3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</row>
    <row r="3" spans="1:37" x14ac:dyDescent="0.25">
      <c r="B3" t="s">
        <v>38</v>
      </c>
      <c r="C3" s="1">
        <v>285.5</v>
      </c>
      <c r="D3" s="1">
        <v>219.3</v>
      </c>
      <c r="E3" s="1">
        <v>244.7</v>
      </c>
      <c r="F3" s="1">
        <f>T3-E3-D3-C3</f>
        <v>203.40000000000003</v>
      </c>
      <c r="G3" s="1">
        <v>277</v>
      </c>
      <c r="H3" s="1">
        <v>300.39999999999998</v>
      </c>
      <c r="I3" s="1">
        <v>335.2</v>
      </c>
      <c r="J3" s="1">
        <f>+U3-I3-H3-G3</f>
        <v>332.19999999999993</v>
      </c>
      <c r="K3" s="1">
        <v>359.4</v>
      </c>
      <c r="L3" s="1">
        <v>380.8</v>
      </c>
      <c r="Q3" s="1">
        <v>934.9</v>
      </c>
      <c r="R3" s="1">
        <v>1019.7</v>
      </c>
      <c r="S3" s="1">
        <v>1033.8</v>
      </c>
      <c r="T3" s="1">
        <v>952.9</v>
      </c>
      <c r="U3" s="1">
        <v>1244.8</v>
      </c>
      <c r="V3" s="1">
        <f>U3*1.25</f>
        <v>1556</v>
      </c>
      <c r="W3" s="1">
        <f>V3*1.2</f>
        <v>1867.1999999999998</v>
      </c>
      <c r="X3" s="1">
        <f>W3*1.17</f>
        <v>2184.6239999999998</v>
      </c>
      <c r="Y3" s="1">
        <f>X3*1.15</f>
        <v>2512.3175999999994</v>
      </c>
      <c r="Z3" s="1">
        <f>Y3*1.14</f>
        <v>2864.0420639999993</v>
      </c>
      <c r="AA3" s="1">
        <f t="shared" ref="AA3" si="0">Z3*1.14</f>
        <v>3265.0079529599989</v>
      </c>
      <c r="AB3" s="1">
        <f>AA3*1.12</f>
        <v>3656.8089073151991</v>
      </c>
      <c r="AC3" s="1">
        <f t="shared" ref="AC3" si="1">AB3*1.12</f>
        <v>4095.6259761930232</v>
      </c>
      <c r="AD3" s="1">
        <f>AC3*1.1</f>
        <v>4505.1885738123256</v>
      </c>
      <c r="AE3" s="1">
        <f t="shared" ref="AE3:AK3" si="2">AD3*1.1</f>
        <v>4955.7074311935585</v>
      </c>
      <c r="AF3" s="1">
        <f t="shared" si="2"/>
        <v>5451.2781743129144</v>
      </c>
      <c r="AG3" s="1">
        <f t="shared" si="2"/>
        <v>5996.4059917442064</v>
      </c>
      <c r="AH3" s="1">
        <f t="shared" si="2"/>
        <v>6596.0465909186278</v>
      </c>
      <c r="AI3" s="1">
        <f t="shared" si="2"/>
        <v>7255.6512500104909</v>
      </c>
      <c r="AJ3" s="1">
        <f t="shared" si="2"/>
        <v>7981.2163750115405</v>
      </c>
      <c r="AK3" s="1">
        <f t="shared" si="2"/>
        <v>8779.3380125126951</v>
      </c>
    </row>
    <row r="4" spans="1:37" x14ac:dyDescent="0.25">
      <c r="B4" t="s">
        <v>39</v>
      </c>
      <c r="C4" s="1">
        <v>141.9</v>
      </c>
      <c r="D4" s="1">
        <v>132.1</v>
      </c>
      <c r="E4" s="1">
        <v>147.69999999999999</v>
      </c>
      <c r="F4" s="1">
        <f t="shared" ref="F4:F19" si="3">T4-E4-D4-C4</f>
        <v>147.40000000000006</v>
      </c>
      <c r="G4" s="1">
        <v>147.9</v>
      </c>
      <c r="H4" s="1">
        <v>169.2</v>
      </c>
      <c r="I4" s="1">
        <v>169.3</v>
      </c>
      <c r="J4" s="1">
        <f>+U4-I4-H4-G4</f>
        <v>171.1</v>
      </c>
      <c r="K4" s="1">
        <v>187.6</v>
      </c>
      <c r="L4" s="1">
        <v>200.9</v>
      </c>
      <c r="Q4" s="1">
        <v>622.20000000000005</v>
      </c>
      <c r="R4" s="1">
        <v>623.20000000000005</v>
      </c>
      <c r="S4" s="1">
        <v>579.6</v>
      </c>
      <c r="T4" s="1">
        <v>569.1</v>
      </c>
      <c r="U4" s="1">
        <v>657.5</v>
      </c>
      <c r="V4" s="1">
        <f>U4*1.15</f>
        <v>756.12499999999989</v>
      </c>
      <c r="W4" s="1">
        <f>V4*1.13</f>
        <v>854.42124999999976</v>
      </c>
      <c r="X4" s="1">
        <f>W4*1.12</f>
        <v>956.95179999999982</v>
      </c>
      <c r="Y4" s="1">
        <f>X4*1.11</f>
        <v>1062.216498</v>
      </c>
      <c r="Z4" s="1">
        <f>Y4*1.11</f>
        <v>1179.06031278</v>
      </c>
      <c r="AA4" s="1">
        <f t="shared" ref="AA4" si="4">Z4*1.11</f>
        <v>1308.7569471858001</v>
      </c>
      <c r="AB4" s="1">
        <f>AA4*1.09</f>
        <v>1426.5450724325221</v>
      </c>
      <c r="AC4" s="1">
        <f t="shared" ref="AC4" si="5">AB4*1.09</f>
        <v>1554.9341289514493</v>
      </c>
      <c r="AD4" s="1">
        <f>AC4*1.07</f>
        <v>1663.779517978051</v>
      </c>
      <c r="AE4" s="1">
        <f t="shared" ref="AE4:AK4" si="6">AD4*1.07</f>
        <v>1780.2440842365147</v>
      </c>
      <c r="AF4" s="1">
        <f t="shared" si="6"/>
        <v>1904.8611701330708</v>
      </c>
      <c r="AG4" s="1">
        <f t="shared" si="6"/>
        <v>2038.2014520423859</v>
      </c>
      <c r="AH4" s="1">
        <f t="shared" si="6"/>
        <v>2180.8755536853532</v>
      </c>
      <c r="AI4" s="1">
        <f t="shared" si="6"/>
        <v>2333.5368424433282</v>
      </c>
      <c r="AJ4" s="1">
        <f t="shared" si="6"/>
        <v>2496.8844214143614</v>
      </c>
      <c r="AK4" s="1">
        <f t="shared" si="6"/>
        <v>2671.6663309133669</v>
      </c>
    </row>
    <row r="5" spans="1:37" x14ac:dyDescent="0.25">
      <c r="B5" t="s">
        <v>40</v>
      </c>
      <c r="C5" s="1">
        <v>120.5</v>
      </c>
      <c r="D5" s="1">
        <v>95.8</v>
      </c>
      <c r="E5" s="1">
        <v>116.9</v>
      </c>
      <c r="F5" s="1">
        <f t="shared" si="3"/>
        <v>143.40000000000003</v>
      </c>
      <c r="G5" s="1">
        <v>124</v>
      </c>
      <c r="H5" s="1">
        <v>131.69999999999999</v>
      </c>
      <c r="I5" s="1">
        <v>138.30000000000001</v>
      </c>
      <c r="J5" s="1">
        <f>+U5-I5-H5-G5</f>
        <v>165.70000000000005</v>
      </c>
      <c r="K5" s="1">
        <v>147.69999999999999</v>
      </c>
      <c r="L5" s="1">
        <v>145.80000000000001</v>
      </c>
      <c r="Q5" s="1">
        <v>540.79999999999995</v>
      </c>
      <c r="R5" s="1">
        <v>570.70000000000005</v>
      </c>
      <c r="S5" s="1">
        <v>590.6</v>
      </c>
      <c r="T5" s="1">
        <v>476.6</v>
      </c>
      <c r="U5" s="1">
        <v>559.70000000000005</v>
      </c>
      <c r="V5" s="1">
        <f>U5*1.1</f>
        <v>615.67000000000007</v>
      </c>
      <c r="W5" s="1">
        <f>V5*1.08</f>
        <v>664.92360000000008</v>
      </c>
      <c r="X5" s="1">
        <f>W5*1.07</f>
        <v>711.46825200000012</v>
      </c>
      <c r="Y5" s="1">
        <f>X5*1.06</f>
        <v>754.15634712000019</v>
      </c>
      <c r="Z5" s="1">
        <f>Y5*1.05</f>
        <v>791.86416447600027</v>
      </c>
      <c r="AA5" s="1">
        <f t="shared" ref="AA5" si="7">Z5*1.05</f>
        <v>831.45737269980032</v>
      </c>
      <c r="AB5" s="1">
        <f>AA5*1.04</f>
        <v>864.7156676077924</v>
      </c>
      <c r="AC5" s="1">
        <f t="shared" ref="AC5:AD5" si="8">AB5*1.04</f>
        <v>899.30429431210416</v>
      </c>
      <c r="AD5" s="1">
        <f t="shared" si="8"/>
        <v>935.27646608458838</v>
      </c>
      <c r="AE5" s="1">
        <f t="shared" ref="AE5:AK5" si="9">AD5*1.04</f>
        <v>972.68752472797189</v>
      </c>
      <c r="AF5" s="1">
        <f t="shared" si="9"/>
        <v>1011.5950257170908</v>
      </c>
      <c r="AG5" s="1">
        <f t="shared" si="9"/>
        <v>1052.0588267457745</v>
      </c>
      <c r="AH5" s="1">
        <f t="shared" si="9"/>
        <v>1094.1411798156055</v>
      </c>
      <c r="AI5" s="1">
        <f t="shared" si="9"/>
        <v>1137.9068270082298</v>
      </c>
      <c r="AJ5" s="1">
        <f t="shared" si="9"/>
        <v>1183.4231000885591</v>
      </c>
      <c r="AK5" s="1">
        <f t="shared" si="9"/>
        <v>1230.7600240921015</v>
      </c>
    </row>
    <row r="6" spans="1:37" x14ac:dyDescent="0.25">
      <c r="A6" s="4"/>
      <c r="B6" s="4" t="s">
        <v>12</v>
      </c>
      <c r="C6" s="5">
        <v>520.9</v>
      </c>
      <c r="D6" s="5">
        <v>447.2</v>
      </c>
      <c r="E6" s="5">
        <v>509.3</v>
      </c>
      <c r="F6" s="5">
        <f>T6-E6-D6-C6</f>
        <v>521.19999999999993</v>
      </c>
      <c r="G6" s="5">
        <v>548.9</v>
      </c>
      <c r="H6" s="5">
        <v>601.29999999999995</v>
      </c>
      <c r="I6" s="5">
        <v>642.79999999999995</v>
      </c>
      <c r="J6" s="5">
        <f>+U6-I6-H6-G6</f>
        <v>669.00000000000011</v>
      </c>
      <c r="K6" s="5">
        <v>694.7</v>
      </c>
      <c r="L6" s="5">
        <v>727.5</v>
      </c>
      <c r="M6" s="5"/>
      <c r="N6" s="5"/>
      <c r="O6" s="5"/>
      <c r="P6" s="6"/>
      <c r="Q6" s="5">
        <v>2097.9</v>
      </c>
      <c r="R6" s="5">
        <v>2213</v>
      </c>
      <c r="S6" s="5">
        <v>2204</v>
      </c>
      <c r="T6" s="5">
        <v>1998.6</v>
      </c>
      <c r="U6" s="5">
        <v>2462</v>
      </c>
      <c r="V6" s="5">
        <f>SUM(V3:V5)</f>
        <v>2927.7950000000001</v>
      </c>
      <c r="W6" s="5">
        <f>SUM(W3:W5)</f>
        <v>3386.5448499999998</v>
      </c>
      <c r="X6" s="5">
        <f>SUM(X3:X5)</f>
        <v>3853.0440519999997</v>
      </c>
      <c r="Y6" s="5">
        <f>SUM(Y3:Y5)</f>
        <v>4328.6904451199989</v>
      </c>
      <c r="Z6" s="5">
        <f>SUM(Z3:Z5)</f>
        <v>4834.9665412559998</v>
      </c>
      <c r="AA6" s="5">
        <f t="shared" ref="AA6:AK6" si="10">SUM(AA3:AA5)</f>
        <v>5405.2222728455999</v>
      </c>
      <c r="AB6" s="5">
        <f t="shared" si="10"/>
        <v>5948.0696473555136</v>
      </c>
      <c r="AC6" s="5">
        <f t="shared" si="10"/>
        <v>6549.8643994565773</v>
      </c>
      <c r="AD6" s="5">
        <f t="shared" si="10"/>
        <v>7104.2445578749657</v>
      </c>
      <c r="AE6" s="5">
        <f t="shared" si="10"/>
        <v>7708.6390401580456</v>
      </c>
      <c r="AF6" s="5">
        <f t="shared" si="10"/>
        <v>8367.7343701630762</v>
      </c>
      <c r="AG6" s="5">
        <f t="shared" si="10"/>
        <v>9086.666270532367</v>
      </c>
      <c r="AH6" s="5">
        <f t="shared" si="10"/>
        <v>9871.0633244195869</v>
      </c>
      <c r="AI6" s="5">
        <f t="shared" si="10"/>
        <v>10727.09491946205</v>
      </c>
      <c r="AJ6" s="5">
        <f t="shared" si="10"/>
        <v>11661.523896514462</v>
      </c>
      <c r="AK6" s="5">
        <f t="shared" si="10"/>
        <v>12681.764367518164</v>
      </c>
    </row>
    <row r="7" spans="1:37" x14ac:dyDescent="0.25">
      <c r="B7" t="s">
        <v>13</v>
      </c>
      <c r="C7" s="1">
        <v>325.60000000000002</v>
      </c>
      <c r="D7" s="1">
        <v>286.89999999999998</v>
      </c>
      <c r="E7" s="1">
        <v>312.5</v>
      </c>
      <c r="F7" s="1">
        <f t="shared" si="3"/>
        <v>324.20000000000005</v>
      </c>
      <c r="G7" s="1">
        <v>339.9</v>
      </c>
      <c r="H7" s="1">
        <v>366.1</v>
      </c>
      <c r="I7" s="1">
        <v>392.3</v>
      </c>
      <c r="J7" s="1">
        <f>+U7-I7-H7-G7</f>
        <v>421.70000000000005</v>
      </c>
      <c r="K7" s="1">
        <v>447.4</v>
      </c>
      <c r="L7" s="1">
        <v>459.7</v>
      </c>
      <c r="Q7" s="1">
        <v>1256</v>
      </c>
      <c r="R7" s="1">
        <v>1337.5</v>
      </c>
      <c r="S7" s="1">
        <v>1338.21</v>
      </c>
      <c r="T7" s="1">
        <v>1249.2</v>
      </c>
      <c r="U7" s="1">
        <v>1520</v>
      </c>
    </row>
    <row r="8" spans="1:37" x14ac:dyDescent="0.25">
      <c r="A8" s="4"/>
      <c r="B8" s="4" t="s">
        <v>41</v>
      </c>
      <c r="C8" s="5">
        <f t="shared" ref="C8:L8" si="11">C6-C7</f>
        <v>195.29999999999995</v>
      </c>
      <c r="D8" s="5">
        <f t="shared" si="11"/>
        <v>160.30000000000001</v>
      </c>
      <c r="E8" s="5">
        <f t="shared" si="11"/>
        <v>196.8</v>
      </c>
      <c r="F8" s="5">
        <f t="shared" si="11"/>
        <v>196.99999999999989</v>
      </c>
      <c r="G8" s="5">
        <f t="shared" si="11"/>
        <v>209</v>
      </c>
      <c r="H8" s="5">
        <f t="shared" si="11"/>
        <v>235.19999999999993</v>
      </c>
      <c r="I8" s="5">
        <f t="shared" si="11"/>
        <v>250.49999999999994</v>
      </c>
      <c r="J8" s="5">
        <f t="shared" si="11"/>
        <v>247.30000000000007</v>
      </c>
      <c r="K8" s="5">
        <f t="shared" si="11"/>
        <v>247.30000000000007</v>
      </c>
      <c r="L8" s="5">
        <f t="shared" si="11"/>
        <v>267.8</v>
      </c>
      <c r="M8" s="5"/>
      <c r="N8" s="5"/>
      <c r="O8" s="5"/>
      <c r="P8" s="6"/>
      <c r="Q8" s="5">
        <f>Q6-Q7</f>
        <v>841.90000000000009</v>
      </c>
      <c r="R8" s="5">
        <f>R6-R7</f>
        <v>875.5</v>
      </c>
      <c r="S8" s="5">
        <f>S6-S7</f>
        <v>865.79</v>
      </c>
      <c r="T8" s="5">
        <f>T6-T7</f>
        <v>749.39999999999986</v>
      </c>
      <c r="U8" s="5">
        <f>U6-U7</f>
        <v>942</v>
      </c>
      <c r="V8" s="5">
        <f>V6*0.36</f>
        <v>1054.0062</v>
      </c>
      <c r="W8" s="5">
        <f>W6*0.35</f>
        <v>1185.2906974999999</v>
      </c>
      <c r="X8" s="5">
        <f>X6*0.34</f>
        <v>1310.0349776800001</v>
      </c>
      <c r="Y8" s="5">
        <f>Y6*0.33</f>
        <v>1428.4678468895997</v>
      </c>
      <c r="Z8" s="5">
        <f>Z6*0.32</f>
        <v>1547.18929320192</v>
      </c>
      <c r="AA8" s="5">
        <f>AA6*0.31</f>
        <v>1675.6189045821359</v>
      </c>
      <c r="AB8" s="5">
        <f t="shared" ref="AB8:AK8" si="12">AB6*0.3</f>
        <v>1784.4208942066541</v>
      </c>
      <c r="AC8" s="5">
        <f t="shared" si="12"/>
        <v>1964.959319836973</v>
      </c>
      <c r="AD8" s="5">
        <f t="shared" si="12"/>
        <v>2131.2733673624898</v>
      </c>
      <c r="AE8" s="5">
        <f t="shared" si="12"/>
        <v>2312.5917120474137</v>
      </c>
      <c r="AF8" s="5">
        <f t="shared" si="12"/>
        <v>2510.3203110489226</v>
      </c>
      <c r="AG8" s="5">
        <f t="shared" si="12"/>
        <v>2725.9998811597102</v>
      </c>
      <c r="AH8" s="5">
        <f t="shared" si="12"/>
        <v>2961.3189973258759</v>
      </c>
      <c r="AI8" s="5">
        <f t="shared" si="12"/>
        <v>3218.128475838615</v>
      </c>
      <c r="AJ8" s="5">
        <f t="shared" si="12"/>
        <v>3498.4571689543386</v>
      </c>
      <c r="AK8" s="5">
        <f t="shared" si="12"/>
        <v>3804.5293102554492</v>
      </c>
    </row>
    <row r="9" spans="1:37" x14ac:dyDescent="0.25">
      <c r="B9" t="s">
        <v>14</v>
      </c>
      <c r="C9" s="1">
        <v>123.1</v>
      </c>
      <c r="D9" s="1">
        <v>104.3</v>
      </c>
      <c r="E9" s="1">
        <v>107.4</v>
      </c>
      <c r="F9" s="1">
        <f t="shared" si="3"/>
        <v>112.20000000000002</v>
      </c>
      <c r="G9" s="1">
        <v>117.2</v>
      </c>
      <c r="H9" s="1">
        <v>135.19999999999999</v>
      </c>
      <c r="I9" s="1">
        <v>139.69999999999999</v>
      </c>
      <c r="J9" s="1">
        <f>+U9-I9-H9-G9</f>
        <v>145.80000000000001</v>
      </c>
      <c r="K9" s="1">
        <v>142</v>
      </c>
      <c r="L9" s="1">
        <v>148.5</v>
      </c>
      <c r="Q9" s="1">
        <v>483.3</v>
      </c>
      <c r="R9" s="1">
        <v>519.70000000000005</v>
      </c>
      <c r="S9" s="1">
        <v>484.5</v>
      </c>
      <c r="T9" s="1">
        <v>447</v>
      </c>
      <c r="U9" s="1">
        <v>537.9</v>
      </c>
      <c r="V9" s="1">
        <f>V6*0.2</f>
        <v>585.55900000000008</v>
      </c>
      <c r="W9" s="1">
        <f>W6*0.2</f>
        <v>677.30897000000004</v>
      </c>
      <c r="X9" s="1">
        <f>X6*0.2</f>
        <v>770.60881040000004</v>
      </c>
      <c r="Y9" s="1">
        <f>Y6*0.19</f>
        <v>822.45118457279978</v>
      </c>
      <c r="Z9" s="1">
        <f>Z6*0.19</f>
        <v>918.64364283863995</v>
      </c>
      <c r="AA9" s="1">
        <f>AA6*0.19</f>
        <v>1026.9922318406641</v>
      </c>
      <c r="AB9" s="1">
        <f>AB6*0.18</f>
        <v>1070.6525365239925</v>
      </c>
      <c r="AC9" s="1">
        <f>AC6*0.18</f>
        <v>1178.9755919021839</v>
      </c>
      <c r="AD9" s="1">
        <f>AD6*0.17</f>
        <v>1207.7215748387443</v>
      </c>
      <c r="AE9" s="1">
        <f t="shared" ref="AE9:AK9" si="13">AE6*0.16</f>
        <v>1233.3822464252873</v>
      </c>
      <c r="AF9" s="1">
        <f t="shared" si="13"/>
        <v>1338.8374992260922</v>
      </c>
      <c r="AG9" s="1">
        <f t="shared" si="13"/>
        <v>1453.8666032851788</v>
      </c>
      <c r="AH9" s="1">
        <f t="shared" si="13"/>
        <v>1579.370131907134</v>
      </c>
      <c r="AI9" s="1">
        <f t="shared" si="13"/>
        <v>1716.335187113928</v>
      </c>
      <c r="AJ9" s="1">
        <f t="shared" si="13"/>
        <v>1865.8438234423138</v>
      </c>
      <c r="AK9" s="1">
        <f t="shared" si="13"/>
        <v>2029.0822988029063</v>
      </c>
    </row>
    <row r="10" spans="1:37" x14ac:dyDescent="0.25">
      <c r="B10" t="s">
        <v>31</v>
      </c>
      <c r="C10" s="1">
        <v>11.9</v>
      </c>
      <c r="D10" s="1">
        <v>10.7</v>
      </c>
      <c r="E10" s="1">
        <v>10.5</v>
      </c>
      <c r="F10" s="1">
        <f t="shared" si="3"/>
        <v>10.4</v>
      </c>
      <c r="G10" s="1">
        <v>11.4</v>
      </c>
      <c r="H10" s="1">
        <v>11.7</v>
      </c>
      <c r="I10" s="1">
        <v>13.1</v>
      </c>
      <c r="J10" s="1">
        <f>+U10-I10-H10-G10</f>
        <v>12.4</v>
      </c>
      <c r="K10" s="1">
        <v>15.2</v>
      </c>
      <c r="L10" s="1">
        <v>14.6</v>
      </c>
      <c r="Q10" s="1">
        <v>42.5</v>
      </c>
      <c r="R10" s="1">
        <v>45.6</v>
      </c>
      <c r="S10" s="1">
        <v>48.2</v>
      </c>
      <c r="T10" s="1">
        <v>43.5</v>
      </c>
      <c r="U10" s="1">
        <v>48.6</v>
      </c>
      <c r="V10" s="1">
        <f>U10*1.05</f>
        <v>51.03</v>
      </c>
      <c r="W10" s="1">
        <f t="shared" ref="W10:AF10" si="14">V10*1.05</f>
        <v>53.581500000000005</v>
      </c>
      <c r="X10" s="1">
        <f t="shared" si="14"/>
        <v>56.26057500000001</v>
      </c>
      <c r="Y10" s="1">
        <f t="shared" si="14"/>
        <v>59.073603750000011</v>
      </c>
      <c r="Z10" s="1">
        <f t="shared" si="14"/>
        <v>62.027283937500016</v>
      </c>
      <c r="AA10" s="1">
        <f t="shared" si="14"/>
        <v>65.128648134375013</v>
      </c>
      <c r="AB10" s="1">
        <f t="shared" si="14"/>
        <v>68.385080541093771</v>
      </c>
      <c r="AC10" s="1">
        <f t="shared" si="14"/>
        <v>71.804334568148462</v>
      </c>
      <c r="AD10" s="1">
        <f t="shared" si="14"/>
        <v>75.394551296555889</v>
      </c>
      <c r="AE10" s="1">
        <f t="shared" si="14"/>
        <v>79.164278861383693</v>
      </c>
      <c r="AF10" s="1">
        <f t="shared" si="14"/>
        <v>83.122492804452875</v>
      </c>
      <c r="AG10" s="1">
        <f t="shared" ref="AG10:AK10" si="15">AF10*1.05</f>
        <v>87.278617444675518</v>
      </c>
      <c r="AH10" s="1">
        <f t="shared" si="15"/>
        <v>91.642548316909298</v>
      </c>
      <c r="AI10" s="1">
        <f t="shared" si="15"/>
        <v>96.224675732754761</v>
      </c>
      <c r="AJ10" s="1">
        <f t="shared" si="15"/>
        <v>101.0359095193925</v>
      </c>
      <c r="AK10" s="1">
        <f t="shared" si="15"/>
        <v>106.08770499536213</v>
      </c>
    </row>
    <row r="11" spans="1:37" x14ac:dyDescent="0.25">
      <c r="B11" t="s">
        <v>46</v>
      </c>
      <c r="C11" s="1">
        <v>0</v>
      </c>
      <c r="D11" s="1">
        <v>0</v>
      </c>
      <c r="E11" s="1">
        <v>220.5</v>
      </c>
      <c r="F11" s="1">
        <f t="shared" si="3"/>
        <v>0</v>
      </c>
      <c r="G11" s="1">
        <v>0</v>
      </c>
      <c r="H11" s="1">
        <v>0</v>
      </c>
      <c r="I11" s="1">
        <v>0</v>
      </c>
      <c r="J11" s="1">
        <f>+U11-I11-H11-G11</f>
        <v>0</v>
      </c>
      <c r="K11" s="1">
        <v>0</v>
      </c>
      <c r="L11" s="1">
        <v>0</v>
      </c>
      <c r="Q11" s="1">
        <v>0</v>
      </c>
      <c r="R11" s="1">
        <v>0</v>
      </c>
      <c r="S11" s="1">
        <v>0</v>
      </c>
      <c r="T11" s="1">
        <v>220.5</v>
      </c>
      <c r="U11" s="1">
        <v>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4"/>
      <c r="B12" s="4" t="s">
        <v>15</v>
      </c>
      <c r="C12" s="5">
        <f t="shared" ref="C12:L12" si="16">+C8-C9-C10-C11</f>
        <v>60.299999999999962</v>
      </c>
      <c r="D12" s="5">
        <f t="shared" si="16"/>
        <v>45.300000000000011</v>
      </c>
      <c r="E12" s="5">
        <f t="shared" si="16"/>
        <v>-141.6</v>
      </c>
      <c r="F12" s="5">
        <f t="shared" si="16"/>
        <v>74.399999999999864</v>
      </c>
      <c r="G12" s="5">
        <f t="shared" si="16"/>
        <v>80.399999999999991</v>
      </c>
      <c r="H12" s="5">
        <f t="shared" si="16"/>
        <v>88.29999999999994</v>
      </c>
      <c r="I12" s="5">
        <f t="shared" si="16"/>
        <v>97.69999999999996</v>
      </c>
      <c r="J12" s="5">
        <f t="shared" si="16"/>
        <v>89.100000000000051</v>
      </c>
      <c r="K12" s="5">
        <f t="shared" si="16"/>
        <v>90.100000000000065</v>
      </c>
      <c r="L12" s="5">
        <f t="shared" si="16"/>
        <v>104.70000000000002</v>
      </c>
      <c r="M12" s="5"/>
      <c r="N12" s="5"/>
      <c r="O12" s="5"/>
      <c r="P12" s="6"/>
      <c r="Q12" s="5">
        <f>+Q8-Q9-Q10-Q11</f>
        <v>316.10000000000008</v>
      </c>
      <c r="R12" s="5">
        <f>+R8-R9-R10-R11</f>
        <v>310.19999999999993</v>
      </c>
      <c r="S12" s="5">
        <f>+S8-S9-S10-S11</f>
        <v>333.09</v>
      </c>
      <c r="T12" s="5">
        <f>+T8-T9-T10-T11</f>
        <v>38.399999999999864</v>
      </c>
      <c r="U12" s="5">
        <f>+U8-U9-U10-U11</f>
        <v>355.5</v>
      </c>
      <c r="V12" s="5">
        <f>V8-V9-V10</f>
        <v>417.41719999999998</v>
      </c>
      <c r="W12" s="5">
        <f t="shared" ref="W12:AF12" si="17">W8-W9-W10</f>
        <v>454.4002274999998</v>
      </c>
      <c r="X12" s="5">
        <f t="shared" si="17"/>
        <v>483.16559228000006</v>
      </c>
      <c r="Y12" s="5">
        <f t="shared" si="17"/>
        <v>546.9430585668</v>
      </c>
      <c r="Z12" s="5">
        <f t="shared" si="17"/>
        <v>566.51836642578007</v>
      </c>
      <c r="AA12" s="5">
        <f t="shared" si="17"/>
        <v>583.4980246070968</v>
      </c>
      <c r="AB12" s="5">
        <f t="shared" si="17"/>
        <v>645.38327714156787</v>
      </c>
      <c r="AC12" s="5">
        <f t="shared" si="17"/>
        <v>714.17939336664074</v>
      </c>
      <c r="AD12" s="5">
        <f t="shared" si="17"/>
        <v>848.15724122718962</v>
      </c>
      <c r="AE12" s="5">
        <f t="shared" si="17"/>
        <v>1000.0451867607427</v>
      </c>
      <c r="AF12" s="5">
        <f t="shared" si="17"/>
        <v>1088.3603190183776</v>
      </c>
      <c r="AG12" s="5">
        <f t="shared" ref="AG12:AK12" si="18">AG8-AG9-AG10</f>
        <v>1184.8546604298558</v>
      </c>
      <c r="AH12" s="5">
        <f t="shared" si="18"/>
        <v>1290.3063171018325</v>
      </c>
      <c r="AI12" s="5">
        <f t="shared" si="18"/>
        <v>1405.5686129919322</v>
      </c>
      <c r="AJ12" s="5">
        <f t="shared" si="18"/>
        <v>1531.5774359926322</v>
      </c>
      <c r="AK12" s="5">
        <f t="shared" si="18"/>
        <v>1669.3593064571808</v>
      </c>
    </row>
    <row r="13" spans="1:37" x14ac:dyDescent="0.25">
      <c r="B13" t="s">
        <v>32</v>
      </c>
      <c r="C13" s="1">
        <v>9.9</v>
      </c>
      <c r="D13" s="1">
        <v>9.4</v>
      </c>
      <c r="E13" s="1">
        <v>8.5</v>
      </c>
      <c r="F13" s="1">
        <f t="shared" si="3"/>
        <v>8.6</v>
      </c>
      <c r="G13" s="1">
        <v>8.1</v>
      </c>
      <c r="H13" s="1">
        <v>8.1</v>
      </c>
      <c r="I13" s="1">
        <v>8.1999999999999993</v>
      </c>
      <c r="J13" s="1">
        <f>+U13-I13-H13-G13</f>
        <v>7.8999999999999986</v>
      </c>
      <c r="K13" s="1">
        <v>7.2</v>
      </c>
      <c r="L13" s="1">
        <v>7.5</v>
      </c>
      <c r="Q13" s="1">
        <v>0.2</v>
      </c>
      <c r="R13" s="1">
        <v>31.2</v>
      </c>
      <c r="S13" s="1">
        <v>44.7</v>
      </c>
      <c r="T13" s="1">
        <v>36.4</v>
      </c>
      <c r="U13" s="1">
        <v>32.299999999999997</v>
      </c>
      <c r="V13" s="1">
        <f>U29*-0.035</f>
        <v>40.523000000000003</v>
      </c>
      <c r="W13" s="1">
        <f t="shared" ref="W13:Y13" si="19">V29*-0.035</f>
        <v>30.405887750000002</v>
      </c>
      <c r="X13" s="1">
        <f t="shared" si="19"/>
        <v>19.12195795125001</v>
      </c>
      <c r="Y13" s="1">
        <f t="shared" si="19"/>
        <v>6.9261270043437557</v>
      </c>
      <c r="Z13" s="1">
        <f>Y29*$W51</f>
        <v>2.122668752276061</v>
      </c>
      <c r="AA13" s="1">
        <f t="shared" ref="AA13:AF13" si="20">Z29*$W51</f>
        <v>6.3161357666343019</v>
      </c>
      <c r="AB13" s="1">
        <f t="shared" si="20"/>
        <v>10.466387973185247</v>
      </c>
      <c r="AC13" s="1">
        <f t="shared" si="20"/>
        <v>15.031135970662419</v>
      </c>
      <c r="AD13" s="1">
        <f t="shared" si="20"/>
        <v>20.05765922478523</v>
      </c>
      <c r="AE13" s="1">
        <f t="shared" si="20"/>
        <v>26.207381677446783</v>
      </c>
      <c r="AF13" s="1">
        <f t="shared" si="20"/>
        <v>33.633168016232332</v>
      </c>
      <c r="AG13" s="1">
        <f t="shared" ref="AG13:AK13" si="21">AF29*$W51</f>
        <v>41.670119215204856</v>
      </c>
      <c r="AH13" s="1">
        <f t="shared" si="21"/>
        <v>50.375964746191656</v>
      </c>
      <c r="AI13" s="1">
        <f t="shared" si="21"/>
        <v>59.813949272422185</v>
      </c>
      <c r="AJ13" s="1">
        <f t="shared" si="21"/>
        <v>70.053367433778675</v>
      </c>
      <c r="AK13" s="1">
        <f t="shared" si="21"/>
        <v>81.170150950412875</v>
      </c>
    </row>
    <row r="14" spans="1:37" x14ac:dyDescent="0.25">
      <c r="B14" t="s">
        <v>30</v>
      </c>
      <c r="C14" s="1">
        <v>0.8</v>
      </c>
      <c r="D14" s="1">
        <v>0.7</v>
      </c>
      <c r="E14" s="1">
        <v>0.7</v>
      </c>
      <c r="F14" s="1">
        <f t="shared" si="3"/>
        <v>9.3000000000000007</v>
      </c>
      <c r="G14" s="1">
        <v>0.6</v>
      </c>
      <c r="H14" s="1">
        <v>0.6</v>
      </c>
      <c r="I14" s="1">
        <v>0.6</v>
      </c>
      <c r="J14" s="1">
        <f>+U14-I14-H14-G14</f>
        <v>0.59999999999999842</v>
      </c>
      <c r="K14" s="1">
        <v>0.6</v>
      </c>
      <c r="L14" s="1">
        <v>1.2</v>
      </c>
      <c r="Q14" s="1">
        <v>2.6</v>
      </c>
      <c r="R14" s="1">
        <v>10.9</v>
      </c>
      <c r="S14" s="1">
        <v>31</v>
      </c>
      <c r="T14" s="1">
        <f>0+11.5</f>
        <v>11.5</v>
      </c>
      <c r="U14" s="1">
        <f>15.2-12.8</f>
        <v>2.3999999999999986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B15" t="s">
        <v>43</v>
      </c>
      <c r="C15" s="1">
        <v>40.9</v>
      </c>
      <c r="D15" s="1">
        <v>28.2</v>
      </c>
      <c r="E15" s="1">
        <v>44</v>
      </c>
      <c r="F15" s="1">
        <f t="shared" si="3"/>
        <v>35.4</v>
      </c>
      <c r="G15" s="1">
        <v>48.8</v>
      </c>
      <c r="H15" s="1">
        <v>53.7</v>
      </c>
      <c r="I15" s="1">
        <v>56.4</v>
      </c>
      <c r="J15" s="1">
        <f>+U15-I15-H15-G15</f>
        <v>43.199999999999989</v>
      </c>
      <c r="K15" s="1">
        <v>50.3</v>
      </c>
      <c r="L15" s="1">
        <v>61.5</v>
      </c>
      <c r="Q15" s="1">
        <v>164.6</v>
      </c>
      <c r="R15" s="1">
        <v>174.8</v>
      </c>
      <c r="S15" s="1">
        <v>181.3</v>
      </c>
      <c r="T15" s="1">
        <v>148.5</v>
      </c>
      <c r="U15" s="1">
        <v>202.1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B16" t="s">
        <v>44</v>
      </c>
      <c r="C16" s="1">
        <v>33.5</v>
      </c>
      <c r="D16" s="1">
        <v>34.700000000000003</v>
      </c>
      <c r="E16" s="1">
        <v>40.700000000000003</v>
      </c>
      <c r="F16" s="1">
        <f t="shared" si="3"/>
        <v>41.299999999999983</v>
      </c>
      <c r="G16" s="1">
        <v>39.200000000000003</v>
      </c>
      <c r="H16" s="1">
        <v>48.9</v>
      </c>
      <c r="I16" s="1">
        <v>48.4</v>
      </c>
      <c r="J16" s="1">
        <f>+U16-I16-H16-G16</f>
        <v>44.999999999999986</v>
      </c>
      <c r="K16" s="1">
        <v>47.1</v>
      </c>
      <c r="L16" s="1">
        <v>58.8</v>
      </c>
      <c r="Q16" s="1">
        <v>147.30000000000001</v>
      </c>
      <c r="R16" s="1">
        <v>154.19999999999999</v>
      </c>
      <c r="S16" s="1">
        <v>149.69999999999999</v>
      </c>
      <c r="T16" s="1">
        <v>150.19999999999999</v>
      </c>
      <c r="U16" s="1">
        <v>181.5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109" x14ac:dyDescent="0.25">
      <c r="B17" t="s">
        <v>45</v>
      </c>
      <c r="C17" s="1">
        <v>20.3</v>
      </c>
      <c r="D17" s="1">
        <v>14.4</v>
      </c>
      <c r="E17" s="1">
        <v>25.5</v>
      </c>
      <c r="F17" s="1">
        <f t="shared" si="3"/>
        <v>33.700000000000003</v>
      </c>
      <c r="G17" s="1">
        <v>21</v>
      </c>
      <c r="H17" s="1">
        <v>42.9</v>
      </c>
      <c r="I17" s="1">
        <v>31.6</v>
      </c>
      <c r="J17" s="1">
        <f>+U17-I17-H17-G17</f>
        <v>25.699999999999996</v>
      </c>
      <c r="K17" s="1">
        <v>32.4</v>
      </c>
      <c r="L17" s="1">
        <v>28.3</v>
      </c>
      <c r="Q17" s="1">
        <v>140.69999999999999</v>
      </c>
      <c r="R17" s="1">
        <v>144.5</v>
      </c>
      <c r="S17" s="1">
        <v>145.30000000000001</v>
      </c>
      <c r="T17" s="1">
        <v>93.9</v>
      </c>
      <c r="U17" s="1">
        <v>121.2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109" x14ac:dyDescent="0.25">
      <c r="B18" s="4" t="s">
        <v>42</v>
      </c>
      <c r="C18" s="1">
        <f t="shared" ref="C18:L18" si="22">+C12-C13-C14</f>
        <v>49.599999999999966</v>
      </c>
      <c r="D18" s="1">
        <f t="shared" si="22"/>
        <v>35.20000000000001</v>
      </c>
      <c r="E18" s="1">
        <f t="shared" si="22"/>
        <v>-150.79999999999998</v>
      </c>
      <c r="F18" s="1">
        <f t="shared" si="22"/>
        <v>56.499999999999872</v>
      </c>
      <c r="G18" s="1">
        <f t="shared" si="22"/>
        <v>71.7</v>
      </c>
      <c r="H18" s="1">
        <f t="shared" si="22"/>
        <v>79.599999999999952</v>
      </c>
      <c r="I18" s="1">
        <f t="shared" si="22"/>
        <v>88.899999999999963</v>
      </c>
      <c r="J18" s="1">
        <f t="shared" si="22"/>
        <v>80.600000000000051</v>
      </c>
      <c r="K18" s="1">
        <f t="shared" si="22"/>
        <v>82.300000000000068</v>
      </c>
      <c r="L18" s="1">
        <f t="shared" si="22"/>
        <v>96.000000000000014</v>
      </c>
      <c r="Q18" s="1">
        <f>+Q12-Q13-Q14</f>
        <v>313.30000000000007</v>
      </c>
      <c r="R18" s="1">
        <f>+R12-R13-R14</f>
        <v>268.09999999999997</v>
      </c>
      <c r="S18" s="1">
        <f>+S12-S13-S14</f>
        <v>257.39</v>
      </c>
      <c r="T18" s="1">
        <f>+T12-T13-T14</f>
        <v>-9.500000000000135</v>
      </c>
      <c r="U18" s="1">
        <f>+U12-U13-U14</f>
        <v>320.8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109" x14ac:dyDescent="0.25">
      <c r="A19" s="4"/>
      <c r="B19" t="s">
        <v>16</v>
      </c>
      <c r="C19" s="1">
        <v>31</v>
      </c>
      <c r="D19" s="1">
        <v>19.7</v>
      </c>
      <c r="E19" s="1">
        <v>-12.1</v>
      </c>
      <c r="F19" s="1">
        <f t="shared" si="3"/>
        <v>-0.89999999999999503</v>
      </c>
      <c r="G19" s="1">
        <v>6.3</v>
      </c>
      <c r="H19" s="1">
        <v>13.4</v>
      </c>
      <c r="I19" s="1">
        <v>14.6</v>
      </c>
      <c r="J19" s="1">
        <f>+U19-I19-H19-G19</f>
        <v>13.499999999999996</v>
      </c>
      <c r="K19" s="1">
        <v>14.5</v>
      </c>
      <c r="L19" s="1">
        <v>16.100000000000001</v>
      </c>
      <c r="P19" s="6"/>
      <c r="Q19" s="1">
        <v>-48.4</v>
      </c>
      <c r="R19" s="1">
        <v>37.9</v>
      </c>
      <c r="S19" s="1">
        <v>34.700000000000003</v>
      </c>
      <c r="T19" s="1">
        <v>37.700000000000003</v>
      </c>
      <c r="U19" s="1">
        <v>47.8</v>
      </c>
      <c r="V19" s="1">
        <f>V6*0.03</f>
        <v>87.833849999999998</v>
      </c>
      <c r="W19" s="1">
        <f t="shared" ref="W19:AF19" si="23">W6*0.03</f>
        <v>101.59634549999998</v>
      </c>
      <c r="X19" s="1">
        <f t="shared" si="23"/>
        <v>115.59132155999998</v>
      </c>
      <c r="Y19" s="1">
        <f t="shared" si="23"/>
        <v>129.86071335359998</v>
      </c>
      <c r="Z19" s="1">
        <f t="shared" si="23"/>
        <v>145.04899623768</v>
      </c>
      <c r="AA19" s="1">
        <f t="shared" si="23"/>
        <v>162.15666818536801</v>
      </c>
      <c r="AB19" s="1">
        <f t="shared" si="23"/>
        <v>178.44208942066541</v>
      </c>
      <c r="AC19" s="1">
        <f t="shared" si="23"/>
        <v>196.49593198369732</v>
      </c>
      <c r="AD19" s="1">
        <f t="shared" si="23"/>
        <v>213.12733673624896</v>
      </c>
      <c r="AE19" s="1">
        <f t="shared" si="23"/>
        <v>231.25917120474136</v>
      </c>
      <c r="AF19" s="1">
        <f t="shared" si="23"/>
        <v>251.03203110489227</v>
      </c>
      <c r="AG19" s="1">
        <f t="shared" ref="AG19:AK19" si="24">AG6*0.03</f>
        <v>272.59998811597097</v>
      </c>
      <c r="AH19" s="1">
        <f t="shared" si="24"/>
        <v>296.13189973258761</v>
      </c>
      <c r="AI19" s="1">
        <f t="shared" si="24"/>
        <v>321.81284758386147</v>
      </c>
      <c r="AJ19" s="1">
        <f t="shared" si="24"/>
        <v>349.84571689543384</v>
      </c>
      <c r="AK19" s="1">
        <f t="shared" si="24"/>
        <v>380.4529310255449</v>
      </c>
    </row>
    <row r="20" spans="1:109" x14ac:dyDescent="0.25">
      <c r="B20" s="4" t="s">
        <v>17</v>
      </c>
      <c r="C20" s="5">
        <f t="shared" ref="C20:L20" si="25">+C12-C13-C14-C19</f>
        <v>18.599999999999966</v>
      </c>
      <c r="D20" s="5">
        <f t="shared" si="25"/>
        <v>15.500000000000011</v>
      </c>
      <c r="E20" s="5">
        <f t="shared" si="25"/>
        <v>-138.69999999999999</v>
      </c>
      <c r="F20" s="5">
        <f t="shared" si="25"/>
        <v>57.399999999999864</v>
      </c>
      <c r="G20" s="5">
        <f t="shared" si="25"/>
        <v>65.400000000000006</v>
      </c>
      <c r="H20" s="5">
        <f t="shared" si="25"/>
        <v>66.199999999999946</v>
      </c>
      <c r="I20" s="5">
        <f t="shared" si="25"/>
        <v>74.299999999999969</v>
      </c>
      <c r="J20" s="5">
        <f t="shared" si="25"/>
        <v>67.100000000000051</v>
      </c>
      <c r="K20" s="5">
        <f t="shared" si="25"/>
        <v>67.800000000000068</v>
      </c>
      <c r="L20" s="5">
        <f t="shared" si="25"/>
        <v>79.900000000000006</v>
      </c>
      <c r="M20" s="5"/>
      <c r="N20" s="5"/>
      <c r="O20" s="5"/>
      <c r="Q20" s="5">
        <f t="shared" ref="Q20:V20" si="26">+Q12-Q13-Q14-Q19</f>
        <v>361.70000000000005</v>
      </c>
      <c r="R20" s="5">
        <f t="shared" si="26"/>
        <v>230.19999999999996</v>
      </c>
      <c r="S20" s="5">
        <f t="shared" si="26"/>
        <v>222.69</v>
      </c>
      <c r="T20" s="5">
        <f t="shared" si="26"/>
        <v>-47.200000000000138</v>
      </c>
      <c r="U20" s="5">
        <f t="shared" si="26"/>
        <v>273</v>
      </c>
      <c r="V20" s="5">
        <f t="shared" si="26"/>
        <v>289.06034999999997</v>
      </c>
      <c r="W20" s="5">
        <f t="shared" ref="W20:AK20" si="27">+W12-W13-W14-W19</f>
        <v>322.39799424999984</v>
      </c>
      <c r="X20" s="5">
        <f t="shared" si="27"/>
        <v>348.45231276875006</v>
      </c>
      <c r="Y20" s="5">
        <f t="shared" si="27"/>
        <v>410.15621820885622</v>
      </c>
      <c r="Z20" s="5">
        <f t="shared" si="27"/>
        <v>419.34670143582406</v>
      </c>
      <c r="AA20" s="5">
        <f t="shared" si="27"/>
        <v>415.02522065509453</v>
      </c>
      <c r="AB20" s="5">
        <f t="shared" si="27"/>
        <v>456.47479974771727</v>
      </c>
      <c r="AC20" s="5">
        <f t="shared" si="27"/>
        <v>502.65232541228102</v>
      </c>
      <c r="AD20" s="5">
        <f t="shared" si="27"/>
        <v>614.97224526615548</v>
      </c>
      <c r="AE20" s="5">
        <f t="shared" si="27"/>
        <v>742.57863387855457</v>
      </c>
      <c r="AF20" s="5">
        <f t="shared" si="27"/>
        <v>803.69511989725311</v>
      </c>
      <c r="AG20" s="5">
        <f t="shared" si="27"/>
        <v>870.58455309868009</v>
      </c>
      <c r="AH20" s="5">
        <f t="shared" si="27"/>
        <v>943.79845262305332</v>
      </c>
      <c r="AI20" s="5">
        <f t="shared" si="27"/>
        <v>1023.9418161356487</v>
      </c>
      <c r="AJ20" s="5">
        <f t="shared" si="27"/>
        <v>1111.6783516634196</v>
      </c>
      <c r="AK20" s="5">
        <f t="shared" si="27"/>
        <v>1207.736224481223</v>
      </c>
      <c r="AL20" s="5">
        <f>AK20*(1+$W50)</f>
        <v>1195.6588622364106</v>
      </c>
      <c r="AM20" s="5">
        <f t="shared" ref="AM20:CX20" si="28">AL20*(1+$W50)</f>
        <v>1183.7022736140466</v>
      </c>
      <c r="AN20" s="5">
        <f t="shared" si="28"/>
        <v>1171.8652508779062</v>
      </c>
      <c r="AO20" s="5">
        <f t="shared" si="28"/>
        <v>1160.1465983691271</v>
      </c>
      <c r="AP20" s="5">
        <f t="shared" si="28"/>
        <v>1148.5451323854359</v>
      </c>
      <c r="AQ20" s="5">
        <f t="shared" si="28"/>
        <v>1137.0596810615814</v>
      </c>
      <c r="AR20" s="5">
        <f t="shared" si="28"/>
        <v>1125.6890842509656</v>
      </c>
      <c r="AS20" s="5">
        <f t="shared" si="28"/>
        <v>1114.432193408456</v>
      </c>
      <c r="AT20" s="5">
        <f t="shared" si="28"/>
        <v>1103.2878714743715</v>
      </c>
      <c r="AU20" s="5">
        <f t="shared" si="28"/>
        <v>1092.2549927596278</v>
      </c>
      <c r="AV20" s="5">
        <f t="shared" si="28"/>
        <v>1081.3324428320316</v>
      </c>
      <c r="AW20" s="5">
        <f t="shared" si="28"/>
        <v>1070.5191184037112</v>
      </c>
      <c r="AX20" s="5">
        <f t="shared" si="28"/>
        <v>1059.813927219674</v>
      </c>
      <c r="AY20" s="5">
        <f t="shared" si="28"/>
        <v>1049.2157879474773</v>
      </c>
      <c r="AZ20" s="5">
        <f t="shared" si="28"/>
        <v>1038.7236300680026</v>
      </c>
      <c r="BA20" s="5">
        <f t="shared" si="28"/>
        <v>1028.3363937673225</v>
      </c>
      <c r="BB20" s="5">
        <f t="shared" si="28"/>
        <v>1018.0530298296493</v>
      </c>
      <c r="BC20" s="5">
        <f t="shared" si="28"/>
        <v>1007.8724995313528</v>
      </c>
      <c r="BD20" s="5">
        <f t="shared" si="28"/>
        <v>997.79377453603922</v>
      </c>
      <c r="BE20" s="5">
        <f t="shared" si="28"/>
        <v>987.81583679067887</v>
      </c>
      <c r="BF20" s="5">
        <f t="shared" si="28"/>
        <v>977.93767842277202</v>
      </c>
      <c r="BG20" s="5">
        <f t="shared" si="28"/>
        <v>968.15830163854434</v>
      </c>
      <c r="BH20" s="5">
        <f t="shared" si="28"/>
        <v>958.47671862215884</v>
      </c>
      <c r="BI20" s="5">
        <f t="shared" si="28"/>
        <v>948.89195143593724</v>
      </c>
      <c r="BJ20" s="5">
        <f t="shared" si="28"/>
        <v>939.40303192157785</v>
      </c>
      <c r="BK20" s="5">
        <f t="shared" si="28"/>
        <v>930.0090016023621</v>
      </c>
      <c r="BL20" s="5">
        <f t="shared" si="28"/>
        <v>920.70891158633844</v>
      </c>
      <c r="BM20" s="5">
        <f t="shared" si="28"/>
        <v>911.50182247047508</v>
      </c>
      <c r="BN20" s="5">
        <f t="shared" si="28"/>
        <v>902.38680424577035</v>
      </c>
      <c r="BO20" s="5">
        <f t="shared" si="28"/>
        <v>893.36293620331264</v>
      </c>
      <c r="BP20" s="5">
        <f t="shared" si="28"/>
        <v>884.42930684127953</v>
      </c>
      <c r="BQ20" s="5">
        <f t="shared" si="28"/>
        <v>875.58501377286677</v>
      </c>
      <c r="BR20" s="5">
        <f t="shared" si="28"/>
        <v>866.82916363513812</v>
      </c>
      <c r="BS20" s="5">
        <f t="shared" si="28"/>
        <v>858.16087199878677</v>
      </c>
      <c r="BT20" s="5">
        <f t="shared" si="28"/>
        <v>849.57926327879886</v>
      </c>
      <c r="BU20" s="5">
        <f t="shared" si="28"/>
        <v>841.08347064601082</v>
      </c>
      <c r="BV20" s="5">
        <f t="shared" si="28"/>
        <v>832.67263593955067</v>
      </c>
      <c r="BW20" s="5">
        <f t="shared" si="28"/>
        <v>824.34590958015519</v>
      </c>
      <c r="BX20" s="5">
        <f t="shared" si="28"/>
        <v>816.10245048435365</v>
      </c>
      <c r="BY20" s="5">
        <f t="shared" si="28"/>
        <v>807.94142597951009</v>
      </c>
      <c r="BZ20" s="5">
        <f t="shared" si="28"/>
        <v>799.86201171971493</v>
      </c>
      <c r="CA20" s="5">
        <f t="shared" si="28"/>
        <v>791.86339160251782</v>
      </c>
      <c r="CB20" s="5">
        <f t="shared" si="28"/>
        <v>783.94475768649261</v>
      </c>
      <c r="CC20" s="5">
        <f t="shared" si="28"/>
        <v>776.10531010962768</v>
      </c>
      <c r="CD20" s="5">
        <f t="shared" si="28"/>
        <v>768.34425700853137</v>
      </c>
      <c r="CE20" s="5">
        <f t="shared" si="28"/>
        <v>760.6608144384461</v>
      </c>
      <c r="CF20" s="5">
        <f t="shared" si="28"/>
        <v>753.0542062940616</v>
      </c>
      <c r="CG20" s="5">
        <f t="shared" si="28"/>
        <v>745.52366423112096</v>
      </c>
      <c r="CH20" s="5">
        <f t="shared" si="28"/>
        <v>738.06842758880975</v>
      </c>
      <c r="CI20" s="5">
        <f t="shared" si="28"/>
        <v>730.68774331292161</v>
      </c>
      <c r="CJ20" s="5">
        <f t="shared" si="28"/>
        <v>723.3808658797924</v>
      </c>
      <c r="CK20" s="5">
        <f t="shared" si="28"/>
        <v>716.1470572209945</v>
      </c>
      <c r="CL20" s="5">
        <f t="shared" si="28"/>
        <v>708.98558664878453</v>
      </c>
      <c r="CM20" s="5">
        <f t="shared" si="28"/>
        <v>701.89573078229671</v>
      </c>
      <c r="CN20" s="5">
        <f t="shared" si="28"/>
        <v>694.87677347447368</v>
      </c>
      <c r="CO20" s="5">
        <f t="shared" si="28"/>
        <v>687.92800573972897</v>
      </c>
      <c r="CP20" s="5">
        <f t="shared" si="28"/>
        <v>681.04872568233168</v>
      </c>
      <c r="CQ20" s="5">
        <f t="shared" si="28"/>
        <v>674.23823842550837</v>
      </c>
      <c r="CR20" s="5">
        <f t="shared" si="28"/>
        <v>667.49585604125332</v>
      </c>
      <c r="CS20" s="5">
        <f t="shared" si="28"/>
        <v>660.82089748084081</v>
      </c>
      <c r="CT20" s="5">
        <f t="shared" si="28"/>
        <v>654.21268850603235</v>
      </c>
      <c r="CU20" s="5">
        <f t="shared" si="28"/>
        <v>647.67056162097197</v>
      </c>
      <c r="CV20" s="5">
        <f t="shared" si="28"/>
        <v>641.19385600476221</v>
      </c>
      <c r="CW20" s="5">
        <f t="shared" si="28"/>
        <v>634.78191744471462</v>
      </c>
      <c r="CX20" s="5">
        <f t="shared" si="28"/>
        <v>628.43409827026744</v>
      </c>
      <c r="CY20" s="5">
        <f t="shared" ref="CY20:DE20" si="29">CX20*(1+$W50)</f>
        <v>622.14975728756474</v>
      </c>
      <c r="CZ20" s="5">
        <f t="shared" si="29"/>
        <v>615.92825971468903</v>
      </c>
      <c r="DA20" s="5">
        <f t="shared" si="29"/>
        <v>609.76897711754214</v>
      </c>
      <c r="DB20" s="5">
        <f t="shared" si="29"/>
        <v>603.67128734636674</v>
      </c>
      <c r="DC20" s="5">
        <f t="shared" si="29"/>
        <v>597.63457447290307</v>
      </c>
      <c r="DD20" s="5">
        <f t="shared" si="29"/>
        <v>591.65822872817398</v>
      </c>
      <c r="DE20" s="5">
        <f t="shared" si="29"/>
        <v>585.74164644089228</v>
      </c>
    </row>
    <row r="21" spans="1:109" x14ac:dyDescent="0.25">
      <c r="A21" s="4"/>
      <c r="B21" t="s">
        <v>18</v>
      </c>
      <c r="C21" s="1">
        <v>169.8</v>
      </c>
      <c r="D21" s="1">
        <v>169.9</v>
      </c>
      <c r="E21" s="1">
        <v>170</v>
      </c>
      <c r="F21" s="1">
        <f>E21</f>
        <v>170</v>
      </c>
      <c r="G21" s="1">
        <v>167.7</v>
      </c>
      <c r="H21" s="1">
        <v>167.9</v>
      </c>
      <c r="I21" s="1">
        <v>168.2</v>
      </c>
      <c r="J21" s="1">
        <f>I21</f>
        <v>168.2</v>
      </c>
      <c r="K21" s="1">
        <v>166.2</v>
      </c>
      <c r="L21" s="1">
        <v>166.4</v>
      </c>
      <c r="P21" s="6"/>
      <c r="Q21" s="1">
        <v>179</v>
      </c>
      <c r="R21" s="1">
        <v>178.6</v>
      </c>
      <c r="S21" s="1">
        <v>171.6</v>
      </c>
      <c r="T21" s="1">
        <v>169.6</v>
      </c>
      <c r="U21" s="1">
        <v>167.9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109" x14ac:dyDescent="0.25">
      <c r="A22" s="7"/>
      <c r="B22" s="8" t="s">
        <v>19</v>
      </c>
      <c r="C22" s="7">
        <f t="shared" ref="C22:L22" si="30">+C20/C21</f>
        <v>0.10954063604240262</v>
      </c>
      <c r="D22" s="7">
        <f t="shared" si="30"/>
        <v>9.1230135373749327E-2</v>
      </c>
      <c r="E22" s="7">
        <f t="shared" si="30"/>
        <v>-0.81588235294117639</v>
      </c>
      <c r="F22" s="7">
        <f t="shared" si="30"/>
        <v>0.33764705882352863</v>
      </c>
      <c r="G22" s="7">
        <f t="shared" si="30"/>
        <v>0.38998211091234353</v>
      </c>
      <c r="H22" s="7">
        <f t="shared" si="30"/>
        <v>0.39428231089934451</v>
      </c>
      <c r="I22" s="7">
        <f t="shared" si="30"/>
        <v>0.44173602853745525</v>
      </c>
      <c r="J22" s="7">
        <f t="shared" si="30"/>
        <v>0.39892984542211685</v>
      </c>
      <c r="K22" s="7">
        <f t="shared" si="30"/>
        <v>0.40794223826714843</v>
      </c>
      <c r="L22" s="7">
        <f t="shared" si="30"/>
        <v>0.48016826923076927</v>
      </c>
      <c r="M22" s="7"/>
      <c r="N22" s="7"/>
      <c r="O22" s="7"/>
      <c r="P22" s="9"/>
      <c r="Q22" s="7">
        <f>+Q20/Q21</f>
        <v>2.020670391061453</v>
      </c>
      <c r="R22" s="7">
        <f>+R20/R21</f>
        <v>1.2889137737961924</v>
      </c>
      <c r="S22" s="7">
        <f>+S20/S21</f>
        <v>1.2977272727272728</v>
      </c>
      <c r="T22" s="7">
        <f>+T20/T21</f>
        <v>-0.27830188679245366</v>
      </c>
      <c r="U22" s="7">
        <f>+U20/U21</f>
        <v>1.6259678379988087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109" x14ac:dyDescent="0.25">
      <c r="A23" s="1"/>
      <c r="B23" s="1"/>
      <c r="C23" s="10"/>
      <c r="D23" s="10"/>
      <c r="E23" s="10"/>
      <c r="F23" s="10"/>
      <c r="G23" s="10"/>
      <c r="H23" s="10"/>
      <c r="I23" s="10"/>
      <c r="J23" s="10"/>
      <c r="L23" s="10"/>
      <c r="M23" s="10"/>
      <c r="N23" s="10"/>
      <c r="O23" s="10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109" s="1" customFormat="1" x14ac:dyDescent="0.25">
      <c r="B24" s="1" t="s">
        <v>27</v>
      </c>
      <c r="F24" s="1">
        <v>122.5</v>
      </c>
      <c r="G24" s="1">
        <v>104.9</v>
      </c>
      <c r="H24" s="1">
        <v>101.8</v>
      </c>
      <c r="I24" s="1">
        <v>46</v>
      </c>
      <c r="J24" s="1">
        <v>49.5</v>
      </c>
      <c r="K24" s="1">
        <v>51.1</v>
      </c>
      <c r="L24" s="1">
        <v>55.8</v>
      </c>
      <c r="P24" s="11"/>
      <c r="R24" s="1">
        <v>159</v>
      </c>
      <c r="S24" s="1">
        <v>106.4</v>
      </c>
      <c r="T24" s="1">
        <v>122.5</v>
      </c>
      <c r="U24" s="1">
        <v>49.5</v>
      </c>
    </row>
    <row r="25" spans="1:109" s="1" customFormat="1" x14ac:dyDescent="0.25">
      <c r="B25" s="1" t="s">
        <v>35</v>
      </c>
      <c r="F25" s="1">
        <v>235.2</v>
      </c>
      <c r="G25" s="1">
        <v>237.9</v>
      </c>
      <c r="H25" s="1">
        <v>275.39999999999998</v>
      </c>
      <c r="I25" s="1">
        <v>301.39999999999998</v>
      </c>
      <c r="J25" s="1">
        <v>321.89999999999998</v>
      </c>
      <c r="K25" s="1">
        <v>348.3</v>
      </c>
      <c r="L25" s="1">
        <v>375.4</v>
      </c>
      <c r="P25" s="11"/>
      <c r="R25" s="1">
        <v>228.2</v>
      </c>
      <c r="S25" s="1">
        <v>244.7</v>
      </c>
      <c r="T25" s="1">
        <v>235.2</v>
      </c>
      <c r="U25" s="1">
        <v>321.89999999999998</v>
      </c>
    </row>
    <row r="26" spans="1:109" s="1" customFormat="1" x14ac:dyDescent="0.25">
      <c r="B26" s="1" t="s">
        <v>36</v>
      </c>
      <c r="F26" s="1">
        <v>289.39999999999998</v>
      </c>
      <c r="G26" s="1">
        <v>282.7</v>
      </c>
      <c r="H26" s="1">
        <v>291.60000000000002</v>
      </c>
      <c r="I26" s="1">
        <v>287.60000000000002</v>
      </c>
      <c r="J26" s="1">
        <v>291.10000000000002</v>
      </c>
      <c r="K26" s="1">
        <v>287.5</v>
      </c>
      <c r="L26" s="1">
        <v>279.2</v>
      </c>
      <c r="P26" s="11"/>
      <c r="R26" s="1">
        <v>264.8</v>
      </c>
      <c r="S26" s="1">
        <v>284.5</v>
      </c>
      <c r="T26" s="1">
        <v>289.39999999999998</v>
      </c>
      <c r="U26" s="1">
        <v>291.10000000000002</v>
      </c>
    </row>
    <row r="27" spans="1:109" s="1" customFormat="1" x14ac:dyDescent="0.25">
      <c r="B27" s="1" t="s">
        <v>37</v>
      </c>
      <c r="F27" s="1">
        <v>718.2</v>
      </c>
      <c r="G27" s="1">
        <v>714.2</v>
      </c>
      <c r="H27" s="1">
        <v>735.3</v>
      </c>
      <c r="I27" s="1">
        <v>736.9</v>
      </c>
      <c r="J27" s="1">
        <v>738.2</v>
      </c>
      <c r="K27" s="1">
        <v>739.1</v>
      </c>
      <c r="L27" s="1">
        <v>733.2</v>
      </c>
      <c r="P27" s="11"/>
      <c r="R27" s="1">
        <v>637.1</v>
      </c>
      <c r="S27" s="1">
        <v>679.1</v>
      </c>
      <c r="T27" s="1">
        <v>718.2</v>
      </c>
      <c r="U27" s="1">
        <v>738</v>
      </c>
      <c r="V27" s="1">
        <v>733</v>
      </c>
    </row>
    <row r="28" spans="1:109" s="1" customFormat="1" x14ac:dyDescent="0.25">
      <c r="B28" s="1" t="s">
        <v>28</v>
      </c>
      <c r="F28" s="1">
        <f>20+928+237.9</f>
        <v>1185.9000000000001</v>
      </c>
      <c r="G28" s="1">
        <f>20+923.2+228.7</f>
        <v>1171.9000000000001</v>
      </c>
      <c r="H28" s="1">
        <f>20+1083.9+231.8</f>
        <v>1335.7</v>
      </c>
      <c r="I28" s="1">
        <f>5+971.5+227.4</f>
        <v>1203.9000000000001</v>
      </c>
      <c r="J28" s="1">
        <f>5+994.2+208.1</f>
        <v>1207.3</v>
      </c>
      <c r="K28" s="1">
        <f>5+1040.8+204.1</f>
        <v>1249.8999999999999</v>
      </c>
      <c r="L28" s="1">
        <f>5+1043+194.4</f>
        <v>1242.4000000000001</v>
      </c>
      <c r="P28" s="11"/>
      <c r="R28" s="1">
        <f>12.5+929.2+177.9</f>
        <v>1119.6000000000001</v>
      </c>
      <c r="S28" s="1">
        <f>17.5+1047.1+207.2</f>
        <v>1271.8</v>
      </c>
      <c r="T28" s="1">
        <f>20+928+237.9</f>
        <v>1185.9000000000001</v>
      </c>
      <c r="U28" s="1">
        <f>5+994.2+208.1</f>
        <v>1207.3</v>
      </c>
    </row>
    <row r="29" spans="1:109" s="1" customFormat="1" x14ac:dyDescent="0.25">
      <c r="B29" s="5" t="s">
        <v>47</v>
      </c>
      <c r="F29" s="1">
        <f>F24-F28</f>
        <v>-1063.4000000000001</v>
      </c>
      <c r="G29" s="1">
        <f t="shared" ref="G29:L29" si="31">G24-G28</f>
        <v>-1067</v>
      </c>
      <c r="H29" s="1">
        <f t="shared" si="31"/>
        <v>-1233.9000000000001</v>
      </c>
      <c r="I29" s="1">
        <f t="shared" si="31"/>
        <v>-1157.9000000000001</v>
      </c>
      <c r="J29" s="1">
        <f t="shared" si="31"/>
        <v>-1157.8</v>
      </c>
      <c r="K29" s="1">
        <f t="shared" si="31"/>
        <v>-1198.8</v>
      </c>
      <c r="L29" s="1">
        <f t="shared" si="31"/>
        <v>-1186.6000000000001</v>
      </c>
      <c r="P29" s="11"/>
      <c r="R29" s="1">
        <f t="shared" ref="R29:U29" si="32">R24-R28</f>
        <v>-960.60000000000014</v>
      </c>
      <c r="S29" s="1">
        <f t="shared" si="32"/>
        <v>-1165.3999999999999</v>
      </c>
      <c r="T29" s="1">
        <f t="shared" si="32"/>
        <v>-1063.4000000000001</v>
      </c>
      <c r="U29" s="1">
        <f t="shared" si="32"/>
        <v>-1157.8</v>
      </c>
      <c r="V29" s="1">
        <f>U29+V20</f>
        <v>-868.73964999999998</v>
      </c>
      <c r="W29" s="1">
        <f t="shared" ref="W29:AF29" si="33">V29+W20</f>
        <v>-546.3416557500002</v>
      </c>
      <c r="X29" s="1">
        <f t="shared" si="33"/>
        <v>-197.88934298125014</v>
      </c>
      <c r="Y29" s="1">
        <f t="shared" si="33"/>
        <v>212.26687522760608</v>
      </c>
      <c r="Z29" s="1">
        <f t="shared" si="33"/>
        <v>631.61357666343019</v>
      </c>
      <c r="AA29" s="1">
        <f t="shared" si="33"/>
        <v>1046.6387973185247</v>
      </c>
      <c r="AB29" s="1">
        <f t="shared" si="33"/>
        <v>1503.1135970662419</v>
      </c>
      <c r="AC29" s="1">
        <f t="shared" si="33"/>
        <v>2005.765922478523</v>
      </c>
      <c r="AD29" s="1">
        <f t="shared" si="33"/>
        <v>2620.7381677446783</v>
      </c>
      <c r="AE29" s="1">
        <f t="shared" si="33"/>
        <v>3363.316801623233</v>
      </c>
      <c r="AF29" s="1">
        <f t="shared" si="33"/>
        <v>4167.0119215204859</v>
      </c>
      <c r="AG29" s="1">
        <f t="shared" ref="AG29:AK29" si="34">AF29+AG20</f>
        <v>5037.5964746191657</v>
      </c>
      <c r="AH29" s="1">
        <f t="shared" si="34"/>
        <v>5981.3949272422187</v>
      </c>
      <c r="AI29" s="1">
        <f t="shared" si="34"/>
        <v>7005.3367433778676</v>
      </c>
      <c r="AJ29" s="1">
        <f t="shared" si="34"/>
        <v>8117.0150950412872</v>
      </c>
      <c r="AK29" s="1">
        <f t="shared" si="34"/>
        <v>9324.751319522511</v>
      </c>
    </row>
    <row r="30" spans="1:109" x14ac:dyDescent="0.2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2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"/>
      <c r="AH30" s="1"/>
      <c r="AI30" s="1"/>
      <c r="AJ30" s="1"/>
    </row>
    <row r="31" spans="1:109" x14ac:dyDescent="0.25">
      <c r="A31" s="13"/>
      <c r="B31" s="13" t="s">
        <v>20</v>
      </c>
      <c r="C31" s="13">
        <f t="shared" ref="C31:K31" si="35">C8/C6</f>
        <v>0.37492800921482045</v>
      </c>
      <c r="D31" s="13">
        <f t="shared" si="35"/>
        <v>0.35845259391771023</v>
      </c>
      <c r="E31" s="13">
        <f t="shared" si="35"/>
        <v>0.3864127233457687</v>
      </c>
      <c r="F31" s="13">
        <f t="shared" si="35"/>
        <v>0.3779739063699154</v>
      </c>
      <c r="G31" s="13">
        <f t="shared" si="35"/>
        <v>0.38076152304609218</v>
      </c>
      <c r="H31" s="13">
        <f t="shared" si="35"/>
        <v>0.3911525029103608</v>
      </c>
      <c r="I31" s="13">
        <f t="shared" si="35"/>
        <v>0.38970130678282505</v>
      </c>
      <c r="J31" s="13">
        <f t="shared" si="35"/>
        <v>0.3696562032884903</v>
      </c>
      <c r="K31" s="13">
        <f t="shared" si="35"/>
        <v>0.3559809989923709</v>
      </c>
      <c r="L31" s="13">
        <f>L8/L6</f>
        <v>0.36810996563573883</v>
      </c>
      <c r="M31" s="13"/>
      <c r="N31" s="13"/>
      <c r="O31" s="13"/>
      <c r="P31" s="14"/>
      <c r="Q31" s="13">
        <f t="shared" ref="Q31:U31" si="36">Q8/Q6</f>
        <v>0.40130606797273466</v>
      </c>
      <c r="R31" s="13">
        <f t="shared" si="36"/>
        <v>0.39561680976050612</v>
      </c>
      <c r="S31" s="13">
        <f t="shared" si="36"/>
        <v>0.39282667876588018</v>
      </c>
      <c r="T31" s="13">
        <f t="shared" si="36"/>
        <v>0.37496247373161207</v>
      </c>
      <c r="U31" s="13">
        <f t="shared" si="36"/>
        <v>0.38261575954508531</v>
      </c>
      <c r="V31" s="13">
        <f t="shared" ref="V31:AK31" si="37">V8/V6</f>
        <v>0.36</v>
      </c>
      <c r="W31" s="13">
        <f t="shared" si="37"/>
        <v>0.35</v>
      </c>
      <c r="X31" s="13">
        <f t="shared" si="37"/>
        <v>0.34</v>
      </c>
      <c r="Y31" s="13">
        <f t="shared" si="37"/>
        <v>0.33</v>
      </c>
      <c r="Z31" s="13">
        <f t="shared" si="37"/>
        <v>0.32</v>
      </c>
      <c r="AA31" s="13">
        <f t="shared" si="37"/>
        <v>0.31</v>
      </c>
      <c r="AB31" s="13">
        <f t="shared" si="37"/>
        <v>0.3</v>
      </c>
      <c r="AC31" s="13">
        <f t="shared" si="37"/>
        <v>0.3</v>
      </c>
      <c r="AD31" s="13">
        <f t="shared" si="37"/>
        <v>0.3</v>
      </c>
      <c r="AE31" s="13">
        <f t="shared" si="37"/>
        <v>0.3</v>
      </c>
      <c r="AF31" s="13">
        <f t="shared" si="37"/>
        <v>0.3</v>
      </c>
      <c r="AG31" s="13">
        <f t="shared" si="37"/>
        <v>0.3</v>
      </c>
      <c r="AH31" s="13">
        <f t="shared" si="37"/>
        <v>0.3</v>
      </c>
      <c r="AI31" s="13">
        <f t="shared" si="37"/>
        <v>0.3</v>
      </c>
      <c r="AJ31" s="13">
        <f t="shared" si="37"/>
        <v>0.3</v>
      </c>
      <c r="AK31" s="13">
        <f t="shared" si="37"/>
        <v>0.3</v>
      </c>
    </row>
    <row r="32" spans="1:109" x14ac:dyDescent="0.25">
      <c r="A32" s="15"/>
      <c r="B32" s="15" t="s">
        <v>21</v>
      </c>
      <c r="C32" s="15">
        <f t="shared" ref="C32:K32" si="38">C12/C6</f>
        <v>0.11576118256863115</v>
      </c>
      <c r="D32" s="15">
        <f t="shared" si="38"/>
        <v>0.10129695885509842</v>
      </c>
      <c r="E32" s="15">
        <f t="shared" si="38"/>
        <v>-0.27802866679756527</v>
      </c>
      <c r="F32" s="15">
        <f t="shared" si="38"/>
        <v>0.14274750575594758</v>
      </c>
      <c r="G32" s="15">
        <f t="shared" si="38"/>
        <v>0.14647476771725268</v>
      </c>
      <c r="H32" s="15">
        <f t="shared" si="38"/>
        <v>0.14684849492765664</v>
      </c>
      <c r="I32" s="15">
        <f t="shared" si="38"/>
        <v>0.15199128811449902</v>
      </c>
      <c r="J32" s="15">
        <f t="shared" si="38"/>
        <v>0.13318385650224221</v>
      </c>
      <c r="K32" s="15">
        <f t="shared" si="38"/>
        <v>0.129696271771988</v>
      </c>
      <c r="L32" s="15">
        <f>L12/L6</f>
        <v>0.14391752577319589</v>
      </c>
      <c r="M32" s="15"/>
      <c r="N32" s="15"/>
      <c r="O32" s="15"/>
      <c r="P32" s="16"/>
      <c r="Q32" s="15">
        <f t="shared" ref="Q32:U32" si="39">Q12/Q6</f>
        <v>0.15067448400781738</v>
      </c>
      <c r="R32" s="15">
        <f t="shared" si="39"/>
        <v>0.14017171260732034</v>
      </c>
      <c r="S32" s="15">
        <f t="shared" si="39"/>
        <v>0.15112976406533574</v>
      </c>
      <c r="T32" s="15">
        <f t="shared" si="39"/>
        <v>1.9213449414590147E-2</v>
      </c>
      <c r="U32" s="15">
        <f t="shared" si="39"/>
        <v>0.14439480097481722</v>
      </c>
      <c r="V32" s="15">
        <f t="shared" ref="V32:AK32" si="40">V12/V6</f>
        <v>0.14257050100843807</v>
      </c>
      <c r="W32" s="15">
        <f t="shared" si="40"/>
        <v>0.13417812184002223</v>
      </c>
      <c r="X32" s="15">
        <f t="shared" si="40"/>
        <v>0.12539840857236068</v>
      </c>
      <c r="Y32" s="15">
        <f t="shared" si="40"/>
        <v>0.12635300802888386</v>
      </c>
      <c r="Z32" s="15">
        <f t="shared" si="40"/>
        <v>0.11717110378981303</v>
      </c>
      <c r="AA32" s="15">
        <f t="shared" si="40"/>
        <v>0.10795079187370994</v>
      </c>
      <c r="AB32" s="15">
        <f t="shared" si="40"/>
        <v>0.10850297918560899</v>
      </c>
      <c r="AC32" s="15">
        <f t="shared" si="40"/>
        <v>0.10903727921846658</v>
      </c>
      <c r="AD32" s="15">
        <f t="shared" si="40"/>
        <v>0.11938739359514559</v>
      </c>
      <c r="AE32" s="15">
        <f t="shared" si="40"/>
        <v>0.12973044678198337</v>
      </c>
      <c r="AF32" s="15">
        <f t="shared" si="40"/>
        <v>0.13006630837842512</v>
      </c>
      <c r="AG32" s="15">
        <f t="shared" si="40"/>
        <v>0.13039486926820279</v>
      </c>
      <c r="AH32" s="15">
        <f t="shared" si="40"/>
        <v>0.13071604088586899</v>
      </c>
      <c r="AI32" s="15">
        <f t="shared" si="40"/>
        <v>0.13102975442510764</v>
      </c>
      <c r="AJ32" s="15">
        <f t="shared" si="40"/>
        <v>0.1313359599983677</v>
      </c>
      <c r="AK32" s="15">
        <f t="shared" si="40"/>
        <v>0.13163462575703702</v>
      </c>
    </row>
    <row r="33" spans="1:37" s="18" customFormat="1" x14ac:dyDescent="0.25">
      <c r="B33" s="18" t="s">
        <v>22</v>
      </c>
      <c r="C33" s="18">
        <f t="shared" ref="C33:K33" si="41">C19/C6</f>
        <v>5.9512382415050878E-2</v>
      </c>
      <c r="D33" s="18">
        <f t="shared" si="41"/>
        <v>4.4051878354203933E-2</v>
      </c>
      <c r="E33" s="18">
        <f t="shared" si="41"/>
        <v>-2.3758099352051833E-2</v>
      </c>
      <c r="F33" s="18">
        <f t="shared" si="41"/>
        <v>-1.72678434382194E-3</v>
      </c>
      <c r="G33" s="18">
        <f t="shared" si="41"/>
        <v>1.1477500455456367E-2</v>
      </c>
      <c r="H33" s="18">
        <f t="shared" si="41"/>
        <v>2.2285049060369204E-2</v>
      </c>
      <c r="I33" s="18">
        <f t="shared" si="41"/>
        <v>2.271313005600498E-2</v>
      </c>
      <c r="J33" s="18">
        <f t="shared" si="41"/>
        <v>2.0179372197309409E-2</v>
      </c>
      <c r="K33" s="18">
        <f t="shared" si="41"/>
        <v>2.0872318986612924E-2</v>
      </c>
      <c r="L33" s="18">
        <f>L19/L6</f>
        <v>2.2130584192439864E-2</v>
      </c>
      <c r="P33" s="19"/>
      <c r="Q33" s="18">
        <f t="shared" ref="Q33:U33" si="42">Q19/Q6</f>
        <v>-2.3070689737356403E-2</v>
      </c>
      <c r="R33" s="18">
        <f t="shared" si="42"/>
        <v>1.7126073203795753E-2</v>
      </c>
      <c r="S33" s="18">
        <f t="shared" si="42"/>
        <v>1.574410163339383E-2</v>
      </c>
      <c r="T33" s="18">
        <f t="shared" si="42"/>
        <v>1.8863204242970083E-2</v>
      </c>
      <c r="U33" s="18">
        <f t="shared" si="42"/>
        <v>1.941510966693745E-2</v>
      </c>
      <c r="V33" s="18">
        <f t="shared" ref="V33:AK33" si="43">V19/V6</f>
        <v>0.03</v>
      </c>
      <c r="W33" s="18">
        <f t="shared" si="43"/>
        <v>0.03</v>
      </c>
      <c r="X33" s="18">
        <f t="shared" si="43"/>
        <v>0.03</v>
      </c>
      <c r="Y33" s="18">
        <f t="shared" si="43"/>
        <v>3.0000000000000002E-2</v>
      </c>
      <c r="Z33" s="18">
        <f t="shared" si="43"/>
        <v>3.0000000000000002E-2</v>
      </c>
      <c r="AA33" s="18">
        <f t="shared" si="43"/>
        <v>3.0000000000000002E-2</v>
      </c>
      <c r="AB33" s="18">
        <f t="shared" si="43"/>
        <v>3.0000000000000002E-2</v>
      </c>
      <c r="AC33" s="18">
        <f t="shared" si="43"/>
        <v>0.03</v>
      </c>
      <c r="AD33" s="18">
        <f t="shared" si="43"/>
        <v>0.03</v>
      </c>
      <c r="AE33" s="18">
        <f t="shared" si="43"/>
        <v>0.03</v>
      </c>
      <c r="AF33" s="18">
        <f t="shared" si="43"/>
        <v>0.03</v>
      </c>
      <c r="AG33" s="18">
        <f t="shared" si="43"/>
        <v>2.9999999999999995E-2</v>
      </c>
      <c r="AH33" s="18">
        <f t="shared" si="43"/>
        <v>0.03</v>
      </c>
      <c r="AI33" s="18">
        <f t="shared" si="43"/>
        <v>0.03</v>
      </c>
      <c r="AJ33" s="18">
        <f t="shared" si="43"/>
        <v>0.03</v>
      </c>
      <c r="AK33" s="18">
        <f t="shared" si="43"/>
        <v>0.03</v>
      </c>
    </row>
    <row r="34" spans="1:37" x14ac:dyDescent="0.25">
      <c r="A34" s="15"/>
      <c r="B34" s="15" t="s">
        <v>48</v>
      </c>
      <c r="C34" s="15"/>
      <c r="D34" s="15"/>
      <c r="E34" s="15"/>
      <c r="F34" s="15">
        <f t="shared" ref="F34:L34" si="44">F6/F27</f>
        <v>0.72570314675577818</v>
      </c>
      <c r="G34" s="15">
        <f t="shared" si="44"/>
        <v>0.76855222626715203</v>
      </c>
      <c r="H34" s="15">
        <f t="shared" si="44"/>
        <v>0.81776145790833676</v>
      </c>
      <c r="I34" s="15">
        <f t="shared" si="44"/>
        <v>0.87230289048717602</v>
      </c>
      <c r="J34" s="15">
        <f t="shared" si="44"/>
        <v>0.90625846654023312</v>
      </c>
      <c r="K34" s="15">
        <f t="shared" si="44"/>
        <v>0.93992693816804229</v>
      </c>
      <c r="L34" s="15">
        <f t="shared" si="44"/>
        <v>0.9922258592471358</v>
      </c>
      <c r="M34" s="15"/>
      <c r="N34" s="15"/>
      <c r="O34" s="15"/>
      <c r="P34" s="16"/>
      <c r="Q34" s="15"/>
      <c r="R34" s="15">
        <f>R6/R27</f>
        <v>3.4735520326479357</v>
      </c>
      <c r="S34" s="15">
        <f>S6/S27</f>
        <v>3.2454719481666912</v>
      </c>
      <c r="T34" s="15">
        <f>T6/T27</f>
        <v>2.7827903091060984</v>
      </c>
      <c r="U34" s="15">
        <f>U6/U27</f>
        <v>3.3360433604336044</v>
      </c>
      <c r="V34" s="15">
        <f>V6/V27</f>
        <v>3.9942633015006823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5"/>
      <c r="B35" s="15" t="s">
        <v>56</v>
      </c>
      <c r="C35" s="15">
        <f t="shared" ref="C35:K35" si="45">C9/C6</f>
        <v>0.23632175081589557</v>
      </c>
      <c r="D35" s="15">
        <f t="shared" si="45"/>
        <v>0.23322898032200357</v>
      </c>
      <c r="E35" s="15">
        <f t="shared" si="45"/>
        <v>0.21087767524052622</v>
      </c>
      <c r="F35" s="15">
        <f t="shared" si="45"/>
        <v>0.21527244819646973</v>
      </c>
      <c r="G35" s="15">
        <f t="shared" si="45"/>
        <v>0.21351794498087084</v>
      </c>
      <c r="H35" s="15">
        <f t="shared" si="45"/>
        <v>0.22484616663894894</v>
      </c>
      <c r="I35" s="15">
        <f t="shared" si="45"/>
        <v>0.21733042937149968</v>
      </c>
      <c r="J35" s="15">
        <f t="shared" si="45"/>
        <v>0.21793721973094168</v>
      </c>
      <c r="K35" s="15">
        <f t="shared" si="45"/>
        <v>0.2044047790413128</v>
      </c>
      <c r="L35" s="15">
        <f>L9/L6</f>
        <v>0.20412371134020618</v>
      </c>
      <c r="M35" s="15"/>
      <c r="N35" s="15"/>
      <c r="O35" s="15"/>
      <c r="P35" s="16"/>
      <c r="Q35" s="15">
        <f t="shared" ref="Q35:U35" si="46">Q9/Q6</f>
        <v>0.23037323037323038</v>
      </c>
      <c r="R35" s="15">
        <f t="shared" si="46"/>
        <v>0.23483958427474019</v>
      </c>
      <c r="S35" s="15">
        <f t="shared" si="46"/>
        <v>0.21982758620689655</v>
      </c>
      <c r="T35" s="15">
        <f t="shared" si="46"/>
        <v>0.22365655959171421</v>
      </c>
      <c r="U35" s="15">
        <f t="shared" si="46"/>
        <v>0.21848090982940699</v>
      </c>
      <c r="V35" s="15">
        <f t="shared" ref="V35:AK35" si="47">V9/V6</f>
        <v>0.2</v>
      </c>
      <c r="W35" s="15">
        <f t="shared" si="47"/>
        <v>0.20000000000000004</v>
      </c>
      <c r="X35" s="15">
        <f t="shared" si="47"/>
        <v>0.2</v>
      </c>
      <c r="Y35" s="15">
        <f t="shared" si="47"/>
        <v>0.19</v>
      </c>
      <c r="Z35" s="15">
        <f t="shared" si="47"/>
        <v>0.19</v>
      </c>
      <c r="AA35" s="15">
        <f t="shared" si="47"/>
        <v>0.19000000000000003</v>
      </c>
      <c r="AB35" s="15">
        <f t="shared" si="47"/>
        <v>0.18</v>
      </c>
      <c r="AC35" s="15">
        <f t="shared" si="47"/>
        <v>0.18</v>
      </c>
      <c r="AD35" s="15">
        <f t="shared" si="47"/>
        <v>0.17</v>
      </c>
      <c r="AE35" s="15">
        <f t="shared" si="47"/>
        <v>0.16</v>
      </c>
      <c r="AF35" s="15">
        <f t="shared" si="47"/>
        <v>0.16</v>
      </c>
      <c r="AG35" s="15">
        <f t="shared" si="47"/>
        <v>0.16</v>
      </c>
      <c r="AH35" s="15">
        <f t="shared" si="47"/>
        <v>0.16</v>
      </c>
      <c r="AI35" s="15">
        <f t="shared" si="47"/>
        <v>0.16</v>
      </c>
      <c r="AJ35" s="15">
        <f t="shared" si="47"/>
        <v>0.16</v>
      </c>
      <c r="AK35" s="15">
        <f t="shared" si="47"/>
        <v>0.16</v>
      </c>
    </row>
    <row r="36" spans="1:3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7" s="15" customFormat="1" x14ac:dyDescent="0.25">
      <c r="B37" s="15" t="s">
        <v>49</v>
      </c>
      <c r="C37" s="15">
        <f t="shared" ref="C37:K37" si="48">C15/C3</f>
        <v>0.14325744308231173</v>
      </c>
      <c r="D37" s="15">
        <f t="shared" si="48"/>
        <v>0.12859097127222982</v>
      </c>
      <c r="E37" s="15">
        <f t="shared" si="48"/>
        <v>0.17981201471189212</v>
      </c>
      <c r="F37" s="15">
        <f t="shared" si="48"/>
        <v>0.1740412979351032</v>
      </c>
      <c r="G37" s="15">
        <f t="shared" si="48"/>
        <v>0.17617328519855593</v>
      </c>
      <c r="H37" s="15">
        <f t="shared" si="48"/>
        <v>0.17876165113182427</v>
      </c>
      <c r="I37" s="15">
        <f t="shared" si="48"/>
        <v>0.16825775656324582</v>
      </c>
      <c r="J37" s="15">
        <f t="shared" si="48"/>
        <v>0.13004214328717639</v>
      </c>
      <c r="K37" s="15">
        <f t="shared" si="48"/>
        <v>0.1399554813578186</v>
      </c>
      <c r="L37" s="15">
        <f>L15/L3</f>
        <v>0.16150210084033612</v>
      </c>
      <c r="P37" s="16"/>
      <c r="Q37" s="15">
        <f t="shared" ref="Q37:U37" si="49">Q15/Q3</f>
        <v>0.17606161086747246</v>
      </c>
      <c r="R37" s="15">
        <f t="shared" si="49"/>
        <v>0.17142296753947239</v>
      </c>
      <c r="S37" s="15">
        <f t="shared" si="49"/>
        <v>0.17537241245888954</v>
      </c>
      <c r="T37" s="15">
        <f t="shared" si="49"/>
        <v>0.15584006716339596</v>
      </c>
      <c r="U37" s="15">
        <f t="shared" si="49"/>
        <v>0.16235539845758354</v>
      </c>
    </row>
    <row r="38" spans="1:37" s="15" customFormat="1" x14ac:dyDescent="0.25">
      <c r="B38" s="15" t="s">
        <v>50</v>
      </c>
      <c r="C38" s="15">
        <f t="shared" ref="C38:L38" si="50">C16/C4</f>
        <v>0.23608174770965468</v>
      </c>
      <c r="D38" s="15">
        <f t="shared" si="50"/>
        <v>0.26267978803936415</v>
      </c>
      <c r="E38" s="15">
        <f t="shared" si="50"/>
        <v>0.27555856465809075</v>
      </c>
      <c r="F38" s="15">
        <f t="shared" si="50"/>
        <v>0.28018995929443669</v>
      </c>
      <c r="G38" s="15">
        <f t="shared" si="50"/>
        <v>0.26504394861392833</v>
      </c>
      <c r="H38" s="15">
        <f t="shared" si="50"/>
        <v>0.28900709219858156</v>
      </c>
      <c r="I38" s="15">
        <f t="shared" si="50"/>
        <v>0.28588304784406376</v>
      </c>
      <c r="J38" s="15">
        <f t="shared" si="50"/>
        <v>0.26300409117475154</v>
      </c>
      <c r="K38" s="15">
        <f t="shared" si="50"/>
        <v>0.25106609808102348</v>
      </c>
      <c r="L38" s="15">
        <f t="shared" si="50"/>
        <v>0.29268292682926828</v>
      </c>
      <c r="P38" s="16"/>
      <c r="Q38" s="15">
        <f t="shared" ref="Q38:U38" si="51">Q16/Q4</f>
        <v>0.23674059787849566</v>
      </c>
      <c r="R38" s="15">
        <f t="shared" si="51"/>
        <v>0.24743260590500638</v>
      </c>
      <c r="S38" s="15">
        <f t="shared" si="51"/>
        <v>0.2582815734989648</v>
      </c>
      <c r="T38" s="15">
        <f t="shared" si="51"/>
        <v>0.26392549639782109</v>
      </c>
      <c r="U38" s="15">
        <f t="shared" si="51"/>
        <v>0.27604562737642585</v>
      </c>
    </row>
    <row r="39" spans="1:37" s="15" customFormat="1" x14ac:dyDescent="0.25">
      <c r="B39" s="15" t="s">
        <v>51</v>
      </c>
      <c r="C39" s="15">
        <f t="shared" ref="C39:L39" si="52">C17/C5</f>
        <v>0.16846473029045644</v>
      </c>
      <c r="D39" s="15">
        <f t="shared" si="52"/>
        <v>0.15031315240083509</v>
      </c>
      <c r="E39" s="15">
        <f t="shared" si="52"/>
        <v>0.21813515825491872</v>
      </c>
      <c r="F39" s="15">
        <f t="shared" si="52"/>
        <v>0.23500697350069732</v>
      </c>
      <c r="G39" s="15">
        <f t="shared" si="52"/>
        <v>0.16935483870967741</v>
      </c>
      <c r="H39" s="15">
        <f t="shared" si="52"/>
        <v>0.32574031890660593</v>
      </c>
      <c r="I39" s="15">
        <f t="shared" si="52"/>
        <v>0.22848879248011569</v>
      </c>
      <c r="J39" s="15">
        <f t="shared" si="52"/>
        <v>0.1550995775497887</v>
      </c>
      <c r="K39" s="15">
        <f t="shared" si="52"/>
        <v>0.2193635748138118</v>
      </c>
      <c r="L39" s="15">
        <f t="shared" si="52"/>
        <v>0.19410150891632372</v>
      </c>
      <c r="P39" s="16"/>
      <c r="Q39" s="15">
        <f t="shared" ref="Q39:U39" si="53">Q17/Q5</f>
        <v>0.26017011834319526</v>
      </c>
      <c r="R39" s="15">
        <f t="shared" si="53"/>
        <v>0.2531978272297179</v>
      </c>
      <c r="S39" s="15">
        <f t="shared" si="53"/>
        <v>0.24602099559769727</v>
      </c>
      <c r="T39" s="15">
        <f t="shared" si="53"/>
        <v>0.19702056231640788</v>
      </c>
      <c r="U39" s="15">
        <f t="shared" si="53"/>
        <v>0.21654457745220654</v>
      </c>
    </row>
    <row r="40" spans="1:37" x14ac:dyDescent="0.25">
      <c r="B40" s="1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s="15"/>
      <c r="B41" t="s">
        <v>52</v>
      </c>
      <c r="C41" s="15"/>
      <c r="D41" s="15"/>
      <c r="E41" s="15"/>
      <c r="F41" s="15"/>
      <c r="G41" s="15">
        <f t="shared" ref="G41:K41" si="54">G3/C3-1</f>
        <v>-2.9772329246935181E-2</v>
      </c>
      <c r="H41" s="15">
        <f t="shared" si="54"/>
        <v>0.36981304149566796</v>
      </c>
      <c r="I41" s="15">
        <f t="shared" si="54"/>
        <v>0.36984062116877814</v>
      </c>
      <c r="J41" s="15">
        <f t="shared" si="54"/>
        <v>0.63323500491642015</v>
      </c>
      <c r="K41" s="15">
        <f t="shared" si="54"/>
        <v>0.29747292418772564</v>
      </c>
      <c r="L41" s="15">
        <f>L3/H3-1</f>
        <v>0.26764314247669785</v>
      </c>
      <c r="M41" s="15"/>
      <c r="N41" s="15"/>
      <c r="O41" s="15"/>
      <c r="P41" s="16"/>
      <c r="Q41" s="15"/>
      <c r="R41" s="15">
        <f t="shared" ref="R41:U44" si="55">R3/Q3-1</f>
        <v>9.0704888223339442E-2</v>
      </c>
      <c r="S41" s="15">
        <f t="shared" si="55"/>
        <v>1.3827596351868143E-2</v>
      </c>
      <c r="T41" s="15">
        <f t="shared" si="55"/>
        <v>-7.8254981621203257E-2</v>
      </c>
      <c r="U41" s="15">
        <f t="shared" si="55"/>
        <v>0.30632805121208939</v>
      </c>
      <c r="V41" s="15">
        <f t="shared" ref="V41:Y41" si="56">V3/U3-1</f>
        <v>0.25</v>
      </c>
      <c r="W41" s="15">
        <f t="shared" si="56"/>
        <v>0.19999999999999996</v>
      </c>
      <c r="X41" s="15">
        <f t="shared" si="56"/>
        <v>0.16999999999999993</v>
      </c>
      <c r="Y41" s="15">
        <f t="shared" si="56"/>
        <v>0.14999999999999991</v>
      </c>
      <c r="Z41" s="15">
        <f t="shared" ref="Z41:AK41" si="57">Z3/Y3-1</f>
        <v>0.1399999999999999</v>
      </c>
      <c r="AA41" s="15">
        <f t="shared" si="57"/>
        <v>0.1399999999999999</v>
      </c>
      <c r="AB41" s="15">
        <f t="shared" si="57"/>
        <v>0.12000000000000011</v>
      </c>
      <c r="AC41" s="15">
        <f t="shared" si="57"/>
        <v>0.12000000000000011</v>
      </c>
      <c r="AD41" s="15">
        <f t="shared" si="57"/>
        <v>0.10000000000000009</v>
      </c>
      <c r="AE41" s="15">
        <f t="shared" si="57"/>
        <v>0.10000000000000009</v>
      </c>
      <c r="AF41" s="15">
        <f t="shared" si="57"/>
        <v>0.10000000000000009</v>
      </c>
      <c r="AG41" s="15">
        <f t="shared" si="57"/>
        <v>0.10000000000000009</v>
      </c>
      <c r="AH41" s="15">
        <f t="shared" si="57"/>
        <v>0.10000000000000009</v>
      </c>
      <c r="AI41" s="15">
        <f t="shared" si="57"/>
        <v>0.10000000000000009</v>
      </c>
      <c r="AJ41" s="15">
        <f t="shared" si="57"/>
        <v>0.10000000000000009</v>
      </c>
      <c r="AK41" s="15">
        <f t="shared" si="57"/>
        <v>0.10000000000000009</v>
      </c>
    </row>
    <row r="42" spans="1:37" x14ac:dyDescent="0.25">
      <c r="B42" t="s">
        <v>53</v>
      </c>
      <c r="G42" s="15">
        <f t="shared" ref="G42:L42" si="58">G4/C4-1</f>
        <v>4.228329809725162E-2</v>
      </c>
      <c r="H42" s="15">
        <f t="shared" si="58"/>
        <v>0.28084784254352768</v>
      </c>
      <c r="I42" s="15">
        <f t="shared" si="58"/>
        <v>0.14624238320920813</v>
      </c>
      <c r="J42" s="15">
        <f t="shared" si="58"/>
        <v>0.16078697421980959</v>
      </c>
      <c r="K42" s="15">
        <f t="shared" si="58"/>
        <v>0.26842461122379979</v>
      </c>
      <c r="L42" s="15">
        <f t="shared" si="58"/>
        <v>0.18735224586288424</v>
      </c>
      <c r="Q42" s="15"/>
      <c r="R42" s="15">
        <f t="shared" si="55"/>
        <v>1.6072002571521082E-3</v>
      </c>
      <c r="S42" s="15">
        <f t="shared" si="55"/>
        <v>-6.9961489088575135E-2</v>
      </c>
      <c r="T42" s="15">
        <f t="shared" si="55"/>
        <v>-1.8115942028985477E-2</v>
      </c>
      <c r="U42" s="15">
        <f t="shared" si="55"/>
        <v>0.15533298190124745</v>
      </c>
      <c r="V42" s="15">
        <f t="shared" ref="V42:Y42" si="59">V4/U4-1</f>
        <v>0.14999999999999991</v>
      </c>
      <c r="W42" s="15">
        <f t="shared" si="59"/>
        <v>0.12999999999999989</v>
      </c>
      <c r="X42" s="15">
        <f t="shared" si="59"/>
        <v>0.12000000000000011</v>
      </c>
      <c r="Y42" s="15">
        <f t="shared" si="59"/>
        <v>0.11000000000000032</v>
      </c>
      <c r="Z42" s="15">
        <f t="shared" ref="Z42:AK42" si="60">Z4/Y4-1</f>
        <v>0.1100000000000001</v>
      </c>
      <c r="AA42" s="15">
        <f t="shared" si="60"/>
        <v>0.1100000000000001</v>
      </c>
      <c r="AB42" s="15">
        <f t="shared" si="60"/>
        <v>9.000000000000008E-2</v>
      </c>
      <c r="AC42" s="15">
        <f t="shared" si="60"/>
        <v>9.000000000000008E-2</v>
      </c>
      <c r="AD42" s="15">
        <f t="shared" si="60"/>
        <v>7.0000000000000062E-2</v>
      </c>
      <c r="AE42" s="15">
        <f t="shared" si="60"/>
        <v>7.0000000000000062E-2</v>
      </c>
      <c r="AF42" s="15">
        <f t="shared" si="60"/>
        <v>7.0000000000000062E-2</v>
      </c>
      <c r="AG42" s="15">
        <f t="shared" si="60"/>
        <v>7.0000000000000062E-2</v>
      </c>
      <c r="AH42" s="15">
        <f t="shared" si="60"/>
        <v>7.0000000000000062E-2</v>
      </c>
      <c r="AI42" s="15">
        <f t="shared" si="60"/>
        <v>7.0000000000000062E-2</v>
      </c>
      <c r="AJ42" s="15">
        <f t="shared" si="60"/>
        <v>7.0000000000000062E-2</v>
      </c>
      <c r="AK42" s="15">
        <f t="shared" si="60"/>
        <v>7.0000000000000062E-2</v>
      </c>
    </row>
    <row r="43" spans="1:37" x14ac:dyDescent="0.25">
      <c r="B43" t="s">
        <v>54</v>
      </c>
      <c r="G43" s="15">
        <f t="shared" ref="G43:L43" si="61">G5/C5-1</f>
        <v>2.9045643153526868E-2</v>
      </c>
      <c r="H43" s="15">
        <f t="shared" si="61"/>
        <v>0.37473903966597066</v>
      </c>
      <c r="I43" s="15">
        <f t="shared" si="61"/>
        <v>0.18306244653550041</v>
      </c>
      <c r="J43" s="15">
        <f t="shared" si="61"/>
        <v>0.1555090655509066</v>
      </c>
      <c r="K43" s="15">
        <f t="shared" si="61"/>
        <v>0.19112903225806432</v>
      </c>
      <c r="L43" s="15">
        <f t="shared" si="61"/>
        <v>0.10706150341685672</v>
      </c>
      <c r="Q43" s="15"/>
      <c r="R43" s="15">
        <f t="shared" si="55"/>
        <v>5.5288461538461675E-2</v>
      </c>
      <c r="S43" s="15">
        <f t="shared" si="55"/>
        <v>3.4869458559663613E-2</v>
      </c>
      <c r="T43" s="15">
        <f t="shared" si="55"/>
        <v>-0.19302404334575007</v>
      </c>
      <c r="U43" s="15">
        <f t="shared" si="55"/>
        <v>0.17436005035669333</v>
      </c>
      <c r="V43" s="15">
        <f t="shared" ref="V43:Y43" si="62">V5/U5-1</f>
        <v>0.10000000000000009</v>
      </c>
      <c r="W43" s="15">
        <f t="shared" si="62"/>
        <v>8.0000000000000071E-2</v>
      </c>
      <c r="X43" s="15">
        <f t="shared" si="62"/>
        <v>7.0000000000000062E-2</v>
      </c>
      <c r="Y43" s="15">
        <f t="shared" si="62"/>
        <v>6.0000000000000053E-2</v>
      </c>
      <c r="Z43" s="15">
        <f t="shared" ref="Z43:AK43" si="63">Z5/Y5-1</f>
        <v>5.0000000000000044E-2</v>
      </c>
      <c r="AA43" s="15">
        <f t="shared" si="63"/>
        <v>5.0000000000000044E-2</v>
      </c>
      <c r="AB43" s="15">
        <f t="shared" si="63"/>
        <v>4.0000000000000036E-2</v>
      </c>
      <c r="AC43" s="15">
        <f t="shared" si="63"/>
        <v>4.0000000000000036E-2</v>
      </c>
      <c r="AD43" s="15">
        <f t="shared" si="63"/>
        <v>4.0000000000000036E-2</v>
      </c>
      <c r="AE43" s="15">
        <f t="shared" si="63"/>
        <v>4.0000000000000036E-2</v>
      </c>
      <c r="AF43" s="15">
        <f t="shared" si="63"/>
        <v>4.0000000000000036E-2</v>
      </c>
      <c r="AG43" s="15">
        <f t="shared" si="63"/>
        <v>4.0000000000000036E-2</v>
      </c>
      <c r="AH43" s="15">
        <f t="shared" si="63"/>
        <v>4.0000000000000036E-2</v>
      </c>
      <c r="AI43" s="15">
        <f t="shared" si="63"/>
        <v>4.0000000000000036E-2</v>
      </c>
      <c r="AJ43" s="15">
        <f t="shared" si="63"/>
        <v>4.0000000000000036E-2</v>
      </c>
      <c r="AK43" s="15">
        <f t="shared" si="63"/>
        <v>4.0000000000000036E-2</v>
      </c>
    </row>
    <row r="44" spans="1:37" s="4" customFormat="1" x14ac:dyDescent="0.25">
      <c r="A44" s="13"/>
      <c r="B44" s="13" t="s">
        <v>23</v>
      </c>
      <c r="C44" s="13"/>
      <c r="D44" s="13"/>
      <c r="E44" s="13"/>
      <c r="F44" s="13"/>
      <c r="G44" s="13">
        <f t="shared" ref="G44" si="64">G6/C6-1</f>
        <v>5.3753119600691068E-2</v>
      </c>
      <c r="H44" s="13">
        <f t="shared" ref="H44" si="65">H6/D6-1</f>
        <v>0.34458855098389973</v>
      </c>
      <c r="I44" s="13">
        <f t="shared" ref="I44" si="66">I6/E6-1</f>
        <v>0.26212448458668747</v>
      </c>
      <c r="J44" s="13">
        <f t="shared" ref="J44" si="67">J6/F6-1</f>
        <v>0.28357636224098282</v>
      </c>
      <c r="K44" s="13">
        <f t="shared" ref="K44" si="68">K6/G6-1</f>
        <v>0.26562215339770456</v>
      </c>
      <c r="L44" s="13">
        <f t="shared" ref="L44" si="69">L6/H6-1</f>
        <v>0.209878596374522</v>
      </c>
      <c r="M44" s="13"/>
      <c r="N44" s="13"/>
      <c r="O44" s="13"/>
      <c r="P44" s="14"/>
      <c r="Q44" s="13"/>
      <c r="R44" s="13">
        <f t="shared" si="55"/>
        <v>5.4864388197721548E-2</v>
      </c>
      <c r="S44" s="13">
        <f t="shared" si="55"/>
        <v>-4.0668775417984637E-3</v>
      </c>
      <c r="T44" s="13">
        <f t="shared" si="55"/>
        <v>-9.3194192377495488E-2</v>
      </c>
      <c r="U44" s="13">
        <f t="shared" si="55"/>
        <v>0.23186230361252891</v>
      </c>
      <c r="V44" s="13">
        <f t="shared" ref="V44:Y44" si="70">V6/U6-1</f>
        <v>0.18919374492282692</v>
      </c>
      <c r="W44" s="13">
        <f t="shared" si="70"/>
        <v>0.15668783162755573</v>
      </c>
      <c r="X44" s="13">
        <f t="shared" si="70"/>
        <v>0.13775078218733761</v>
      </c>
      <c r="Y44" s="13">
        <f t="shared" si="70"/>
        <v>0.12344691280472264</v>
      </c>
      <c r="Z44" s="13">
        <f t="shared" ref="Z44:AK44" si="71">Z6/Y6-1</f>
        <v>0.11695825852060104</v>
      </c>
      <c r="AA44" s="13">
        <f t="shared" si="71"/>
        <v>0.11794409055857957</v>
      </c>
      <c r="AB44" s="13">
        <f t="shared" si="71"/>
        <v>0.10043016681053696</v>
      </c>
      <c r="AC44" s="13">
        <f t="shared" si="71"/>
        <v>0.10117479918356698</v>
      </c>
      <c r="AD44" s="13">
        <f t="shared" si="71"/>
        <v>8.4639944372647324E-2</v>
      </c>
      <c r="AE44" s="13">
        <f t="shared" si="71"/>
        <v>8.5075123380024431E-2</v>
      </c>
      <c r="AF44" s="13">
        <f t="shared" si="71"/>
        <v>8.5500868126200169E-2</v>
      </c>
      <c r="AG44" s="13">
        <f t="shared" si="71"/>
        <v>8.5917151353751553E-2</v>
      </c>
      <c r="AH44" s="13">
        <f t="shared" si="71"/>
        <v>8.6323964205770709E-2</v>
      </c>
      <c r="AI44" s="13">
        <f t="shared" si="71"/>
        <v>8.6721315314102432E-2</v>
      </c>
      <c r="AJ44" s="13">
        <f t="shared" si="71"/>
        <v>8.7109229858410853E-2</v>
      </c>
      <c r="AK44" s="13">
        <f t="shared" si="71"/>
        <v>8.7487748604506477E-2</v>
      </c>
    </row>
    <row r="45" spans="1:37" x14ac:dyDescent="0.25">
      <c r="A45" s="13"/>
      <c r="B45" s="13" t="s">
        <v>24</v>
      </c>
      <c r="C45" s="13"/>
      <c r="D45" s="13"/>
      <c r="E45" s="13"/>
      <c r="F45" s="13"/>
      <c r="G45" s="13">
        <f t="shared" ref="G45:K45" si="72">G20/C20-1</f>
        <v>2.5161290322580712</v>
      </c>
      <c r="H45" s="13">
        <f t="shared" si="72"/>
        <v>3.2709677419354772</v>
      </c>
      <c r="I45" s="13">
        <f t="shared" si="72"/>
        <v>-1.5356885364095167</v>
      </c>
      <c r="J45" s="13">
        <f t="shared" si="72"/>
        <v>0.16898954703833113</v>
      </c>
      <c r="K45" s="13">
        <f t="shared" si="72"/>
        <v>3.6697247706422909E-2</v>
      </c>
      <c r="L45" s="13">
        <f>L20/H20-1</f>
        <v>0.20694864048338468</v>
      </c>
      <c r="M45" s="13"/>
      <c r="N45" s="13"/>
      <c r="O45" s="13"/>
      <c r="P45" s="14"/>
      <c r="Q45" s="13"/>
      <c r="R45" s="13">
        <f t="shared" ref="R45:T45" si="73">R20/Q20-1</f>
        <v>-0.3635609621233068</v>
      </c>
      <c r="S45" s="13">
        <f t="shared" si="73"/>
        <v>-3.2623805386620131E-2</v>
      </c>
      <c r="T45" s="13">
        <f t="shared" si="73"/>
        <v>-1.2119538371727521</v>
      </c>
      <c r="U45" s="13">
        <f>U20/T20-1</f>
        <v>-6.7838983050847288</v>
      </c>
      <c r="V45" s="13">
        <f t="shared" ref="V45:Y45" si="74">V20/U20-1</f>
        <v>5.8829120879120733E-2</v>
      </c>
      <c r="W45" s="13">
        <f t="shared" si="74"/>
        <v>0.11533108657067581</v>
      </c>
      <c r="X45" s="13">
        <f t="shared" si="74"/>
        <v>8.081414581800006E-2</v>
      </c>
      <c r="Y45" s="13">
        <f t="shared" si="74"/>
        <v>0.17707991360371844</v>
      </c>
      <c r="Z45" s="13">
        <f t="shared" ref="Z45:AK45" si="75">Z20/Y20-1</f>
        <v>2.2407275128248694E-2</v>
      </c>
      <c r="AA45" s="13">
        <f t="shared" si="75"/>
        <v>-1.0305269520263227E-2</v>
      </c>
      <c r="AB45" s="13">
        <f t="shared" si="75"/>
        <v>9.9872434323863057E-2</v>
      </c>
      <c r="AC45" s="13">
        <f t="shared" si="75"/>
        <v>0.10116117185457973</v>
      </c>
      <c r="AD45" s="13">
        <f t="shared" si="75"/>
        <v>0.22345449165434261</v>
      </c>
      <c r="AE45" s="13">
        <f t="shared" si="75"/>
        <v>0.20749942716060632</v>
      </c>
      <c r="AF45" s="13">
        <f t="shared" si="75"/>
        <v>8.23030494420256E-2</v>
      </c>
      <c r="AG45" s="13">
        <f t="shared" si="75"/>
        <v>8.3227372601165417E-2</v>
      </c>
      <c r="AH45" s="13">
        <f t="shared" si="75"/>
        <v>8.409740244503805E-2</v>
      </c>
      <c r="AI45" s="13">
        <f t="shared" si="75"/>
        <v>8.4915760658281103E-2</v>
      </c>
      <c r="AJ45" s="13">
        <f t="shared" si="75"/>
        <v>8.5685079117960194E-2</v>
      </c>
      <c r="AK45" s="13">
        <f t="shared" si="75"/>
        <v>8.640797284040902E-2</v>
      </c>
    </row>
    <row r="46" spans="1:37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7" s="18" customFormat="1" x14ac:dyDescent="0.25">
      <c r="B47" s="18" t="s">
        <v>55</v>
      </c>
      <c r="G47" s="18">
        <f t="shared" ref="G47:K47" si="76">(1+G13/F29)^4-1</f>
        <v>-3.0121954398350748E-2</v>
      </c>
      <c r="H47" s="18">
        <f t="shared" si="76"/>
        <v>-3.0021483299463081E-2</v>
      </c>
      <c r="I47" s="18">
        <f t="shared" si="76"/>
        <v>-2.6318569481572962E-2</v>
      </c>
      <c r="J47" s="18">
        <f t="shared" si="76"/>
        <v>-2.7012758133265202E-2</v>
      </c>
      <c r="K47" s="18">
        <f t="shared" si="76"/>
        <v>-2.4643690266486495E-2</v>
      </c>
      <c r="L47" s="18">
        <f>(1+L13/K29)^4-1</f>
        <v>-2.4791158537020408E-2</v>
      </c>
      <c r="P47" s="19"/>
      <c r="S47" s="18">
        <f>S13/R29</f>
        <v>-4.6533416614615859E-2</v>
      </c>
      <c r="T47" s="18">
        <f>T13/S29</f>
        <v>-3.1233911103483784E-2</v>
      </c>
      <c r="U47" s="18">
        <f>U13/T29</f>
        <v>-3.0374271205567044E-2</v>
      </c>
      <c r="V47" s="18">
        <f>V13/U29</f>
        <v>-3.5000000000000003E-2</v>
      </c>
      <c r="W47" s="18">
        <f t="shared" ref="W47:AF47" si="77">W13/V29</f>
        <v>-3.5000000000000003E-2</v>
      </c>
      <c r="X47" s="18">
        <f t="shared" si="77"/>
        <v>-3.5000000000000003E-2</v>
      </c>
      <c r="Y47" s="18">
        <f t="shared" si="77"/>
        <v>-3.5000000000000003E-2</v>
      </c>
      <c r="Z47" s="18">
        <f t="shared" si="77"/>
        <v>0.01</v>
      </c>
      <c r="AA47" s="18">
        <f t="shared" si="77"/>
        <v>0.01</v>
      </c>
      <c r="AB47" s="18">
        <f t="shared" si="77"/>
        <v>0.01</v>
      </c>
      <c r="AC47" s="18">
        <f t="shared" si="77"/>
        <v>0.01</v>
      </c>
      <c r="AD47" s="18">
        <f t="shared" si="77"/>
        <v>0.01</v>
      </c>
      <c r="AE47" s="18">
        <f t="shared" si="77"/>
        <v>0.01</v>
      </c>
      <c r="AF47" s="18">
        <f t="shared" si="77"/>
        <v>0.01</v>
      </c>
    </row>
    <row r="49" spans="22:23" x14ac:dyDescent="0.25">
      <c r="V49" s="10"/>
      <c r="W49" s="15"/>
    </row>
    <row r="50" spans="22:23" x14ac:dyDescent="0.25">
      <c r="V50" s="10" t="s">
        <v>57</v>
      </c>
      <c r="W50" s="15">
        <v>-0.01</v>
      </c>
    </row>
    <row r="51" spans="22:23" x14ac:dyDescent="0.25">
      <c r="V51" s="15" t="s">
        <v>58</v>
      </c>
      <c r="W51" s="15">
        <v>0.01</v>
      </c>
    </row>
    <row r="52" spans="22:23" x14ac:dyDescent="0.25">
      <c r="V52" t="s">
        <v>59</v>
      </c>
      <c r="W52" s="15">
        <v>0.08</v>
      </c>
    </row>
    <row r="53" spans="22:23" x14ac:dyDescent="0.25">
      <c r="V53" s="15" t="s">
        <v>60</v>
      </c>
      <c r="W53" s="20">
        <f>NPV(W52,V20:DD20)</f>
        <v>8817.3705876180775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2022-07-29T15:39:37Z</dcterms:created>
  <dcterms:modified xsi:type="dcterms:W3CDTF">2022-08-03T03:07:56Z</dcterms:modified>
</cp:coreProperties>
</file>