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Models\"/>
    </mc:Choice>
  </mc:AlternateContent>
  <xr:revisionPtr revIDLastSave="0" documentId="13_ncr:1_{DC96C4E7-190E-4609-BDB3-6D16EDCC9226}" xr6:coauthVersionLast="47" xr6:coauthVersionMax="47" xr10:uidLastSave="{00000000-0000-0000-0000-000000000000}"/>
  <bookViews>
    <workbookView xWindow="23040" yWindow="2910" windowWidth="15825" windowHeight="17250" xr2:uid="{0059096E-FB45-4687-8E83-CA48A4808244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9" i="2" l="1"/>
  <c r="W11" i="1"/>
  <c r="X11" i="1" s="1"/>
  <c r="Y11" i="1" s="1"/>
  <c r="Z11" i="1" s="1"/>
  <c r="AA11" i="1" s="1"/>
  <c r="AB11" i="1" s="1"/>
  <c r="AC11" i="1" s="1"/>
  <c r="AD11" i="1" s="1"/>
  <c r="AE11" i="1" s="1"/>
  <c r="AF11" i="1" s="1"/>
  <c r="V11" i="1"/>
  <c r="V6" i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V5" i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V4" i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V3" i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L30" i="1"/>
  <c r="V14" i="1"/>
  <c r="U25" i="1"/>
  <c r="T25" i="1"/>
  <c r="S25" i="1"/>
  <c r="R25" i="1"/>
  <c r="L25" i="1"/>
  <c r="K25" i="1"/>
  <c r="J25" i="1"/>
  <c r="I25" i="1"/>
  <c r="H25" i="1"/>
  <c r="G25" i="1"/>
  <c r="F25" i="1"/>
  <c r="K38" i="1"/>
  <c r="J38" i="1"/>
  <c r="I38" i="1"/>
  <c r="H38" i="1"/>
  <c r="G38" i="1"/>
  <c r="L38" i="1"/>
  <c r="F16" i="1"/>
  <c r="F15" i="1"/>
  <c r="F14" i="1"/>
  <c r="F12" i="1"/>
  <c r="F11" i="1"/>
  <c r="F10" i="1"/>
  <c r="F8" i="1"/>
  <c r="F6" i="1"/>
  <c r="F5" i="1"/>
  <c r="F4" i="1"/>
  <c r="F3" i="1"/>
  <c r="J16" i="1"/>
  <c r="J15" i="1"/>
  <c r="J14" i="1"/>
  <c r="J12" i="1"/>
  <c r="J11" i="1"/>
  <c r="J10" i="1"/>
  <c r="F7" i="1"/>
  <c r="F9" i="1" s="1"/>
  <c r="F13" i="1" s="1"/>
  <c r="G19" i="1"/>
  <c r="J17" i="1"/>
  <c r="J19" i="1" s="1"/>
  <c r="J13" i="1"/>
  <c r="J9" i="1"/>
  <c r="J8" i="1"/>
  <c r="J7" i="1"/>
  <c r="J6" i="1"/>
  <c r="J5" i="1"/>
  <c r="J4" i="1"/>
  <c r="J3" i="1"/>
  <c r="R24" i="1"/>
  <c r="S24" i="1"/>
  <c r="Q9" i="1"/>
  <c r="Q13" i="1" s="1"/>
  <c r="Q17" i="1" s="1"/>
  <c r="Q19" i="1" s="1"/>
  <c r="R9" i="1"/>
  <c r="R13" i="1" s="1"/>
  <c r="R17" i="1" s="1"/>
  <c r="R19" i="1" s="1"/>
  <c r="C9" i="1"/>
  <c r="C13" i="1" s="1"/>
  <c r="C17" i="1" s="1"/>
  <c r="C19" i="1" s="1"/>
  <c r="G24" i="1"/>
  <c r="D9" i="1"/>
  <c r="D13" i="1" s="1"/>
  <c r="D17" i="1" s="1"/>
  <c r="D19" i="1" s="1"/>
  <c r="H24" i="1"/>
  <c r="E9" i="1"/>
  <c r="E13" i="1" s="1"/>
  <c r="E17" i="1" s="1"/>
  <c r="E19" i="1" s="1"/>
  <c r="I9" i="1"/>
  <c r="I13" i="1" s="1"/>
  <c r="I17" i="1" s="1"/>
  <c r="I19" i="1" s="1"/>
  <c r="I24" i="1"/>
  <c r="S12" i="1"/>
  <c r="S9" i="1"/>
  <c r="T9" i="1"/>
  <c r="T13" i="1" s="1"/>
  <c r="T17" i="1" s="1"/>
  <c r="T19" i="1" s="1"/>
  <c r="U13" i="1"/>
  <c r="G13" i="1"/>
  <c r="H13" i="1"/>
  <c r="K13" i="1"/>
  <c r="L13" i="1"/>
  <c r="U9" i="1"/>
  <c r="T24" i="1"/>
  <c r="U24" i="1"/>
  <c r="F24" i="1"/>
  <c r="K24" i="1"/>
  <c r="G9" i="1"/>
  <c r="K9" i="1"/>
  <c r="H7" i="1"/>
  <c r="H9" i="1" s="1"/>
  <c r="L9" i="1"/>
  <c r="L27" i="1" s="1"/>
  <c r="J24" i="1"/>
  <c r="L24" i="1"/>
  <c r="L41" i="1"/>
  <c r="L37" i="1"/>
  <c r="L36" i="1"/>
  <c r="L35" i="1"/>
  <c r="L34" i="1"/>
  <c r="L33" i="1"/>
  <c r="L31" i="1"/>
  <c r="L29" i="1"/>
  <c r="N17" i="2"/>
  <c r="N16" i="2"/>
  <c r="N15" i="2"/>
  <c r="V7" i="1" l="1"/>
  <c r="X7" i="1"/>
  <c r="Y7" i="1"/>
  <c r="Z7" i="1"/>
  <c r="AA7" i="1"/>
  <c r="AA16" i="1" s="1"/>
  <c r="AB7" i="1"/>
  <c r="AB16" i="1" s="1"/>
  <c r="AC7" i="1"/>
  <c r="AC16" i="1" s="1"/>
  <c r="AF7" i="1"/>
  <c r="AF16" i="1" s="1"/>
  <c r="W7" i="1"/>
  <c r="Z9" i="1"/>
  <c r="Z27" i="1" s="1"/>
  <c r="AD7" i="1"/>
  <c r="X9" i="1"/>
  <c r="X27" i="1" s="1"/>
  <c r="AE7" i="1"/>
  <c r="Y9" i="1"/>
  <c r="Y27" i="1" s="1"/>
  <c r="F17" i="1"/>
  <c r="F19" i="1" s="1"/>
  <c r="J27" i="1"/>
  <c r="S13" i="1"/>
  <c r="S17" i="1" s="1"/>
  <c r="S19" i="1" s="1"/>
  <c r="U17" i="1"/>
  <c r="U19" i="1" s="1"/>
  <c r="G17" i="1"/>
  <c r="H17" i="1"/>
  <c r="K17" i="1"/>
  <c r="K19" i="1" s="1"/>
  <c r="H19" i="1"/>
  <c r="L28" i="1"/>
  <c r="K29" i="1"/>
  <c r="J29" i="1"/>
  <c r="I29" i="1"/>
  <c r="H29" i="1"/>
  <c r="G29" i="1"/>
  <c r="F29" i="1"/>
  <c r="E29" i="1"/>
  <c r="D29" i="1"/>
  <c r="C29" i="1"/>
  <c r="U29" i="1"/>
  <c r="T29" i="1"/>
  <c r="S29" i="1"/>
  <c r="R29" i="1"/>
  <c r="Q29" i="1"/>
  <c r="G41" i="1"/>
  <c r="H41" i="1"/>
  <c r="I41" i="1"/>
  <c r="J41" i="1"/>
  <c r="K41" i="1"/>
  <c r="V10" i="1" l="1"/>
  <c r="V9" i="1"/>
  <c r="V16" i="1"/>
  <c r="AB9" i="1"/>
  <c r="AB27" i="1" s="1"/>
  <c r="AB10" i="1"/>
  <c r="AF9" i="1"/>
  <c r="AF27" i="1" s="1"/>
  <c r="W9" i="1"/>
  <c r="W10" i="1"/>
  <c r="AA9" i="1"/>
  <c r="AA27" i="1" s="1"/>
  <c r="AA10" i="1"/>
  <c r="AF10" i="1"/>
  <c r="W16" i="1"/>
  <c r="Z16" i="1"/>
  <c r="Z10" i="1"/>
  <c r="Y16" i="1"/>
  <c r="Y10" i="1"/>
  <c r="AC9" i="1"/>
  <c r="AC27" i="1" s="1"/>
  <c r="AC10" i="1"/>
  <c r="X16" i="1"/>
  <c r="X10" i="1"/>
  <c r="AE9" i="1"/>
  <c r="AE27" i="1" s="1"/>
  <c r="AE16" i="1"/>
  <c r="AE10" i="1"/>
  <c r="AD16" i="1"/>
  <c r="AD9" i="1"/>
  <c r="AD27" i="1" s="1"/>
  <c r="AD10" i="1"/>
  <c r="X13" i="1"/>
  <c r="L17" i="1"/>
  <c r="L19" i="1" s="1"/>
  <c r="V41" i="1"/>
  <c r="V29" i="1"/>
  <c r="U37" i="1"/>
  <c r="T37" i="1"/>
  <c r="S37" i="1"/>
  <c r="R37" i="1"/>
  <c r="U36" i="1"/>
  <c r="T36" i="1"/>
  <c r="S36" i="1"/>
  <c r="R36" i="1"/>
  <c r="U35" i="1"/>
  <c r="T35" i="1"/>
  <c r="S35" i="1"/>
  <c r="R35" i="1"/>
  <c r="U34" i="1"/>
  <c r="T34" i="1"/>
  <c r="S34" i="1"/>
  <c r="R34" i="1"/>
  <c r="T33" i="1"/>
  <c r="S33" i="1"/>
  <c r="R33" i="1"/>
  <c r="U33" i="1"/>
  <c r="V27" i="1" l="1"/>
  <c r="V13" i="1"/>
  <c r="W27" i="1"/>
  <c r="W13" i="1"/>
  <c r="Y13" i="1"/>
  <c r="W28" i="1"/>
  <c r="K36" i="1"/>
  <c r="J36" i="1"/>
  <c r="I36" i="1"/>
  <c r="H36" i="1"/>
  <c r="G36" i="1"/>
  <c r="K35" i="1"/>
  <c r="J35" i="1"/>
  <c r="I35" i="1"/>
  <c r="H35" i="1"/>
  <c r="G35" i="1"/>
  <c r="K34" i="1"/>
  <c r="J34" i="1"/>
  <c r="I34" i="1"/>
  <c r="H34" i="1"/>
  <c r="G34" i="1"/>
  <c r="K33" i="1"/>
  <c r="J33" i="1"/>
  <c r="I33" i="1"/>
  <c r="H33" i="1"/>
  <c r="G33" i="1"/>
  <c r="K37" i="1"/>
  <c r="I37" i="1"/>
  <c r="H37" i="1"/>
  <c r="G37" i="1"/>
  <c r="U31" i="1"/>
  <c r="T31" i="1"/>
  <c r="S31" i="1"/>
  <c r="R31" i="1"/>
  <c r="Q31" i="1"/>
  <c r="U30" i="1"/>
  <c r="T30" i="1"/>
  <c r="S30" i="1"/>
  <c r="R30" i="1"/>
  <c r="K31" i="1"/>
  <c r="I31" i="1"/>
  <c r="H31" i="1"/>
  <c r="G31" i="1"/>
  <c r="E31" i="1"/>
  <c r="D31" i="1"/>
  <c r="C31" i="1"/>
  <c r="K30" i="1"/>
  <c r="I30" i="1"/>
  <c r="H30" i="1"/>
  <c r="G30" i="1"/>
  <c r="S41" i="1"/>
  <c r="T41" i="1"/>
  <c r="D27" i="1"/>
  <c r="U41" i="1"/>
  <c r="N5" i="2"/>
  <c r="N8" i="2" s="1"/>
  <c r="V17" i="1" l="1"/>
  <c r="V28" i="1"/>
  <c r="Z13" i="1"/>
  <c r="X28" i="1"/>
  <c r="X29" i="1"/>
  <c r="R38" i="1"/>
  <c r="S38" i="1"/>
  <c r="U38" i="1"/>
  <c r="Q27" i="1"/>
  <c r="T38" i="1"/>
  <c r="C27" i="1"/>
  <c r="E27" i="1"/>
  <c r="H28" i="1"/>
  <c r="I28" i="1"/>
  <c r="R27" i="1"/>
  <c r="S27" i="1"/>
  <c r="I27" i="1"/>
  <c r="T27" i="1"/>
  <c r="Q28" i="1"/>
  <c r="F30" i="1"/>
  <c r="H27" i="1"/>
  <c r="R28" i="1"/>
  <c r="U27" i="1"/>
  <c r="S28" i="1"/>
  <c r="T28" i="1"/>
  <c r="K27" i="1"/>
  <c r="U28" i="1"/>
  <c r="G28" i="1"/>
  <c r="K28" i="1"/>
  <c r="G27" i="1"/>
  <c r="C28" i="1"/>
  <c r="E28" i="1"/>
  <c r="V25" i="1" l="1"/>
  <c r="W14" i="1" s="1"/>
  <c r="V38" i="1"/>
  <c r="AA13" i="1"/>
  <c r="Y28" i="1"/>
  <c r="W29" i="1"/>
  <c r="Y29" i="1"/>
  <c r="D28" i="1"/>
  <c r="F31" i="1"/>
  <c r="W41" i="1" l="1"/>
  <c r="W17" i="1"/>
  <c r="W25" i="1" s="1"/>
  <c r="X14" i="1" s="1"/>
  <c r="X17" i="1" s="1"/>
  <c r="X25" i="1" s="1"/>
  <c r="Y14" i="1" s="1"/>
  <c r="Y17" i="1" s="1"/>
  <c r="Y25" i="1" s="1"/>
  <c r="Z14" i="1" s="1"/>
  <c r="Z17" i="1" s="1"/>
  <c r="Z25" i="1" s="1"/>
  <c r="AA14" i="1" s="1"/>
  <c r="AA17" i="1" s="1"/>
  <c r="AA25" i="1" s="1"/>
  <c r="AB14" i="1" s="1"/>
  <c r="AB13" i="1"/>
  <c r="Z28" i="1"/>
  <c r="Z29" i="1"/>
  <c r="F27" i="1"/>
  <c r="W38" i="1" l="1"/>
  <c r="AB17" i="1"/>
  <c r="AB25" i="1" s="1"/>
  <c r="AC14" i="1" s="1"/>
  <c r="AC13" i="1"/>
  <c r="AC17" i="1" s="1"/>
  <c r="AC25" i="1" s="1"/>
  <c r="AD14" i="1" s="1"/>
  <c r="AA29" i="1"/>
  <c r="F28" i="1"/>
  <c r="AD13" i="1" l="1"/>
  <c r="AD17" i="1" s="1"/>
  <c r="AD25" i="1" s="1"/>
  <c r="AE14" i="1" s="1"/>
  <c r="AA28" i="1"/>
  <c r="X41" i="1"/>
  <c r="AB29" i="1"/>
  <c r="AF13" i="1" l="1"/>
  <c r="AE13" i="1"/>
  <c r="AE17" i="1" s="1"/>
  <c r="AE25" i="1" s="1"/>
  <c r="AF14" i="1" s="1"/>
  <c r="AF17" i="1" s="1"/>
  <c r="AB28" i="1"/>
  <c r="X38" i="1"/>
  <c r="AC29" i="1"/>
  <c r="AF25" i="1" l="1"/>
  <c r="AG17" i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AC28" i="1"/>
  <c r="AD29" i="1"/>
  <c r="AD28" i="1" l="1"/>
  <c r="Y41" i="1"/>
  <c r="AF29" i="1"/>
  <c r="AE29" i="1"/>
  <c r="AI45" i="1" l="1"/>
  <c r="N18" i="2" s="1"/>
  <c r="AE28" i="1"/>
  <c r="AF28" i="1"/>
  <c r="Y38" i="1"/>
  <c r="Z41" i="1" l="1"/>
  <c r="Z38" i="1" l="1"/>
  <c r="AA41" i="1" l="1"/>
  <c r="AA38" i="1" l="1"/>
  <c r="AB41" i="1" l="1"/>
  <c r="AB38" i="1" l="1"/>
  <c r="AC41" i="1" l="1"/>
  <c r="AC38" i="1" l="1"/>
  <c r="AD41" i="1" l="1"/>
  <c r="AD38" i="1" l="1"/>
  <c r="AE41" i="1" l="1"/>
  <c r="AE38" i="1" l="1"/>
  <c r="AF41" i="1" l="1"/>
  <c r="AF38" i="1" l="1"/>
  <c r="J28" i="1"/>
  <c r="J37" i="1"/>
  <c r="J30" i="1"/>
  <c r="J31" i="1"/>
</calcChain>
</file>

<file path=xl/sharedStrings.xml><?xml version="1.0" encoding="utf-8"?>
<sst xmlns="http://schemas.openxmlformats.org/spreadsheetml/2006/main" count="68" uniqueCount="61">
  <si>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</si>
  <si>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</si>
  <si>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</si>
  <si>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</si>
  <si>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</si>
  <si>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</si>
  <si>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</si>
  <si>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</si>
  <si>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</si>
  <si>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</si>
  <si>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</si>
  <si>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</si>
  <si>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Revenue</t>
  </si>
  <si>
    <t>COGS</t>
  </si>
  <si>
    <t>SG&amp;A</t>
  </si>
  <si>
    <t>Operating Income</t>
  </si>
  <si>
    <t>Taxes expense</t>
  </si>
  <si>
    <t>Net income</t>
  </si>
  <si>
    <t>Shares</t>
  </si>
  <si>
    <t>EPS</t>
  </si>
  <si>
    <t>Gross margin</t>
  </si>
  <si>
    <t>Operating margin</t>
  </si>
  <si>
    <t>Tax on revenue rate</t>
  </si>
  <si>
    <t>Revenue y/y</t>
  </si>
  <si>
    <t>Net income y/y</t>
  </si>
  <si>
    <t>Price</t>
  </si>
  <si>
    <t>MkCap</t>
  </si>
  <si>
    <t>Cash</t>
  </si>
  <si>
    <t>Debt</t>
  </si>
  <si>
    <t>EV</t>
  </si>
  <si>
    <t>Interest expense</t>
  </si>
  <si>
    <t>Inventory</t>
  </si>
  <si>
    <t>PP&amp;E, net</t>
  </si>
  <si>
    <t>Gross profit</t>
  </si>
  <si>
    <t>Net cash</t>
  </si>
  <si>
    <t>Interest on Cash</t>
  </si>
  <si>
    <t>Terminal</t>
  </si>
  <si>
    <t>ROIC</t>
  </si>
  <si>
    <t>Discount</t>
  </si>
  <si>
    <t>NPV</t>
  </si>
  <si>
    <t>SG&amp;A rate</t>
  </si>
  <si>
    <t>NX</t>
  </si>
  <si>
    <t>Quanex Building Products Corporation</t>
  </si>
  <si>
    <t>Apr</t>
  </si>
  <si>
    <t>Oct</t>
  </si>
  <si>
    <t>Jan</t>
  </si>
  <si>
    <t>Weirdo quarter</t>
  </si>
  <si>
    <t>Depreciation and amortization</t>
  </si>
  <si>
    <t>Other gain</t>
  </si>
  <si>
    <t>NA windows</t>
  </si>
  <si>
    <t>EU Windows</t>
  </si>
  <si>
    <t>NA Cabinets</t>
  </si>
  <si>
    <t>Other sales and discounts</t>
  </si>
  <si>
    <t>Other expenses</t>
  </si>
  <si>
    <t>July</t>
  </si>
  <si>
    <t>Revenue on PP&amp;E net</t>
  </si>
  <si>
    <t>NA windows y/y</t>
  </si>
  <si>
    <t>EU Windows y/y</t>
  </si>
  <si>
    <t>NA Cabinets y/y</t>
  </si>
  <si>
    <t>Other sales and discounts y/y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</si>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</sst>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4" fontId="0" fillId="0" borderId="0" xfId="0" applyNumberFormat="1"/>
    <xf numFmtId="3" fontId="0" fillId="2" borderId="0" xfId="0" applyNumberFormat="1" applyFill="1"/>
    <xf numFmtId="4" fontId="0" fillId="2" borderId="0" xfId="0" applyNumberFormat="1" applyFill="1"/>
    <xf numFmtId="9" fontId="1" fillId="0" borderId="0" xfId="0" applyNumberFormat="1" applyFont="1"/>
    <xf numFmtId="9" fontId="1" fillId="2" borderId="0" xfId="0" applyNumberFormat="1" applyFont="1" applyFill="1"/>
    <xf numFmtId="9" fontId="0" fillId="0" borderId="0" xfId="0" applyNumberFormat="1"/>
    <xf numFmtId="9" fontId="0" fillId="2" borderId="0" xfId="0" applyNumberFormat="1" applyFill="1"/>
    <xf numFmtId="44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8" fontId="0" fillId="0" borderId="0" xfId="0" applyNumberFormat="1"/>
    <xf numFmtId="3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56417</xdr:colOff>
      <xdr:row>0</xdr:row>
      <xdr:rowOff>0</xdr:rowOff>
    </xdr:from>
    <xdr:to>
      <xdr:col>12</xdr:col>
      <xdr:colOff>56417</xdr:colOff>
      <xdr:row>41</xdr:row>
      <xdr:rowOff>168519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2345345-F0B6-4AE2-A6A9-0610AA28392A}"/>
            </a:ext>
          </a:extLst>
        </xdr:cNvPr>
        <xdr:cNvCxnSpPr/>
      </xdr:nvCxnSpPr>
      <xdr:spPr>
        <a:xfrm>
          <a:off x="8857517" y="0"/>
          <a:ext cx="0" cy="77885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0</xdr:row>
      <xdr:rowOff>9525</xdr:rowOff>
    </xdr:from>
    <xdr:to>
      <xdr:col>21</xdr:col>
      <xdr:colOff>19050</xdr:colOff>
      <xdr:row>42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4BF9532-F513-4B59-AFF3-65781C501A93}"/>
            </a:ext>
          </a:extLst>
        </xdr:cNvPr>
        <xdr:cNvCxnSpPr/>
      </xdr:nvCxnSpPr>
      <xdr:spPr>
        <a:xfrm>
          <a:off x="13992225" y="9525"/>
          <a:ext cx="0" cy="950301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0774-B749-4685-A014-25AB192F1EFE}">
  <dimension ref="M1:N19"/>
  <sheetViews>
    <sheetView tabSelected="1" workbookViewId="0">
      <selection activeCell="F15" sqref="F15"/>
    </sheetView>
  </sheetViews>
  <sheetFormatPr defaultRowHeight="15" x14ac:dyDescent="0.25"/>
  <cols>
    <col min="13" max="13" width="9.7109375" bestFit="1" customWidth="1"/>
    <col min="14" max="14" width="9.85546875" bestFit="1" customWidth="1"/>
  </cols>
  <sheetData>
    <row r="1" spans="13:14" ht="18" x14ac:dyDescent="0.25">
      <c r="M1" s="22" t="s">
        <v>42</v>
      </c>
    </row>
    <row r="2" spans="13:14" x14ac:dyDescent="0.25">
      <c r="M2" t="s">
        <v>41</v>
      </c>
    </row>
    <row r="3" spans="13:14" x14ac:dyDescent="0.25">
      <c r="M3" t="s">
        <v>25</v>
      </c>
      <c r="N3" s="17">
        <v>25.18</v>
      </c>
    </row>
    <row r="4" spans="13:14" x14ac:dyDescent="0.25">
      <c r="M4" t="s">
        <v>18</v>
      </c>
      <c r="N4" s="1">
        <v>33.156999999999996</v>
      </c>
    </row>
    <row r="5" spans="13:14" x14ac:dyDescent="0.25">
      <c r="M5" t="s">
        <v>26</v>
      </c>
      <c r="N5" s="1">
        <f>N3*N4</f>
        <v>834.89325999999994</v>
      </c>
    </row>
    <row r="6" spans="13:14" x14ac:dyDescent="0.25">
      <c r="M6" t="s">
        <v>27</v>
      </c>
      <c r="N6" s="1">
        <v>38.9</v>
      </c>
    </row>
    <row r="7" spans="13:14" x14ac:dyDescent="0.25">
      <c r="M7" t="s">
        <v>28</v>
      </c>
      <c r="N7" s="1">
        <v>81.078000000000003</v>
      </c>
    </row>
    <row r="8" spans="13:14" x14ac:dyDescent="0.25">
      <c r="M8" t="s">
        <v>29</v>
      </c>
      <c r="N8" s="1">
        <f>N5-N6+N7</f>
        <v>877.07125999999994</v>
      </c>
    </row>
    <row r="11" spans="13:14" x14ac:dyDescent="0.25">
      <c r="M11" s="2">
        <v>44774</v>
      </c>
    </row>
    <row r="15" spans="13:14" x14ac:dyDescent="0.25">
      <c r="M15" s="10" t="s">
        <v>36</v>
      </c>
      <c r="N15" s="18">
        <f>Model!AI42</f>
        <v>-1.4999999999999999E-2</v>
      </c>
    </row>
    <row r="16" spans="13:14" x14ac:dyDescent="0.25">
      <c r="M16" s="15" t="s">
        <v>37</v>
      </c>
      <c r="N16" s="18">
        <f>Model!AI43</f>
        <v>-0.01</v>
      </c>
    </row>
    <row r="17" spans="13:14" x14ac:dyDescent="0.25">
      <c r="M17" t="s">
        <v>38</v>
      </c>
      <c r="N17" s="18">
        <f>Model!AI44</f>
        <v>8.5000000000000006E-2</v>
      </c>
    </row>
    <row r="18" spans="13:14" x14ac:dyDescent="0.25">
      <c r="M18" s="15" t="s">
        <v>39</v>
      </c>
      <c r="N18" s="1">
        <f>Model!AI45</f>
        <v>1643.4101590621442</v>
      </c>
    </row>
    <row r="19" spans="13:14" x14ac:dyDescent="0.25">
      <c r="M19" t="s">
        <v>60</v>
      </c>
      <c r="N19" s="17">
        <f>N18/N4</f>
        <v>49.564500982059428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4B3-79B0-4A5E-8A82-3BDE2546F8D8}">
  <dimension ref="A1:DE45"/>
  <sheetViews>
    <sheetView zoomScale="85" zoomScaleNormal="8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L17" sqref="L17"/>
    </sheetView>
  </sheetViews>
  <sheetFormatPr defaultRowHeight="15" x14ac:dyDescent="0.25"/>
  <cols>
    <col min="2" max="2" width="31.42578125" customWidth="1"/>
    <col min="3" max="15" width="9.140625" style="1"/>
    <col min="16" max="16" width="4.42578125" style="3" customWidth="1"/>
    <col min="23" max="23" width="10.85546875" bestFit="1" customWidth="1"/>
    <col min="35" max="35" width="10.85546875" bestFit="1" customWidth="1"/>
    <col min="40" max="40" width="10.85546875" bestFit="1" customWidth="1"/>
  </cols>
  <sheetData>
    <row r="1" spans="1:37" x14ac:dyDescent="0.25">
      <c r="B1" t="s">
        <v>46</v>
      </c>
      <c r="I1" s="1" t="s">
        <v>54</v>
      </c>
      <c r="J1" s="1" t="s">
        <v>44</v>
      </c>
      <c r="K1" s="1" t="s">
        <v>45</v>
      </c>
      <c r="L1" s="1" t="s">
        <v>43</v>
      </c>
    </row>
    <row r="2" spans="1:3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</row>
    <row r="3" spans="1:37" s="1" customFormat="1" x14ac:dyDescent="0.25">
      <c r="B3" s="1" t="s">
        <v>49</v>
      </c>
      <c r="C3" s="1">
        <v>110.45</v>
      </c>
      <c r="D3" s="1">
        <v>108.6</v>
      </c>
      <c r="E3" s="1">
        <v>122.386</v>
      </c>
      <c r="F3" s="1">
        <f>T3-E3-D3-C3</f>
        <v>141.964</v>
      </c>
      <c r="G3" s="1">
        <v>128.11000000000001</v>
      </c>
      <c r="H3" s="1">
        <v>146.13999999999999</v>
      </c>
      <c r="I3" s="1">
        <v>147.81800000000001</v>
      </c>
      <c r="J3" s="1">
        <f>U3-I3-H3-G3</f>
        <v>156.26200000000006</v>
      </c>
      <c r="K3" s="1">
        <v>146.63</v>
      </c>
      <c r="L3" s="1">
        <v>177.9</v>
      </c>
      <c r="P3" s="11"/>
      <c r="Q3" s="1">
        <v>474.9</v>
      </c>
      <c r="R3" s="1">
        <v>485.36599999999999</v>
      </c>
      <c r="S3" s="1">
        <v>503.8</v>
      </c>
      <c r="T3" s="1">
        <v>483.4</v>
      </c>
      <c r="U3" s="1">
        <v>578.33000000000004</v>
      </c>
      <c r="V3" s="1">
        <f>U3*(1+V33)</f>
        <v>676.64610000000005</v>
      </c>
      <c r="W3" s="1">
        <f t="shared" ref="W3:AF3" si="0">V3*(1+W33)</f>
        <v>764.61009300000001</v>
      </c>
      <c r="X3" s="1">
        <f t="shared" si="0"/>
        <v>833.42500137000002</v>
      </c>
      <c r="Y3" s="1">
        <f t="shared" si="0"/>
        <v>900.09900147960013</v>
      </c>
      <c r="Z3" s="1">
        <f t="shared" si="0"/>
        <v>954.10494156837615</v>
      </c>
      <c r="AA3" s="1">
        <f t="shared" si="0"/>
        <v>1001.810188646795</v>
      </c>
      <c r="AB3" s="1">
        <f t="shared" si="0"/>
        <v>1051.9006980791348</v>
      </c>
      <c r="AC3" s="1">
        <f t="shared" si="0"/>
        <v>1104.4957329830916</v>
      </c>
      <c r="AD3" s="1">
        <f t="shared" si="0"/>
        <v>1159.7205196322461</v>
      </c>
      <c r="AE3" s="1">
        <f t="shared" si="0"/>
        <v>1217.7065456138585</v>
      </c>
      <c r="AF3" s="1">
        <f t="shared" si="0"/>
        <v>1278.5918728945514</v>
      </c>
    </row>
    <row r="4" spans="1:37" s="1" customFormat="1" x14ac:dyDescent="0.25">
      <c r="B4" s="1" t="s">
        <v>50</v>
      </c>
      <c r="C4" s="1">
        <v>36.765999999999998</v>
      </c>
      <c r="D4" s="1">
        <v>29.2</v>
      </c>
      <c r="E4" s="1">
        <v>38.299999999999997</v>
      </c>
      <c r="F4" s="1">
        <f t="shared" ref="F4:F6" si="1">T4-E4-D4-C4</f>
        <v>56.784000000000013</v>
      </c>
      <c r="G4" s="1">
        <v>49.09</v>
      </c>
      <c r="H4" s="1">
        <v>61.66</v>
      </c>
      <c r="I4" s="1">
        <v>71.114000000000004</v>
      </c>
      <c r="J4" s="1">
        <f t="shared" ref="J4:J16" si="2">U4-I4-H4-G4</f>
        <v>69.734999999999985</v>
      </c>
      <c r="K4" s="1">
        <v>58.914000000000001</v>
      </c>
      <c r="L4" s="1">
        <v>73.42</v>
      </c>
      <c r="P4" s="11"/>
      <c r="Q4" s="1">
        <v>147.9</v>
      </c>
      <c r="R4" s="1">
        <v>159.97300000000001</v>
      </c>
      <c r="S4" s="1">
        <v>165</v>
      </c>
      <c r="T4" s="1">
        <v>161.05000000000001</v>
      </c>
      <c r="U4" s="1">
        <v>251.59899999999999</v>
      </c>
      <c r="V4" s="1">
        <f t="shared" ref="V4:AF4" si="3">U4*(1+V34)</f>
        <v>294.37082999999996</v>
      </c>
      <c r="W4" s="1">
        <f t="shared" si="3"/>
        <v>332.63903789999989</v>
      </c>
      <c r="X4" s="1">
        <f t="shared" si="3"/>
        <v>362.57655131099989</v>
      </c>
      <c r="Y4" s="1">
        <f t="shared" si="3"/>
        <v>391.58267541587992</v>
      </c>
      <c r="Z4" s="1">
        <f t="shared" si="3"/>
        <v>415.07763594083275</v>
      </c>
      <c r="AA4" s="1">
        <f t="shared" si="3"/>
        <v>435.83151773787438</v>
      </c>
      <c r="AB4" s="1">
        <f t="shared" si="3"/>
        <v>457.6230936247681</v>
      </c>
      <c r="AC4" s="1">
        <f t="shared" si="3"/>
        <v>480.5042483060065</v>
      </c>
      <c r="AD4" s="1">
        <f t="shared" si="3"/>
        <v>504.52946072130686</v>
      </c>
      <c r="AE4" s="1">
        <f t="shared" si="3"/>
        <v>529.75593375737219</v>
      </c>
      <c r="AF4" s="1">
        <f t="shared" si="3"/>
        <v>556.24373044524077</v>
      </c>
    </row>
    <row r="5" spans="1:37" s="1" customFormat="1" x14ac:dyDescent="0.25">
      <c r="B5" s="1" t="s">
        <v>51</v>
      </c>
      <c r="C5" s="1">
        <v>50</v>
      </c>
      <c r="D5" s="1">
        <v>50.66</v>
      </c>
      <c r="E5" s="1">
        <v>51.9</v>
      </c>
      <c r="F5" s="1">
        <f t="shared" si="1"/>
        <v>57.539999999999992</v>
      </c>
      <c r="G5" s="1">
        <v>53.994</v>
      </c>
      <c r="H5" s="1">
        <v>63.56</v>
      </c>
      <c r="I5" s="1">
        <v>61.936</v>
      </c>
      <c r="J5" s="1">
        <f t="shared" si="2"/>
        <v>66.58499999999998</v>
      </c>
      <c r="K5" s="1">
        <v>62.353000000000002</v>
      </c>
      <c r="L5" s="1">
        <v>72.878</v>
      </c>
      <c r="P5" s="11"/>
      <c r="Q5" s="1">
        <v>248.8</v>
      </c>
      <c r="R5" s="1">
        <v>250</v>
      </c>
      <c r="S5" s="1">
        <v>229.6</v>
      </c>
      <c r="T5" s="1">
        <v>210.1</v>
      </c>
      <c r="U5" s="1">
        <v>246.07499999999999</v>
      </c>
      <c r="V5" s="1">
        <f t="shared" ref="V5:AF5" si="4">U5*(1+V35)</f>
        <v>282.98624999999998</v>
      </c>
      <c r="W5" s="1">
        <f t="shared" si="4"/>
        <v>316.94460000000004</v>
      </c>
      <c r="X5" s="1">
        <f t="shared" si="4"/>
        <v>345.46961400000009</v>
      </c>
      <c r="Y5" s="1">
        <f t="shared" si="4"/>
        <v>373.10718312000012</v>
      </c>
      <c r="Z5" s="1">
        <f t="shared" si="4"/>
        <v>395.49361410720013</v>
      </c>
      <c r="AA5" s="1">
        <f t="shared" si="4"/>
        <v>419.22323095363214</v>
      </c>
      <c r="AB5" s="1">
        <f t="shared" si="4"/>
        <v>440.18439250131377</v>
      </c>
      <c r="AC5" s="1">
        <f t="shared" si="4"/>
        <v>462.19361212637949</v>
      </c>
      <c r="AD5" s="1">
        <f t="shared" si="4"/>
        <v>480.68135661143469</v>
      </c>
      <c r="AE5" s="1">
        <f t="shared" si="4"/>
        <v>499.90861087589212</v>
      </c>
      <c r="AF5" s="1">
        <f t="shared" si="4"/>
        <v>519.90495531092779</v>
      </c>
    </row>
    <row r="6" spans="1:37" s="1" customFormat="1" x14ac:dyDescent="0.25">
      <c r="B6" s="1" t="s">
        <v>52</v>
      </c>
      <c r="C6" s="1">
        <v>-0.65</v>
      </c>
      <c r="D6" s="1">
        <v>-1</v>
      </c>
      <c r="E6" s="1">
        <v>-0.48</v>
      </c>
      <c r="F6" s="1">
        <f t="shared" si="1"/>
        <v>-0.87</v>
      </c>
      <c r="G6" s="1">
        <v>-1.05</v>
      </c>
      <c r="H6" s="1">
        <v>-1</v>
      </c>
      <c r="I6" s="1">
        <v>-1</v>
      </c>
      <c r="J6" s="1">
        <f t="shared" si="2"/>
        <v>-0.80700000000000016</v>
      </c>
      <c r="K6" s="1">
        <v>-0.85799999999999998</v>
      </c>
      <c r="L6" s="1">
        <v>-1.3</v>
      </c>
      <c r="P6" s="11"/>
      <c r="Q6" s="1">
        <v>-5.0999999999999996</v>
      </c>
      <c r="R6" s="1">
        <v>-5.3</v>
      </c>
      <c r="S6" s="1">
        <v>-4.5999999999999996</v>
      </c>
      <c r="T6" s="1">
        <v>-3</v>
      </c>
      <c r="U6" s="1">
        <v>-3.8570000000000002</v>
      </c>
      <c r="V6" s="1">
        <f t="shared" ref="V6:AF6" si="5">U6*(1+V36)</f>
        <v>-4.4355500000000001</v>
      </c>
      <c r="W6" s="1">
        <f t="shared" si="5"/>
        <v>-4.9678160000000009</v>
      </c>
      <c r="X6" s="1">
        <f t="shared" si="5"/>
        <v>-5.4149194400000011</v>
      </c>
      <c r="Y6" s="1">
        <f t="shared" si="5"/>
        <v>-5.8481129952000019</v>
      </c>
      <c r="Z6" s="1">
        <f t="shared" si="5"/>
        <v>-6.2574809048640025</v>
      </c>
      <c r="AA6" s="1">
        <f t="shared" si="5"/>
        <v>-6.6329297591558429</v>
      </c>
      <c r="AB6" s="1">
        <f t="shared" si="5"/>
        <v>-6.9645762471136354</v>
      </c>
      <c r="AC6" s="1">
        <f t="shared" si="5"/>
        <v>-7.3128050594693175</v>
      </c>
      <c r="AD6" s="1">
        <f t="shared" si="5"/>
        <v>-7.6784453124427836</v>
      </c>
      <c r="AE6" s="1">
        <f t="shared" si="5"/>
        <v>-8.062367578064924</v>
      </c>
      <c r="AF6" s="1">
        <f t="shared" si="5"/>
        <v>-8.4654859569681697</v>
      </c>
    </row>
    <row r="7" spans="1:37" x14ac:dyDescent="0.25">
      <c r="A7" s="4"/>
      <c r="B7" s="4" t="s">
        <v>12</v>
      </c>
      <c r="C7" s="5">
        <v>196.6</v>
      </c>
      <c r="D7" s="5">
        <v>187.47499999999999</v>
      </c>
      <c r="E7" s="5">
        <v>212.096</v>
      </c>
      <c r="F7" s="5">
        <f>SUM(F3:F6)</f>
        <v>255.41800000000001</v>
      </c>
      <c r="G7" s="5">
        <v>230.14699999999999</v>
      </c>
      <c r="H7" s="5">
        <f>SUM(H3:H6)</f>
        <v>270.36</v>
      </c>
      <c r="I7" s="5">
        <v>279.87700000000001</v>
      </c>
      <c r="J7" s="5">
        <f>SUM(J3:J6)</f>
        <v>291.77499999999998</v>
      </c>
      <c r="K7" s="5">
        <v>267</v>
      </c>
      <c r="L7" s="5">
        <v>322.89299999999997</v>
      </c>
      <c r="M7" s="5"/>
      <c r="N7" s="5"/>
      <c r="O7" s="5"/>
      <c r="P7" s="6"/>
      <c r="Q7" s="5">
        <v>866.55499999999995</v>
      </c>
      <c r="R7" s="5">
        <v>889.78499999999997</v>
      </c>
      <c r="S7" s="5">
        <v>893.84100000000001</v>
      </c>
      <c r="T7" s="5">
        <v>851.57299999999998</v>
      </c>
      <c r="U7" s="5">
        <v>1072.1500000000001</v>
      </c>
      <c r="V7" s="5">
        <f>SUM(V3:V6)</f>
        <v>1249.56763</v>
      </c>
      <c r="W7" s="5">
        <f t="shared" ref="W7:AF7" si="6">SUM(W3:W6)</f>
        <v>1409.2259148999999</v>
      </c>
      <c r="X7" s="5">
        <f t="shared" si="6"/>
        <v>1536.0562472409999</v>
      </c>
      <c r="Y7" s="5">
        <f t="shared" si="6"/>
        <v>1658.9407470202802</v>
      </c>
      <c r="Z7" s="5">
        <f t="shared" si="6"/>
        <v>1758.4187107115449</v>
      </c>
      <c r="AA7" s="5">
        <f t="shared" si="6"/>
        <v>1850.2320075791456</v>
      </c>
      <c r="AB7" s="5">
        <f t="shared" si="6"/>
        <v>1942.7436079581032</v>
      </c>
      <c r="AC7" s="5">
        <f t="shared" si="6"/>
        <v>2039.8807883560082</v>
      </c>
      <c r="AD7" s="5">
        <f t="shared" si="6"/>
        <v>2137.2528916525448</v>
      </c>
      <c r="AE7" s="5">
        <f t="shared" si="6"/>
        <v>2239.3087226690577</v>
      </c>
      <c r="AF7" s="5">
        <f t="shared" si="6"/>
        <v>2346.275072693752</v>
      </c>
      <c r="AG7" s="5"/>
      <c r="AH7" s="5"/>
      <c r="AI7" s="5"/>
      <c r="AJ7" s="5"/>
      <c r="AK7" s="5"/>
    </row>
    <row r="8" spans="1:37" s="1" customFormat="1" x14ac:dyDescent="0.25">
      <c r="B8" s="1" t="s">
        <v>13</v>
      </c>
      <c r="C8" s="1">
        <v>157.4</v>
      </c>
      <c r="D8" s="1">
        <v>149.72999999999999</v>
      </c>
      <c r="E8" s="1">
        <v>162.42699999999999</v>
      </c>
      <c r="F8" s="1">
        <f>T8-E8-D8-C8</f>
        <v>189.19299999999996</v>
      </c>
      <c r="G8" s="1">
        <v>176.4</v>
      </c>
      <c r="H8" s="1">
        <v>208.46</v>
      </c>
      <c r="I8" s="1">
        <v>219.86600000000001</v>
      </c>
      <c r="J8" s="1">
        <f t="shared" si="2"/>
        <v>226.81399999999994</v>
      </c>
      <c r="K8" s="1">
        <v>211.834</v>
      </c>
      <c r="L8" s="1">
        <v>249.62100000000001</v>
      </c>
      <c r="P8" s="11"/>
      <c r="Q8" s="1">
        <v>672.48800000000006</v>
      </c>
      <c r="R8" s="1">
        <v>697</v>
      </c>
      <c r="S8" s="1">
        <v>694.4</v>
      </c>
      <c r="T8" s="1">
        <v>658.75</v>
      </c>
      <c r="U8" s="1">
        <v>831.54</v>
      </c>
    </row>
    <row r="9" spans="1:37" x14ac:dyDescent="0.25">
      <c r="A9" s="4"/>
      <c r="B9" s="4" t="s">
        <v>33</v>
      </c>
      <c r="C9" s="5">
        <f t="shared" ref="C9:L9" si="7">C7-C8</f>
        <v>39.199999999999989</v>
      </c>
      <c r="D9" s="5">
        <f t="shared" si="7"/>
        <v>37.745000000000005</v>
      </c>
      <c r="E9" s="5">
        <f t="shared" si="7"/>
        <v>49.669000000000011</v>
      </c>
      <c r="F9" s="5">
        <f t="shared" si="7"/>
        <v>66.225000000000051</v>
      </c>
      <c r="G9" s="5">
        <f t="shared" si="7"/>
        <v>53.746999999999986</v>
      </c>
      <c r="H9" s="5">
        <f t="shared" si="7"/>
        <v>61.900000000000006</v>
      </c>
      <c r="I9" s="5">
        <f t="shared" si="7"/>
        <v>60.010999999999996</v>
      </c>
      <c r="J9" s="5">
        <f t="shared" si="7"/>
        <v>64.961000000000041</v>
      </c>
      <c r="K9" s="5">
        <f t="shared" si="7"/>
        <v>55.165999999999997</v>
      </c>
      <c r="L9" s="5">
        <f t="shared" si="7"/>
        <v>73.271999999999963</v>
      </c>
      <c r="M9" s="5"/>
      <c r="N9" s="5"/>
      <c r="O9" s="5"/>
      <c r="P9" s="6"/>
      <c r="Q9" s="5">
        <f>Q7-Q8</f>
        <v>194.06699999999989</v>
      </c>
      <c r="R9" s="5">
        <f>R7-R8</f>
        <v>192.78499999999997</v>
      </c>
      <c r="S9" s="5">
        <f>S7-S8</f>
        <v>199.44100000000003</v>
      </c>
      <c r="T9" s="5">
        <f>T7-T8</f>
        <v>192.82299999999998</v>
      </c>
      <c r="U9" s="5">
        <f>U7-U8</f>
        <v>240.61000000000013</v>
      </c>
      <c r="V9" s="5">
        <f>V7*0.22</f>
        <v>274.90487860000002</v>
      </c>
      <c r="W9" s="5">
        <f t="shared" ref="W9:AF9" si="8">W7*0.22</f>
        <v>310.029701278</v>
      </c>
      <c r="X9" s="5">
        <f t="shared" si="8"/>
        <v>337.93237439301998</v>
      </c>
      <c r="Y9" s="5">
        <f t="shared" si="8"/>
        <v>364.96696434446164</v>
      </c>
      <c r="Z9" s="5">
        <f t="shared" si="8"/>
        <v>386.85211635653991</v>
      </c>
      <c r="AA9" s="5">
        <f t="shared" si="8"/>
        <v>407.05104166741205</v>
      </c>
      <c r="AB9" s="5">
        <f t="shared" si="8"/>
        <v>427.4035937507827</v>
      </c>
      <c r="AC9" s="5">
        <f t="shared" si="8"/>
        <v>448.77377343832183</v>
      </c>
      <c r="AD9" s="5">
        <f t="shared" si="8"/>
        <v>470.19563616355987</v>
      </c>
      <c r="AE9" s="5">
        <f t="shared" si="8"/>
        <v>492.64791898719272</v>
      </c>
      <c r="AF9" s="5">
        <f t="shared" si="8"/>
        <v>516.18051599262549</v>
      </c>
      <c r="AG9" s="5"/>
      <c r="AH9" s="5"/>
      <c r="AI9" s="5"/>
      <c r="AJ9" s="5"/>
      <c r="AK9" s="5"/>
    </row>
    <row r="10" spans="1:37" x14ac:dyDescent="0.25">
      <c r="B10" t="s">
        <v>14</v>
      </c>
      <c r="C10" s="1">
        <v>24.1</v>
      </c>
      <c r="D10" s="1">
        <v>16.7</v>
      </c>
      <c r="E10" s="1">
        <v>21.97</v>
      </c>
      <c r="F10" s="1">
        <f t="shared" ref="F10:F12" si="9">T10-E10-D10-C10</f>
        <v>26.936999999999991</v>
      </c>
      <c r="G10" s="1">
        <v>30.861000000000001</v>
      </c>
      <c r="H10" s="1">
        <v>29.67</v>
      </c>
      <c r="I10" s="1">
        <v>27.8</v>
      </c>
      <c r="J10" s="1">
        <f t="shared" si="2"/>
        <v>27.638999999999999</v>
      </c>
      <c r="K10" s="1">
        <v>30.823</v>
      </c>
      <c r="L10" s="1">
        <v>28.129000000000001</v>
      </c>
      <c r="Q10" s="1">
        <v>98.1</v>
      </c>
      <c r="R10" s="1">
        <v>103.758</v>
      </c>
      <c r="S10" s="1">
        <v>101.3</v>
      </c>
      <c r="T10" s="1">
        <v>89.706999999999994</v>
      </c>
      <c r="U10" s="1">
        <v>115.97</v>
      </c>
      <c r="V10" s="1">
        <f>V7*V31</f>
        <v>137.45243930000001</v>
      </c>
      <c r="W10" s="1">
        <f t="shared" ref="W10:AF10" si="10">W7*W31</f>
        <v>155.014850639</v>
      </c>
      <c r="X10" s="1">
        <f t="shared" si="10"/>
        <v>168.96618719650999</v>
      </c>
      <c r="Y10" s="1">
        <f t="shared" si="10"/>
        <v>182.48348217223082</v>
      </c>
      <c r="Z10" s="1">
        <f t="shared" si="10"/>
        <v>175.84187107115451</v>
      </c>
      <c r="AA10" s="1">
        <f t="shared" si="10"/>
        <v>185.02320075791457</v>
      </c>
      <c r="AB10" s="1">
        <f t="shared" si="10"/>
        <v>194.27436079581034</v>
      </c>
      <c r="AC10" s="1">
        <f t="shared" si="10"/>
        <v>183.58927095204072</v>
      </c>
      <c r="AD10" s="1">
        <f t="shared" si="10"/>
        <v>192.35276024872903</v>
      </c>
      <c r="AE10" s="1">
        <f t="shared" si="10"/>
        <v>201.5377850402152</v>
      </c>
      <c r="AF10" s="1">
        <f t="shared" si="10"/>
        <v>211.16475654243769</v>
      </c>
      <c r="AG10" s="1"/>
      <c r="AH10" s="1"/>
      <c r="AI10" s="1"/>
      <c r="AJ10" s="1"/>
      <c r="AK10" s="1"/>
    </row>
    <row r="11" spans="1:37" x14ac:dyDescent="0.25">
      <c r="B11" t="s">
        <v>47</v>
      </c>
      <c r="C11" s="1">
        <v>12.9</v>
      </c>
      <c r="D11" s="1">
        <v>11.885999999999999</v>
      </c>
      <c r="E11" s="1">
        <v>11.06</v>
      </c>
      <c r="F11" s="1">
        <f t="shared" si="9"/>
        <v>11.382999999999997</v>
      </c>
      <c r="G11" s="1">
        <v>11.015000000000001</v>
      </c>
      <c r="H11" s="1">
        <v>10.845000000000001</v>
      </c>
      <c r="I11" s="1">
        <v>10.68</v>
      </c>
      <c r="J11" s="1">
        <f t="shared" si="2"/>
        <v>10.192</v>
      </c>
      <c r="K11" s="1">
        <v>10.257</v>
      </c>
      <c r="L11" s="1">
        <v>10.563000000000001</v>
      </c>
      <c r="Q11" s="1">
        <v>57.5</v>
      </c>
      <c r="R11" s="1">
        <v>51.822000000000003</v>
      </c>
      <c r="S11" s="1">
        <v>49.6</v>
      </c>
      <c r="T11" s="1">
        <v>47.228999999999999</v>
      </c>
      <c r="U11" s="1">
        <v>42.731999999999999</v>
      </c>
      <c r="V11" s="1">
        <f>U11*1.05</f>
        <v>44.868600000000001</v>
      </c>
      <c r="W11" s="1">
        <f t="shared" ref="W11:AF11" si="11">V11*1.05</f>
        <v>47.112030000000004</v>
      </c>
      <c r="X11" s="1">
        <f t="shared" si="11"/>
        <v>49.467631500000003</v>
      </c>
      <c r="Y11" s="1">
        <f t="shared" si="11"/>
        <v>51.941013075000008</v>
      </c>
      <c r="Z11" s="1">
        <f t="shared" si="11"/>
        <v>54.538063728750011</v>
      </c>
      <c r="AA11" s="1">
        <f t="shared" si="11"/>
        <v>57.264966915187514</v>
      </c>
      <c r="AB11" s="1">
        <f t="shared" si="11"/>
        <v>60.128215260946895</v>
      </c>
      <c r="AC11" s="1">
        <f t="shared" si="11"/>
        <v>63.134626023994244</v>
      </c>
      <c r="AD11" s="1">
        <f t="shared" si="11"/>
        <v>66.291357325193957</v>
      </c>
      <c r="AE11" s="1">
        <f t="shared" si="11"/>
        <v>69.605925191453665</v>
      </c>
      <c r="AF11" s="1">
        <f t="shared" si="11"/>
        <v>73.086221451026347</v>
      </c>
      <c r="AG11" s="1"/>
      <c r="AH11" s="1"/>
      <c r="AI11" s="1"/>
      <c r="AJ11" s="1"/>
      <c r="AK11" s="1"/>
    </row>
    <row r="12" spans="1:37" x14ac:dyDescent="0.25">
      <c r="B12" t="s">
        <v>53</v>
      </c>
      <c r="C12" s="1">
        <v>0.15</v>
      </c>
      <c r="D12" s="1">
        <v>0.25</v>
      </c>
      <c r="E12" s="1">
        <v>0</v>
      </c>
      <c r="F12" s="1">
        <f t="shared" si="9"/>
        <v>0.19999999999999998</v>
      </c>
      <c r="G12" s="1">
        <v>0</v>
      </c>
      <c r="H12" s="1">
        <v>0</v>
      </c>
      <c r="I12" s="1">
        <v>0</v>
      </c>
      <c r="J12" s="1">
        <f t="shared" si="2"/>
        <v>0</v>
      </c>
      <c r="K12" s="1">
        <v>0</v>
      </c>
      <c r="L12" s="1">
        <v>0</v>
      </c>
      <c r="Q12" s="1">
        <v>4.55</v>
      </c>
      <c r="R12" s="1">
        <v>1.5</v>
      </c>
      <c r="S12" s="1">
        <f>0.4+74.6</f>
        <v>75</v>
      </c>
      <c r="T12" s="1">
        <v>0.6</v>
      </c>
      <c r="U12" s="1">
        <v>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4"/>
      <c r="B13" s="4" t="s">
        <v>15</v>
      </c>
      <c r="C13" s="5">
        <f t="shared" ref="C13:L13" si="12">C9-C10-C11-C12</f>
        <v>2.0499999999999869</v>
      </c>
      <c r="D13" s="5">
        <f t="shared" si="12"/>
        <v>8.909000000000006</v>
      </c>
      <c r="E13" s="5">
        <f t="shared" si="12"/>
        <v>16.63900000000001</v>
      </c>
      <c r="F13" s="5">
        <f t="shared" si="12"/>
        <v>27.705000000000066</v>
      </c>
      <c r="G13" s="5">
        <f t="shared" si="12"/>
        <v>11.870999999999984</v>
      </c>
      <c r="H13" s="5">
        <f t="shared" si="12"/>
        <v>21.385000000000005</v>
      </c>
      <c r="I13" s="5">
        <f t="shared" si="12"/>
        <v>21.530999999999999</v>
      </c>
      <c r="J13" s="5">
        <f t="shared" si="12"/>
        <v>27.130000000000045</v>
      </c>
      <c r="K13" s="5">
        <f t="shared" si="12"/>
        <v>14.085999999999997</v>
      </c>
      <c r="L13" s="5">
        <f t="shared" si="12"/>
        <v>34.579999999999956</v>
      </c>
      <c r="M13" s="5"/>
      <c r="N13" s="5"/>
      <c r="O13" s="5"/>
      <c r="P13" s="6"/>
      <c r="Q13" s="5">
        <f>Q9-Q10-Q11-Q12</f>
        <v>33.916999999999902</v>
      </c>
      <c r="R13" s="5">
        <f>R9-R10-R11-R12</f>
        <v>35.70499999999997</v>
      </c>
      <c r="S13" s="5">
        <f>S9-S10-S11-S12</f>
        <v>-26.458999999999968</v>
      </c>
      <c r="T13" s="5">
        <f>T9-T10-T11-T12</f>
        <v>55.286999999999985</v>
      </c>
      <c r="U13" s="5">
        <f>U9-U10-U11-U12</f>
        <v>81.908000000000129</v>
      </c>
      <c r="V13" s="5">
        <f t="shared" ref="V13:AF13" si="13">V9-V10-V11-V12</f>
        <v>92.583839300000008</v>
      </c>
      <c r="W13" s="5">
        <f t="shared" si="13"/>
        <v>107.902820639</v>
      </c>
      <c r="X13" s="5">
        <f t="shared" si="13"/>
        <v>119.49855569650998</v>
      </c>
      <c r="Y13" s="5">
        <f t="shared" si="13"/>
        <v>130.54246909723082</v>
      </c>
      <c r="Z13" s="5">
        <f t="shared" si="13"/>
        <v>156.47218155663538</v>
      </c>
      <c r="AA13" s="5">
        <f t="shared" si="13"/>
        <v>164.76287399430998</v>
      </c>
      <c r="AB13" s="5">
        <f t="shared" si="13"/>
        <v>173.00101769402548</v>
      </c>
      <c r="AC13" s="5">
        <f t="shared" si="13"/>
        <v>202.04987646228682</v>
      </c>
      <c r="AD13" s="5">
        <f t="shared" si="13"/>
        <v>211.55151858963691</v>
      </c>
      <c r="AE13" s="5">
        <f t="shared" si="13"/>
        <v>221.50420875552385</v>
      </c>
      <c r="AF13" s="5">
        <f t="shared" si="13"/>
        <v>231.92953799916148</v>
      </c>
      <c r="AG13" s="5"/>
      <c r="AH13" s="5"/>
      <c r="AI13" s="5"/>
      <c r="AJ13" s="5"/>
      <c r="AK13" s="5"/>
    </row>
    <row r="14" spans="1:37" x14ac:dyDescent="0.25">
      <c r="B14" t="s">
        <v>30</v>
      </c>
      <c r="C14" s="1">
        <v>1.6</v>
      </c>
      <c r="D14" s="1">
        <v>1.56</v>
      </c>
      <c r="E14" s="1">
        <v>1.1599999999999999</v>
      </c>
      <c r="F14" s="1">
        <f t="shared" ref="F14:F16" si="14">T14-E14-D14-C14</f>
        <v>0.92499999999999982</v>
      </c>
      <c r="G14" s="1">
        <v>0.75</v>
      </c>
      <c r="H14" s="1">
        <v>0.64</v>
      </c>
      <c r="I14" s="1">
        <v>0.59699999999999998</v>
      </c>
      <c r="J14" s="1">
        <f t="shared" si="2"/>
        <v>0.5129999999999999</v>
      </c>
      <c r="K14" s="1">
        <v>0.5</v>
      </c>
      <c r="L14" s="1">
        <v>0.6</v>
      </c>
      <c r="Q14" s="1">
        <v>9.6</v>
      </c>
      <c r="R14" s="1">
        <v>11.1</v>
      </c>
      <c r="S14" s="1">
        <v>9.6</v>
      </c>
      <c r="T14" s="1">
        <v>5.2450000000000001</v>
      </c>
      <c r="U14" s="1">
        <v>2.5</v>
      </c>
      <c r="V14" s="1">
        <f>U25*-0.06</f>
        <v>1.0567200000000001</v>
      </c>
      <c r="W14" s="1">
        <f>V25*-0.01</f>
        <v>-0.4892376670000001</v>
      </c>
      <c r="X14" s="1">
        <f t="shared" ref="X14:AF14" si="15">W25*-0.01</f>
        <v>-1.2913130670800002</v>
      </c>
      <c r="Y14" s="1">
        <f t="shared" si="15"/>
        <v>-2.1920005052676999</v>
      </c>
      <c r="Z14" s="1">
        <f t="shared" si="15"/>
        <v>-3.1875570518886285</v>
      </c>
      <c r="AA14" s="1">
        <f t="shared" si="15"/>
        <v>-4.4324706958315598</v>
      </c>
      <c r="AB14" s="1">
        <f t="shared" si="15"/>
        <v>-5.7543777412171462</v>
      </c>
      <c r="AC14" s="1">
        <f t="shared" si="15"/>
        <v>-7.1533829739779513</v>
      </c>
      <c r="AD14" s="1">
        <f t="shared" si="15"/>
        <v>-8.8374394106693988</v>
      </c>
      <c r="AE14" s="1">
        <f t="shared" si="15"/>
        <v>-10.613878412341951</v>
      </c>
      <c r="AF14" s="1">
        <f t="shared" si="15"/>
        <v>-12.487197539486797</v>
      </c>
      <c r="AG14" s="1"/>
      <c r="AH14" s="1"/>
      <c r="AI14" s="1"/>
      <c r="AJ14" s="1"/>
      <c r="AK14" s="1"/>
    </row>
    <row r="15" spans="1:37" x14ac:dyDescent="0.25">
      <c r="A15" s="4"/>
      <c r="B15" t="s">
        <v>48</v>
      </c>
      <c r="C15" s="1">
        <v>0</v>
      </c>
      <c r="D15" s="1">
        <v>0.3</v>
      </c>
      <c r="E15" s="1">
        <v>-0.22</v>
      </c>
      <c r="F15" s="1">
        <f t="shared" si="14"/>
        <v>0.2</v>
      </c>
      <c r="G15" s="1">
        <v>0.2</v>
      </c>
      <c r="H15" s="1">
        <v>0.26500000000000001</v>
      </c>
      <c r="I15" s="1">
        <v>0.188</v>
      </c>
      <c r="J15" s="1">
        <f t="shared" si="2"/>
        <v>9.7000000000000031E-2</v>
      </c>
      <c r="K15" s="1">
        <v>0</v>
      </c>
      <c r="L15" s="1">
        <v>0.45</v>
      </c>
      <c r="P15" s="6"/>
      <c r="Q15" s="1">
        <v>1.2</v>
      </c>
      <c r="R15" s="1">
        <v>1.1559999999999999</v>
      </c>
      <c r="S15" s="1">
        <v>0.1</v>
      </c>
      <c r="T15" s="1">
        <v>0.28000000000000003</v>
      </c>
      <c r="U15" s="1">
        <v>0.75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4"/>
      <c r="B16" t="s">
        <v>16</v>
      </c>
      <c r="C16" s="1">
        <v>0.4</v>
      </c>
      <c r="D16" s="1">
        <v>2.12</v>
      </c>
      <c r="E16" s="1">
        <v>4.3449999999999998</v>
      </c>
      <c r="F16" s="1">
        <f t="shared" si="14"/>
        <v>4.9390000000000001</v>
      </c>
      <c r="G16" s="1">
        <v>3.4239999999999999</v>
      </c>
      <c r="H16" s="1">
        <v>6.4539999999999997</v>
      </c>
      <c r="I16" s="1">
        <v>7.4740000000000002</v>
      </c>
      <c r="J16" s="1">
        <f t="shared" si="2"/>
        <v>5.7579999999999991</v>
      </c>
      <c r="K16" s="1">
        <v>2.4180000000000001</v>
      </c>
      <c r="L16" s="1">
        <v>7.8789999999999996</v>
      </c>
      <c r="P16" s="6"/>
      <c r="Q16" s="1">
        <v>6.8</v>
      </c>
      <c r="R16" s="1">
        <v>-0.8</v>
      </c>
      <c r="S16" s="1">
        <v>10.77</v>
      </c>
      <c r="T16" s="1">
        <v>11.804</v>
      </c>
      <c r="U16" s="1">
        <v>23.11</v>
      </c>
      <c r="V16" s="1">
        <f>+V7*0.02</f>
        <v>24.991352599999999</v>
      </c>
      <c r="W16" s="1">
        <f t="shared" ref="W16:AF16" si="16">+W7*0.02</f>
        <v>28.184518298</v>
      </c>
      <c r="X16" s="1">
        <f t="shared" si="16"/>
        <v>30.721124944819998</v>
      </c>
      <c r="Y16" s="1">
        <f t="shared" si="16"/>
        <v>33.178814940405609</v>
      </c>
      <c r="Z16" s="1">
        <f t="shared" si="16"/>
        <v>35.168374214230901</v>
      </c>
      <c r="AA16" s="1">
        <f t="shared" si="16"/>
        <v>37.004640151582912</v>
      </c>
      <c r="AB16" s="1">
        <f t="shared" si="16"/>
        <v>38.854872159162063</v>
      </c>
      <c r="AC16" s="1">
        <f t="shared" si="16"/>
        <v>40.797615767120163</v>
      </c>
      <c r="AD16" s="1">
        <f t="shared" si="16"/>
        <v>42.7450578330509</v>
      </c>
      <c r="AE16" s="1">
        <f t="shared" si="16"/>
        <v>44.786174453381157</v>
      </c>
      <c r="AF16" s="1">
        <f t="shared" si="16"/>
        <v>46.925501453875043</v>
      </c>
      <c r="AG16" s="1"/>
      <c r="AH16" s="1"/>
      <c r="AI16" s="1"/>
      <c r="AJ16" s="1"/>
      <c r="AK16" s="1"/>
    </row>
    <row r="17" spans="1:109" x14ac:dyDescent="0.25">
      <c r="B17" s="4" t="s">
        <v>17</v>
      </c>
      <c r="C17" s="5">
        <f t="shared" ref="C17:L17" si="17">+C13-C14+C15-C16</f>
        <v>4.9999999999986833E-2</v>
      </c>
      <c r="D17" s="5">
        <f t="shared" si="17"/>
        <v>5.5290000000000052</v>
      </c>
      <c r="E17" s="5">
        <f t="shared" si="17"/>
        <v>10.914000000000009</v>
      </c>
      <c r="F17" s="5">
        <f t="shared" si="17"/>
        <v>22.041000000000064</v>
      </c>
      <c r="G17" s="5">
        <f t="shared" si="17"/>
        <v>7.8969999999999843</v>
      </c>
      <c r="H17" s="5">
        <f t="shared" si="17"/>
        <v>14.556000000000004</v>
      </c>
      <c r="I17" s="5">
        <f t="shared" si="17"/>
        <v>13.647999999999996</v>
      </c>
      <c r="J17" s="5">
        <f t="shared" si="17"/>
        <v>20.956000000000049</v>
      </c>
      <c r="K17" s="5">
        <f t="shared" si="17"/>
        <v>11.167999999999996</v>
      </c>
      <c r="L17" s="5">
        <f t="shared" si="17"/>
        <v>26.550999999999959</v>
      </c>
      <c r="M17" s="5"/>
      <c r="N17" s="5"/>
      <c r="O17" s="5"/>
      <c r="Q17" s="5">
        <f t="shared" ref="Q17:V17" si="18">+Q13-Q14+Q15-Q16</f>
        <v>18.716999999999899</v>
      </c>
      <c r="R17" s="5">
        <f t="shared" si="18"/>
        <v>26.560999999999968</v>
      </c>
      <c r="S17" s="5">
        <f t="shared" si="18"/>
        <v>-46.728999999999971</v>
      </c>
      <c r="T17" s="5">
        <f t="shared" si="18"/>
        <v>38.517999999999986</v>
      </c>
      <c r="U17" s="5">
        <f t="shared" si="18"/>
        <v>57.04800000000013</v>
      </c>
      <c r="V17" s="5">
        <f t="shared" si="18"/>
        <v>66.535766700000011</v>
      </c>
      <c r="W17" s="5">
        <f t="shared" ref="W17:AF17" si="19">+W13-W14+W15-W16</f>
        <v>80.207540007999995</v>
      </c>
      <c r="X17" s="5">
        <f t="shared" si="19"/>
        <v>90.068743818769974</v>
      </c>
      <c r="Y17" s="5">
        <f t="shared" si="19"/>
        <v>99.555654662092905</v>
      </c>
      <c r="Z17" s="5">
        <f t="shared" si="19"/>
        <v>124.4913643942931</v>
      </c>
      <c r="AA17" s="5">
        <f t="shared" si="19"/>
        <v>132.19070453855863</v>
      </c>
      <c r="AB17" s="5">
        <f t="shared" si="19"/>
        <v>139.90052327608058</v>
      </c>
      <c r="AC17" s="5">
        <f t="shared" si="19"/>
        <v>168.40564366914461</v>
      </c>
      <c r="AD17" s="5">
        <f t="shared" si="19"/>
        <v>177.6439001672554</v>
      </c>
      <c r="AE17" s="5">
        <f t="shared" si="19"/>
        <v>187.33191271448464</v>
      </c>
      <c r="AF17" s="5">
        <f t="shared" si="19"/>
        <v>197.49123408477323</v>
      </c>
      <c r="AG17" s="5">
        <f>AF17*(1+$AI$42)</f>
        <v>194.52886557350163</v>
      </c>
      <c r="AH17" s="5">
        <f t="shared" ref="AH17:CS17" si="20">AG17*(1+$AI$42)</f>
        <v>191.61093258989911</v>
      </c>
      <c r="AI17" s="5">
        <f t="shared" si="20"/>
        <v>188.73676860105061</v>
      </c>
      <c r="AJ17" s="5">
        <f t="shared" si="20"/>
        <v>185.90571707203486</v>
      </c>
      <c r="AK17" s="5">
        <f t="shared" si="20"/>
        <v>183.11713131595434</v>
      </c>
      <c r="AL17" s="5">
        <f t="shared" si="20"/>
        <v>180.37037434621502</v>
      </c>
      <c r="AM17" s="5">
        <f t="shared" si="20"/>
        <v>177.6648187310218</v>
      </c>
      <c r="AN17" s="5">
        <f t="shared" si="20"/>
        <v>174.99984645005648</v>
      </c>
      <c r="AO17" s="5">
        <f t="shared" si="20"/>
        <v>172.37484875330563</v>
      </c>
      <c r="AP17" s="5">
        <f t="shared" si="20"/>
        <v>169.78922602200603</v>
      </c>
      <c r="AQ17" s="5">
        <f t="shared" si="20"/>
        <v>167.24238763167594</v>
      </c>
      <c r="AR17" s="5">
        <f t="shared" si="20"/>
        <v>164.73375181720081</v>
      </c>
      <c r="AS17" s="5">
        <f t="shared" si="20"/>
        <v>162.26274553994278</v>
      </c>
      <c r="AT17" s="5">
        <f t="shared" si="20"/>
        <v>159.82880435684365</v>
      </c>
      <c r="AU17" s="5">
        <f t="shared" si="20"/>
        <v>157.43137229149099</v>
      </c>
      <c r="AV17" s="5">
        <f t="shared" si="20"/>
        <v>155.06990170711862</v>
      </c>
      <c r="AW17" s="5">
        <f t="shared" si="20"/>
        <v>152.74385318151184</v>
      </c>
      <c r="AX17" s="5">
        <f t="shared" si="20"/>
        <v>150.45269538378915</v>
      </c>
      <c r="AY17" s="5">
        <f t="shared" si="20"/>
        <v>148.19590495303231</v>
      </c>
      <c r="AZ17" s="5">
        <f t="shared" si="20"/>
        <v>145.97296637873683</v>
      </c>
      <c r="BA17" s="5">
        <f t="shared" si="20"/>
        <v>143.78337188305576</v>
      </c>
      <c r="BB17" s="5">
        <f t="shared" si="20"/>
        <v>141.62662130480993</v>
      </c>
      <c r="BC17" s="5">
        <f t="shared" si="20"/>
        <v>139.50222198523778</v>
      </c>
      <c r="BD17" s="5">
        <f t="shared" si="20"/>
        <v>137.40968865545921</v>
      </c>
      <c r="BE17" s="5">
        <f t="shared" si="20"/>
        <v>135.3485433256273</v>
      </c>
      <c r="BF17" s="5">
        <f t="shared" si="20"/>
        <v>133.3183151757429</v>
      </c>
      <c r="BG17" s="5">
        <f t="shared" si="20"/>
        <v>131.31854044810675</v>
      </c>
      <c r="BH17" s="5">
        <f t="shared" si="20"/>
        <v>129.34876234138514</v>
      </c>
      <c r="BI17" s="5">
        <f t="shared" si="20"/>
        <v>127.40853090626436</v>
      </c>
      <c r="BJ17" s="5">
        <f t="shared" si="20"/>
        <v>125.49740294267039</v>
      </c>
      <c r="BK17" s="5">
        <f t="shared" si="20"/>
        <v>123.61494189853033</v>
      </c>
      <c r="BL17" s="5">
        <f t="shared" si="20"/>
        <v>121.76071777005238</v>
      </c>
      <c r="BM17" s="5">
        <f t="shared" si="20"/>
        <v>119.93430700350159</v>
      </c>
      <c r="BN17" s="5">
        <f t="shared" si="20"/>
        <v>118.13529239844907</v>
      </c>
      <c r="BO17" s="5">
        <f t="shared" si="20"/>
        <v>116.36326301247233</v>
      </c>
      <c r="BP17" s="5">
        <f t="shared" si="20"/>
        <v>114.61781406728524</v>
      </c>
      <c r="BQ17" s="5">
        <f t="shared" si="20"/>
        <v>112.89854685627596</v>
      </c>
      <c r="BR17" s="5">
        <f t="shared" si="20"/>
        <v>111.20506865343181</v>
      </c>
      <c r="BS17" s="5">
        <f t="shared" si="20"/>
        <v>109.53699262363033</v>
      </c>
      <c r="BT17" s="5">
        <f t="shared" si="20"/>
        <v>107.89393773427587</v>
      </c>
      <c r="BU17" s="5">
        <f t="shared" si="20"/>
        <v>106.27552866826173</v>
      </c>
      <c r="BV17" s="5">
        <f t="shared" si="20"/>
        <v>104.6813957382378</v>
      </c>
      <c r="BW17" s="5">
        <f t="shared" si="20"/>
        <v>103.11117480216423</v>
      </c>
      <c r="BX17" s="5">
        <f t="shared" si="20"/>
        <v>101.56450718013177</v>
      </c>
      <c r="BY17" s="5">
        <f t="shared" si="20"/>
        <v>100.0410395724298</v>
      </c>
      <c r="BZ17" s="5">
        <f t="shared" si="20"/>
        <v>98.54042397884335</v>
      </c>
      <c r="CA17" s="5">
        <f t="shared" si="20"/>
        <v>97.062317619160694</v>
      </c>
      <c r="CB17" s="5">
        <f t="shared" si="20"/>
        <v>95.606382854873289</v>
      </c>
      <c r="CC17" s="5">
        <f t="shared" si="20"/>
        <v>94.172287112050185</v>
      </c>
      <c r="CD17" s="5">
        <f t="shared" si="20"/>
        <v>92.759702805369429</v>
      </c>
      <c r="CE17" s="5">
        <f t="shared" si="20"/>
        <v>91.368307263288884</v>
      </c>
      <c r="CF17" s="5">
        <f t="shared" si="20"/>
        <v>89.997782654339545</v>
      </c>
      <c r="CG17" s="5">
        <f t="shared" si="20"/>
        <v>88.647815914524458</v>
      </c>
      <c r="CH17" s="5">
        <f t="shared" si="20"/>
        <v>87.318098675806596</v>
      </c>
      <c r="CI17" s="5">
        <f t="shared" si="20"/>
        <v>86.008327195669494</v>
      </c>
      <c r="CJ17" s="5">
        <f t="shared" si="20"/>
        <v>84.718202287734456</v>
      </c>
      <c r="CK17" s="5">
        <f t="shared" si="20"/>
        <v>83.447429253418434</v>
      </c>
      <c r="CL17" s="5">
        <f t="shared" si="20"/>
        <v>82.195717814617154</v>
      </c>
      <c r="CM17" s="5">
        <f t="shared" si="20"/>
        <v>80.962782047397894</v>
      </c>
      <c r="CN17" s="5">
        <f t="shared" si="20"/>
        <v>79.748340316686921</v>
      </c>
      <c r="CO17" s="5">
        <f t="shared" si="20"/>
        <v>78.552115211936609</v>
      </c>
      <c r="CP17" s="5">
        <f t="shared" si="20"/>
        <v>77.373833483757565</v>
      </c>
      <c r="CQ17" s="5">
        <f t="shared" si="20"/>
        <v>76.213225981501196</v>
      </c>
      <c r="CR17" s="5">
        <f t="shared" si="20"/>
        <v>75.070027591778683</v>
      </c>
      <c r="CS17" s="5">
        <f t="shared" si="20"/>
        <v>73.943977177901999</v>
      </c>
      <c r="CT17" s="5">
        <f t="shared" ref="CT17:DD17" si="21">CS17*(1+$AI$42)</f>
        <v>72.834817520233472</v>
      </c>
      <c r="CU17" s="5">
        <f t="shared" si="21"/>
        <v>71.742295257429973</v>
      </c>
      <c r="CV17" s="5">
        <f t="shared" si="21"/>
        <v>70.666160828568522</v>
      </c>
      <c r="CW17" s="5">
        <f t="shared" si="21"/>
        <v>69.606168416139994</v>
      </c>
      <c r="CX17" s="5">
        <f t="shared" si="21"/>
        <v>68.562075889897898</v>
      </c>
      <c r="CY17" s="5">
        <f t="shared" si="21"/>
        <v>67.533644751549431</v>
      </c>
      <c r="CZ17" s="5">
        <f t="shared" si="21"/>
        <v>66.520640080276195</v>
      </c>
      <c r="DA17" s="5">
        <f t="shared" si="21"/>
        <v>65.522830479072056</v>
      </c>
      <c r="DB17" s="5">
        <f t="shared" si="21"/>
        <v>64.539988021885975</v>
      </c>
      <c r="DC17" s="5">
        <f t="shared" si="21"/>
        <v>63.571888201557684</v>
      </c>
      <c r="DD17" s="5">
        <f t="shared" si="21"/>
        <v>62.618309878534319</v>
      </c>
      <c r="DE17" s="5"/>
    </row>
    <row r="18" spans="1:109" s="1" customFormat="1" x14ac:dyDescent="0.25">
      <c r="A18" s="5"/>
      <c r="B18" s="1" t="s">
        <v>18</v>
      </c>
      <c r="C18" s="1">
        <v>32.860999999999997</v>
      </c>
      <c r="D18" s="1">
        <v>32.676000000000002</v>
      </c>
      <c r="E18" s="1">
        <v>32.61</v>
      </c>
      <c r="F18" s="1">
        <v>32.61</v>
      </c>
      <c r="G18" s="1">
        <v>32.872</v>
      </c>
      <c r="H18" s="1">
        <v>33.354999999999997</v>
      </c>
      <c r="I18" s="1">
        <v>33.359000000000002</v>
      </c>
      <c r="J18" s="1">
        <v>33.359000000000002</v>
      </c>
      <c r="K18" s="1">
        <v>33.124000000000002</v>
      </c>
      <c r="L18" s="1">
        <v>33.156999999999996</v>
      </c>
      <c r="P18" s="21"/>
      <c r="Q18" s="1">
        <v>34.229999999999997</v>
      </c>
      <c r="R18" s="1">
        <v>34.700000000000003</v>
      </c>
      <c r="S18" s="1">
        <v>32.96</v>
      </c>
      <c r="T18" s="1">
        <v>32.689</v>
      </c>
      <c r="U18" s="1">
        <v>33.192999999999998</v>
      </c>
    </row>
    <row r="19" spans="1:109" x14ac:dyDescent="0.25">
      <c r="A19" s="7"/>
      <c r="B19" s="8" t="s">
        <v>19</v>
      </c>
      <c r="C19" s="7">
        <f t="shared" ref="C19:L19" si="22">+C17/C18</f>
        <v>1.52156051246118E-3</v>
      </c>
      <c r="D19" s="7">
        <f t="shared" si="22"/>
        <v>0.16920675725302989</v>
      </c>
      <c r="E19" s="7">
        <f t="shared" si="22"/>
        <v>0.33468261269549243</v>
      </c>
      <c r="F19" s="7">
        <f t="shared" si="22"/>
        <v>0.67589696412143707</v>
      </c>
      <c r="G19" s="7">
        <f t="shared" si="22"/>
        <v>0.24023485032854661</v>
      </c>
      <c r="H19" s="7">
        <f t="shared" si="22"/>
        <v>0.43639634237745484</v>
      </c>
      <c r="I19" s="7">
        <f t="shared" si="22"/>
        <v>0.4091249737701968</v>
      </c>
      <c r="J19" s="7">
        <f t="shared" si="22"/>
        <v>0.62819628885758105</v>
      </c>
      <c r="K19" s="7">
        <f t="shared" si="22"/>
        <v>0.337157348146359</v>
      </c>
      <c r="L19" s="7">
        <f t="shared" si="22"/>
        <v>0.80076605241728627</v>
      </c>
      <c r="M19" s="7"/>
      <c r="N19" s="7"/>
      <c r="O19" s="7"/>
      <c r="P19" s="9"/>
      <c r="Q19" s="7">
        <f>+Q17/Q18</f>
        <v>0.54680105170902427</v>
      </c>
      <c r="R19" s="7">
        <f>+R17/R18</f>
        <v>0.76544668587896159</v>
      </c>
      <c r="S19" s="7">
        <f>+S17/S18</f>
        <v>-1.417748786407766</v>
      </c>
      <c r="T19" s="7">
        <f>+T17/T18</f>
        <v>1.1783168650004585</v>
      </c>
      <c r="U19" s="7">
        <f>+U17/U18</f>
        <v>1.7186756243786381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109" x14ac:dyDescent="0.25">
      <c r="A20" s="1"/>
      <c r="B20" s="1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109" s="1" customFormat="1" x14ac:dyDescent="0.25">
      <c r="B21" s="1" t="s">
        <v>27</v>
      </c>
      <c r="F21" s="1">
        <v>51.62</v>
      </c>
      <c r="G21" s="1">
        <v>43.4</v>
      </c>
      <c r="H21" s="1">
        <v>49.258000000000003</v>
      </c>
      <c r="I21" s="1">
        <v>43.66</v>
      </c>
      <c r="J21" s="1">
        <v>40.06</v>
      </c>
      <c r="K21" s="1">
        <v>31.719000000000001</v>
      </c>
      <c r="L21" s="1">
        <v>38.9</v>
      </c>
      <c r="P21" s="11"/>
      <c r="R21" s="1">
        <v>29</v>
      </c>
      <c r="S21" s="1">
        <v>30.86</v>
      </c>
      <c r="T21" s="1">
        <v>51.62</v>
      </c>
      <c r="U21" s="1">
        <v>40.06</v>
      </c>
    </row>
    <row r="22" spans="1:109" s="1" customFormat="1" x14ac:dyDescent="0.25">
      <c r="B22" s="1" t="s">
        <v>31</v>
      </c>
      <c r="F22" s="1">
        <v>61.180999999999997</v>
      </c>
      <c r="G22" s="1">
        <v>76</v>
      </c>
      <c r="H22" s="1">
        <v>80.400000000000006</v>
      </c>
      <c r="I22" s="1">
        <v>93.5</v>
      </c>
      <c r="J22" s="1">
        <v>92.53</v>
      </c>
      <c r="K22" s="1">
        <v>117.384</v>
      </c>
      <c r="L22" s="1">
        <v>130.38</v>
      </c>
      <c r="P22" s="11"/>
      <c r="R22" s="1">
        <v>70.7</v>
      </c>
      <c r="S22" s="1">
        <v>67.159000000000006</v>
      </c>
      <c r="T22" s="1">
        <v>61.180999999999997</v>
      </c>
      <c r="U22" s="1">
        <v>92.53</v>
      </c>
    </row>
    <row r="23" spans="1:109" s="1" customFormat="1" x14ac:dyDescent="0.25">
      <c r="B23" s="1" t="s">
        <v>32</v>
      </c>
      <c r="F23" s="1">
        <v>184.10400000000001</v>
      </c>
      <c r="G23" s="1">
        <v>182.37</v>
      </c>
      <c r="H23" s="1">
        <v>178.46600000000001</v>
      </c>
      <c r="I23" s="1">
        <v>176</v>
      </c>
      <c r="J23" s="1">
        <v>178.63</v>
      </c>
      <c r="K23" s="1">
        <v>175.29400000000001</v>
      </c>
      <c r="L23" s="1">
        <v>170.30699999999999</v>
      </c>
      <c r="P23" s="11"/>
      <c r="R23" s="1">
        <v>201.37</v>
      </c>
      <c r="S23" s="1">
        <v>193.6</v>
      </c>
      <c r="T23" s="1">
        <v>184.10400000000001</v>
      </c>
      <c r="U23" s="1">
        <v>178.63</v>
      </c>
    </row>
    <row r="24" spans="1:109" s="1" customFormat="1" x14ac:dyDescent="0.25">
      <c r="B24" s="1" t="s">
        <v>28</v>
      </c>
      <c r="F24" s="1">
        <f>0.69+116.728+10.923</f>
        <v>128.34099999999998</v>
      </c>
      <c r="G24" s="1">
        <f>0.7+112.1+10.87</f>
        <v>123.67</v>
      </c>
      <c r="H24" s="1">
        <f>0.7+87.2+10.8</f>
        <v>98.7</v>
      </c>
      <c r="I24" s="1">
        <f>0.8+72.4+10.76</f>
        <v>83.960000000000008</v>
      </c>
      <c r="J24" s="1">
        <f>0.845+52.09+4.737</f>
        <v>57.672000000000004</v>
      </c>
      <c r="K24" s="1">
        <f>0.836+76.69+4.658</f>
        <v>82.183999999999997</v>
      </c>
      <c r="L24" s="1">
        <f>0.8+75.7+4.578</f>
        <v>81.078000000000003</v>
      </c>
      <c r="P24" s="11"/>
      <c r="R24" s="1">
        <f>1.2+209.3+4.2</f>
        <v>214.7</v>
      </c>
      <c r="S24" s="1">
        <f>0.746+156.4+13.3</f>
        <v>170.44600000000003</v>
      </c>
      <c r="T24" s="1">
        <f>0.69+116.728+10.923</f>
        <v>128.34099999999998</v>
      </c>
      <c r="U24" s="1">
        <f>0.845+52.09+4.737</f>
        <v>57.672000000000004</v>
      </c>
    </row>
    <row r="25" spans="1:109" s="1" customFormat="1" x14ac:dyDescent="0.25">
      <c r="B25" s="5" t="s">
        <v>34</v>
      </c>
      <c r="F25" s="1">
        <f>F21-F24</f>
        <v>-76.720999999999975</v>
      </c>
      <c r="G25" s="1">
        <f t="shared" ref="G25:L25" si="23">G21-G24</f>
        <v>-80.27000000000001</v>
      </c>
      <c r="H25" s="1">
        <f t="shared" si="23"/>
        <v>-49.442</v>
      </c>
      <c r="I25" s="1">
        <f t="shared" si="23"/>
        <v>-40.300000000000011</v>
      </c>
      <c r="J25" s="1">
        <f t="shared" si="23"/>
        <v>-17.612000000000002</v>
      </c>
      <c r="K25" s="1">
        <f t="shared" si="23"/>
        <v>-50.464999999999996</v>
      </c>
      <c r="L25" s="1">
        <f t="shared" si="23"/>
        <v>-42.178000000000004</v>
      </c>
      <c r="P25" s="11"/>
      <c r="R25" s="1">
        <f t="shared" ref="R25:U25" si="24">R21-R24</f>
        <v>-185.7</v>
      </c>
      <c r="S25" s="1">
        <f t="shared" si="24"/>
        <v>-139.58600000000001</v>
      </c>
      <c r="T25" s="1">
        <f t="shared" si="24"/>
        <v>-76.720999999999975</v>
      </c>
      <c r="U25" s="1">
        <f t="shared" si="24"/>
        <v>-17.612000000000002</v>
      </c>
      <c r="V25" s="1">
        <f>U25+V17</f>
        <v>48.923766700000009</v>
      </c>
      <c r="W25" s="1">
        <f t="shared" ref="W25:AF25" si="25">V25+W17</f>
        <v>129.13130670800001</v>
      </c>
      <c r="X25" s="1">
        <f t="shared" si="25"/>
        <v>219.20005052676999</v>
      </c>
      <c r="Y25" s="1">
        <f t="shared" si="25"/>
        <v>318.75570518886286</v>
      </c>
      <c r="Z25" s="1">
        <f t="shared" si="25"/>
        <v>443.24706958315596</v>
      </c>
      <c r="AA25" s="1">
        <f t="shared" si="25"/>
        <v>575.4377741217146</v>
      </c>
      <c r="AB25" s="1">
        <f t="shared" si="25"/>
        <v>715.33829739779515</v>
      </c>
      <c r="AC25" s="1">
        <f t="shared" si="25"/>
        <v>883.74394106693978</v>
      </c>
      <c r="AD25" s="1">
        <f t="shared" si="25"/>
        <v>1061.3878412341951</v>
      </c>
      <c r="AE25" s="1">
        <f t="shared" si="25"/>
        <v>1248.7197539486797</v>
      </c>
      <c r="AF25" s="1">
        <f t="shared" si="25"/>
        <v>1446.2109880334528</v>
      </c>
    </row>
    <row r="26" spans="1:109" x14ac:dyDescent="0.2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2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109" x14ac:dyDescent="0.25">
      <c r="A27" s="13"/>
      <c r="B27" s="13" t="s">
        <v>20</v>
      </c>
      <c r="C27" s="13">
        <f t="shared" ref="C27:L27" si="26">C9/C7</f>
        <v>0.1993896236012207</v>
      </c>
      <c r="D27" s="13">
        <f t="shared" si="26"/>
        <v>0.20133351113481801</v>
      </c>
      <c r="E27" s="13">
        <f t="shared" si="26"/>
        <v>0.23418169130959571</v>
      </c>
      <c r="F27" s="13">
        <f t="shared" si="26"/>
        <v>0.2592808650917322</v>
      </c>
      <c r="G27" s="13">
        <f t="shared" si="26"/>
        <v>0.23353335042385948</v>
      </c>
      <c r="H27" s="13">
        <f t="shared" si="26"/>
        <v>0.22895398727622429</v>
      </c>
      <c r="I27" s="13">
        <f t="shared" si="26"/>
        <v>0.21441919128760131</v>
      </c>
      <c r="J27" s="13">
        <f t="shared" si="26"/>
        <v>0.22264073344186461</v>
      </c>
      <c r="K27" s="13">
        <f t="shared" si="26"/>
        <v>0.20661423220973782</v>
      </c>
      <c r="L27" s="13">
        <f t="shared" si="26"/>
        <v>0.22692347000399504</v>
      </c>
      <c r="M27" s="13"/>
      <c r="N27" s="13"/>
      <c r="O27" s="13"/>
      <c r="P27" s="14"/>
      <c r="Q27" s="13">
        <f>Q9/Q7</f>
        <v>0.22395231693314319</v>
      </c>
      <c r="R27" s="13">
        <f>R9/R7</f>
        <v>0.21666469989941387</v>
      </c>
      <c r="S27" s="13">
        <f>S9/S7</f>
        <v>0.22312805073833045</v>
      </c>
      <c r="T27" s="13">
        <f>T9/T7</f>
        <v>0.22643155666043896</v>
      </c>
      <c r="U27" s="13">
        <f>U9/U7</f>
        <v>0.22441822506179182</v>
      </c>
      <c r="V27" s="13">
        <f t="shared" ref="V27:AF27" si="27">V9/V7</f>
        <v>0.22</v>
      </c>
      <c r="W27" s="13">
        <f t="shared" si="27"/>
        <v>0.22000000000000003</v>
      </c>
      <c r="X27" s="13">
        <f t="shared" si="27"/>
        <v>0.22</v>
      </c>
      <c r="Y27" s="13">
        <f t="shared" si="27"/>
        <v>0.22</v>
      </c>
      <c r="Z27" s="13">
        <f t="shared" si="27"/>
        <v>0.22000000000000003</v>
      </c>
      <c r="AA27" s="13">
        <f t="shared" si="27"/>
        <v>0.22</v>
      </c>
      <c r="AB27" s="13">
        <f t="shared" si="27"/>
        <v>0.22</v>
      </c>
      <c r="AC27" s="13">
        <f t="shared" si="27"/>
        <v>0.22</v>
      </c>
      <c r="AD27" s="13">
        <f t="shared" si="27"/>
        <v>0.22</v>
      </c>
      <c r="AE27" s="13">
        <f t="shared" si="27"/>
        <v>0.22</v>
      </c>
      <c r="AF27" s="13">
        <f t="shared" si="27"/>
        <v>0.22000000000000003</v>
      </c>
      <c r="AG27" s="13"/>
      <c r="AH27" s="13"/>
      <c r="AI27" s="13"/>
      <c r="AJ27" s="13"/>
      <c r="AK27" s="13"/>
    </row>
    <row r="28" spans="1:109" x14ac:dyDescent="0.25">
      <c r="A28" s="15"/>
      <c r="B28" s="15" t="s">
        <v>21</v>
      </c>
      <c r="C28" s="15">
        <f t="shared" ref="C28:L28" si="28">C13/C7</f>
        <v>1.0427263479145406E-2</v>
      </c>
      <c r="D28" s="15">
        <f t="shared" si="28"/>
        <v>4.752100280037342E-2</v>
      </c>
      <c r="E28" s="15">
        <f t="shared" si="28"/>
        <v>7.8450324381412237E-2</v>
      </c>
      <c r="F28" s="15">
        <f t="shared" si="28"/>
        <v>0.10846925432036922</v>
      </c>
      <c r="G28" s="15">
        <f t="shared" si="28"/>
        <v>5.1580077081169795E-2</v>
      </c>
      <c r="H28" s="15">
        <f t="shared" si="28"/>
        <v>7.9098239384524358E-2</v>
      </c>
      <c r="I28" s="15">
        <f t="shared" si="28"/>
        <v>7.6930222919353849E-2</v>
      </c>
      <c r="J28" s="15">
        <f t="shared" si="28"/>
        <v>9.2982606460457709E-2</v>
      </c>
      <c r="K28" s="15">
        <f t="shared" si="28"/>
        <v>5.2756554307116094E-2</v>
      </c>
      <c r="L28" s="15">
        <f t="shared" si="28"/>
        <v>0.1070943005887398</v>
      </c>
      <c r="M28" s="15"/>
      <c r="N28" s="15"/>
      <c r="O28" s="15"/>
      <c r="P28" s="16"/>
      <c r="Q28" s="15">
        <f t="shared" ref="Q28:AF28" si="29">Q13/Q7</f>
        <v>3.9140043044007485E-2</v>
      </c>
      <c r="R28" s="15">
        <f t="shared" si="29"/>
        <v>4.0127671291379348E-2</v>
      </c>
      <c r="S28" s="15">
        <f t="shared" si="29"/>
        <v>-2.9601461557480543E-2</v>
      </c>
      <c r="T28" s="15">
        <f t="shared" si="29"/>
        <v>6.492338296305776E-2</v>
      </c>
      <c r="U28" s="15">
        <f t="shared" si="29"/>
        <v>7.6396026675372028E-2</v>
      </c>
      <c r="V28" s="15">
        <f t="shared" si="29"/>
        <v>7.4092699808492965E-2</v>
      </c>
      <c r="W28" s="15">
        <f t="shared" si="29"/>
        <v>7.6568859185829619E-2</v>
      </c>
      <c r="X28" s="15">
        <f t="shared" si="29"/>
        <v>7.7795690041395485E-2</v>
      </c>
      <c r="Y28" s="15">
        <f t="shared" si="29"/>
        <v>7.8690254206912294E-2</v>
      </c>
      <c r="Z28" s="15">
        <f t="shared" si="29"/>
        <v>8.8984597697620516E-2</v>
      </c>
      <c r="AA28" s="15">
        <f t="shared" si="29"/>
        <v>8.9049845273126954E-2</v>
      </c>
      <c r="AB28" s="15">
        <f t="shared" si="29"/>
        <v>8.904984527312694E-2</v>
      </c>
      <c r="AC28" s="15">
        <f t="shared" si="29"/>
        <v>9.9049845273126935E-2</v>
      </c>
      <c r="AD28" s="15">
        <f t="shared" si="29"/>
        <v>9.8982913728128452E-2</v>
      </c>
      <c r="AE28" s="15">
        <f t="shared" si="29"/>
        <v>9.8916333649390897E-2</v>
      </c>
      <c r="AF28" s="15">
        <f t="shared" si="29"/>
        <v>9.8850105300263794E-2</v>
      </c>
      <c r="AG28" s="15"/>
      <c r="AH28" s="15"/>
      <c r="AI28" s="15"/>
      <c r="AJ28" s="15"/>
      <c r="AK28" s="15"/>
    </row>
    <row r="29" spans="1:109" s="18" customFormat="1" x14ac:dyDescent="0.25">
      <c r="B29" s="18" t="s">
        <v>22</v>
      </c>
      <c r="C29" s="18">
        <f t="shared" ref="C29:L29" si="30">C16/C7</f>
        <v>2.0345879959308244E-3</v>
      </c>
      <c r="D29" s="18">
        <f t="shared" si="30"/>
        <v>1.1308174423256436E-2</v>
      </c>
      <c r="E29" s="18">
        <f t="shared" si="30"/>
        <v>2.0486006336753168E-2</v>
      </c>
      <c r="F29" s="18">
        <f t="shared" si="30"/>
        <v>1.9336930051914902E-2</v>
      </c>
      <c r="G29" s="18">
        <f t="shared" si="30"/>
        <v>1.4877447891999461E-2</v>
      </c>
      <c r="H29" s="18">
        <f t="shared" si="30"/>
        <v>2.3871874537653496E-2</v>
      </c>
      <c r="I29" s="18">
        <f t="shared" si="30"/>
        <v>2.6704588086909606E-2</v>
      </c>
      <c r="J29" s="18">
        <f t="shared" si="30"/>
        <v>1.9734384371519149E-2</v>
      </c>
      <c r="K29" s="18">
        <f t="shared" si="30"/>
        <v>9.0561797752808995E-3</v>
      </c>
      <c r="L29" s="18">
        <f t="shared" si="30"/>
        <v>2.4401272248082181E-2</v>
      </c>
      <c r="P29" s="19"/>
      <c r="Q29" s="18">
        <f>Q16/Q7</f>
        <v>7.8471649231727936E-3</v>
      </c>
      <c r="R29" s="18">
        <f>R16/R7</f>
        <v>-8.990936012632266E-4</v>
      </c>
      <c r="S29" s="18">
        <f>S16/S7</f>
        <v>1.2049122830570537E-2</v>
      </c>
      <c r="T29" s="18">
        <f>T16/T7</f>
        <v>1.3861407066687178E-2</v>
      </c>
      <c r="U29" s="18">
        <f>U16/U7</f>
        <v>2.1554819754698501E-2</v>
      </c>
      <c r="V29" s="18">
        <f t="shared" ref="V29:AF29" si="31">V15/V7</f>
        <v>0</v>
      </c>
      <c r="W29" s="18">
        <f t="shared" si="31"/>
        <v>0</v>
      </c>
      <c r="X29" s="18">
        <f t="shared" si="31"/>
        <v>0</v>
      </c>
      <c r="Y29" s="18">
        <f t="shared" si="31"/>
        <v>0</v>
      </c>
      <c r="Z29" s="18">
        <f t="shared" si="31"/>
        <v>0</v>
      </c>
      <c r="AA29" s="18">
        <f t="shared" si="31"/>
        <v>0</v>
      </c>
      <c r="AB29" s="18">
        <f t="shared" si="31"/>
        <v>0</v>
      </c>
      <c r="AC29" s="18">
        <f t="shared" si="31"/>
        <v>0</v>
      </c>
      <c r="AD29" s="18">
        <f t="shared" si="31"/>
        <v>0</v>
      </c>
      <c r="AE29" s="18">
        <f t="shared" si="31"/>
        <v>0</v>
      </c>
      <c r="AF29" s="18">
        <f t="shared" si="31"/>
        <v>0</v>
      </c>
    </row>
    <row r="30" spans="1:109" x14ac:dyDescent="0.25">
      <c r="A30" s="15"/>
      <c r="B30" s="15" t="s">
        <v>55</v>
      </c>
      <c r="C30" s="15"/>
      <c r="D30" s="15"/>
      <c r="E30" s="15"/>
      <c r="F30" s="15">
        <f t="shared" ref="F30:L30" si="32">F7/F23</f>
        <v>1.3873571459609786</v>
      </c>
      <c r="G30" s="15">
        <f t="shared" si="32"/>
        <v>1.2619783955694466</v>
      </c>
      <c r="H30" s="15">
        <f t="shared" si="32"/>
        <v>1.5149104031019913</v>
      </c>
      <c r="I30" s="15">
        <f t="shared" si="32"/>
        <v>1.5902102272727274</v>
      </c>
      <c r="J30" s="15">
        <f t="shared" si="32"/>
        <v>1.6334042434081619</v>
      </c>
      <c r="K30" s="15">
        <f t="shared" si="32"/>
        <v>1.5231553846680432</v>
      </c>
      <c r="L30" s="15">
        <f t="shared" si="32"/>
        <v>1.8959467314907783</v>
      </c>
      <c r="M30" s="15"/>
      <c r="N30" s="15"/>
      <c r="O30" s="15"/>
      <c r="P30" s="16"/>
      <c r="Q30" s="15"/>
      <c r="R30" s="15">
        <f>R7/R23</f>
        <v>4.4186571981923821</v>
      </c>
      <c r="S30" s="15">
        <f>S7/S23</f>
        <v>4.6169473140495869</v>
      </c>
      <c r="T30" s="15">
        <f>T7/T23</f>
        <v>4.6254997175509489</v>
      </c>
      <c r="U30" s="15">
        <f>U7/U23</f>
        <v>6.0020713206068415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109" x14ac:dyDescent="0.25">
      <c r="A31" s="15"/>
      <c r="B31" s="15" t="s">
        <v>40</v>
      </c>
      <c r="C31" s="15">
        <f t="shared" ref="C31:L31" si="33">C10/C7</f>
        <v>0.12258392675483215</v>
      </c>
      <c r="D31" s="15">
        <f t="shared" si="33"/>
        <v>8.9078543805840779E-2</v>
      </c>
      <c r="E31" s="15">
        <f t="shared" si="33"/>
        <v>0.10358516898008448</v>
      </c>
      <c r="F31" s="15">
        <f t="shared" si="33"/>
        <v>0.1054624184669835</v>
      </c>
      <c r="G31" s="15">
        <f t="shared" si="33"/>
        <v>0.13409255823451968</v>
      </c>
      <c r="H31" s="15">
        <f t="shared" si="33"/>
        <v>0.10974256546826454</v>
      </c>
      <c r="I31" s="15">
        <f t="shared" si="33"/>
        <v>9.932934824940956E-2</v>
      </c>
      <c r="J31" s="15">
        <f t="shared" si="33"/>
        <v>9.4727101362351129E-2</v>
      </c>
      <c r="K31" s="15">
        <f t="shared" si="33"/>
        <v>0.11544194756554307</v>
      </c>
      <c r="L31" s="15">
        <f t="shared" si="33"/>
        <v>8.7115546016791959E-2</v>
      </c>
      <c r="M31" s="15"/>
      <c r="N31" s="15"/>
      <c r="O31" s="15"/>
      <c r="P31" s="16"/>
      <c r="Q31" s="15">
        <f>Q10/Q7</f>
        <v>0.11320689396518398</v>
      </c>
      <c r="R31" s="15">
        <f>R10/R7</f>
        <v>0.11661019234983731</v>
      </c>
      <c r="S31" s="15">
        <f>S10/S7</f>
        <v>0.11333111817426142</v>
      </c>
      <c r="T31" s="15">
        <f>T10/T7</f>
        <v>0.10534270109550209</v>
      </c>
      <c r="U31" s="15">
        <f>U10/U7</f>
        <v>0.10816583500443035</v>
      </c>
      <c r="V31" s="15">
        <v>0.11</v>
      </c>
      <c r="W31" s="15">
        <v>0.11</v>
      </c>
      <c r="X31" s="15">
        <v>0.11</v>
      </c>
      <c r="Y31" s="15">
        <v>0.11</v>
      </c>
      <c r="Z31" s="15">
        <v>0.1</v>
      </c>
      <c r="AA31" s="15">
        <v>0.1</v>
      </c>
      <c r="AB31" s="15">
        <v>0.1</v>
      </c>
      <c r="AC31" s="15">
        <v>0.09</v>
      </c>
      <c r="AD31" s="15">
        <v>0.09</v>
      </c>
      <c r="AE31" s="15">
        <v>0.09</v>
      </c>
      <c r="AF31" s="15">
        <v>0.09</v>
      </c>
      <c r="AG31" s="15"/>
      <c r="AH31" s="15"/>
      <c r="AI31" s="15"/>
      <c r="AJ31" s="15"/>
      <c r="AK31" s="15"/>
    </row>
    <row r="32" spans="1:109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s="15" customFormat="1" x14ac:dyDescent="0.25">
      <c r="B33" s="1" t="s">
        <v>56</v>
      </c>
      <c r="G33" s="15">
        <f t="shared" ref="G33:L37" si="34">G3/C3-1</f>
        <v>0.15989135355364437</v>
      </c>
      <c r="H33" s="15">
        <f t="shared" si="34"/>
        <v>0.345672191528545</v>
      </c>
      <c r="I33" s="15">
        <f t="shared" si="34"/>
        <v>0.2078015459284559</v>
      </c>
      <c r="J33" s="15">
        <f t="shared" si="34"/>
        <v>0.10071567439632623</v>
      </c>
      <c r="K33" s="15">
        <f t="shared" si="34"/>
        <v>0.1445632659433298</v>
      </c>
      <c r="L33" s="15">
        <f t="shared" si="34"/>
        <v>0.21732585192281384</v>
      </c>
      <c r="P33" s="16"/>
      <c r="R33" s="15">
        <f t="shared" ref="R33:U37" si="35">R3/Q3-1</f>
        <v>2.2038323857654252E-2</v>
      </c>
      <c r="S33" s="15">
        <f t="shared" si="35"/>
        <v>3.7979586538818166E-2</v>
      </c>
      <c r="T33" s="15">
        <f t="shared" si="35"/>
        <v>-4.049225883287022E-2</v>
      </c>
      <c r="U33" s="15">
        <f t="shared" si="35"/>
        <v>0.19637980968142332</v>
      </c>
      <c r="V33" s="15">
        <v>0.17</v>
      </c>
      <c r="W33" s="15">
        <v>0.13</v>
      </c>
      <c r="X33" s="15">
        <v>0.09</v>
      </c>
      <c r="Y33" s="15">
        <v>0.08</v>
      </c>
      <c r="Z33" s="15">
        <v>0.06</v>
      </c>
      <c r="AA33" s="15">
        <v>0.05</v>
      </c>
      <c r="AB33" s="15">
        <v>0.05</v>
      </c>
      <c r="AC33" s="15">
        <v>0.05</v>
      </c>
      <c r="AD33" s="15">
        <v>0.05</v>
      </c>
      <c r="AE33" s="15">
        <v>0.05</v>
      </c>
      <c r="AF33" s="15">
        <v>0.05</v>
      </c>
    </row>
    <row r="34" spans="1:37" s="15" customFormat="1" x14ac:dyDescent="0.25">
      <c r="B34" s="1" t="s">
        <v>57</v>
      </c>
      <c r="G34" s="15">
        <f t="shared" si="34"/>
        <v>0.33520100092476768</v>
      </c>
      <c r="H34" s="15">
        <f t="shared" si="34"/>
        <v>1.1116438356164382</v>
      </c>
      <c r="I34" s="15">
        <f t="shared" si="34"/>
        <v>0.85676240208877319</v>
      </c>
      <c r="J34" s="15">
        <f t="shared" si="34"/>
        <v>0.22807480980557848</v>
      </c>
      <c r="K34" s="15">
        <f t="shared" si="34"/>
        <v>0.20012222448563866</v>
      </c>
      <c r="L34" s="15">
        <f t="shared" si="34"/>
        <v>0.1907233214401558</v>
      </c>
      <c r="P34" s="16"/>
      <c r="R34" s="15">
        <f t="shared" si="35"/>
        <v>8.162947937795817E-2</v>
      </c>
      <c r="S34" s="15">
        <f t="shared" si="35"/>
        <v>3.1424052808911362E-2</v>
      </c>
      <c r="T34" s="15">
        <f t="shared" si="35"/>
        <v>-2.3939393939393816E-2</v>
      </c>
      <c r="U34" s="15">
        <f t="shared" si="35"/>
        <v>0.56224153989444248</v>
      </c>
      <c r="V34" s="15">
        <v>0.17</v>
      </c>
      <c r="W34" s="15">
        <v>0.13</v>
      </c>
      <c r="X34" s="15">
        <v>0.09</v>
      </c>
      <c r="Y34" s="15">
        <v>0.08</v>
      </c>
      <c r="Z34" s="15">
        <v>0.06</v>
      </c>
      <c r="AA34" s="15">
        <v>0.05</v>
      </c>
      <c r="AB34" s="15">
        <v>0.05</v>
      </c>
      <c r="AC34" s="15">
        <v>0.05</v>
      </c>
      <c r="AD34" s="15">
        <v>0.05</v>
      </c>
      <c r="AE34" s="15">
        <v>0.05</v>
      </c>
      <c r="AF34" s="15">
        <v>0.05</v>
      </c>
    </row>
    <row r="35" spans="1:37" s="15" customFormat="1" x14ac:dyDescent="0.25">
      <c r="B35" s="1" t="s">
        <v>58</v>
      </c>
      <c r="G35" s="15">
        <f t="shared" si="34"/>
        <v>7.9879999999999951E-2</v>
      </c>
      <c r="H35" s="15">
        <f t="shared" si="34"/>
        <v>0.25463876825898168</v>
      </c>
      <c r="I35" s="15">
        <f t="shared" si="34"/>
        <v>0.19337186897880532</v>
      </c>
      <c r="J35" s="15">
        <f t="shared" si="34"/>
        <v>0.15719499478623544</v>
      </c>
      <c r="K35" s="15">
        <f t="shared" si="34"/>
        <v>0.15481349779605136</v>
      </c>
      <c r="L35" s="15">
        <f t="shared" si="34"/>
        <v>0.1466016362492133</v>
      </c>
      <c r="P35" s="16"/>
      <c r="R35" s="15">
        <f t="shared" si="35"/>
        <v>4.8231511254019921E-3</v>
      </c>
      <c r="S35" s="15">
        <f t="shared" si="35"/>
        <v>-8.1600000000000006E-2</v>
      </c>
      <c r="T35" s="15">
        <f t="shared" si="35"/>
        <v>-8.493031358885017E-2</v>
      </c>
      <c r="U35" s="15">
        <f t="shared" si="35"/>
        <v>0.17122798667301287</v>
      </c>
      <c r="V35" s="15">
        <v>0.15</v>
      </c>
      <c r="W35" s="15">
        <v>0.12</v>
      </c>
      <c r="X35" s="15">
        <v>0.09</v>
      </c>
      <c r="Y35" s="15">
        <v>0.08</v>
      </c>
      <c r="Z35" s="15">
        <v>0.06</v>
      </c>
      <c r="AA35" s="15">
        <v>0.06</v>
      </c>
      <c r="AB35" s="15">
        <v>0.05</v>
      </c>
      <c r="AC35" s="15">
        <v>0.05</v>
      </c>
      <c r="AD35" s="15">
        <v>0.04</v>
      </c>
      <c r="AE35" s="15">
        <v>0.04</v>
      </c>
      <c r="AF35" s="15">
        <v>0.04</v>
      </c>
    </row>
    <row r="36" spans="1:37" s="15" customFormat="1" x14ac:dyDescent="0.25">
      <c r="B36" s="1" t="s">
        <v>59</v>
      </c>
      <c r="G36" s="15">
        <f t="shared" si="34"/>
        <v>0.61538461538461542</v>
      </c>
      <c r="H36" s="15">
        <f t="shared" si="34"/>
        <v>0</v>
      </c>
      <c r="I36" s="15">
        <f t="shared" si="34"/>
        <v>1.0833333333333335</v>
      </c>
      <c r="J36" s="15">
        <f t="shared" si="34"/>
        <v>-7.2413793103448088E-2</v>
      </c>
      <c r="K36" s="15">
        <f t="shared" si="34"/>
        <v>-0.18285714285714294</v>
      </c>
      <c r="L36" s="15">
        <f t="shared" si="34"/>
        <v>0.30000000000000004</v>
      </c>
      <c r="P36" s="16"/>
      <c r="R36" s="15">
        <f t="shared" si="35"/>
        <v>3.9215686274509887E-2</v>
      </c>
      <c r="S36" s="15">
        <f t="shared" si="35"/>
        <v>-0.13207547169811329</v>
      </c>
      <c r="T36" s="15">
        <f t="shared" si="35"/>
        <v>-0.34782608695652173</v>
      </c>
      <c r="U36" s="15">
        <f t="shared" si="35"/>
        <v>0.28566666666666674</v>
      </c>
      <c r="V36" s="15">
        <v>0.15</v>
      </c>
      <c r="W36" s="15">
        <v>0.12</v>
      </c>
      <c r="X36" s="15">
        <v>0.09</v>
      </c>
      <c r="Y36" s="15">
        <v>0.08</v>
      </c>
      <c r="Z36" s="15">
        <v>7.0000000000000007E-2</v>
      </c>
      <c r="AA36" s="15">
        <v>0.06</v>
      </c>
      <c r="AB36" s="15">
        <v>0.05</v>
      </c>
      <c r="AC36" s="15">
        <v>0.05</v>
      </c>
      <c r="AD36" s="15">
        <v>0.05</v>
      </c>
      <c r="AE36" s="15">
        <v>0.05</v>
      </c>
      <c r="AF36" s="15">
        <v>0.05</v>
      </c>
    </row>
    <row r="37" spans="1:37" s="4" customFormat="1" x14ac:dyDescent="0.25">
      <c r="A37" s="13"/>
      <c r="B37" s="13" t="s">
        <v>23</v>
      </c>
      <c r="C37" s="13"/>
      <c r="D37" s="13"/>
      <c r="E37" s="13"/>
      <c r="F37" s="13"/>
      <c r="G37" s="13">
        <f t="shared" si="34"/>
        <v>0.1706358087487283</v>
      </c>
      <c r="H37" s="13">
        <f t="shared" si="34"/>
        <v>0.44211228163755178</v>
      </c>
      <c r="I37" s="13">
        <f t="shared" si="34"/>
        <v>0.31957698400724199</v>
      </c>
      <c r="J37" s="13">
        <f t="shared" si="34"/>
        <v>0.14234313948116406</v>
      </c>
      <c r="K37" s="13">
        <f t="shared" si="34"/>
        <v>0.16012809204551881</v>
      </c>
      <c r="L37" s="13">
        <f t="shared" si="34"/>
        <v>0.19430758988015961</v>
      </c>
      <c r="M37" s="13"/>
      <c r="N37" s="13"/>
      <c r="O37" s="13"/>
      <c r="P37" s="14"/>
      <c r="Q37" s="13"/>
      <c r="R37" s="13">
        <f t="shared" si="35"/>
        <v>2.6807300171368231E-2</v>
      </c>
      <c r="S37" s="13">
        <f t="shared" si="35"/>
        <v>4.5584045584046162E-3</v>
      </c>
      <c r="T37" s="13">
        <f t="shared" si="35"/>
        <v>-4.7288052349355181E-2</v>
      </c>
      <c r="U37" s="13">
        <f t="shared" si="35"/>
        <v>0.25902300800988298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x14ac:dyDescent="0.25">
      <c r="A38" s="13"/>
      <c r="B38" s="13" t="s">
        <v>24</v>
      </c>
      <c r="C38" s="13"/>
      <c r="D38" s="13"/>
      <c r="E38" s="13"/>
      <c r="F38" s="13"/>
      <c r="G38" s="13">
        <f t="shared" ref="G38:K38" si="36">+G17/C17-1</f>
        <v>156.94000000004127</v>
      </c>
      <c r="H38" s="13">
        <f t="shared" si="36"/>
        <v>1.6326641345632105</v>
      </c>
      <c r="I38" s="13">
        <f t="shared" si="36"/>
        <v>0.25050393989371322</v>
      </c>
      <c r="J38" s="13">
        <f t="shared" si="36"/>
        <v>-4.9226441631505469E-2</v>
      </c>
      <c r="K38" s="13">
        <f t="shared" si="36"/>
        <v>0.41420792706091158</v>
      </c>
      <c r="L38" s="13">
        <f>+L17/H17-1</f>
        <v>0.82405880736465731</v>
      </c>
      <c r="M38" s="13"/>
      <c r="N38" s="13"/>
      <c r="O38" s="13"/>
      <c r="P38" s="14"/>
      <c r="Q38" s="13"/>
      <c r="R38" s="13">
        <f t="shared" ref="R38:T38" si="37">R17/Q17-1</f>
        <v>0.41908425495539414</v>
      </c>
      <c r="S38" s="13">
        <f t="shared" si="37"/>
        <v>-2.7593087609653262</v>
      </c>
      <c r="T38" s="13">
        <f t="shared" si="37"/>
        <v>-1.8242847054291769</v>
      </c>
      <c r="U38" s="13">
        <f>U17/T17-1</f>
        <v>0.48107378368555342</v>
      </c>
      <c r="V38" s="13">
        <f t="shared" ref="V38:AF38" si="38">V17/U17-1</f>
        <v>0.16631199516196649</v>
      </c>
      <c r="W38" s="13">
        <f t="shared" si="38"/>
        <v>0.20548005961431248</v>
      </c>
      <c r="X38" s="13">
        <f t="shared" si="38"/>
        <v>0.12294609471611295</v>
      </c>
      <c r="Y38" s="13">
        <f t="shared" si="38"/>
        <v>0.10532966755272866</v>
      </c>
      <c r="Z38" s="13">
        <f t="shared" si="38"/>
        <v>0.25047004930896</v>
      </c>
      <c r="AA38" s="13">
        <f t="shared" si="38"/>
        <v>6.1846379318969635E-2</v>
      </c>
      <c r="AB38" s="13">
        <f t="shared" si="38"/>
        <v>5.8323455983042116E-2</v>
      </c>
      <c r="AC38" s="13">
        <f t="shared" si="38"/>
        <v>0.2037527789428768</v>
      </c>
      <c r="AD38" s="13">
        <f t="shared" si="38"/>
        <v>5.4857166878923502E-2</v>
      </c>
      <c r="AE38" s="13">
        <f t="shared" si="38"/>
        <v>5.4536139648520443E-2</v>
      </c>
      <c r="AF38" s="13">
        <f t="shared" si="38"/>
        <v>5.423166412533531E-2</v>
      </c>
      <c r="AG38" s="13"/>
      <c r="AH38" s="13"/>
      <c r="AI38" s="13"/>
      <c r="AJ38" s="13"/>
      <c r="AK38" s="13"/>
    </row>
    <row r="39" spans="1:37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x14ac:dyDescent="0.25">
      <c r="B40" s="1"/>
    </row>
    <row r="41" spans="1:37" s="18" customFormat="1" x14ac:dyDescent="0.25">
      <c r="B41" s="18" t="s">
        <v>35</v>
      </c>
      <c r="G41" s="18">
        <f t="shared" ref="G41:L41" si="39">(1+G14/F25)^4-1</f>
        <v>-3.8533066930029558E-2</v>
      </c>
      <c r="H41" s="18">
        <f t="shared" si="39"/>
        <v>-3.1512965572768725E-2</v>
      </c>
      <c r="I41" s="18">
        <f t="shared" si="39"/>
        <v>-4.7431239611958165E-2</v>
      </c>
      <c r="J41" s="18">
        <f t="shared" si="39"/>
        <v>-4.9954093323055226E-2</v>
      </c>
      <c r="K41" s="18">
        <f t="shared" si="39"/>
        <v>-0.10881395130997151</v>
      </c>
      <c r="L41" s="18">
        <f t="shared" si="39"/>
        <v>-4.6716264937493701E-2</v>
      </c>
      <c r="P41" s="19"/>
      <c r="S41" s="18">
        <f t="shared" ref="S41:AF41" si="40">S14/R25</f>
        <v>-5.1696284329563816E-2</v>
      </c>
      <c r="T41" s="18">
        <f t="shared" si="40"/>
        <v>-3.7575401544567504E-2</v>
      </c>
      <c r="U41" s="18">
        <f t="shared" si="40"/>
        <v>-3.2585602377445559E-2</v>
      </c>
      <c r="V41" s="18">
        <f t="shared" si="40"/>
        <v>-0.06</v>
      </c>
      <c r="W41" s="18">
        <f t="shared" si="40"/>
        <v>-0.01</v>
      </c>
      <c r="X41" s="18">
        <f t="shared" si="40"/>
        <v>-0.01</v>
      </c>
      <c r="Y41" s="18">
        <f t="shared" si="40"/>
        <v>-0.01</v>
      </c>
      <c r="Z41" s="18">
        <f t="shared" si="40"/>
        <v>-0.01</v>
      </c>
      <c r="AA41" s="18">
        <f t="shared" si="40"/>
        <v>-0.01</v>
      </c>
      <c r="AB41" s="18">
        <f t="shared" si="40"/>
        <v>-0.01</v>
      </c>
      <c r="AC41" s="18">
        <f t="shared" si="40"/>
        <v>-0.01</v>
      </c>
      <c r="AD41" s="18">
        <f t="shared" si="40"/>
        <v>-0.01</v>
      </c>
      <c r="AE41" s="18">
        <f t="shared" si="40"/>
        <v>-0.01</v>
      </c>
      <c r="AF41" s="18">
        <f t="shared" si="40"/>
        <v>-0.01</v>
      </c>
    </row>
    <row r="42" spans="1:37" x14ac:dyDescent="0.25">
      <c r="AH42" s="10" t="s">
        <v>36</v>
      </c>
      <c r="AI42" s="18">
        <v>-1.4999999999999999E-2</v>
      </c>
    </row>
    <row r="43" spans="1:37" x14ac:dyDescent="0.25">
      <c r="AH43" s="15" t="s">
        <v>37</v>
      </c>
      <c r="AI43" s="18">
        <v>-0.01</v>
      </c>
    </row>
    <row r="44" spans="1:37" x14ac:dyDescent="0.25">
      <c r="AH44" t="s">
        <v>38</v>
      </c>
      <c r="AI44" s="18">
        <v>8.5000000000000006E-2</v>
      </c>
    </row>
    <row r="45" spans="1:37" x14ac:dyDescent="0.25">
      <c r="AH45" s="15" t="s">
        <v>39</v>
      </c>
      <c r="AI45" s="20">
        <f>NPV(AI44,V17:DD17)</f>
        <v>1643.4101590621442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2022-07-29T15:39:37Z</dcterms:created>
  <dcterms:modified xsi:type="dcterms:W3CDTF">2022-08-03T03:12:10Z</dcterms:modified>
</cp:coreProperties>
</file>