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Models\"/>
    </mc:Choice>
  </mc:AlternateContent>
  <xr:revisionPtr revIDLastSave="0" documentId="13_ncr:1_{0AC08BDF-DA5C-4279-9FD9-596018EB4826}" xr6:coauthVersionLast="47" xr6:coauthVersionMax="47" xr10:uidLastSave="{00000000-0000-0000-0000-000000000000}"/>
  <bookViews>
    <workbookView xWindow="15810" yWindow="6795" windowWidth="33135" windowHeight="13650" xr2:uid="{0059096E-FB45-4687-8E83-CA48A4808244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55" i="1" l="1"/>
  <c r="W3" i="1"/>
  <c r="V12" i="1"/>
  <c r="V3" i="1"/>
  <c r="V51" i="1"/>
  <c r="L38" i="1"/>
  <c r="K38" i="1"/>
  <c r="J38" i="1"/>
  <c r="I38" i="1"/>
  <c r="H38" i="1"/>
  <c r="G38" i="1"/>
  <c r="F38" i="1"/>
  <c r="E38" i="1"/>
  <c r="D38" i="1"/>
  <c r="C38" i="1"/>
  <c r="M38" i="1"/>
  <c r="T38" i="1"/>
  <c r="S38" i="1"/>
  <c r="R38" i="1"/>
  <c r="Q38" i="1"/>
  <c r="U38" i="1"/>
  <c r="V14" i="1"/>
  <c r="V16" i="1"/>
  <c r="T51" i="1"/>
  <c r="S51" i="1"/>
  <c r="U51" i="1"/>
  <c r="M51" i="1"/>
  <c r="L51" i="1"/>
  <c r="K51" i="1"/>
  <c r="J51" i="1"/>
  <c r="I51" i="1"/>
  <c r="H51" i="1"/>
  <c r="G51" i="1"/>
  <c r="U30" i="1"/>
  <c r="T30" i="1"/>
  <c r="S30" i="1"/>
  <c r="R30" i="1"/>
  <c r="M30" i="1"/>
  <c r="L30" i="1"/>
  <c r="K30" i="1"/>
  <c r="J30" i="1"/>
  <c r="I30" i="1"/>
  <c r="H30" i="1"/>
  <c r="G30" i="1"/>
  <c r="F30" i="1"/>
  <c r="V11" i="1"/>
  <c r="U46" i="1"/>
  <c r="T46" i="1"/>
  <c r="S46" i="1"/>
  <c r="R46" i="1"/>
  <c r="V6" i="1"/>
  <c r="V10" i="1" s="1"/>
  <c r="V5" i="1"/>
  <c r="W5" i="1" s="1"/>
  <c r="V4" i="1"/>
  <c r="W4" i="1" s="1"/>
  <c r="X4" i="1" s="1"/>
  <c r="W7" i="1"/>
  <c r="V9" i="1"/>
  <c r="V8" i="1"/>
  <c r="U35" i="1"/>
  <c r="T35" i="1"/>
  <c r="S35" i="1"/>
  <c r="R35" i="1"/>
  <c r="Q35" i="1"/>
  <c r="U34" i="1"/>
  <c r="U33" i="1"/>
  <c r="T33" i="1"/>
  <c r="S33" i="1"/>
  <c r="R33" i="1"/>
  <c r="Q33" i="1"/>
  <c r="U32" i="1"/>
  <c r="T32" i="1"/>
  <c r="S32" i="1"/>
  <c r="R32" i="1"/>
  <c r="Q32" i="1"/>
  <c r="M35" i="1"/>
  <c r="L35" i="1"/>
  <c r="K35" i="1"/>
  <c r="I35" i="1"/>
  <c r="H35" i="1"/>
  <c r="G35" i="1"/>
  <c r="F35" i="1"/>
  <c r="E35" i="1"/>
  <c r="D35" i="1"/>
  <c r="C35" i="1"/>
  <c r="M34" i="1"/>
  <c r="L34" i="1"/>
  <c r="K34" i="1"/>
  <c r="M33" i="1"/>
  <c r="L33" i="1"/>
  <c r="K33" i="1"/>
  <c r="I33" i="1"/>
  <c r="H33" i="1"/>
  <c r="G33" i="1"/>
  <c r="E33" i="1"/>
  <c r="D33" i="1"/>
  <c r="C33" i="1"/>
  <c r="L32" i="1"/>
  <c r="K32" i="1"/>
  <c r="I32" i="1"/>
  <c r="H32" i="1"/>
  <c r="G32" i="1"/>
  <c r="E32" i="1"/>
  <c r="D32" i="1"/>
  <c r="C32" i="1"/>
  <c r="M32" i="1"/>
  <c r="C36" i="1"/>
  <c r="E36" i="1"/>
  <c r="C37" i="1"/>
  <c r="F39" i="1"/>
  <c r="G39" i="1"/>
  <c r="H39" i="1"/>
  <c r="I39" i="1"/>
  <c r="J39" i="1"/>
  <c r="K39" i="1"/>
  <c r="L39" i="1"/>
  <c r="M39" i="1"/>
  <c r="R39" i="1"/>
  <c r="S39" i="1"/>
  <c r="T39" i="1"/>
  <c r="U39" i="1"/>
  <c r="Q41" i="1"/>
  <c r="R47" i="1"/>
  <c r="R44" i="1"/>
  <c r="R43" i="1"/>
  <c r="M46" i="1"/>
  <c r="L46" i="1"/>
  <c r="K46" i="1"/>
  <c r="J46" i="1"/>
  <c r="I46" i="1"/>
  <c r="H46" i="1"/>
  <c r="G46" i="1"/>
  <c r="M44" i="1"/>
  <c r="L44" i="1"/>
  <c r="K44" i="1"/>
  <c r="I44" i="1"/>
  <c r="H44" i="1"/>
  <c r="G44" i="1"/>
  <c r="L43" i="1"/>
  <c r="K43" i="1"/>
  <c r="I43" i="1"/>
  <c r="H43" i="1"/>
  <c r="G43" i="1"/>
  <c r="D41" i="1"/>
  <c r="C41" i="1"/>
  <c r="H47" i="1"/>
  <c r="G47" i="1"/>
  <c r="M47" i="1"/>
  <c r="M43" i="1"/>
  <c r="U41" i="1"/>
  <c r="T41" i="1"/>
  <c r="S41" i="1"/>
  <c r="R41" i="1"/>
  <c r="T29" i="1"/>
  <c r="S29" i="1"/>
  <c r="R29" i="1"/>
  <c r="M29" i="1"/>
  <c r="L29" i="1"/>
  <c r="K29" i="1"/>
  <c r="I29" i="1"/>
  <c r="H29" i="1"/>
  <c r="G29" i="1"/>
  <c r="F29" i="1"/>
  <c r="M41" i="1"/>
  <c r="K41" i="1"/>
  <c r="I41" i="1"/>
  <c r="H41" i="1"/>
  <c r="G41" i="1"/>
  <c r="E41" i="1"/>
  <c r="L40" i="1"/>
  <c r="F7" i="1"/>
  <c r="F20" i="1"/>
  <c r="F18" i="1"/>
  <c r="F17" i="1"/>
  <c r="F16" i="1"/>
  <c r="F14" i="1"/>
  <c r="F41" i="1" s="1"/>
  <c r="F12" i="1"/>
  <c r="F13" i="1" s="1"/>
  <c r="F36" i="1" s="1"/>
  <c r="F10" i="1"/>
  <c r="F9" i="1"/>
  <c r="F8" i="1"/>
  <c r="F6" i="1"/>
  <c r="F5" i="1"/>
  <c r="F4" i="1"/>
  <c r="F33" i="1" s="1"/>
  <c r="F3" i="1"/>
  <c r="F32" i="1" s="1"/>
  <c r="J20" i="1"/>
  <c r="J18" i="1"/>
  <c r="J17" i="1"/>
  <c r="J16" i="1"/>
  <c r="J14" i="1"/>
  <c r="J41" i="1" s="1"/>
  <c r="J12" i="1"/>
  <c r="J13" i="1" s="1"/>
  <c r="J36" i="1" s="1"/>
  <c r="J10" i="1"/>
  <c r="J9" i="1"/>
  <c r="J8" i="1"/>
  <c r="J7" i="1"/>
  <c r="J6" i="1"/>
  <c r="J35" i="1" s="1"/>
  <c r="J5" i="1"/>
  <c r="J34" i="1" s="1"/>
  <c r="J4" i="1"/>
  <c r="J3" i="1"/>
  <c r="J43" i="1" s="1"/>
  <c r="C13" i="1"/>
  <c r="C15" i="1" s="1"/>
  <c r="C19" i="1" s="1"/>
  <c r="C21" i="1" s="1"/>
  <c r="C23" i="1" s="1"/>
  <c r="G26" i="1"/>
  <c r="G40" i="1" s="1"/>
  <c r="D13" i="1"/>
  <c r="D15" i="1" s="1"/>
  <c r="D19" i="1" s="1"/>
  <c r="D21" i="1" s="1"/>
  <c r="D23" i="1" s="1"/>
  <c r="F26" i="1"/>
  <c r="F40" i="1" s="1"/>
  <c r="T26" i="1"/>
  <c r="T40" i="1" s="1"/>
  <c r="H26" i="1"/>
  <c r="H40" i="1" s="1"/>
  <c r="E13" i="1"/>
  <c r="E15" i="1" s="1"/>
  <c r="E37" i="1" s="1"/>
  <c r="I26" i="1"/>
  <c r="I40" i="1" s="1"/>
  <c r="G13" i="1"/>
  <c r="G15" i="1" s="1"/>
  <c r="G19" i="1" s="1"/>
  <c r="G21" i="1" s="1"/>
  <c r="G23" i="1" s="1"/>
  <c r="K13" i="1"/>
  <c r="K15" i="1" s="1"/>
  <c r="K19" i="1" s="1"/>
  <c r="K21" i="1" s="1"/>
  <c r="K23" i="1" s="1"/>
  <c r="K26" i="1"/>
  <c r="K40" i="1" s="1"/>
  <c r="H13" i="1"/>
  <c r="H15" i="1" s="1"/>
  <c r="H19" i="1" s="1"/>
  <c r="H21" i="1" s="1"/>
  <c r="H23" i="1" s="1"/>
  <c r="L13" i="1"/>
  <c r="L15" i="1" s="1"/>
  <c r="L19" i="1" s="1"/>
  <c r="L21" i="1" s="1"/>
  <c r="L23" i="1" s="1"/>
  <c r="L26" i="1"/>
  <c r="I13" i="1"/>
  <c r="I15" i="1" s="1"/>
  <c r="I19" i="1" s="1"/>
  <c r="I21" i="1" s="1"/>
  <c r="I23" i="1" s="1"/>
  <c r="M13" i="1"/>
  <c r="M15" i="1" s="1"/>
  <c r="M19" i="1" s="1"/>
  <c r="M21" i="1" s="1"/>
  <c r="M23" i="1" s="1"/>
  <c r="J26" i="1"/>
  <c r="J40" i="1" s="1"/>
  <c r="J25" i="1"/>
  <c r="J29" i="1" s="1"/>
  <c r="M26" i="1"/>
  <c r="M40" i="1" s="1"/>
  <c r="Q13" i="1"/>
  <c r="Q15" i="1" s="1"/>
  <c r="Q19" i="1" s="1"/>
  <c r="Q21" i="1" s="1"/>
  <c r="Q23" i="1" s="1"/>
  <c r="R16" i="1"/>
  <c r="R13" i="1"/>
  <c r="R15" i="1" s="1"/>
  <c r="R37" i="1" s="1"/>
  <c r="R26" i="1"/>
  <c r="R40" i="1" s="1"/>
  <c r="S26" i="1"/>
  <c r="S40" i="1" s="1"/>
  <c r="S13" i="1"/>
  <c r="S15" i="1" s="1"/>
  <c r="S19" i="1" s="1"/>
  <c r="S21" i="1" s="1"/>
  <c r="S23" i="1" s="1"/>
  <c r="T13" i="1"/>
  <c r="T15" i="1" s="1"/>
  <c r="T19" i="1" s="1"/>
  <c r="T21" i="1" s="1"/>
  <c r="T23" i="1" s="1"/>
  <c r="U13" i="1"/>
  <c r="U15" i="1" s="1"/>
  <c r="U19" i="1" s="1"/>
  <c r="U26" i="1"/>
  <c r="U40" i="1" s="1"/>
  <c r="U25" i="1"/>
  <c r="U29" i="1" s="1"/>
  <c r="L47" i="1"/>
  <c r="L41" i="1"/>
  <c r="N17" i="2"/>
  <c r="N16" i="2"/>
  <c r="N15" i="2"/>
  <c r="D36" i="1" l="1"/>
  <c r="J44" i="1"/>
  <c r="J33" i="1"/>
  <c r="J32" i="1"/>
  <c r="D37" i="1"/>
  <c r="V7" i="1"/>
  <c r="V13" i="1" s="1"/>
  <c r="V36" i="1" s="1"/>
  <c r="Y4" i="1"/>
  <c r="X8" i="1"/>
  <c r="W9" i="1"/>
  <c r="X5" i="1"/>
  <c r="W8" i="1"/>
  <c r="X3" i="1"/>
  <c r="W6" i="1"/>
  <c r="W11" i="1" s="1"/>
  <c r="U37" i="1"/>
  <c r="U36" i="1"/>
  <c r="T37" i="1"/>
  <c r="T36" i="1"/>
  <c r="S36" i="1"/>
  <c r="R36" i="1"/>
  <c r="Q37" i="1"/>
  <c r="Q36" i="1"/>
  <c r="S37" i="1"/>
  <c r="M37" i="1"/>
  <c r="M36" i="1"/>
  <c r="L37" i="1"/>
  <c r="L36" i="1"/>
  <c r="K37" i="1"/>
  <c r="K36" i="1"/>
  <c r="I37" i="1"/>
  <c r="I36" i="1"/>
  <c r="H37" i="1"/>
  <c r="H36" i="1"/>
  <c r="G37" i="1"/>
  <c r="G36" i="1"/>
  <c r="G48" i="1"/>
  <c r="H48" i="1"/>
  <c r="M48" i="1"/>
  <c r="F15" i="1"/>
  <c r="F37" i="1" s="1"/>
  <c r="J15" i="1"/>
  <c r="J37" i="1" s="1"/>
  <c r="E19" i="1"/>
  <c r="E21" i="1" s="1"/>
  <c r="E23" i="1" s="1"/>
  <c r="R19" i="1"/>
  <c r="R21" i="1" s="1"/>
  <c r="U21" i="1"/>
  <c r="U23" i="1" s="1"/>
  <c r="L48" i="1"/>
  <c r="X7" i="1" l="1"/>
  <c r="Y3" i="1"/>
  <c r="W10" i="1"/>
  <c r="W12" i="1" s="1"/>
  <c r="W13" i="1" s="1"/>
  <c r="W36" i="1" s="1"/>
  <c r="X6" i="1"/>
  <c r="X11" i="1" s="1"/>
  <c r="Y5" i="1"/>
  <c r="X9" i="1"/>
  <c r="Y8" i="1"/>
  <c r="Z4" i="1"/>
  <c r="R23" i="1"/>
  <c r="R48" i="1"/>
  <c r="J19" i="1"/>
  <c r="J21" i="1" s="1"/>
  <c r="J23" i="1" s="1"/>
  <c r="F19" i="1"/>
  <c r="F21" i="1" s="1"/>
  <c r="F23" i="1" s="1"/>
  <c r="W14" i="1"/>
  <c r="V47" i="1"/>
  <c r="U47" i="1"/>
  <c r="T47" i="1"/>
  <c r="S47" i="1"/>
  <c r="U44" i="1"/>
  <c r="T44" i="1"/>
  <c r="S44" i="1"/>
  <c r="T43" i="1"/>
  <c r="S43" i="1"/>
  <c r="U43" i="1"/>
  <c r="W15" i="1" l="1"/>
  <c r="X10" i="1"/>
  <c r="X12" i="1" s="1"/>
  <c r="X13" i="1" s="1"/>
  <c r="X36" i="1" s="1"/>
  <c r="Y6" i="1"/>
  <c r="Y11" i="1" s="1"/>
  <c r="Y7" i="1"/>
  <c r="Z3" i="1"/>
  <c r="Z8" i="1"/>
  <c r="AA4" i="1"/>
  <c r="Z5" i="1"/>
  <c r="Y9" i="1"/>
  <c r="V15" i="1"/>
  <c r="V19" i="1" s="1"/>
  <c r="W37" i="1"/>
  <c r="X14" i="1"/>
  <c r="X15" i="1" s="1"/>
  <c r="X47" i="1"/>
  <c r="W47" i="1"/>
  <c r="K47" i="1"/>
  <c r="I47" i="1"/>
  <c r="N5" i="2"/>
  <c r="N8" i="2" s="1"/>
  <c r="V20" i="1" l="1"/>
  <c r="V21" i="1" s="1"/>
  <c r="Y47" i="1"/>
  <c r="AA5" i="1"/>
  <c r="Z9" i="1"/>
  <c r="AA8" i="1"/>
  <c r="AB4" i="1"/>
  <c r="Y10" i="1"/>
  <c r="Y12" i="1" s="1"/>
  <c r="Y13" i="1" s="1"/>
  <c r="Y36" i="1" s="1"/>
  <c r="Z6" i="1"/>
  <c r="Z11" i="1" s="1"/>
  <c r="Z7" i="1"/>
  <c r="AA3" i="1"/>
  <c r="V37" i="1"/>
  <c r="X37" i="1"/>
  <c r="Y14" i="1"/>
  <c r="S48" i="1"/>
  <c r="U48" i="1"/>
  <c r="T48" i="1"/>
  <c r="I48" i="1"/>
  <c r="K48" i="1"/>
  <c r="V30" i="1" l="1"/>
  <c r="W16" i="1" s="1"/>
  <c r="V29" i="1"/>
  <c r="Y15" i="1"/>
  <c r="V48" i="1"/>
  <c r="AB3" i="1"/>
  <c r="AA7" i="1"/>
  <c r="Z10" i="1"/>
  <c r="Z12" i="1" s="1"/>
  <c r="Z13" i="1" s="1"/>
  <c r="Z36" i="1" s="1"/>
  <c r="AA6" i="1"/>
  <c r="AA11" i="1" s="1"/>
  <c r="AB8" i="1"/>
  <c r="AC4" i="1"/>
  <c r="AB5" i="1"/>
  <c r="AA9" i="1"/>
  <c r="Z14" i="1"/>
  <c r="Z15" i="1" s="1"/>
  <c r="Z47" i="1"/>
  <c r="W19" i="1" l="1"/>
  <c r="W20" i="1" s="1"/>
  <c r="W21" i="1" s="1"/>
  <c r="W30" i="1" s="1"/>
  <c r="X16" i="1" s="1"/>
  <c r="W51" i="1"/>
  <c r="AC8" i="1"/>
  <c r="AD4" i="1"/>
  <c r="AC3" i="1"/>
  <c r="AB7" i="1"/>
  <c r="AB9" i="1"/>
  <c r="AC5" i="1"/>
  <c r="AA10" i="1"/>
  <c r="AA12" i="1" s="1"/>
  <c r="AA13" i="1" s="1"/>
  <c r="AB6" i="1"/>
  <c r="AB11" i="1" s="1"/>
  <c r="Y37" i="1"/>
  <c r="AA14" i="1"/>
  <c r="AA47" i="1"/>
  <c r="W48" i="1"/>
  <c r="J48" i="1"/>
  <c r="W29" i="1" l="1"/>
  <c r="X19" i="1"/>
  <c r="X20" i="1" s="1"/>
  <c r="X21" i="1" s="1"/>
  <c r="X51" i="1"/>
  <c r="AA15" i="1"/>
  <c r="AA36" i="1"/>
  <c r="AA37" i="1"/>
  <c r="AB10" i="1"/>
  <c r="AB12" i="1" s="1"/>
  <c r="AB13" i="1" s="1"/>
  <c r="AB36" i="1" s="1"/>
  <c r="AC6" i="1"/>
  <c r="AC11" i="1" s="1"/>
  <c r="AC9" i="1"/>
  <c r="AD5" i="1"/>
  <c r="AD3" i="1"/>
  <c r="AC7" i="1"/>
  <c r="AD8" i="1"/>
  <c r="AE4" i="1"/>
  <c r="Z37" i="1"/>
  <c r="AB14" i="1"/>
  <c r="AB15" i="1" s="1"/>
  <c r="AB47" i="1"/>
  <c r="X29" i="1" l="1"/>
  <c r="X30" i="1"/>
  <c r="Y16" i="1" s="1"/>
  <c r="Y51" i="1" s="1"/>
  <c r="AB37" i="1"/>
  <c r="AE3" i="1"/>
  <c r="AD7" i="1"/>
  <c r="AE8" i="1"/>
  <c r="AF4" i="1"/>
  <c r="AF8" i="1" s="1"/>
  <c r="AD6" i="1"/>
  <c r="AD11" i="1" s="1"/>
  <c r="AC10" i="1"/>
  <c r="AC12" i="1" s="1"/>
  <c r="AC13" i="1" s="1"/>
  <c r="AC36" i="1" s="1"/>
  <c r="AD9" i="1"/>
  <c r="AE5" i="1"/>
  <c r="AC14" i="1"/>
  <c r="AC47" i="1"/>
  <c r="AC15" i="1" l="1"/>
  <c r="Y19" i="1"/>
  <c r="Y20" i="1" s="1"/>
  <c r="Y21" i="1" s="1"/>
  <c r="AC37" i="1"/>
  <c r="AE6" i="1"/>
  <c r="AE11" i="1" s="1"/>
  <c r="AD10" i="1"/>
  <c r="AD12" i="1" s="1"/>
  <c r="AD13" i="1" s="1"/>
  <c r="AD36" i="1" s="1"/>
  <c r="AE9" i="1"/>
  <c r="AF5" i="1"/>
  <c r="AF9" i="1" s="1"/>
  <c r="AF3" i="1"/>
  <c r="AE7" i="1"/>
  <c r="AD14" i="1"/>
  <c r="AD47" i="1"/>
  <c r="X48" i="1"/>
  <c r="Y29" i="1" l="1"/>
  <c r="Y30" i="1"/>
  <c r="AD15" i="1"/>
  <c r="Z16" i="1"/>
  <c r="Z51" i="1" s="1"/>
  <c r="AF7" i="1"/>
  <c r="AF6" i="1"/>
  <c r="AF10" i="1" s="1"/>
  <c r="AE10" i="1"/>
  <c r="AE12" i="1" s="1"/>
  <c r="AE13" i="1" s="1"/>
  <c r="AE14" i="1"/>
  <c r="AE47" i="1"/>
  <c r="AE15" i="1" l="1"/>
  <c r="Z19" i="1"/>
  <c r="Z20" i="1" s="1"/>
  <c r="Z21" i="1" s="1"/>
  <c r="AE36" i="1"/>
  <c r="AE37" i="1"/>
  <c r="AF12" i="1"/>
  <c r="AF11" i="1"/>
  <c r="AF47" i="1" s="1"/>
  <c r="AD37" i="1"/>
  <c r="Z29" i="1" l="1"/>
  <c r="Z30" i="1"/>
  <c r="AF13" i="1"/>
  <c r="AF14" i="1"/>
  <c r="AF15" i="1" s="1"/>
  <c r="Y48" i="1"/>
  <c r="AA16" i="1" l="1"/>
  <c r="AF36" i="1"/>
  <c r="AA19" i="1" l="1"/>
  <c r="AA20" i="1" s="1"/>
  <c r="AA21" i="1" s="1"/>
  <c r="AA51" i="1"/>
  <c r="AF37" i="1"/>
  <c r="Z48" i="1"/>
  <c r="AA29" i="1" l="1"/>
  <c r="AA30" i="1"/>
  <c r="AB16" i="1"/>
  <c r="AB51" i="1" s="1"/>
  <c r="AB19" i="1" l="1"/>
  <c r="AB20" i="1" s="1"/>
  <c r="AB21" i="1" s="1"/>
  <c r="AA48" i="1"/>
  <c r="AB29" i="1" l="1"/>
  <c r="AB30" i="1"/>
  <c r="AC16" i="1" l="1"/>
  <c r="AB48" i="1"/>
  <c r="AC19" i="1" l="1"/>
  <c r="AC20" i="1" s="1"/>
  <c r="AC21" i="1" s="1"/>
  <c r="AC29" i="1" s="1"/>
  <c r="AC51" i="1"/>
  <c r="AC30" i="1" l="1"/>
  <c r="AD16" i="1" s="1"/>
  <c r="AD51" i="1" s="1"/>
  <c r="AC48" i="1"/>
  <c r="AD19" i="1" l="1"/>
  <c r="AD20" i="1" s="1"/>
  <c r="AD21" i="1" s="1"/>
  <c r="AD29" i="1" l="1"/>
  <c r="AD30" i="1"/>
  <c r="AD48" i="1"/>
  <c r="AE16" i="1" l="1"/>
  <c r="AE19" i="1" l="1"/>
  <c r="AE20" i="1" s="1"/>
  <c r="AE21" i="1" s="1"/>
  <c r="AE29" i="1" s="1"/>
  <c r="AE51" i="1"/>
  <c r="AE48" i="1" l="1"/>
  <c r="AE30" i="1"/>
  <c r="AF16" i="1" s="1"/>
  <c r="AF51" i="1" s="1"/>
  <c r="AF19" i="1" l="1"/>
  <c r="AF20" i="1" s="1"/>
  <c r="AF21" i="1" s="1"/>
  <c r="AG21" i="1" s="1"/>
  <c r="J47" i="1"/>
  <c r="AF29" i="1" l="1"/>
  <c r="AH21" i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BM21" i="1" s="1"/>
  <c r="BN21" i="1" s="1"/>
  <c r="BO21" i="1" s="1"/>
  <c r="BP21" i="1" s="1"/>
  <c r="BQ21" i="1" s="1"/>
  <c r="BR21" i="1" s="1"/>
  <c r="BS21" i="1" s="1"/>
  <c r="BT21" i="1" s="1"/>
  <c r="BU21" i="1" s="1"/>
  <c r="BV21" i="1" s="1"/>
  <c r="BW21" i="1" s="1"/>
  <c r="BX21" i="1" s="1"/>
  <c r="BY21" i="1" s="1"/>
  <c r="BZ21" i="1" s="1"/>
  <c r="CA21" i="1" s="1"/>
  <c r="CB21" i="1" s="1"/>
  <c r="CC21" i="1" s="1"/>
  <c r="CD21" i="1" s="1"/>
  <c r="CE21" i="1" s="1"/>
  <c r="CF21" i="1" s="1"/>
  <c r="CG21" i="1" s="1"/>
  <c r="CH21" i="1" s="1"/>
  <c r="CI21" i="1" s="1"/>
  <c r="CJ21" i="1" s="1"/>
  <c r="CK21" i="1" s="1"/>
  <c r="CL21" i="1" s="1"/>
  <c r="CM21" i="1" s="1"/>
  <c r="CN21" i="1" s="1"/>
  <c r="CO21" i="1" s="1"/>
  <c r="CP21" i="1" s="1"/>
  <c r="CQ21" i="1" s="1"/>
  <c r="CR21" i="1" s="1"/>
  <c r="CS21" i="1" s="1"/>
  <c r="CT21" i="1" s="1"/>
  <c r="CU21" i="1" s="1"/>
  <c r="CV21" i="1" s="1"/>
  <c r="CW21" i="1" s="1"/>
  <c r="CX21" i="1" s="1"/>
  <c r="CY21" i="1" s="1"/>
  <c r="CZ21" i="1" s="1"/>
  <c r="DA21" i="1" s="1"/>
  <c r="DB21" i="1" s="1"/>
  <c r="DC21" i="1" s="1"/>
  <c r="DD21" i="1" s="1"/>
  <c r="AF30" i="1"/>
  <c r="AF48" i="1"/>
  <c r="N18" i="2" l="1"/>
  <c r="N19" i="2" s="1"/>
</calcChain>
</file>

<file path=xl/sharedStrings.xml><?xml version="1.0" encoding="utf-8"?>
<sst xmlns="http://schemas.openxmlformats.org/spreadsheetml/2006/main" count="79" uniqueCount="72">
  <si>
    <t>20Q1</t>
  </si>
  <si>
    <t>20Q2</t>
  </si>
  <si>
    <t>20Q3</t>
  </si>
  <si>
    <t>20Q4</t>
  </si>
  <si>
    <t>21Q1</t>
  </si>
  <si>
    <t>21Q2</t>
  </si>
  <si>
    <t>21Q3</t>
  </si>
  <si>
    <t>21Q4</t>
  </si>
  <si>
    <t>22Q1</t>
  </si>
  <si>
    <t>22Q2</t>
  </si>
  <si>
    <t>22Q3</t>
  </si>
  <si>
    <t>22Q4</t>
  </si>
  <si>
    <t>Revenue</t>
  </si>
  <si>
    <t>COGS</t>
  </si>
  <si>
    <t>SG&amp;A</t>
  </si>
  <si>
    <t>Operating Income</t>
  </si>
  <si>
    <t>Taxes expense</t>
  </si>
  <si>
    <t>Net income</t>
  </si>
  <si>
    <t>Shares</t>
  </si>
  <si>
    <t>EPS</t>
  </si>
  <si>
    <t>Gross margin</t>
  </si>
  <si>
    <t>Operating margin</t>
  </si>
  <si>
    <t>Revenue y/y</t>
  </si>
  <si>
    <t>Net income y/y</t>
  </si>
  <si>
    <t>Price</t>
  </si>
  <si>
    <t>MkCap</t>
  </si>
  <si>
    <t>Cash</t>
  </si>
  <si>
    <t>Debt</t>
  </si>
  <si>
    <t>EV</t>
  </si>
  <si>
    <t>Inventory</t>
  </si>
  <si>
    <t>PP&amp;E, net</t>
  </si>
  <si>
    <t>Gross profit</t>
  </si>
  <si>
    <t>Net cash</t>
  </si>
  <si>
    <t>Revenue on PP&amp;E gross</t>
  </si>
  <si>
    <t>Interest on Cash</t>
  </si>
  <si>
    <t>Terminal</t>
  </si>
  <si>
    <t>ROIC</t>
  </si>
  <si>
    <t>Discount</t>
  </si>
  <si>
    <t>NPV</t>
  </si>
  <si>
    <t>SG&amp;A rate</t>
  </si>
  <si>
    <t>Loss on extinguishment of debt</t>
  </si>
  <si>
    <t>Weirdo schedule</t>
  </si>
  <si>
    <t>Dec</t>
  </si>
  <si>
    <t>Mar</t>
  </si>
  <si>
    <t>Jun</t>
  </si>
  <si>
    <t>Target</t>
  </si>
  <si>
    <t>Interest gain</t>
  </si>
  <si>
    <t>Income before taxes</t>
  </si>
  <si>
    <t>Other income</t>
  </si>
  <si>
    <t>Home sales</t>
  </si>
  <si>
    <t>Land sales</t>
  </si>
  <si>
    <t>Rental property</t>
  </si>
  <si>
    <t>Financial services</t>
  </si>
  <si>
    <t>Home sales COGS</t>
  </si>
  <si>
    <t>Land sales COGS</t>
  </si>
  <si>
    <t>Rental property COGS</t>
  </si>
  <si>
    <t>Financial services COGS</t>
  </si>
  <si>
    <t>Sep</t>
  </si>
  <si>
    <t>Revenue on inventory</t>
  </si>
  <si>
    <t>Home sales y/y</t>
  </si>
  <si>
    <t>Land sales y/y</t>
  </si>
  <si>
    <t>Rental property y/y</t>
  </si>
  <si>
    <t>Financial services y/y</t>
  </si>
  <si>
    <t>Home sales margin</t>
  </si>
  <si>
    <t>Land sales margin</t>
  </si>
  <si>
    <t>Rental property margin</t>
  </si>
  <si>
    <t>Financial services margin</t>
  </si>
  <si>
    <t>Interest on inventory</t>
  </si>
  <si>
    <t>Net Investment</t>
  </si>
  <si>
    <t>Tax on income rate</t>
  </si>
  <si>
    <t>DHI</t>
  </si>
  <si>
    <t>D R Horton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</si>
</sst>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232A3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2" borderId="0" xfId="0" applyFill="1"/>
    <xf numFmtId="0" fontId="1" fillId="0" borderId="0" xfId="0" applyFont="1"/>
    <xf numFmtId="3" fontId="1" fillId="0" borderId="0" xfId="0" applyNumberFormat="1" applyFont="1"/>
    <xf numFmtId="0" fontId="1" fillId="2" borderId="0" xfId="0" applyFont="1" applyFill="1"/>
    <xf numFmtId="2" fontId="0" fillId="0" borderId="0" xfId="0" applyNumberFormat="1"/>
    <xf numFmtId="2" fontId="1" fillId="0" borderId="0" xfId="0" applyNumberFormat="1" applyFont="1"/>
    <xf numFmtId="2" fontId="0" fillId="2" borderId="0" xfId="0" applyNumberFormat="1" applyFill="1"/>
    <xf numFmtId="4" fontId="0" fillId="0" borderId="0" xfId="0" applyNumberFormat="1"/>
    <xf numFmtId="3" fontId="0" fillId="2" borderId="0" xfId="0" applyNumberFormat="1" applyFill="1"/>
    <xf numFmtId="4" fontId="0" fillId="2" borderId="0" xfId="0" applyNumberFormat="1" applyFill="1"/>
    <xf numFmtId="9" fontId="1" fillId="0" borderId="0" xfId="0" applyNumberFormat="1" applyFont="1"/>
    <xf numFmtId="9" fontId="1" fillId="2" borderId="0" xfId="0" applyNumberFormat="1" applyFont="1" applyFill="1"/>
    <xf numFmtId="9" fontId="0" fillId="0" borderId="0" xfId="0" applyNumberFormat="1"/>
    <xf numFmtId="9" fontId="0" fillId="2" borderId="0" xfId="0" applyNumberFormat="1" applyFill="1"/>
    <xf numFmtId="44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8" fontId="0" fillId="0" borderId="0" xfId="0" applyNumberFormat="1"/>
    <xf numFmtId="3" fontId="1" fillId="2" borderId="0" xfId="0" applyNumberFormat="1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76782</xdr:colOff>
      <xdr:row>0</xdr:row>
      <xdr:rowOff>36054</xdr:rowOff>
    </xdr:from>
    <xdr:to>
      <xdr:col>13</xdr:col>
      <xdr:colOff>76782</xdr:colOff>
      <xdr:row>52</xdr:row>
      <xdr:rowOff>14073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72345345-F0B6-4AE2-A6A9-0610AA28392A}"/>
            </a:ext>
          </a:extLst>
        </xdr:cNvPr>
        <xdr:cNvCxnSpPr/>
      </xdr:nvCxnSpPr>
      <xdr:spPr>
        <a:xfrm>
          <a:off x="9433694" y="36054"/>
          <a:ext cx="0" cy="836001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19050</xdr:colOff>
      <xdr:row>0</xdr:row>
      <xdr:rowOff>9525</xdr:rowOff>
    </xdr:from>
    <xdr:to>
      <xdr:col>21</xdr:col>
      <xdr:colOff>19050</xdr:colOff>
      <xdr:row>52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4BF9532-F513-4B59-AFF3-65781C501A93}"/>
            </a:ext>
          </a:extLst>
        </xdr:cNvPr>
        <xdr:cNvCxnSpPr/>
      </xdr:nvCxnSpPr>
      <xdr:spPr>
        <a:xfrm>
          <a:off x="13992225" y="9525"/>
          <a:ext cx="0" cy="950301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10774-B749-4685-A014-25AB192F1EFE}">
  <dimension ref="M1:N19"/>
  <sheetViews>
    <sheetView tabSelected="1" workbookViewId="0">
      <selection activeCell="J7" sqref="J7"/>
    </sheetView>
  </sheetViews>
  <sheetFormatPr defaultRowHeight="15" x14ac:dyDescent="0.25"/>
  <cols>
    <col min="13" max="13" width="9.7109375" bestFit="1" customWidth="1"/>
    <col min="14" max="14" width="9.85546875" bestFit="1" customWidth="1"/>
  </cols>
  <sheetData>
    <row r="1" spans="13:14" ht="18" x14ac:dyDescent="0.25">
      <c r="M1" s="22" t="s">
        <v>71</v>
      </c>
    </row>
    <row r="2" spans="13:14" x14ac:dyDescent="0.25">
      <c r="M2" t="s">
        <v>70</v>
      </c>
    </row>
    <row r="3" spans="13:14" x14ac:dyDescent="0.25">
      <c r="M3" t="s">
        <v>24</v>
      </c>
      <c r="N3" s="17">
        <v>76.150000000000006</v>
      </c>
    </row>
    <row r="4" spans="13:14" x14ac:dyDescent="0.25">
      <c r="M4" t="s">
        <v>18</v>
      </c>
      <c r="N4" s="1">
        <v>350.8</v>
      </c>
    </row>
    <row r="5" spans="13:14" x14ac:dyDescent="0.25">
      <c r="M5" t="s">
        <v>25</v>
      </c>
      <c r="N5" s="1">
        <f>N3*N4</f>
        <v>26713.420000000002</v>
      </c>
    </row>
    <row r="6" spans="13:14" x14ac:dyDescent="0.25">
      <c r="M6" t="s">
        <v>26</v>
      </c>
      <c r="N6" s="1">
        <v>1684.3</v>
      </c>
    </row>
    <row r="7" spans="13:14" x14ac:dyDescent="0.25">
      <c r="M7" t="s">
        <v>27</v>
      </c>
      <c r="N7" s="1">
        <v>5975</v>
      </c>
    </row>
    <row r="8" spans="13:14" x14ac:dyDescent="0.25">
      <c r="M8" t="s">
        <v>28</v>
      </c>
      <c r="N8" s="1">
        <f>N5-N6+N7</f>
        <v>31004.120000000003</v>
      </c>
    </row>
    <row r="11" spans="13:14" x14ac:dyDescent="0.25">
      <c r="M11" s="2">
        <v>44775</v>
      </c>
    </row>
    <row r="15" spans="13:14" x14ac:dyDescent="0.25">
      <c r="M15" s="10" t="s">
        <v>35</v>
      </c>
      <c r="N15" s="18">
        <f>Model!AI52</f>
        <v>-1.4999999999999999E-2</v>
      </c>
    </row>
    <row r="16" spans="13:14" x14ac:dyDescent="0.25">
      <c r="M16" s="15" t="s">
        <v>36</v>
      </c>
      <c r="N16" s="18">
        <f>Model!AI53</f>
        <v>-5.0000000000000001E-3</v>
      </c>
    </row>
    <row r="17" spans="13:14" x14ac:dyDescent="0.25">
      <c r="M17" t="s">
        <v>37</v>
      </c>
      <c r="N17" s="18">
        <f>Model!AI54</f>
        <v>0.09</v>
      </c>
    </row>
    <row r="18" spans="13:14" x14ac:dyDescent="0.25">
      <c r="M18" s="15" t="s">
        <v>38</v>
      </c>
      <c r="N18" s="1">
        <f>Model!AI55</f>
        <v>59674.776053903901</v>
      </c>
    </row>
    <row r="19" spans="13:14" x14ac:dyDescent="0.25">
      <c r="M19" t="s">
        <v>45</v>
      </c>
      <c r="N19" s="17">
        <f>N18/N4</f>
        <v>170.11053607156185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B4B3-79B0-4A5E-8A82-3BDE2546F8D8}">
  <dimension ref="A1:DE55"/>
  <sheetViews>
    <sheetView zoomScale="85" zoomScaleNormal="85" workbookViewId="0">
      <pane xSplit="2" ySplit="2" topLeftCell="J29" activePane="bottomRight" state="frozen"/>
      <selection pane="topRight" activeCell="C1" sqref="C1"/>
      <selection pane="bottomLeft" activeCell="A3" sqref="A3"/>
      <selection pane="bottomRight" activeCell="AI56" sqref="AI56"/>
    </sheetView>
  </sheetViews>
  <sheetFormatPr defaultRowHeight="15" x14ac:dyDescent="0.25"/>
  <cols>
    <col min="2" max="2" width="31.42578125" customWidth="1"/>
    <col min="3" max="15" width="9.140625" style="1"/>
    <col min="16" max="16" width="4.42578125" style="3" customWidth="1"/>
    <col min="23" max="23" width="10.85546875" bestFit="1" customWidth="1"/>
    <col min="35" max="35" width="10.85546875" bestFit="1" customWidth="1"/>
    <col min="40" max="40" width="10.85546875" bestFit="1" customWidth="1"/>
  </cols>
  <sheetData>
    <row r="1" spans="1:37" x14ac:dyDescent="0.25">
      <c r="B1" t="s">
        <v>41</v>
      </c>
      <c r="J1" s="1" t="s">
        <v>57</v>
      </c>
      <c r="K1" s="1" t="s">
        <v>42</v>
      </c>
      <c r="L1" s="1" t="s">
        <v>43</v>
      </c>
      <c r="M1" s="1" t="s">
        <v>44</v>
      </c>
    </row>
    <row r="2" spans="1:37" x14ac:dyDescent="0.25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Q2" s="1">
        <v>17</v>
      </c>
      <c r="R2" s="1">
        <v>18</v>
      </c>
      <c r="S2" s="1">
        <v>19</v>
      </c>
      <c r="T2" s="1">
        <v>20</v>
      </c>
      <c r="U2" s="1">
        <v>21</v>
      </c>
      <c r="V2" s="1">
        <v>22</v>
      </c>
      <c r="W2" s="1">
        <v>23</v>
      </c>
      <c r="X2" s="1">
        <v>24</v>
      </c>
      <c r="Y2" s="1">
        <v>25</v>
      </c>
      <c r="Z2" s="1">
        <v>26</v>
      </c>
      <c r="AA2" s="1">
        <v>27</v>
      </c>
      <c r="AB2" s="1">
        <v>28</v>
      </c>
      <c r="AC2" s="1">
        <v>29</v>
      </c>
      <c r="AD2" s="1">
        <v>30</v>
      </c>
      <c r="AE2" s="1">
        <v>31</v>
      </c>
      <c r="AF2" s="1">
        <v>32</v>
      </c>
      <c r="AG2" s="1">
        <v>33</v>
      </c>
      <c r="AH2" s="1">
        <v>34</v>
      </c>
      <c r="AI2" s="1">
        <v>35</v>
      </c>
      <c r="AJ2" s="1">
        <v>36</v>
      </c>
      <c r="AK2" s="1">
        <v>37</v>
      </c>
    </row>
    <row r="3" spans="1:37" s="1" customFormat="1" x14ac:dyDescent="0.25">
      <c r="B3" s="1" t="s">
        <v>49</v>
      </c>
      <c r="C3" s="1">
        <v>5698.7</v>
      </c>
      <c r="D3" s="1">
        <v>4363.3</v>
      </c>
      <c r="E3" s="1">
        <v>5207.6000000000004</v>
      </c>
      <c r="F3" s="1">
        <f>T3-E3-D3-C3</f>
        <v>4291.199999999998</v>
      </c>
      <c r="G3" s="1">
        <v>5698.7</v>
      </c>
      <c r="H3" s="1">
        <v>6170.4</v>
      </c>
      <c r="I3" s="1">
        <v>7040.1</v>
      </c>
      <c r="J3" s="1">
        <f>U3-I3-H3-G3</f>
        <v>7592.800000000002</v>
      </c>
      <c r="K3" s="1">
        <v>6656.4</v>
      </c>
      <c r="L3" s="1">
        <v>7499.2</v>
      </c>
      <c r="M3" s="1">
        <v>8336.4</v>
      </c>
      <c r="P3" s="11"/>
      <c r="Q3" s="1">
        <v>13653.2</v>
      </c>
      <c r="R3" s="1">
        <v>15502</v>
      </c>
      <c r="S3" s="1">
        <v>16925</v>
      </c>
      <c r="T3" s="1">
        <v>19560.8</v>
      </c>
      <c r="U3" s="1">
        <v>26502</v>
      </c>
      <c r="V3" s="1">
        <f>U3*(1+V43)</f>
        <v>31007.339999999997</v>
      </c>
      <c r="W3" s="1">
        <f>V3*(1+W43)</f>
        <v>24805.871999999999</v>
      </c>
      <c r="X3" s="1">
        <f t="shared" ref="W3:AF3" si="0">W3*(1+X43)</f>
        <v>20340.815040000001</v>
      </c>
      <c r="Y3" s="1">
        <f t="shared" si="0"/>
        <v>22781.712844800004</v>
      </c>
      <c r="Z3" s="1">
        <f t="shared" si="0"/>
        <v>24832.067000832005</v>
      </c>
      <c r="AA3" s="1">
        <f t="shared" si="0"/>
        <v>26818.632360898566</v>
      </c>
      <c r="AB3" s="1">
        <f t="shared" si="0"/>
        <v>28964.122949770452</v>
      </c>
      <c r="AC3" s="1">
        <f t="shared" si="0"/>
        <v>31281.252785752091</v>
      </c>
      <c r="AD3" s="1">
        <f t="shared" si="0"/>
        <v>33783.753008612257</v>
      </c>
      <c r="AE3" s="1">
        <f t="shared" si="0"/>
        <v>36486.453249301238</v>
      </c>
      <c r="AF3" s="1">
        <f t="shared" si="0"/>
        <v>39405.369509245342</v>
      </c>
    </row>
    <row r="4" spans="1:37" s="1" customFormat="1" x14ac:dyDescent="0.25">
      <c r="B4" s="1" t="s">
        <v>50</v>
      </c>
      <c r="C4" s="1">
        <v>47.5</v>
      </c>
      <c r="D4" s="1">
        <v>32.200000000000003</v>
      </c>
      <c r="E4" s="1">
        <v>25.8</v>
      </c>
      <c r="F4" s="1">
        <f t="shared" ref="F4:F20" si="1">T4-E4-D4-C4</f>
        <v>59.899999999999991</v>
      </c>
      <c r="G4" s="1">
        <v>47.5</v>
      </c>
      <c r="H4" s="1">
        <v>51.4</v>
      </c>
      <c r="I4" s="1">
        <v>55.8</v>
      </c>
      <c r="J4" s="1">
        <f t="shared" ref="J4:J20" si="2">U4-I4-H4-G4</f>
        <v>57.299999999999983</v>
      </c>
      <c r="K4" s="1">
        <v>56.2</v>
      </c>
      <c r="L4" s="1">
        <v>54.8</v>
      </c>
      <c r="M4" s="1">
        <v>87.7</v>
      </c>
      <c r="P4" s="11"/>
      <c r="Q4" s="1">
        <v>88.3</v>
      </c>
      <c r="R4" s="1">
        <v>190.7</v>
      </c>
      <c r="S4" s="1">
        <v>226.2</v>
      </c>
      <c r="T4" s="1">
        <v>165.4</v>
      </c>
      <c r="U4" s="1">
        <v>212</v>
      </c>
      <c r="V4" s="1">
        <f t="shared" ref="V4:AF4" si="3">U4*(1+V44)</f>
        <v>262.88</v>
      </c>
      <c r="W4" s="1">
        <f t="shared" si="3"/>
        <v>226.07679999999999</v>
      </c>
      <c r="X4" s="1">
        <f t="shared" si="3"/>
        <v>180.86144000000002</v>
      </c>
      <c r="Y4" s="1">
        <f t="shared" si="3"/>
        <v>213.4164992</v>
      </c>
      <c r="Z4" s="1">
        <f t="shared" si="3"/>
        <v>234.75814912000001</v>
      </c>
      <c r="AA4" s="1">
        <f t="shared" si="3"/>
        <v>260.58154552320002</v>
      </c>
      <c r="AB4" s="1">
        <f t="shared" si="3"/>
        <v>281.42806916505606</v>
      </c>
      <c r="AC4" s="1">
        <f t="shared" si="3"/>
        <v>303.94231469826059</v>
      </c>
      <c r="AD4" s="1">
        <f t="shared" si="3"/>
        <v>328.25769987412144</v>
      </c>
      <c r="AE4" s="1">
        <f t="shared" si="3"/>
        <v>354.5183158640512</v>
      </c>
      <c r="AF4" s="1">
        <f t="shared" si="3"/>
        <v>382.8797811331753</v>
      </c>
    </row>
    <row r="5" spans="1:37" s="1" customFormat="1" x14ac:dyDescent="0.25">
      <c r="B5" s="1" t="s">
        <v>51</v>
      </c>
      <c r="C5" s="1">
        <v>0</v>
      </c>
      <c r="D5" s="1">
        <v>0</v>
      </c>
      <c r="E5" s="1">
        <v>0</v>
      </c>
      <c r="F5" s="1">
        <f t="shared" si="1"/>
        <v>0</v>
      </c>
      <c r="G5" s="1">
        <v>0</v>
      </c>
      <c r="H5" s="1">
        <v>0</v>
      </c>
      <c r="I5" s="1">
        <v>0</v>
      </c>
      <c r="J5" s="1">
        <f t="shared" si="2"/>
        <v>236</v>
      </c>
      <c r="K5" s="1">
        <v>156.5</v>
      </c>
      <c r="L5" s="1">
        <v>222.9</v>
      </c>
      <c r="M5" s="1">
        <v>109.7</v>
      </c>
      <c r="P5" s="11"/>
      <c r="Q5" s="1">
        <v>0</v>
      </c>
      <c r="R5" s="1">
        <v>0</v>
      </c>
      <c r="S5" s="1">
        <v>0</v>
      </c>
      <c r="T5" s="1">
        <v>0</v>
      </c>
      <c r="U5" s="1">
        <v>236</v>
      </c>
      <c r="V5" s="1">
        <f t="shared" ref="V5:AF5" si="4">U5*(1+V45)</f>
        <v>566.4</v>
      </c>
      <c r="W5" s="1">
        <f t="shared" si="4"/>
        <v>934.56</v>
      </c>
      <c r="X5" s="1">
        <f t="shared" si="4"/>
        <v>1121.472</v>
      </c>
      <c r="Y5" s="1">
        <f t="shared" si="4"/>
        <v>2242.944</v>
      </c>
      <c r="Z5" s="1">
        <f t="shared" si="4"/>
        <v>2915.8272000000002</v>
      </c>
      <c r="AA5" s="1">
        <f t="shared" si="4"/>
        <v>3498.9926399999999</v>
      </c>
      <c r="AB5" s="1">
        <f t="shared" si="4"/>
        <v>4023.8415359999995</v>
      </c>
      <c r="AC5" s="1">
        <f t="shared" si="4"/>
        <v>4426.2256895999999</v>
      </c>
      <c r="AD5" s="1">
        <f t="shared" si="4"/>
        <v>4868.8482585600004</v>
      </c>
      <c r="AE5" s="1">
        <f t="shared" si="4"/>
        <v>5112.290671488001</v>
      </c>
      <c r="AF5" s="1">
        <f t="shared" si="4"/>
        <v>5367.9052050624014</v>
      </c>
    </row>
    <row r="6" spans="1:37" s="1" customFormat="1" x14ac:dyDescent="0.25">
      <c r="B6" s="1" t="s">
        <v>52</v>
      </c>
      <c r="C6" s="1">
        <v>187.2</v>
      </c>
      <c r="D6" s="1">
        <v>104.5</v>
      </c>
      <c r="E6" s="1">
        <v>156.6</v>
      </c>
      <c r="F6" s="1">
        <f t="shared" si="1"/>
        <v>136.59999999999997</v>
      </c>
      <c r="G6" s="1">
        <v>187.2</v>
      </c>
      <c r="H6" s="1">
        <v>225</v>
      </c>
      <c r="I6" s="1">
        <v>188.7</v>
      </c>
      <c r="J6" s="1">
        <f t="shared" si="2"/>
        <v>222.7000000000001</v>
      </c>
      <c r="K6" s="1">
        <v>184.3</v>
      </c>
      <c r="L6" s="1">
        <v>222.1</v>
      </c>
      <c r="M6" s="1">
        <v>254.3</v>
      </c>
      <c r="P6" s="11"/>
      <c r="Q6" s="1">
        <v>349.5</v>
      </c>
      <c r="R6" s="1">
        <v>375.3</v>
      </c>
      <c r="S6" s="1">
        <v>441.7</v>
      </c>
      <c r="T6" s="1">
        <v>584.9</v>
      </c>
      <c r="U6" s="1">
        <v>823.6</v>
      </c>
      <c r="V6" s="1">
        <f t="shared" ref="V6:AF6" si="5">U6*(1+V46)</f>
        <v>905.96000000000015</v>
      </c>
      <c r="W6" s="1">
        <f t="shared" si="5"/>
        <v>996.55600000000027</v>
      </c>
      <c r="X6" s="1">
        <f t="shared" si="5"/>
        <v>1096.2116000000003</v>
      </c>
      <c r="Y6" s="1">
        <f t="shared" si="5"/>
        <v>1205.8327600000005</v>
      </c>
      <c r="Z6" s="1">
        <f t="shared" si="5"/>
        <v>1326.4160360000005</v>
      </c>
      <c r="AA6" s="1">
        <f t="shared" si="5"/>
        <v>1459.0576396000008</v>
      </c>
      <c r="AB6" s="1">
        <f t="shared" si="5"/>
        <v>1604.9634035600011</v>
      </c>
      <c r="AC6" s="1">
        <f t="shared" si="5"/>
        <v>1765.4597439160013</v>
      </c>
      <c r="AD6" s="1">
        <f t="shared" si="5"/>
        <v>1942.0057183076017</v>
      </c>
      <c r="AE6" s="1">
        <f t="shared" si="5"/>
        <v>2136.206290138362</v>
      </c>
      <c r="AF6" s="1">
        <f t="shared" si="5"/>
        <v>2349.8269191521986</v>
      </c>
    </row>
    <row r="7" spans="1:37" s="1" customFormat="1" x14ac:dyDescent="0.25">
      <c r="B7" s="1" t="s">
        <v>53</v>
      </c>
      <c r="C7" s="1">
        <v>4297.3999999999996</v>
      </c>
      <c r="D7" s="1">
        <v>3424.5</v>
      </c>
      <c r="E7" s="1">
        <v>4065.5</v>
      </c>
      <c r="F7" s="1">
        <f>T7-E7-D7-C7</f>
        <v>3459.6000000000004</v>
      </c>
      <c r="G7" s="1">
        <v>4297.3999999999996</v>
      </c>
      <c r="H7" s="1">
        <v>4616.3999999999996</v>
      </c>
      <c r="I7" s="1">
        <v>5179.2</v>
      </c>
      <c r="J7" s="1">
        <f t="shared" si="2"/>
        <v>5515</v>
      </c>
      <c r="K7" s="1">
        <v>4796.2</v>
      </c>
      <c r="L7" s="1">
        <v>5291.5</v>
      </c>
      <c r="M7" s="1">
        <v>5774.3</v>
      </c>
      <c r="P7" s="11"/>
      <c r="Q7" s="1">
        <v>10927.8</v>
      </c>
      <c r="R7" s="1">
        <v>12194.3</v>
      </c>
      <c r="S7" s="1">
        <v>13498.8</v>
      </c>
      <c r="T7" s="1">
        <v>15247</v>
      </c>
      <c r="U7" s="1">
        <v>19608</v>
      </c>
      <c r="V7" s="1">
        <f>V3-V3*V32</f>
        <v>22015.2114</v>
      </c>
      <c r="W7" s="1">
        <f t="shared" ref="W7:AF7" si="6">W3-W3*W32</f>
        <v>18852.46272</v>
      </c>
      <c r="X7" s="1">
        <f t="shared" si="6"/>
        <v>15865.835731200001</v>
      </c>
      <c r="Y7" s="1">
        <f t="shared" si="6"/>
        <v>17086.284633600004</v>
      </c>
      <c r="Z7" s="1">
        <f t="shared" si="6"/>
        <v>18872.370920632326</v>
      </c>
      <c r="AA7" s="1">
        <f t="shared" si="6"/>
        <v>20382.160594282912</v>
      </c>
      <c r="AB7" s="1">
        <f t="shared" si="6"/>
        <v>22012.733441825541</v>
      </c>
      <c r="AC7" s="1">
        <f t="shared" si="6"/>
        <v>23773.752117171589</v>
      </c>
      <c r="AD7" s="1">
        <f t="shared" si="6"/>
        <v>25675.652286545315</v>
      </c>
      <c r="AE7" s="1">
        <f t="shared" si="6"/>
        <v>27729.704469468939</v>
      </c>
      <c r="AF7" s="1">
        <f t="shared" si="6"/>
        <v>29948.080827026461</v>
      </c>
    </row>
    <row r="8" spans="1:37" s="1" customFormat="1" x14ac:dyDescent="0.25">
      <c r="B8" s="1" t="s">
        <v>54</v>
      </c>
      <c r="C8" s="1">
        <v>26.8</v>
      </c>
      <c r="D8" s="1">
        <v>17.399999999999999</v>
      </c>
      <c r="E8" s="1">
        <v>14.2</v>
      </c>
      <c r="F8" s="1">
        <f t="shared" si="1"/>
        <v>43.8</v>
      </c>
      <c r="G8" s="1">
        <v>26.8</v>
      </c>
      <c r="H8" s="1">
        <v>30.7</v>
      </c>
      <c r="I8" s="1">
        <v>27.8</v>
      </c>
      <c r="J8" s="1">
        <f t="shared" si="2"/>
        <v>34</v>
      </c>
      <c r="K8" s="1">
        <v>33</v>
      </c>
      <c r="L8" s="1">
        <v>25</v>
      </c>
      <c r="M8" s="1">
        <v>43.5</v>
      </c>
      <c r="P8" s="11"/>
      <c r="Q8" s="1">
        <v>74.8</v>
      </c>
      <c r="R8" s="1">
        <v>153.4</v>
      </c>
      <c r="S8" s="1">
        <v>168.1</v>
      </c>
      <c r="T8" s="1">
        <v>102.2</v>
      </c>
      <c r="U8" s="1">
        <v>119.3</v>
      </c>
      <c r="V8" s="1">
        <f>V4-V4*V33</f>
        <v>131.44</v>
      </c>
      <c r="W8" s="1">
        <f>W4-W4*W33</f>
        <v>146.94992000000002</v>
      </c>
      <c r="X8" s="1">
        <f>X4-X4*X33</f>
        <v>122.98577920000001</v>
      </c>
      <c r="Y8" s="1">
        <f>Y4-Y4*Y33</f>
        <v>136.58655948800001</v>
      </c>
      <c r="Z8" s="1">
        <f>Z4-Z4*Z33</f>
        <v>140.854889472</v>
      </c>
      <c r="AA8" s="1">
        <f>AA4-AA4*AA33</f>
        <v>156.34892731392</v>
      </c>
      <c r="AB8" s="1">
        <f>AB4-AB4*AB33</f>
        <v>168.85684149903364</v>
      </c>
      <c r="AC8" s="1">
        <f>AC4-AC4*AC33</f>
        <v>182.36538881895635</v>
      </c>
      <c r="AD8" s="1">
        <f>AD4-AD4*AD33</f>
        <v>196.95461992447287</v>
      </c>
      <c r="AE8" s="1">
        <f>AE4-AE4*AE33</f>
        <v>212.71098951843072</v>
      </c>
      <c r="AF8" s="1">
        <f>AF4-AF4*AF33</f>
        <v>229.72786867990519</v>
      </c>
    </row>
    <row r="9" spans="1:37" s="1" customFormat="1" x14ac:dyDescent="0.25">
      <c r="B9" s="1" t="s">
        <v>55</v>
      </c>
      <c r="C9" s="1">
        <v>0</v>
      </c>
      <c r="D9" s="1">
        <v>0</v>
      </c>
      <c r="E9" s="1">
        <v>0</v>
      </c>
      <c r="F9" s="1">
        <f t="shared" si="1"/>
        <v>0</v>
      </c>
      <c r="G9" s="1">
        <v>0</v>
      </c>
      <c r="H9" s="1">
        <v>0</v>
      </c>
      <c r="I9" s="1">
        <v>0</v>
      </c>
      <c r="J9" s="1">
        <f t="shared" si="2"/>
        <v>143</v>
      </c>
      <c r="K9" s="1">
        <v>71.7</v>
      </c>
      <c r="L9" s="1">
        <v>98.2</v>
      </c>
      <c r="M9" s="1">
        <v>50.9</v>
      </c>
      <c r="P9" s="11"/>
      <c r="Q9" s="1">
        <v>0</v>
      </c>
      <c r="R9" s="1">
        <v>0</v>
      </c>
      <c r="S9" s="1">
        <v>0</v>
      </c>
      <c r="T9" s="1">
        <v>0</v>
      </c>
      <c r="U9" s="1">
        <v>143</v>
      </c>
      <c r="V9" s="1">
        <f>V5-V5*V34</f>
        <v>283.2</v>
      </c>
      <c r="W9" s="1">
        <f>W5-W5*W34</f>
        <v>560.73599999999988</v>
      </c>
      <c r="X9" s="1">
        <f>X5-X5*X34</f>
        <v>616.80960000000005</v>
      </c>
      <c r="Y9" s="1">
        <f>Y5-Y5*Y34</f>
        <v>1211.18976</v>
      </c>
      <c r="Z9" s="1">
        <f>Z5-Z5*Z34</f>
        <v>1574.5466880000001</v>
      </c>
      <c r="AA9" s="1">
        <f>AA5-AA5*AA34</f>
        <v>1889.4560256</v>
      </c>
      <c r="AB9" s="1">
        <f>AB5-AB5*AB34</f>
        <v>2172.8744294399994</v>
      </c>
      <c r="AC9" s="1">
        <f>AC5-AC5*AC34</f>
        <v>2390.1618723840002</v>
      </c>
      <c r="AD9" s="1">
        <f>AD5-AD5*AD34</f>
        <v>2629.1780596224003</v>
      </c>
      <c r="AE9" s="1">
        <f>AE5-AE5*AE34</f>
        <v>2760.6369626035203</v>
      </c>
      <c r="AF9" s="1">
        <f>AF5-AF5*AF34</f>
        <v>2898.6688107336968</v>
      </c>
    </row>
    <row r="10" spans="1:37" s="1" customFormat="1" x14ac:dyDescent="0.25">
      <c r="B10" s="1" t="s">
        <v>56</v>
      </c>
      <c r="C10" s="1">
        <v>8.3000000000000007</v>
      </c>
      <c r="D10" s="1">
        <v>8.9</v>
      </c>
      <c r="E10" s="1">
        <v>5</v>
      </c>
      <c r="F10" s="1">
        <f t="shared" si="1"/>
        <v>1.5999999999999996</v>
      </c>
      <c r="G10" s="1">
        <v>8.3000000000000007</v>
      </c>
      <c r="H10" s="1">
        <v>3.8</v>
      </c>
      <c r="I10" s="1">
        <v>5.6</v>
      </c>
      <c r="J10" s="1">
        <f t="shared" si="2"/>
        <v>10.899999999999999</v>
      </c>
      <c r="K10" s="1">
        <v>4.8</v>
      </c>
      <c r="L10" s="1">
        <v>15.2</v>
      </c>
      <c r="M10" s="1">
        <v>10.6</v>
      </c>
      <c r="P10" s="11"/>
      <c r="Q10" s="1">
        <v>40.200000000000003</v>
      </c>
      <c r="R10" s="1">
        <v>50.4</v>
      </c>
      <c r="S10" s="1">
        <v>54</v>
      </c>
      <c r="T10" s="1">
        <v>23.8</v>
      </c>
      <c r="U10" s="1">
        <v>28.6</v>
      </c>
      <c r="V10" s="1">
        <f>V6-V6*V35</f>
        <v>181.19200000000001</v>
      </c>
      <c r="W10" s="1">
        <f>W6-W6*W35</f>
        <v>199.31119999999999</v>
      </c>
      <c r="X10" s="1">
        <f>X6-X6*X35</f>
        <v>219.24232000000006</v>
      </c>
      <c r="Y10" s="1">
        <f>Y6-Y6*Y35</f>
        <v>241.16655200000002</v>
      </c>
      <c r="Z10" s="1">
        <f>Z6-Z6*Z35</f>
        <v>265.28320720000011</v>
      </c>
      <c r="AA10" s="1">
        <f>AA6-AA6*AA35</f>
        <v>291.81152792000012</v>
      </c>
      <c r="AB10" s="1">
        <f>AB6-AB6*AB35</f>
        <v>320.99268071200004</v>
      </c>
      <c r="AC10" s="1">
        <f>AC6-AC6*AC35</f>
        <v>353.09194878320022</v>
      </c>
      <c r="AD10" s="1">
        <f>AD6-AD6*AD35</f>
        <v>388.40114366152034</v>
      </c>
      <c r="AE10" s="1">
        <f>AE6-AE6*AE35</f>
        <v>427.2412580276723</v>
      </c>
      <c r="AF10" s="1">
        <f>AF6-AF6*AF35</f>
        <v>469.96538383043958</v>
      </c>
    </row>
    <row r="11" spans="1:37" x14ac:dyDescent="0.25">
      <c r="A11" s="4"/>
      <c r="B11" s="4" t="s">
        <v>12</v>
      </c>
      <c r="C11" s="5">
        <v>4020.7</v>
      </c>
      <c r="D11" s="5">
        <v>4500</v>
      </c>
      <c r="E11" s="5">
        <v>5390</v>
      </c>
      <c r="F11" s="5">
        <v>5390</v>
      </c>
      <c r="G11" s="5">
        <v>5933.4</v>
      </c>
      <c r="H11" s="5">
        <v>6446.9</v>
      </c>
      <c r="I11" s="5">
        <v>7284.6</v>
      </c>
      <c r="J11" s="5">
        <v>7284.6</v>
      </c>
      <c r="K11" s="5">
        <v>7053.4</v>
      </c>
      <c r="L11" s="5">
        <v>7999</v>
      </c>
      <c r="M11" s="5">
        <v>8788</v>
      </c>
      <c r="N11" s="5"/>
      <c r="O11" s="5"/>
      <c r="P11" s="6"/>
      <c r="Q11" s="5">
        <v>14091</v>
      </c>
      <c r="R11" s="5">
        <v>16068</v>
      </c>
      <c r="S11" s="5">
        <v>17592.900000000001</v>
      </c>
      <c r="T11" s="5">
        <v>20311</v>
      </c>
      <c r="U11" s="5">
        <v>27774</v>
      </c>
      <c r="V11" s="5">
        <f>SUM(V3:V6)</f>
        <v>32742.579999999998</v>
      </c>
      <c r="W11" s="5">
        <f t="shared" ref="W11:AF11" si="7">SUM(W3:W6)</f>
        <v>26963.0648</v>
      </c>
      <c r="X11" s="5">
        <f t="shared" si="7"/>
        <v>22739.360080000002</v>
      </c>
      <c r="Y11" s="5">
        <f t="shared" si="7"/>
        <v>26443.906104000005</v>
      </c>
      <c r="Z11" s="5">
        <f t="shared" si="7"/>
        <v>29309.068385952007</v>
      </c>
      <c r="AA11" s="5">
        <f t="shared" si="7"/>
        <v>32037.264186021766</v>
      </c>
      <c r="AB11" s="5">
        <f t="shared" si="7"/>
        <v>34874.355958495507</v>
      </c>
      <c r="AC11" s="5">
        <f t="shared" si="7"/>
        <v>37776.880533966352</v>
      </c>
      <c r="AD11" s="5">
        <f t="shared" si="7"/>
        <v>40922.864685353976</v>
      </c>
      <c r="AE11" s="5">
        <f t="shared" si="7"/>
        <v>44089.46852679165</v>
      </c>
      <c r="AF11" s="5">
        <f t="shared" si="7"/>
        <v>47505.981414593116</v>
      </c>
      <c r="AG11" s="5"/>
      <c r="AH11" s="5"/>
      <c r="AI11" s="5"/>
      <c r="AJ11" s="5"/>
      <c r="AK11" s="5"/>
    </row>
    <row r="12" spans="1:37" s="1" customFormat="1" x14ac:dyDescent="0.25">
      <c r="B12" s="1" t="s">
        <v>13</v>
      </c>
      <c r="C12" s="1">
        <v>3084.2</v>
      </c>
      <c r="D12" s="1">
        <v>3450.8</v>
      </c>
      <c r="E12" s="1">
        <v>4084.7</v>
      </c>
      <c r="F12" s="1">
        <f t="shared" si="1"/>
        <v>4753.2999999999993</v>
      </c>
      <c r="G12" s="1">
        <v>4332.5</v>
      </c>
      <c r="H12" s="1">
        <v>4650.8999999999996</v>
      </c>
      <c r="I12" s="1">
        <v>5212.6000000000004</v>
      </c>
      <c r="J12" s="1">
        <f t="shared" si="2"/>
        <v>5703</v>
      </c>
      <c r="K12" s="1">
        <v>4905.7</v>
      </c>
      <c r="L12" s="1">
        <v>5429.9</v>
      </c>
      <c r="M12" s="1">
        <v>5879.3</v>
      </c>
      <c r="P12" s="11"/>
      <c r="Q12" s="1">
        <v>11042.8</v>
      </c>
      <c r="R12" s="1">
        <v>12398</v>
      </c>
      <c r="S12" s="1">
        <v>13720.9</v>
      </c>
      <c r="T12" s="1">
        <v>15373</v>
      </c>
      <c r="U12" s="1">
        <v>19899</v>
      </c>
      <c r="V12" s="1">
        <f>SUM(V7:V10)</f>
        <v>22611.043399999999</v>
      </c>
      <c r="W12" s="1">
        <f t="shared" ref="W12:AF12" si="8">SUM(W7:W10)</f>
        <v>19759.45984</v>
      </c>
      <c r="X12" s="1">
        <f t="shared" si="8"/>
        <v>16824.873430400003</v>
      </c>
      <c r="Y12" s="1">
        <f t="shared" si="8"/>
        <v>18675.227505088005</v>
      </c>
      <c r="Z12" s="1">
        <f t="shared" si="8"/>
        <v>20853.055705304323</v>
      </c>
      <c r="AA12" s="1">
        <f t="shared" si="8"/>
        <v>22719.777075116832</v>
      </c>
      <c r="AB12" s="1">
        <f t="shared" si="8"/>
        <v>24675.457393476572</v>
      </c>
      <c r="AC12" s="1">
        <f t="shared" si="8"/>
        <v>26699.371327157744</v>
      </c>
      <c r="AD12" s="1">
        <f t="shared" si="8"/>
        <v>28890.186109753711</v>
      </c>
      <c r="AE12" s="1">
        <f t="shared" si="8"/>
        <v>31130.29367961856</v>
      </c>
      <c r="AF12" s="1">
        <f t="shared" si="8"/>
        <v>33546.442890270497</v>
      </c>
    </row>
    <row r="13" spans="1:37" x14ac:dyDescent="0.25">
      <c r="A13" s="4"/>
      <c r="B13" s="4" t="s">
        <v>31</v>
      </c>
      <c r="C13" s="5">
        <f>+C11-C12</f>
        <v>936.5</v>
      </c>
      <c r="D13" s="5">
        <f>+D11-D12</f>
        <v>1049.1999999999998</v>
      </c>
      <c r="E13" s="5">
        <f>+E11-E12</f>
        <v>1305.3000000000002</v>
      </c>
      <c r="F13" s="5">
        <f>+F11-F12</f>
        <v>636.70000000000073</v>
      </c>
      <c r="G13" s="5">
        <f>+G11-G12</f>
        <v>1600.8999999999996</v>
      </c>
      <c r="H13" s="5">
        <f>+H11-H12</f>
        <v>1796</v>
      </c>
      <c r="I13" s="5">
        <f>+I11-I12</f>
        <v>2072</v>
      </c>
      <c r="J13" s="5">
        <f>+J11-J12</f>
        <v>1581.6000000000004</v>
      </c>
      <c r="K13" s="5">
        <f>+K11-K12</f>
        <v>2147.6999999999998</v>
      </c>
      <c r="L13" s="5">
        <f>+L11-L12</f>
        <v>2569.1000000000004</v>
      </c>
      <c r="M13" s="5">
        <f>+M11-M12</f>
        <v>2908.7</v>
      </c>
      <c r="N13" s="5"/>
      <c r="O13" s="5"/>
      <c r="P13" s="6"/>
      <c r="Q13" s="5">
        <f>+Q11-Q12</f>
        <v>3048.2000000000007</v>
      </c>
      <c r="R13" s="5">
        <f>+R11-R12</f>
        <v>3670</v>
      </c>
      <c r="S13" s="5">
        <f>+S11-S12</f>
        <v>3872.0000000000018</v>
      </c>
      <c r="T13" s="5">
        <f>+T11-T12</f>
        <v>4938</v>
      </c>
      <c r="U13" s="5">
        <f>+U11-U12</f>
        <v>7875</v>
      </c>
      <c r="V13" s="5">
        <f t="shared" ref="V13:AF13" si="9">+V11-V12</f>
        <v>10131.536599999999</v>
      </c>
      <c r="W13" s="5">
        <f t="shared" si="9"/>
        <v>7203.6049600000006</v>
      </c>
      <c r="X13" s="5">
        <f t="shared" si="9"/>
        <v>5914.4866495999995</v>
      </c>
      <c r="Y13" s="5">
        <f t="shared" si="9"/>
        <v>7768.6785989119999</v>
      </c>
      <c r="Z13" s="5">
        <f t="shared" si="9"/>
        <v>8456.0126806476837</v>
      </c>
      <c r="AA13" s="5">
        <f t="shared" si="9"/>
        <v>9317.4871109049345</v>
      </c>
      <c r="AB13" s="5">
        <f t="shared" si="9"/>
        <v>10198.898565018935</v>
      </c>
      <c r="AC13" s="5">
        <f t="shared" si="9"/>
        <v>11077.509206808609</v>
      </c>
      <c r="AD13" s="5">
        <f t="shared" si="9"/>
        <v>12032.678575600265</v>
      </c>
      <c r="AE13" s="5">
        <f t="shared" si="9"/>
        <v>12959.17484717309</v>
      </c>
      <c r="AF13" s="5">
        <f t="shared" si="9"/>
        <v>13959.538524322619</v>
      </c>
      <c r="AG13" s="5"/>
      <c r="AH13" s="5"/>
      <c r="AI13" s="5"/>
      <c r="AJ13" s="5"/>
      <c r="AK13" s="5"/>
    </row>
    <row r="14" spans="1:37" x14ac:dyDescent="0.25">
      <c r="B14" t="s">
        <v>14</v>
      </c>
      <c r="C14" s="1">
        <v>455.8</v>
      </c>
      <c r="D14" s="1">
        <v>466.8</v>
      </c>
      <c r="E14" s="1">
        <v>527.5</v>
      </c>
      <c r="F14" s="1">
        <f t="shared" si="1"/>
        <v>597.70000000000005</v>
      </c>
      <c r="G14" s="1">
        <v>585.9</v>
      </c>
      <c r="H14" s="1">
        <v>621.5</v>
      </c>
      <c r="I14" s="1">
        <v>655.7</v>
      </c>
      <c r="J14" s="1">
        <f t="shared" si="2"/>
        <v>692.9</v>
      </c>
      <c r="K14" s="1">
        <v>665.9</v>
      </c>
      <c r="L14" s="1">
        <v>695.1</v>
      </c>
      <c r="M14" s="1">
        <v>740.6</v>
      </c>
      <c r="Q14" s="1">
        <v>1471.6</v>
      </c>
      <c r="R14" s="1">
        <v>1676.8</v>
      </c>
      <c r="S14" s="1">
        <v>1832.5</v>
      </c>
      <c r="T14" s="1">
        <v>2047.8</v>
      </c>
      <c r="U14" s="1">
        <v>2556</v>
      </c>
      <c r="V14" s="1">
        <f>V11*V41</f>
        <v>2946.8321999999998</v>
      </c>
      <c r="W14" s="1">
        <f>W11*W41</f>
        <v>2426.6758319999999</v>
      </c>
      <c r="X14" s="1">
        <f>X11*X41</f>
        <v>2046.5424072000001</v>
      </c>
      <c r="Y14" s="1">
        <f>Y11*Y41</f>
        <v>2379.9515493600002</v>
      </c>
      <c r="Z14" s="1">
        <f>Z11*Z41</f>
        <v>2344.7254708761607</v>
      </c>
      <c r="AA14" s="1">
        <f>AA11*AA41</f>
        <v>2562.9811348817416</v>
      </c>
      <c r="AB14" s="1">
        <f>AB11*AB41</f>
        <v>2789.9484766796409</v>
      </c>
      <c r="AC14" s="1">
        <f>AC11*AC41</f>
        <v>3022.1504427173081</v>
      </c>
      <c r="AD14" s="1">
        <f>AD11*AD41</f>
        <v>3273.8291748283182</v>
      </c>
      <c r="AE14" s="1">
        <f>AE11*AE41</f>
        <v>3527.1574821433319</v>
      </c>
      <c r="AF14" s="1">
        <f>AF11*AF41</f>
        <v>3800.4785131674494</v>
      </c>
      <c r="AG14" s="1"/>
      <c r="AH14" s="1"/>
      <c r="AI14" s="1"/>
      <c r="AJ14" s="1"/>
      <c r="AK14" s="1"/>
    </row>
    <row r="15" spans="1:37" x14ac:dyDescent="0.25">
      <c r="A15" s="4"/>
      <c r="B15" s="4" t="s">
        <v>15</v>
      </c>
      <c r="C15" s="5">
        <f>+C13-C14</f>
        <v>480.7</v>
      </c>
      <c r="D15" s="5">
        <f>+D13-D14</f>
        <v>582.39999999999986</v>
      </c>
      <c r="E15" s="5">
        <f>+E13-E14</f>
        <v>777.80000000000018</v>
      </c>
      <c r="F15" s="5">
        <f>+F13-F14</f>
        <v>39.000000000000682</v>
      </c>
      <c r="G15" s="5">
        <f>+G13-G14</f>
        <v>1014.9999999999997</v>
      </c>
      <c r="H15" s="5">
        <f>+H13-H14</f>
        <v>1174.5</v>
      </c>
      <c r="I15" s="5">
        <f>+I13-I14</f>
        <v>1416.3</v>
      </c>
      <c r="J15" s="5">
        <f>+J13-J14</f>
        <v>888.70000000000039</v>
      </c>
      <c r="K15" s="5">
        <f>+K13-K14</f>
        <v>1481.7999999999997</v>
      </c>
      <c r="L15" s="5">
        <f>+L13-L14</f>
        <v>1874.0000000000005</v>
      </c>
      <c r="M15" s="5">
        <f>+M13-M14</f>
        <v>2168.1</v>
      </c>
      <c r="N15" s="5"/>
      <c r="O15" s="5"/>
      <c r="P15" s="6"/>
      <c r="Q15" s="5">
        <f>+Q13-Q14</f>
        <v>1576.6000000000008</v>
      </c>
      <c r="R15" s="5">
        <f>+R13-R14</f>
        <v>1993.2</v>
      </c>
      <c r="S15" s="5">
        <f>+S13-S14</f>
        <v>2039.5000000000018</v>
      </c>
      <c r="T15" s="5">
        <f>+T13-T14</f>
        <v>2890.2</v>
      </c>
      <c r="U15" s="5">
        <f>+U13-U14</f>
        <v>5319</v>
      </c>
      <c r="V15" s="5">
        <f>+V13-V14</f>
        <v>7184.7043999999996</v>
      </c>
      <c r="W15" s="5">
        <f t="shared" ref="W15:AF15" si="10">+W13-W14</f>
        <v>4776.9291280000007</v>
      </c>
      <c r="X15" s="5">
        <f t="shared" si="10"/>
        <v>3867.9442423999994</v>
      </c>
      <c r="Y15" s="5">
        <f t="shared" si="10"/>
        <v>5388.7270495519997</v>
      </c>
      <c r="Z15" s="5">
        <f t="shared" si="10"/>
        <v>6111.2872097715226</v>
      </c>
      <c r="AA15" s="5">
        <f t="shared" si="10"/>
        <v>6754.5059760231925</v>
      </c>
      <c r="AB15" s="5">
        <f t="shared" si="10"/>
        <v>7408.9500883392939</v>
      </c>
      <c r="AC15" s="5">
        <f t="shared" si="10"/>
        <v>8055.3587640913011</v>
      </c>
      <c r="AD15" s="5">
        <f t="shared" si="10"/>
        <v>8758.8494007719455</v>
      </c>
      <c r="AE15" s="5">
        <f t="shared" si="10"/>
        <v>9432.0173650297584</v>
      </c>
      <c r="AF15" s="5">
        <f t="shared" si="10"/>
        <v>10159.06001115517</v>
      </c>
      <c r="AG15" s="5"/>
      <c r="AH15" s="5"/>
      <c r="AI15" s="5"/>
      <c r="AJ15" s="5"/>
      <c r="AK15" s="5"/>
    </row>
    <row r="16" spans="1:37" x14ac:dyDescent="0.25">
      <c r="B16" t="s">
        <v>46</v>
      </c>
      <c r="C16" s="1">
        <v>31.1</v>
      </c>
      <c r="D16" s="1">
        <v>28.5</v>
      </c>
      <c r="E16" s="1">
        <v>0</v>
      </c>
      <c r="F16" s="1">
        <f t="shared" si="1"/>
        <v>-0.10000000000000142</v>
      </c>
      <c r="G16" s="1">
        <v>14</v>
      </c>
      <c r="H16" s="1">
        <v>0</v>
      </c>
      <c r="I16" s="1">
        <v>0</v>
      </c>
      <c r="J16" s="1">
        <f t="shared" si="2"/>
        <v>0</v>
      </c>
      <c r="K16" s="1">
        <v>0</v>
      </c>
      <c r="L16" s="1">
        <v>0</v>
      </c>
      <c r="M16" s="1">
        <v>0</v>
      </c>
      <c r="Q16" s="1">
        <v>0</v>
      </c>
      <c r="R16" s="1">
        <f>2.8+18.8</f>
        <v>21.6</v>
      </c>
      <c r="S16" s="1">
        <v>53.9</v>
      </c>
      <c r="T16" s="1">
        <v>59.5</v>
      </c>
      <c r="U16" s="1">
        <v>14</v>
      </c>
      <c r="V16" s="1">
        <f>U30*0.005</f>
        <v>81.652499999999989</v>
      </c>
      <c r="W16" s="1">
        <f t="shared" ref="W16:AF16" si="11">V30*0.005</f>
        <v>109.26465622000001</v>
      </c>
      <c r="X16" s="1">
        <f t="shared" si="11"/>
        <v>126.73954603783601</v>
      </c>
      <c r="Y16" s="1">
        <f t="shared" si="11"/>
        <v>140.65194897352143</v>
      </c>
      <c r="Z16" s="1">
        <f t="shared" si="11"/>
        <v>160.2570696781832</v>
      </c>
      <c r="AA16" s="1">
        <f t="shared" si="11"/>
        <v>182.48636724331024</v>
      </c>
      <c r="AB16" s="1">
        <f t="shared" si="11"/>
        <v>207.02207447528986</v>
      </c>
      <c r="AC16" s="1">
        <f t="shared" si="11"/>
        <v>233.89254794923235</v>
      </c>
      <c r="AD16" s="1">
        <f t="shared" si="11"/>
        <v>263.05277745549409</v>
      </c>
      <c r="AE16" s="1">
        <f t="shared" si="11"/>
        <v>294.7054779582034</v>
      </c>
      <c r="AF16" s="1">
        <f t="shared" si="11"/>
        <v>328.71996998197568</v>
      </c>
      <c r="AG16" s="1"/>
      <c r="AH16" s="1"/>
      <c r="AI16" s="1"/>
      <c r="AJ16" s="1"/>
      <c r="AK16" s="1"/>
    </row>
    <row r="17" spans="1:109" x14ac:dyDescent="0.25">
      <c r="B17" t="s">
        <v>40</v>
      </c>
      <c r="C17" s="1">
        <v>0</v>
      </c>
      <c r="D17" s="1">
        <v>0</v>
      </c>
      <c r="E17" s="1">
        <v>0</v>
      </c>
      <c r="F17" s="1">
        <f t="shared" si="1"/>
        <v>0</v>
      </c>
      <c r="G17" s="1">
        <v>0</v>
      </c>
      <c r="H17" s="1">
        <v>0</v>
      </c>
      <c r="I17" s="1">
        <v>18.100000000000001</v>
      </c>
      <c r="J17" s="1">
        <f t="shared" si="2"/>
        <v>0</v>
      </c>
      <c r="K17" s="1">
        <v>0</v>
      </c>
      <c r="L17" s="1">
        <v>0</v>
      </c>
      <c r="M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18.100000000000001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109" x14ac:dyDescent="0.25">
      <c r="B18" t="s">
        <v>48</v>
      </c>
      <c r="C18" s="1">
        <v>11.5</v>
      </c>
      <c r="D18" s="1">
        <v>10.4</v>
      </c>
      <c r="E18" s="1">
        <v>4.5999999999999996</v>
      </c>
      <c r="F18" s="1">
        <f t="shared" si="1"/>
        <v>6.8999999999999986</v>
      </c>
      <c r="G18" s="1">
        <v>5.3</v>
      </c>
      <c r="H18" s="1">
        <v>5.4</v>
      </c>
      <c r="I18" s="1">
        <v>17.399999999999999</v>
      </c>
      <c r="J18" s="1">
        <f t="shared" si="2"/>
        <v>13.900000000000002</v>
      </c>
      <c r="K18" s="1">
        <v>15.5</v>
      </c>
      <c r="L18" s="1">
        <v>9.3000000000000007</v>
      </c>
      <c r="M18" s="1">
        <v>15.1</v>
      </c>
      <c r="Q18" s="1">
        <v>25.5</v>
      </c>
      <c r="R18" s="1">
        <v>45.3</v>
      </c>
      <c r="S18" s="1">
        <v>31.9</v>
      </c>
      <c r="T18" s="1">
        <v>33.4</v>
      </c>
      <c r="U18" s="1">
        <v>42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109" s="4" customFormat="1" x14ac:dyDescent="0.25">
      <c r="B19" s="4" t="s">
        <v>47</v>
      </c>
      <c r="C19" s="5">
        <f>+C15+C16-C17+C18</f>
        <v>523.29999999999995</v>
      </c>
      <c r="D19" s="5">
        <f>+D15+D16-D17+D18</f>
        <v>621.29999999999984</v>
      </c>
      <c r="E19" s="5">
        <f>+E15+E16-E17+E18</f>
        <v>782.4000000000002</v>
      </c>
      <c r="F19" s="5">
        <f>+F15+F16-F17+F18</f>
        <v>45.800000000000679</v>
      </c>
      <c r="G19" s="5">
        <f>+G15+G16-G17+G18</f>
        <v>1034.2999999999995</v>
      </c>
      <c r="H19" s="5">
        <f>+H15+H16-H17+H18</f>
        <v>1179.9000000000001</v>
      </c>
      <c r="I19" s="5">
        <f>+I15+I16-I17+I18</f>
        <v>1415.6000000000001</v>
      </c>
      <c r="J19" s="5">
        <f>+J15+J16-J17+J18</f>
        <v>902.60000000000036</v>
      </c>
      <c r="K19" s="5">
        <f>+K15+K16-K17+K18</f>
        <v>1497.2999999999997</v>
      </c>
      <c r="L19" s="5">
        <f>+L15+L16-L17+L18</f>
        <v>1883.3000000000004</v>
      </c>
      <c r="M19" s="5">
        <f>+M15+M16-M17+M18</f>
        <v>2183.1999999999998</v>
      </c>
      <c r="N19" s="5"/>
      <c r="O19" s="5"/>
      <c r="P19" s="6"/>
      <c r="Q19" s="5">
        <f>+Q15+Q16-Q17+Q18</f>
        <v>1602.1000000000008</v>
      </c>
      <c r="R19" s="5">
        <f>+R15+R16-R17+R18</f>
        <v>2060.1</v>
      </c>
      <c r="S19" s="5">
        <f>+S15+S16-S17+S18</f>
        <v>2125.300000000002</v>
      </c>
      <c r="T19" s="5">
        <f>+T15+T16-T17+T18</f>
        <v>2983.1</v>
      </c>
      <c r="U19" s="5">
        <f>+U15+U16-U17+U18</f>
        <v>5356.9</v>
      </c>
      <c r="V19" s="5">
        <f t="shared" ref="V19:AF19" si="12">+V15+V16-V17+V18</f>
        <v>7266.3568999999998</v>
      </c>
      <c r="W19" s="5">
        <f t="shared" si="12"/>
        <v>4886.1937842200005</v>
      </c>
      <c r="X19" s="5">
        <f t="shared" si="12"/>
        <v>3994.6837884378356</v>
      </c>
      <c r="Y19" s="5">
        <f t="shared" si="12"/>
        <v>5529.3789985255207</v>
      </c>
      <c r="Z19" s="5">
        <f t="shared" si="12"/>
        <v>6271.5442794497058</v>
      </c>
      <c r="AA19" s="5">
        <f t="shared" si="12"/>
        <v>6936.9923432665028</v>
      </c>
      <c r="AB19" s="5">
        <f t="shared" si="12"/>
        <v>7615.9721628145835</v>
      </c>
      <c r="AC19" s="5">
        <f t="shared" si="12"/>
        <v>8289.2513120405329</v>
      </c>
      <c r="AD19" s="5">
        <f t="shared" si="12"/>
        <v>9021.9021782274394</v>
      </c>
      <c r="AE19" s="5">
        <f t="shared" si="12"/>
        <v>9726.7228429879615</v>
      </c>
      <c r="AF19" s="5">
        <f t="shared" si="12"/>
        <v>10487.779981137146</v>
      </c>
      <c r="AG19" s="5"/>
      <c r="AH19" s="5"/>
      <c r="AI19" s="5"/>
      <c r="AJ19" s="5"/>
      <c r="AK19" s="5"/>
    </row>
    <row r="20" spans="1:109" x14ac:dyDescent="0.25">
      <c r="A20" s="4"/>
      <c r="B20" t="s">
        <v>16</v>
      </c>
      <c r="C20" s="1">
        <v>90.8</v>
      </c>
      <c r="D20" s="1">
        <v>137.30000000000001</v>
      </c>
      <c r="E20" s="1">
        <v>149.5</v>
      </c>
      <c r="F20" s="1">
        <f t="shared" si="1"/>
        <v>224.89999999999998</v>
      </c>
      <c r="G20" s="1">
        <v>239.1</v>
      </c>
      <c r="H20" s="1">
        <v>246</v>
      </c>
      <c r="I20" s="1">
        <v>299.10000000000002</v>
      </c>
      <c r="J20" s="1">
        <f t="shared" si="2"/>
        <v>380.79999999999995</v>
      </c>
      <c r="K20" s="1">
        <v>351.5</v>
      </c>
      <c r="L20" s="1">
        <v>441</v>
      </c>
      <c r="M20" s="1">
        <v>524</v>
      </c>
      <c r="P20" s="6"/>
      <c r="Q20" s="1">
        <v>563.70000000000005</v>
      </c>
      <c r="R20" s="1">
        <v>597.70000000000005</v>
      </c>
      <c r="S20" s="1">
        <v>506.7</v>
      </c>
      <c r="T20" s="1">
        <v>602.5</v>
      </c>
      <c r="U20" s="1">
        <v>1165</v>
      </c>
      <c r="V20" s="1">
        <f>V19*V38</f>
        <v>1743.9256559999999</v>
      </c>
      <c r="W20" s="1">
        <f t="shared" ref="W20:AF20" si="13">W19*W38</f>
        <v>1172.6865082128002</v>
      </c>
      <c r="X20" s="1">
        <f t="shared" si="13"/>
        <v>958.7241092250805</v>
      </c>
      <c r="Y20" s="1">
        <f t="shared" si="13"/>
        <v>1327.050959646125</v>
      </c>
      <c r="Z20" s="1">
        <f t="shared" si="13"/>
        <v>1505.1706270679292</v>
      </c>
      <c r="AA20" s="1">
        <f t="shared" si="13"/>
        <v>1664.8781623839607</v>
      </c>
      <c r="AB20" s="1">
        <f t="shared" si="13"/>
        <v>1827.8333190755</v>
      </c>
      <c r="AC20" s="1">
        <f t="shared" si="13"/>
        <v>1989.4203148897277</v>
      </c>
      <c r="AD20" s="1">
        <f t="shared" si="13"/>
        <v>2165.2565227745854</v>
      </c>
      <c r="AE20" s="1">
        <f t="shared" si="13"/>
        <v>2334.4134823171107</v>
      </c>
      <c r="AF20" s="1">
        <f t="shared" si="13"/>
        <v>2517.067195472915</v>
      </c>
      <c r="AG20" s="1"/>
      <c r="AH20" s="1"/>
      <c r="AI20" s="1"/>
      <c r="AJ20" s="1"/>
      <c r="AK20" s="1"/>
    </row>
    <row r="21" spans="1:109" x14ac:dyDescent="0.25">
      <c r="B21" s="4" t="s">
        <v>17</v>
      </c>
      <c r="C21" s="5">
        <f>+C19-C20</f>
        <v>432.49999999999994</v>
      </c>
      <c r="D21" s="5">
        <f>+D19-D20</f>
        <v>483.99999999999983</v>
      </c>
      <c r="E21" s="5">
        <f>+E19-E20</f>
        <v>632.9000000000002</v>
      </c>
      <c r="F21" s="5">
        <f>+F19-F20</f>
        <v>-179.09999999999928</v>
      </c>
      <c r="G21" s="5">
        <f>+G19-G20</f>
        <v>795.19999999999948</v>
      </c>
      <c r="H21" s="5">
        <f>+H19-H20</f>
        <v>933.90000000000009</v>
      </c>
      <c r="I21" s="5">
        <f>+I19-I20</f>
        <v>1116.5</v>
      </c>
      <c r="J21" s="5">
        <f>+J19-J20</f>
        <v>521.80000000000041</v>
      </c>
      <c r="K21" s="5">
        <f>+K19-K20</f>
        <v>1145.7999999999997</v>
      </c>
      <c r="L21" s="5">
        <f>+L19-L20</f>
        <v>1442.3000000000004</v>
      </c>
      <c r="M21" s="5">
        <f>+M19-M20</f>
        <v>1659.1999999999998</v>
      </c>
      <c r="N21" s="5"/>
      <c r="O21" s="5"/>
      <c r="Q21" s="5">
        <f>+Q19-Q20</f>
        <v>1038.4000000000008</v>
      </c>
      <c r="R21" s="5">
        <f>+R19-R20</f>
        <v>1462.3999999999999</v>
      </c>
      <c r="S21" s="5">
        <f>+S19-S20</f>
        <v>1618.600000000002</v>
      </c>
      <c r="T21" s="5">
        <f>+T19-T20</f>
        <v>2380.6</v>
      </c>
      <c r="U21" s="5">
        <f>+U19-U20</f>
        <v>4191.8999999999996</v>
      </c>
      <c r="V21" s="5">
        <f>+V19-V20</f>
        <v>5522.4312439999994</v>
      </c>
      <c r="W21" s="5">
        <f t="shared" ref="V21:AF21" si="14">+W15-W16-W20-W17</f>
        <v>3494.9779635672007</v>
      </c>
      <c r="X21" s="5">
        <f t="shared" si="14"/>
        <v>2782.4805871370827</v>
      </c>
      <c r="Y21" s="5">
        <f t="shared" si="14"/>
        <v>3921.0241409323535</v>
      </c>
      <c r="Z21" s="5">
        <f t="shared" si="14"/>
        <v>4445.8595130254107</v>
      </c>
      <c r="AA21" s="5">
        <f t="shared" si="14"/>
        <v>4907.1414463959218</v>
      </c>
      <c r="AB21" s="5">
        <f t="shared" si="14"/>
        <v>5374.0946947885041</v>
      </c>
      <c r="AC21" s="5">
        <f t="shared" si="14"/>
        <v>5832.0459012523406</v>
      </c>
      <c r="AD21" s="5">
        <f t="shared" si="14"/>
        <v>6330.5401005418662</v>
      </c>
      <c r="AE21" s="5">
        <f t="shared" si="14"/>
        <v>6802.8984047544445</v>
      </c>
      <c r="AF21" s="5">
        <f t="shared" si="14"/>
        <v>7313.2728457002795</v>
      </c>
      <c r="AG21" s="5">
        <f>+AF21*(1+$AI$52)</f>
        <v>7203.5737530147753</v>
      </c>
      <c r="AH21" s="5">
        <f t="shared" ref="AH21:CS21" si="15">+AG21*(1+$AI$52)</f>
        <v>7095.5201467195538</v>
      </c>
      <c r="AI21" s="5">
        <f t="shared" si="15"/>
        <v>6989.0873445187608</v>
      </c>
      <c r="AJ21" s="5">
        <f t="shared" si="15"/>
        <v>6884.2510343509794</v>
      </c>
      <c r="AK21" s="5">
        <f t="shared" si="15"/>
        <v>6780.9872688357145</v>
      </c>
      <c r="AL21" s="5">
        <f t="shared" si="15"/>
        <v>6679.2724598031791</v>
      </c>
      <c r="AM21" s="5">
        <f t="shared" si="15"/>
        <v>6579.0833729061314</v>
      </c>
      <c r="AN21" s="5">
        <f t="shared" si="15"/>
        <v>6480.3971223125391</v>
      </c>
      <c r="AO21" s="5">
        <f t="shared" si="15"/>
        <v>6383.1911654778505</v>
      </c>
      <c r="AP21" s="5">
        <f t="shared" si="15"/>
        <v>6287.4432979956828</v>
      </c>
      <c r="AQ21" s="5">
        <f t="shared" si="15"/>
        <v>6193.1316485257476</v>
      </c>
      <c r="AR21" s="5">
        <f t="shared" si="15"/>
        <v>6100.2346737978614</v>
      </c>
      <c r="AS21" s="5">
        <f t="shared" si="15"/>
        <v>6008.7311536908937</v>
      </c>
      <c r="AT21" s="5">
        <f t="shared" si="15"/>
        <v>5918.6001863855299</v>
      </c>
      <c r="AU21" s="5">
        <f t="shared" si="15"/>
        <v>5829.8211835897473</v>
      </c>
      <c r="AV21" s="5">
        <f t="shared" si="15"/>
        <v>5742.3738658359007</v>
      </c>
      <c r="AW21" s="5">
        <f t="shared" si="15"/>
        <v>5656.2382578483621</v>
      </c>
      <c r="AX21" s="5">
        <f t="shared" si="15"/>
        <v>5571.3946839806367</v>
      </c>
      <c r="AY21" s="5">
        <f t="shared" si="15"/>
        <v>5487.8237637209268</v>
      </c>
      <c r="AZ21" s="5">
        <f t="shared" si="15"/>
        <v>5405.506407265113</v>
      </c>
      <c r="BA21" s="5">
        <f t="shared" si="15"/>
        <v>5324.4238111561363</v>
      </c>
      <c r="BB21" s="5">
        <f t="shared" si="15"/>
        <v>5244.5574539887939</v>
      </c>
      <c r="BC21" s="5">
        <f t="shared" si="15"/>
        <v>5165.8890921789616</v>
      </c>
      <c r="BD21" s="5">
        <f t="shared" si="15"/>
        <v>5088.4007557962768</v>
      </c>
      <c r="BE21" s="5">
        <f t="shared" si="15"/>
        <v>5012.0747444593326</v>
      </c>
      <c r="BF21" s="5">
        <f t="shared" si="15"/>
        <v>4936.8936232924425</v>
      </c>
      <c r="BG21" s="5">
        <f t="shared" si="15"/>
        <v>4862.8402189430562</v>
      </c>
      <c r="BH21" s="5">
        <f t="shared" si="15"/>
        <v>4789.8976156589106</v>
      </c>
      <c r="BI21" s="5">
        <f t="shared" si="15"/>
        <v>4718.0491514240266</v>
      </c>
      <c r="BJ21" s="5">
        <f t="shared" si="15"/>
        <v>4647.2784141526663</v>
      </c>
      <c r="BK21" s="5">
        <f t="shared" si="15"/>
        <v>4577.5692379403763</v>
      </c>
      <c r="BL21" s="5">
        <f t="shared" si="15"/>
        <v>4508.9056993712702</v>
      </c>
      <c r="BM21" s="5">
        <f t="shared" si="15"/>
        <v>4441.272113880701</v>
      </c>
      <c r="BN21" s="5">
        <f t="shared" si="15"/>
        <v>4374.6530321724904</v>
      </c>
      <c r="BO21" s="5">
        <f t="shared" si="15"/>
        <v>4309.0332366899029</v>
      </c>
      <c r="BP21" s="5">
        <f t="shared" si="15"/>
        <v>4244.3977381395543</v>
      </c>
      <c r="BQ21" s="5">
        <f t="shared" si="15"/>
        <v>4180.731772067461</v>
      </c>
      <c r="BR21" s="5">
        <f t="shared" si="15"/>
        <v>4118.0207954864491</v>
      </c>
      <c r="BS21" s="5">
        <f t="shared" si="15"/>
        <v>4056.2504835541522</v>
      </c>
      <c r="BT21" s="5">
        <f t="shared" si="15"/>
        <v>3995.4067263008396</v>
      </c>
      <c r="BU21" s="5">
        <f t="shared" si="15"/>
        <v>3935.4756254063268</v>
      </c>
      <c r="BV21" s="5">
        <f t="shared" si="15"/>
        <v>3876.4434910252317</v>
      </c>
      <c r="BW21" s="5">
        <f t="shared" si="15"/>
        <v>3818.2968386598532</v>
      </c>
      <c r="BX21" s="5">
        <f t="shared" si="15"/>
        <v>3761.0223860799551</v>
      </c>
      <c r="BY21" s="5">
        <f t="shared" si="15"/>
        <v>3704.6070502887555</v>
      </c>
      <c r="BZ21" s="5">
        <f t="shared" si="15"/>
        <v>3649.0379445344242</v>
      </c>
      <c r="CA21" s="5">
        <f t="shared" si="15"/>
        <v>3594.3023753664079</v>
      </c>
      <c r="CB21" s="5">
        <f t="shared" si="15"/>
        <v>3540.3878397359117</v>
      </c>
      <c r="CC21" s="5">
        <f t="shared" si="15"/>
        <v>3487.2820221398729</v>
      </c>
      <c r="CD21" s="5">
        <f t="shared" si="15"/>
        <v>3434.9727918077747</v>
      </c>
      <c r="CE21" s="5">
        <f t="shared" si="15"/>
        <v>3383.4481999306581</v>
      </c>
      <c r="CF21" s="5">
        <f t="shared" si="15"/>
        <v>3332.6964769316983</v>
      </c>
      <c r="CG21" s="5">
        <f t="shared" si="15"/>
        <v>3282.706029777723</v>
      </c>
      <c r="CH21" s="5">
        <f t="shared" si="15"/>
        <v>3233.465439331057</v>
      </c>
      <c r="CI21" s="5">
        <f t="shared" si="15"/>
        <v>3184.9634577410911</v>
      </c>
      <c r="CJ21" s="5">
        <f t="shared" si="15"/>
        <v>3137.1890058749746</v>
      </c>
      <c r="CK21" s="5">
        <f t="shared" si="15"/>
        <v>3090.1311707868499</v>
      </c>
      <c r="CL21" s="5">
        <f t="shared" si="15"/>
        <v>3043.7792032250472</v>
      </c>
      <c r="CM21" s="5">
        <f t="shared" si="15"/>
        <v>2998.1225151766716</v>
      </c>
      <c r="CN21" s="5">
        <f t="shared" si="15"/>
        <v>2953.1506774490217</v>
      </c>
      <c r="CO21" s="5">
        <f t="shared" si="15"/>
        <v>2908.8534172872864</v>
      </c>
      <c r="CP21" s="5">
        <f t="shared" si="15"/>
        <v>2865.220616027977</v>
      </c>
      <c r="CQ21" s="5">
        <f t="shared" si="15"/>
        <v>2822.2423067875575</v>
      </c>
      <c r="CR21" s="5">
        <f t="shared" si="15"/>
        <v>2779.9086721857443</v>
      </c>
      <c r="CS21" s="5">
        <f t="shared" si="15"/>
        <v>2738.2100421029581</v>
      </c>
      <c r="CT21" s="5">
        <f t="shared" ref="CT21:DD21" si="16">+CS21*(1+$AI$52)</f>
        <v>2697.1368914714139</v>
      </c>
      <c r="CU21" s="5">
        <f t="shared" si="16"/>
        <v>2656.6798380993428</v>
      </c>
      <c r="CV21" s="5">
        <f t="shared" si="16"/>
        <v>2616.8296405278525</v>
      </c>
      <c r="CW21" s="5">
        <f t="shared" si="16"/>
        <v>2577.5771959199346</v>
      </c>
      <c r="CX21" s="5">
        <f t="shared" si="16"/>
        <v>2538.9135379811355</v>
      </c>
      <c r="CY21" s="5">
        <f t="shared" si="16"/>
        <v>2500.8298349114184</v>
      </c>
      <c r="CZ21" s="5">
        <f t="shared" si="16"/>
        <v>2463.3173873877472</v>
      </c>
      <c r="DA21" s="5">
        <f t="shared" si="16"/>
        <v>2426.3676265769309</v>
      </c>
      <c r="DB21" s="5">
        <f t="shared" si="16"/>
        <v>2389.9721121782768</v>
      </c>
      <c r="DC21" s="5">
        <f t="shared" si="16"/>
        <v>2354.1225304956024</v>
      </c>
      <c r="DD21" s="5">
        <f t="shared" si="16"/>
        <v>2318.8106925381685</v>
      </c>
      <c r="DE21" s="5"/>
    </row>
    <row r="22" spans="1:109" s="1" customFormat="1" x14ac:dyDescent="0.25">
      <c r="A22" s="5"/>
      <c r="B22" s="1" t="s">
        <v>18</v>
      </c>
      <c r="C22" s="1">
        <v>368.3</v>
      </c>
      <c r="D22" s="1">
        <v>365.8</v>
      </c>
      <c r="E22" s="1">
        <v>363.8</v>
      </c>
      <c r="F22" s="1">
        <v>363.8</v>
      </c>
      <c r="G22" s="1">
        <v>364.4</v>
      </c>
      <c r="H22" s="1">
        <v>362.3</v>
      </c>
      <c r="I22" s="1">
        <v>359.7</v>
      </c>
      <c r="J22" s="1">
        <v>359.7</v>
      </c>
      <c r="K22" s="1">
        <v>356.1</v>
      </c>
      <c r="L22" s="1">
        <v>353.1</v>
      </c>
      <c r="M22" s="1">
        <v>350.8</v>
      </c>
      <c r="P22" s="21"/>
      <c r="Q22" s="1">
        <v>374.3</v>
      </c>
      <c r="R22" s="1">
        <v>376.6</v>
      </c>
      <c r="S22" s="1">
        <v>372.6</v>
      </c>
      <c r="T22" s="1">
        <v>365.5</v>
      </c>
      <c r="U22" s="1">
        <v>361.1</v>
      </c>
    </row>
    <row r="23" spans="1:109" x14ac:dyDescent="0.25">
      <c r="A23" s="7"/>
      <c r="B23" s="8" t="s">
        <v>19</v>
      </c>
      <c r="C23" s="7">
        <f>+C21/C22</f>
        <v>1.1743144175943523</v>
      </c>
      <c r="D23" s="7">
        <f>+D21/D22</f>
        <v>1.3231273920174953</v>
      </c>
      <c r="E23" s="7">
        <f>+E21/E22</f>
        <v>1.7396921385376585</v>
      </c>
      <c r="F23" s="7">
        <f>+F21/F22</f>
        <v>-0.49230346344144937</v>
      </c>
      <c r="G23" s="7">
        <f>+G21/G22</f>
        <v>2.182217343578484</v>
      </c>
      <c r="H23" s="7">
        <f>+H21/H22</f>
        <v>2.5776980402980958</v>
      </c>
      <c r="I23" s="7">
        <f>+I21/I22</f>
        <v>3.1039755351681957</v>
      </c>
      <c r="J23" s="7">
        <f>+J21/J22</f>
        <v>1.4506533222129565</v>
      </c>
      <c r="K23" s="7">
        <f>+K21/K22</f>
        <v>3.217635495647289</v>
      </c>
      <c r="L23" s="7">
        <f>+L21/L22</f>
        <v>4.0846785613140764</v>
      </c>
      <c r="M23" s="7">
        <f>+M21/M22</f>
        <v>4.7297605473204101</v>
      </c>
      <c r="N23" s="7"/>
      <c r="O23" s="7"/>
      <c r="P23" s="9"/>
      <c r="Q23" s="7">
        <f>+Q21/Q22</f>
        <v>2.7742452578145893</v>
      </c>
      <c r="R23" s="7">
        <f>+R21/R22</f>
        <v>3.8831651619755703</v>
      </c>
      <c r="S23" s="7">
        <f>+S21/S22</f>
        <v>4.344068706387552</v>
      </c>
      <c r="T23" s="7">
        <f>+T21/T22</f>
        <v>6.5132694938440494</v>
      </c>
      <c r="U23" s="7">
        <f>+U21/U22</f>
        <v>11.60869565217391</v>
      </c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109" x14ac:dyDescent="0.25">
      <c r="A24" s="1"/>
      <c r="B24" s="1"/>
      <c r="C24" s="10"/>
      <c r="D24" s="10"/>
      <c r="E24" s="10"/>
      <c r="F24" s="10"/>
      <c r="G24" s="10"/>
      <c r="H24" s="10"/>
      <c r="I24" s="10"/>
      <c r="J24" s="10"/>
      <c r="L24" s="10"/>
      <c r="M24" s="10"/>
      <c r="N24" s="10"/>
      <c r="O24" s="10"/>
      <c r="P24" s="1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109" s="1" customFormat="1" x14ac:dyDescent="0.25">
      <c r="B25" s="1" t="s">
        <v>26</v>
      </c>
      <c r="F25" s="1">
        <v>3040</v>
      </c>
      <c r="G25" s="1">
        <v>2484.9</v>
      </c>
      <c r="H25" s="1">
        <v>2231.9</v>
      </c>
      <c r="I25" s="1">
        <v>1969.1</v>
      </c>
      <c r="J25" s="1">
        <f>3210+26.8</f>
        <v>3236.8</v>
      </c>
      <c r="K25" s="1">
        <v>2464.6</v>
      </c>
      <c r="L25" s="1">
        <v>1689.1</v>
      </c>
      <c r="M25" s="1">
        <v>1684.3</v>
      </c>
      <c r="P25" s="11"/>
      <c r="R25" s="1">
        <v>1506</v>
      </c>
      <c r="S25" s="1">
        <v>1514</v>
      </c>
      <c r="T25" s="1">
        <v>3040</v>
      </c>
      <c r="U25" s="1">
        <f>3210+26.8</f>
        <v>3236.8</v>
      </c>
    </row>
    <row r="26" spans="1:109" s="1" customFormat="1" x14ac:dyDescent="0.25">
      <c r="B26" s="1" t="s">
        <v>29</v>
      </c>
      <c r="F26" s="1">
        <f>12237+1529</f>
        <v>13766</v>
      </c>
      <c r="G26" s="1">
        <f>13576.5+1438.9</f>
        <v>15015.4</v>
      </c>
      <c r="H26" s="1">
        <f>14476+1755</f>
        <v>16231</v>
      </c>
      <c r="I26" s="1">
        <f>16011.7+1644.1</f>
        <v>17655.8</v>
      </c>
      <c r="J26" s="1">
        <f>16479.1+2027</f>
        <v>18506.099999999999</v>
      </c>
      <c r="K26" s="1">
        <f>18202.5+1833.3</f>
        <v>20035.8</v>
      </c>
      <c r="L26" s="1">
        <f>19846.5+2242.8</f>
        <v>22089.3</v>
      </c>
      <c r="M26" s="1">
        <f>21699+2082.5</f>
        <v>23781.5</v>
      </c>
      <c r="P26" s="11"/>
      <c r="R26" s="1">
        <f>10395+796.4</f>
        <v>11191.4</v>
      </c>
      <c r="S26" s="1">
        <f>11282+1072</f>
        <v>12354</v>
      </c>
      <c r="T26" s="1">
        <f>12237+1529</f>
        <v>13766</v>
      </c>
      <c r="U26" s="1">
        <f>16479.1+2027</f>
        <v>18506.099999999999</v>
      </c>
    </row>
    <row r="27" spans="1:109" s="1" customFormat="1" x14ac:dyDescent="0.25">
      <c r="B27" s="1" t="s">
        <v>30</v>
      </c>
      <c r="F27" s="1">
        <v>683.7</v>
      </c>
      <c r="G27" s="1">
        <v>748.4</v>
      </c>
      <c r="H27" s="1">
        <v>895</v>
      </c>
      <c r="I27" s="1">
        <v>367</v>
      </c>
      <c r="J27" s="1">
        <v>392.9</v>
      </c>
      <c r="K27" s="1">
        <v>410.4</v>
      </c>
      <c r="L27" s="1">
        <v>434</v>
      </c>
      <c r="M27" s="1">
        <v>481.3</v>
      </c>
      <c r="P27" s="11"/>
      <c r="R27" s="1">
        <v>401.1</v>
      </c>
      <c r="S27" s="1">
        <v>462.2</v>
      </c>
      <c r="T27" s="1">
        <v>683.7</v>
      </c>
      <c r="U27" s="1">
        <v>392.9</v>
      </c>
    </row>
    <row r="28" spans="1:109" s="1" customFormat="1" x14ac:dyDescent="0.25">
      <c r="B28" s="1" t="s">
        <v>27</v>
      </c>
      <c r="F28" s="1">
        <v>4283.3</v>
      </c>
      <c r="G28" s="1">
        <v>4225.6000000000004</v>
      </c>
      <c r="H28" s="1">
        <v>4472.3</v>
      </c>
      <c r="I28" s="1">
        <v>4416</v>
      </c>
      <c r="J28" s="1">
        <v>5412.4</v>
      </c>
      <c r="K28" s="1">
        <v>5255.3</v>
      </c>
      <c r="L28" s="1">
        <v>5570</v>
      </c>
      <c r="M28" s="1">
        <v>5975</v>
      </c>
      <c r="P28" s="11"/>
      <c r="R28" s="1">
        <v>3203.5</v>
      </c>
      <c r="S28" s="1">
        <v>3399</v>
      </c>
      <c r="T28" s="1">
        <v>4283.3</v>
      </c>
      <c r="U28" s="1">
        <v>5412.4</v>
      </c>
    </row>
    <row r="29" spans="1:109" s="1" customFormat="1" x14ac:dyDescent="0.25">
      <c r="B29" s="5" t="s">
        <v>32</v>
      </c>
      <c r="F29" s="1">
        <f>F25-F28</f>
        <v>-1243.3000000000002</v>
      </c>
      <c r="G29" s="1">
        <f t="shared" ref="G29:M29" si="17">G25-G28</f>
        <v>-1740.7000000000003</v>
      </c>
      <c r="H29" s="1">
        <f t="shared" si="17"/>
        <v>-2240.4</v>
      </c>
      <c r="I29" s="1">
        <f t="shared" si="17"/>
        <v>-2446.9</v>
      </c>
      <c r="J29" s="1">
        <f t="shared" si="17"/>
        <v>-2175.5999999999995</v>
      </c>
      <c r="K29" s="1">
        <f t="shared" si="17"/>
        <v>-2790.7000000000003</v>
      </c>
      <c r="L29" s="1">
        <f t="shared" si="17"/>
        <v>-3880.9</v>
      </c>
      <c r="M29" s="1">
        <f t="shared" si="17"/>
        <v>-4290.7</v>
      </c>
      <c r="P29" s="11"/>
      <c r="R29" s="1">
        <f t="shared" ref="R29:U29" si="18">R25-R28</f>
        <v>-1697.5</v>
      </c>
      <c r="S29" s="1">
        <f t="shared" si="18"/>
        <v>-1885</v>
      </c>
      <c r="T29" s="1">
        <f t="shared" si="18"/>
        <v>-1243.3000000000002</v>
      </c>
      <c r="U29" s="1">
        <f t="shared" si="18"/>
        <v>-2175.5999999999995</v>
      </c>
      <c r="V29" s="1">
        <f>V21+U29</f>
        <v>3346.831244</v>
      </c>
      <c r="W29" s="1">
        <f t="shared" ref="W29:AF29" si="19">W21+V29</f>
        <v>6841.8092075672012</v>
      </c>
      <c r="X29" s="1">
        <f t="shared" si="19"/>
        <v>9624.2897947042838</v>
      </c>
      <c r="Y29" s="1">
        <f t="shared" si="19"/>
        <v>13545.313935636637</v>
      </c>
      <c r="Z29" s="1">
        <f t="shared" si="19"/>
        <v>17991.173448662048</v>
      </c>
      <c r="AA29" s="1">
        <f t="shared" si="19"/>
        <v>22898.314895057971</v>
      </c>
      <c r="AB29" s="1">
        <f t="shared" si="19"/>
        <v>28272.409589846473</v>
      </c>
      <c r="AC29" s="1">
        <f t="shared" si="19"/>
        <v>34104.455491098815</v>
      </c>
      <c r="AD29" s="1">
        <f t="shared" si="19"/>
        <v>40434.995591640683</v>
      </c>
      <c r="AE29" s="1">
        <f t="shared" si="19"/>
        <v>47237.893996395127</v>
      </c>
      <c r="AF29" s="1">
        <f t="shared" si="19"/>
        <v>54551.166842095408</v>
      </c>
    </row>
    <row r="30" spans="1:109" s="1" customFormat="1" x14ac:dyDescent="0.25">
      <c r="B30" s="5" t="s">
        <v>68</v>
      </c>
      <c r="F30" s="1">
        <f>+F25+F26-F28</f>
        <v>12522.7</v>
      </c>
      <c r="G30" s="1">
        <f t="shared" ref="G30:M30" si="20">+G25+G26-G28</f>
        <v>13274.699999999999</v>
      </c>
      <c r="H30" s="1">
        <f t="shared" si="20"/>
        <v>13990.600000000002</v>
      </c>
      <c r="I30" s="1">
        <f t="shared" si="20"/>
        <v>15208.899999999998</v>
      </c>
      <c r="J30" s="1">
        <f t="shared" si="20"/>
        <v>16330.499999999998</v>
      </c>
      <c r="K30" s="1">
        <f t="shared" si="20"/>
        <v>17245.099999999999</v>
      </c>
      <c r="L30" s="1">
        <f t="shared" si="20"/>
        <v>18208.399999999998</v>
      </c>
      <c r="M30" s="1">
        <f t="shared" si="20"/>
        <v>19490.8</v>
      </c>
      <c r="P30" s="11"/>
      <c r="R30" s="1">
        <f t="shared" ref="R30:U30" si="21">+R25+R26-R28</f>
        <v>9493.9</v>
      </c>
      <c r="S30" s="1">
        <f t="shared" si="21"/>
        <v>10469</v>
      </c>
      <c r="T30" s="1">
        <f t="shared" si="21"/>
        <v>12522.7</v>
      </c>
      <c r="U30" s="1">
        <f t="shared" si="21"/>
        <v>16330.499999999998</v>
      </c>
      <c r="V30" s="1">
        <f>U30+V21</f>
        <v>21852.931243999999</v>
      </c>
      <c r="W30" s="1">
        <f t="shared" ref="W30:AF30" si="22">V30+W21</f>
        <v>25347.909207567202</v>
      </c>
      <c r="X30" s="1">
        <f t="shared" si="22"/>
        <v>28130.389794704286</v>
      </c>
      <c r="Y30" s="1">
        <f t="shared" si="22"/>
        <v>32051.41393563664</v>
      </c>
      <c r="Z30" s="1">
        <f t="shared" si="22"/>
        <v>36497.273448662047</v>
      </c>
      <c r="AA30" s="1">
        <f t="shared" si="22"/>
        <v>41404.414895057969</v>
      </c>
      <c r="AB30" s="1">
        <f t="shared" si="22"/>
        <v>46778.509589846471</v>
      </c>
      <c r="AC30" s="1">
        <f t="shared" si="22"/>
        <v>52610.555491098814</v>
      </c>
      <c r="AD30" s="1">
        <f t="shared" si="22"/>
        <v>58941.095591640682</v>
      </c>
      <c r="AE30" s="1">
        <f t="shared" si="22"/>
        <v>65743.993996395133</v>
      </c>
      <c r="AF30" s="1">
        <f t="shared" si="22"/>
        <v>73057.266842095414</v>
      </c>
    </row>
    <row r="31" spans="1:109" x14ac:dyDescent="0.25">
      <c r="A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2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</row>
    <row r="32" spans="1:109" s="15" customFormat="1" x14ac:dyDescent="0.25">
      <c r="B32" s="1" t="s">
        <v>63</v>
      </c>
      <c r="C32" s="15">
        <f t="shared" ref="C32:L32" si="23">(C3-C7)/C3</f>
        <v>0.24589818730587681</v>
      </c>
      <c r="D32" s="15">
        <f t="shared" si="23"/>
        <v>0.21515825178190823</v>
      </c>
      <c r="E32" s="15">
        <f t="shared" si="23"/>
        <v>0.21931407942238274</v>
      </c>
      <c r="F32" s="15">
        <f t="shared" si="23"/>
        <v>0.19379194630872437</v>
      </c>
      <c r="G32" s="15">
        <f t="shared" si="23"/>
        <v>0.24589818730587681</v>
      </c>
      <c r="H32" s="15">
        <f t="shared" si="23"/>
        <v>0.25184753014391287</v>
      </c>
      <c r="I32" s="15">
        <f t="shared" si="23"/>
        <v>0.26432863169557258</v>
      </c>
      <c r="J32" s="15">
        <f t="shared" si="23"/>
        <v>0.27365398798862101</v>
      </c>
      <c r="K32" s="15">
        <f t="shared" si="23"/>
        <v>0.27946036896821103</v>
      </c>
      <c r="L32" s="15">
        <f t="shared" si="23"/>
        <v>0.29439140174951994</v>
      </c>
      <c r="M32" s="15">
        <f>(M3-M7)/M3</f>
        <v>0.30733889928506303</v>
      </c>
      <c r="P32" s="16"/>
      <c r="Q32" s="15">
        <f t="shared" ref="Q32:U32" si="24">(Q3-Q7)/Q3</f>
        <v>0.19961620718952344</v>
      </c>
      <c r="R32" s="15">
        <f t="shared" si="24"/>
        <v>0.21337246806863636</v>
      </c>
      <c r="S32" s="15">
        <f t="shared" si="24"/>
        <v>0.20243426883308718</v>
      </c>
      <c r="T32" s="15">
        <f t="shared" si="24"/>
        <v>0.2205329025397734</v>
      </c>
      <c r="U32" s="15">
        <f t="shared" si="24"/>
        <v>0.26013131084446456</v>
      </c>
      <c r="V32" s="15">
        <v>0.28999999999999998</v>
      </c>
      <c r="W32" s="15">
        <v>0.24</v>
      </c>
      <c r="X32" s="15">
        <v>0.22</v>
      </c>
      <c r="Y32" s="15">
        <v>0.25</v>
      </c>
      <c r="Z32" s="15">
        <v>0.24</v>
      </c>
      <c r="AA32" s="15">
        <v>0.24</v>
      </c>
      <c r="AB32" s="15">
        <v>0.24</v>
      </c>
      <c r="AC32" s="15">
        <v>0.24</v>
      </c>
      <c r="AD32" s="15">
        <v>0.24</v>
      </c>
      <c r="AE32" s="15">
        <v>0.24</v>
      </c>
      <c r="AF32" s="15">
        <v>0.24</v>
      </c>
    </row>
    <row r="33" spans="1:37" s="15" customFormat="1" x14ac:dyDescent="0.25">
      <c r="B33" s="1" t="s">
        <v>64</v>
      </c>
      <c r="C33" s="15">
        <f t="shared" ref="C33:M33" si="25">(C4-C8)/C4</f>
        <v>0.4357894736842105</v>
      </c>
      <c r="D33" s="15">
        <f t="shared" si="25"/>
        <v>0.45962732919254667</v>
      </c>
      <c r="E33" s="15">
        <f t="shared" si="25"/>
        <v>0.44961240310077522</v>
      </c>
      <c r="F33" s="15">
        <f t="shared" si="25"/>
        <v>0.26878130217028373</v>
      </c>
      <c r="G33" s="15">
        <f t="shared" si="25"/>
        <v>0.4357894736842105</v>
      </c>
      <c r="H33" s="15">
        <f t="shared" si="25"/>
        <v>0.40272373540856032</v>
      </c>
      <c r="I33" s="15">
        <f t="shared" si="25"/>
        <v>0.50179211469534046</v>
      </c>
      <c r="J33" s="15">
        <f t="shared" si="25"/>
        <v>0.4066317626527049</v>
      </c>
      <c r="K33" s="15">
        <f t="shared" si="25"/>
        <v>0.41281138790035588</v>
      </c>
      <c r="L33" s="15">
        <f t="shared" si="25"/>
        <v>0.54379562043795615</v>
      </c>
      <c r="M33" s="15">
        <f t="shared" si="25"/>
        <v>0.50399087799315856</v>
      </c>
      <c r="P33" s="16"/>
      <c r="Q33" s="15">
        <f t="shared" ref="Q33:U33" si="26">(Q4-Q8)/Q4</f>
        <v>0.15288788221970556</v>
      </c>
      <c r="R33" s="15">
        <f t="shared" si="26"/>
        <v>0.19559517566858933</v>
      </c>
      <c r="S33" s="15">
        <f t="shared" si="26"/>
        <v>0.2568523430592396</v>
      </c>
      <c r="T33" s="15">
        <f t="shared" si="26"/>
        <v>0.38210399032648124</v>
      </c>
      <c r="U33" s="15">
        <f t="shared" si="26"/>
        <v>0.43726415094339621</v>
      </c>
      <c r="V33" s="15">
        <v>0.5</v>
      </c>
      <c r="W33" s="15">
        <v>0.35</v>
      </c>
      <c r="X33" s="15">
        <v>0.32</v>
      </c>
      <c r="Y33" s="15">
        <v>0.36</v>
      </c>
      <c r="Z33" s="15">
        <v>0.4</v>
      </c>
      <c r="AA33" s="15">
        <v>0.4</v>
      </c>
      <c r="AB33" s="15">
        <v>0.4</v>
      </c>
      <c r="AC33" s="15">
        <v>0.4</v>
      </c>
      <c r="AD33" s="15">
        <v>0.4</v>
      </c>
      <c r="AE33" s="15">
        <v>0.4</v>
      </c>
      <c r="AF33" s="15">
        <v>0.4</v>
      </c>
    </row>
    <row r="34" spans="1:37" s="15" customFormat="1" x14ac:dyDescent="0.25">
      <c r="B34" s="1" t="s">
        <v>65</v>
      </c>
      <c r="J34" s="15">
        <f>(J5-J9)/J5</f>
        <v>0.3940677966101695</v>
      </c>
      <c r="K34" s="15">
        <f>(K5-K9)/K5</f>
        <v>0.54185303514376992</v>
      </c>
      <c r="L34" s="15">
        <f>(L5-L9)/L5</f>
        <v>0.55944369672498884</v>
      </c>
      <c r="M34" s="15">
        <f>(M5-M9)/M5</f>
        <v>0.53600729261622615</v>
      </c>
      <c r="P34" s="16"/>
      <c r="U34" s="15">
        <f>(U5-U9)/U5</f>
        <v>0.3940677966101695</v>
      </c>
      <c r="V34" s="15">
        <v>0.5</v>
      </c>
      <c r="W34" s="15">
        <v>0.4</v>
      </c>
      <c r="X34" s="15">
        <v>0.45</v>
      </c>
      <c r="Y34" s="15">
        <v>0.46</v>
      </c>
      <c r="Z34" s="15">
        <v>0.46</v>
      </c>
      <c r="AA34" s="15">
        <v>0.46</v>
      </c>
      <c r="AB34" s="15">
        <v>0.46</v>
      </c>
      <c r="AC34" s="15">
        <v>0.46</v>
      </c>
      <c r="AD34" s="15">
        <v>0.46</v>
      </c>
      <c r="AE34" s="15">
        <v>0.46</v>
      </c>
      <c r="AF34" s="15">
        <v>0.46</v>
      </c>
    </row>
    <row r="35" spans="1:37" s="15" customFormat="1" x14ac:dyDescent="0.25">
      <c r="B35" s="1" t="s">
        <v>66</v>
      </c>
      <c r="C35" s="15">
        <f t="shared" ref="C35:M35" si="27">(C6-C10)/C6</f>
        <v>0.9556623931623931</v>
      </c>
      <c r="D35" s="15">
        <f t="shared" si="27"/>
        <v>0.91483253588516744</v>
      </c>
      <c r="E35" s="15">
        <f t="shared" si="27"/>
        <v>0.96807151979565775</v>
      </c>
      <c r="F35" s="15">
        <f t="shared" si="27"/>
        <v>0.98828696925329429</v>
      </c>
      <c r="G35" s="15">
        <f t="shared" si="27"/>
        <v>0.9556623931623931</v>
      </c>
      <c r="H35" s="15">
        <f t="shared" si="27"/>
        <v>0.98311111111111105</v>
      </c>
      <c r="I35" s="15">
        <f t="shared" si="27"/>
        <v>0.97032326444091155</v>
      </c>
      <c r="J35" s="15">
        <f t="shared" si="27"/>
        <v>0.95105523125280644</v>
      </c>
      <c r="K35" s="15">
        <f t="shared" si="27"/>
        <v>0.97395550732501346</v>
      </c>
      <c r="L35" s="15">
        <f t="shared" si="27"/>
        <v>0.93156235929761377</v>
      </c>
      <c r="M35" s="15">
        <f t="shared" si="27"/>
        <v>0.9583169484860401</v>
      </c>
      <c r="P35" s="16"/>
      <c r="Q35" s="15">
        <f t="shared" ref="Q35:U35" si="28">(Q6-Q10)/Q6</f>
        <v>0.88497854077253224</v>
      </c>
      <c r="R35" s="15">
        <f t="shared" si="28"/>
        <v>0.86570743405275785</v>
      </c>
      <c r="S35" s="15">
        <f t="shared" si="28"/>
        <v>0.87774507584333261</v>
      </c>
      <c r="T35" s="15">
        <f t="shared" si="28"/>
        <v>0.95930928363822887</v>
      </c>
      <c r="U35" s="15">
        <f t="shared" si="28"/>
        <v>0.9652744050509956</v>
      </c>
      <c r="V35" s="15">
        <v>0.8</v>
      </c>
      <c r="W35" s="15">
        <v>0.8</v>
      </c>
      <c r="X35" s="15">
        <v>0.8</v>
      </c>
      <c r="Y35" s="15">
        <v>0.8</v>
      </c>
      <c r="Z35" s="15">
        <v>0.8</v>
      </c>
      <c r="AA35" s="15">
        <v>0.8</v>
      </c>
      <c r="AB35" s="15">
        <v>0.8</v>
      </c>
      <c r="AC35" s="15">
        <v>0.8</v>
      </c>
      <c r="AD35" s="15">
        <v>0.8</v>
      </c>
      <c r="AE35" s="15">
        <v>0.8</v>
      </c>
      <c r="AF35" s="15">
        <v>0.8</v>
      </c>
    </row>
    <row r="36" spans="1:37" x14ac:dyDescent="0.25">
      <c r="A36" s="13"/>
      <c r="B36" s="13" t="s">
        <v>20</v>
      </c>
      <c r="C36" s="13">
        <f t="shared" ref="C36:D36" si="29">C13/C11</f>
        <v>0.23291964085855699</v>
      </c>
      <c r="D36" s="13">
        <f t="shared" si="29"/>
        <v>0.2331555555555555</v>
      </c>
      <c r="E36" s="13">
        <f t="shared" ref="E36:K36" si="30">E13/E11</f>
        <v>0.24217068645640077</v>
      </c>
      <c r="F36" s="13">
        <f t="shared" si="30"/>
        <v>0.11812615955473112</v>
      </c>
      <c r="G36" s="13">
        <f t="shared" si="30"/>
        <v>0.26981157515084098</v>
      </c>
      <c r="H36" s="13">
        <f t="shared" si="30"/>
        <v>0.27858350525058556</v>
      </c>
      <c r="I36" s="13">
        <f t="shared" si="30"/>
        <v>0.28443565878703014</v>
      </c>
      <c r="J36" s="13">
        <f t="shared" si="30"/>
        <v>0.21711555885017714</v>
      </c>
      <c r="K36" s="13">
        <f t="shared" si="30"/>
        <v>0.30449145093146568</v>
      </c>
      <c r="L36" s="13">
        <f>L13/L11</f>
        <v>0.32117764720590081</v>
      </c>
      <c r="M36" s="13">
        <f>M13/M11</f>
        <v>0.33098543468365954</v>
      </c>
      <c r="N36" s="13"/>
      <c r="O36" s="13"/>
      <c r="P36" s="14"/>
      <c r="Q36" s="13">
        <f t="shared" ref="Q36" si="31">Q13/Q11</f>
        <v>0.21632247533886884</v>
      </c>
      <c r="R36" s="13">
        <f t="shared" ref="R36:U36" si="32">R13/R11</f>
        <v>0.22840428180234004</v>
      </c>
      <c r="S36" s="13">
        <f t="shared" si="32"/>
        <v>0.22008878581700581</v>
      </c>
      <c r="T36" s="13">
        <f t="shared" si="32"/>
        <v>0.24311949190094037</v>
      </c>
      <c r="U36" s="13">
        <f t="shared" si="32"/>
        <v>0.28353856124432925</v>
      </c>
      <c r="V36" s="13">
        <f>V13/V11</f>
        <v>0.30943000215621369</v>
      </c>
      <c r="W36" s="13">
        <f t="shared" ref="W36:AF36" si="33">W13/W11</f>
        <v>0.26716565840838691</v>
      </c>
      <c r="X36" s="13">
        <f t="shared" si="33"/>
        <v>0.26009908057183984</v>
      </c>
      <c r="Y36" s="13">
        <f t="shared" si="33"/>
        <v>0.29377954105414406</v>
      </c>
      <c r="Z36" s="13">
        <f t="shared" si="33"/>
        <v>0.28851182061797281</v>
      </c>
      <c r="AA36" s="13">
        <f t="shared" si="33"/>
        <v>0.29083279573448295</v>
      </c>
      <c r="AB36" s="13">
        <f t="shared" si="33"/>
        <v>0.29244693657301646</v>
      </c>
      <c r="AC36" s="13">
        <f t="shared" si="33"/>
        <v>0.29323514938848594</v>
      </c>
      <c r="AD36" s="13">
        <f t="shared" si="33"/>
        <v>0.29403314426095595</v>
      </c>
      <c r="AE36" s="13">
        <f t="shared" si="33"/>
        <v>0.29392903294577583</v>
      </c>
      <c r="AF36" s="13">
        <f t="shared" si="33"/>
        <v>0.2938480188946157</v>
      </c>
      <c r="AG36" s="13"/>
      <c r="AH36" s="13"/>
      <c r="AI36" s="13"/>
      <c r="AJ36" s="13"/>
      <c r="AK36" s="13"/>
    </row>
    <row r="37" spans="1:37" x14ac:dyDescent="0.25">
      <c r="A37" s="15"/>
      <c r="B37" s="15" t="s">
        <v>21</v>
      </c>
      <c r="C37" s="15">
        <f t="shared" ref="C37:D37" si="34">C15/C11</f>
        <v>0.11955629616733406</v>
      </c>
      <c r="D37" s="15">
        <f t="shared" si="34"/>
        <v>0.12942222222222219</v>
      </c>
      <c r="E37" s="15">
        <f t="shared" ref="E37:K37" si="35">E15/E11</f>
        <v>0.14430426716141007</v>
      </c>
      <c r="F37" s="15">
        <f t="shared" si="35"/>
        <v>7.2356215213359339E-3</v>
      </c>
      <c r="G37" s="15">
        <f t="shared" si="35"/>
        <v>0.17106549364613877</v>
      </c>
      <c r="H37" s="15">
        <f t="shared" si="35"/>
        <v>0.18218058291582001</v>
      </c>
      <c r="I37" s="15">
        <f t="shared" si="35"/>
        <v>0.19442385305987972</v>
      </c>
      <c r="J37" s="15">
        <f t="shared" si="35"/>
        <v>0.12199708975098157</v>
      </c>
      <c r="K37" s="15">
        <f t="shared" si="35"/>
        <v>0.21008308050018429</v>
      </c>
      <c r="L37" s="15">
        <f>L15/L11</f>
        <v>0.23427928491061389</v>
      </c>
      <c r="M37" s="15">
        <f>M15/M11</f>
        <v>0.24671142467000454</v>
      </c>
      <c r="N37" s="15"/>
      <c r="O37" s="15"/>
      <c r="P37" s="16"/>
      <c r="Q37" s="15">
        <f t="shared" ref="Q37" si="36">Q15/Q11</f>
        <v>0.11188702008374145</v>
      </c>
      <c r="R37" s="15">
        <f t="shared" ref="R37:U37" si="37">R15/R11</f>
        <v>0.12404779686333085</v>
      </c>
      <c r="S37" s="15">
        <f t="shared" si="37"/>
        <v>0.11592744800459286</v>
      </c>
      <c r="T37" s="15">
        <f t="shared" si="37"/>
        <v>0.14229727733740336</v>
      </c>
      <c r="U37" s="15">
        <f t="shared" si="37"/>
        <v>0.19151004536616981</v>
      </c>
      <c r="V37" s="15">
        <f>V15/V11</f>
        <v>0.21943000215621372</v>
      </c>
      <c r="W37" s="15">
        <f>W15/W11</f>
        <v>0.17716565840838688</v>
      </c>
      <c r="X37" s="15">
        <f>X15/X11</f>
        <v>0.17009908057183987</v>
      </c>
      <c r="Y37" s="15">
        <f>Y15/Y11</f>
        <v>0.20377954105414406</v>
      </c>
      <c r="Z37" s="15">
        <f>Z15/Z11</f>
        <v>0.2085118206179728</v>
      </c>
      <c r="AA37" s="15">
        <f>AA15/AA11</f>
        <v>0.21083279573448294</v>
      </c>
      <c r="AB37" s="15">
        <f>AB15/AB11</f>
        <v>0.21244693657301647</v>
      </c>
      <c r="AC37" s="15">
        <f>AC15/AC11</f>
        <v>0.21323514938848592</v>
      </c>
      <c r="AD37" s="15">
        <f>AD15/AD11</f>
        <v>0.2140331442609559</v>
      </c>
      <c r="AE37" s="15">
        <f>AE15/AE11</f>
        <v>0.21392903294577584</v>
      </c>
      <c r="AF37" s="15">
        <f>AF15/AF11</f>
        <v>0.21384801889461569</v>
      </c>
      <c r="AG37" s="15"/>
      <c r="AH37" s="15"/>
      <c r="AI37" s="15"/>
      <c r="AJ37" s="15"/>
      <c r="AK37" s="15"/>
    </row>
    <row r="38" spans="1:37" s="18" customFormat="1" x14ac:dyDescent="0.25">
      <c r="B38" s="18" t="s">
        <v>69</v>
      </c>
      <c r="C38" s="18">
        <f t="shared" ref="C38:L38" si="38">C20/C19</f>
        <v>0.17351423657557807</v>
      </c>
      <c r="D38" s="18">
        <f t="shared" si="38"/>
        <v>0.22098825044262038</v>
      </c>
      <c r="E38" s="18">
        <f t="shared" si="38"/>
        <v>0.19107873210633941</v>
      </c>
      <c r="F38" s="18">
        <f t="shared" si="38"/>
        <v>4.9104803493449047</v>
      </c>
      <c r="G38" s="18">
        <f t="shared" si="38"/>
        <v>0.23117084018176556</v>
      </c>
      <c r="H38" s="18">
        <f t="shared" si="38"/>
        <v>0.20849224510551739</v>
      </c>
      <c r="I38" s="18">
        <f t="shared" si="38"/>
        <v>0.21128849957615145</v>
      </c>
      <c r="J38" s="18">
        <f t="shared" si="38"/>
        <v>0.4218923111012628</v>
      </c>
      <c r="K38" s="18">
        <f t="shared" si="38"/>
        <v>0.23475589394242974</v>
      </c>
      <c r="L38" s="18">
        <f t="shared" si="38"/>
        <v>0.23416343652100033</v>
      </c>
      <c r="M38" s="18">
        <f>M20/M19</f>
        <v>0.24001465738365704</v>
      </c>
      <c r="P38" s="19"/>
      <c r="Q38" s="18">
        <f t="shared" ref="Q38:T38" si="39">Q20/Q19</f>
        <v>0.35185069596155033</v>
      </c>
      <c r="R38" s="18">
        <f t="shared" si="39"/>
        <v>0.290131547012281</v>
      </c>
      <c r="S38" s="18">
        <f t="shared" si="39"/>
        <v>0.23841340046111115</v>
      </c>
      <c r="T38" s="18">
        <f t="shared" si="39"/>
        <v>0.20197110388522008</v>
      </c>
      <c r="U38" s="18">
        <f>U20/U19</f>
        <v>0.217476525602494</v>
      </c>
      <c r="V38" s="18">
        <v>0.24</v>
      </c>
      <c r="W38" s="18">
        <v>0.24</v>
      </c>
      <c r="X38" s="18">
        <v>0.24</v>
      </c>
      <c r="Y38" s="18">
        <v>0.24</v>
      </c>
      <c r="Z38" s="18">
        <v>0.24</v>
      </c>
      <c r="AA38" s="18">
        <v>0.24</v>
      </c>
      <c r="AB38" s="18">
        <v>0.24</v>
      </c>
      <c r="AC38" s="18">
        <v>0.24</v>
      </c>
      <c r="AD38" s="18">
        <v>0.24</v>
      </c>
      <c r="AE38" s="18">
        <v>0.24</v>
      </c>
      <c r="AF38" s="18">
        <v>0.24</v>
      </c>
    </row>
    <row r="39" spans="1:37" x14ac:dyDescent="0.25">
      <c r="A39" s="15"/>
      <c r="B39" s="15" t="s">
        <v>33</v>
      </c>
      <c r="C39" s="15"/>
      <c r="D39" s="15"/>
      <c r="E39" s="15"/>
      <c r="F39" s="15">
        <f>F11/F27</f>
        <v>7.8835746672517182</v>
      </c>
      <c r="G39" s="15">
        <f>G11/G27</f>
        <v>7.9281133083912341</v>
      </c>
      <c r="H39" s="15">
        <f>H11/H27</f>
        <v>7.2032402234636868</v>
      </c>
      <c r="I39" s="15">
        <f>I11/I27</f>
        <v>19.849046321525886</v>
      </c>
      <c r="J39" s="15">
        <f>J11/J27</f>
        <v>18.540595571392213</v>
      </c>
      <c r="K39" s="15">
        <f>K11/K27</f>
        <v>17.186647173489281</v>
      </c>
      <c r="L39" s="15">
        <f>L11/L27</f>
        <v>18.430875576036865</v>
      </c>
      <c r="M39" s="15">
        <f>M11/M27</f>
        <v>18.258882194057758</v>
      </c>
      <c r="N39" s="15"/>
      <c r="O39" s="15"/>
      <c r="P39" s="16"/>
      <c r="Q39" s="15"/>
      <c r="R39" s="15">
        <f t="shared" ref="R39:U39" si="40">R11/R27</f>
        <v>40.05983545250561</v>
      </c>
      <c r="S39" s="15">
        <f t="shared" si="40"/>
        <v>38.063392470791868</v>
      </c>
      <c r="T39" s="15">
        <f t="shared" si="40"/>
        <v>29.7074740383209</v>
      </c>
      <c r="U39" s="15">
        <f t="shared" si="40"/>
        <v>70.689742937134142</v>
      </c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</row>
    <row r="40" spans="1:37" x14ac:dyDescent="0.25">
      <c r="A40" s="15"/>
      <c r="B40" s="15" t="s">
        <v>58</v>
      </c>
      <c r="C40" s="15"/>
      <c r="D40" s="15"/>
      <c r="E40" s="15"/>
      <c r="F40" s="15">
        <f>F11/F26</f>
        <v>0.39154438471596686</v>
      </c>
      <c r="G40" s="15">
        <f>G11/G26</f>
        <v>0.39515430824353664</v>
      </c>
      <c r="H40" s="15">
        <f>H11/H26</f>
        <v>0.39719672232148356</v>
      </c>
      <c r="I40" s="15">
        <f>I11/I26</f>
        <v>0.41258963060297471</v>
      </c>
      <c r="J40" s="15">
        <f>J11/J26</f>
        <v>0.39363236986723299</v>
      </c>
      <c r="K40" s="15">
        <f>K11/K26</f>
        <v>0.35203984867087912</v>
      </c>
      <c r="L40" s="15">
        <f>L11/L26</f>
        <v>0.36212102692253717</v>
      </c>
      <c r="M40" s="15">
        <f>M11/M26</f>
        <v>0.36953093791392466</v>
      </c>
      <c r="N40" s="15"/>
      <c r="O40" s="15"/>
      <c r="P40" s="16"/>
      <c r="Q40" s="15"/>
      <c r="R40" s="15">
        <f t="shared" ref="R40:U40" si="41">R11/R26</f>
        <v>1.4357453044301876</v>
      </c>
      <c r="S40" s="15">
        <f t="shared" si="41"/>
        <v>1.4240650801359884</v>
      </c>
      <c r="T40" s="15">
        <f t="shared" si="41"/>
        <v>1.4754467528693884</v>
      </c>
      <c r="U40" s="15">
        <f t="shared" si="41"/>
        <v>1.500802438115</v>
      </c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</row>
    <row r="41" spans="1:37" x14ac:dyDescent="0.25">
      <c r="A41" s="15"/>
      <c r="B41" s="15" t="s">
        <v>39</v>
      </c>
      <c r="C41" s="15">
        <f t="shared" ref="C41:D41" si="42">C14/C11</f>
        <v>0.11336334469122293</v>
      </c>
      <c r="D41" s="15">
        <f t="shared" si="42"/>
        <v>0.10373333333333333</v>
      </c>
      <c r="E41" s="15">
        <f t="shared" ref="E41:K41" si="43">E14/E11</f>
        <v>9.7866419294990722E-2</v>
      </c>
      <c r="F41" s="15">
        <f t="shared" si="43"/>
        <v>0.11089053803339519</v>
      </c>
      <c r="G41" s="15">
        <f t="shared" si="43"/>
        <v>9.8746081504702196E-2</v>
      </c>
      <c r="H41" s="15">
        <f t="shared" si="43"/>
        <v>9.6402922334765551E-2</v>
      </c>
      <c r="I41" s="15">
        <f t="shared" si="43"/>
        <v>9.0011805727150423E-2</v>
      </c>
      <c r="J41" s="15">
        <f t="shared" si="43"/>
        <v>9.5118469099195552E-2</v>
      </c>
      <c r="K41" s="15">
        <f t="shared" si="43"/>
        <v>9.4408370431281363E-2</v>
      </c>
      <c r="L41" s="15">
        <f>L14/L11</f>
        <v>8.6898362295286913E-2</v>
      </c>
      <c r="M41" s="15">
        <f>M14/M11</f>
        <v>8.427401001365499E-2</v>
      </c>
      <c r="N41" s="15"/>
      <c r="O41" s="15"/>
      <c r="P41" s="16"/>
      <c r="Q41" s="15">
        <f t="shared" ref="Q41" si="44">Q14/Q11</f>
        <v>0.10443545525512737</v>
      </c>
      <c r="R41" s="15">
        <f t="shared" ref="R41:U41" si="45">R14/R11</f>
        <v>0.1043564849390092</v>
      </c>
      <c r="S41" s="15">
        <f t="shared" si="45"/>
        <v>0.10416133781241295</v>
      </c>
      <c r="T41" s="15">
        <f t="shared" si="45"/>
        <v>0.100822214563537</v>
      </c>
      <c r="U41" s="15">
        <f t="shared" si="45"/>
        <v>9.2028515878159425E-2</v>
      </c>
      <c r="V41" s="15">
        <v>0.09</v>
      </c>
      <c r="W41" s="15">
        <v>0.09</v>
      </c>
      <c r="X41" s="15">
        <v>0.09</v>
      </c>
      <c r="Y41" s="15">
        <v>0.09</v>
      </c>
      <c r="Z41" s="15">
        <v>0.08</v>
      </c>
      <c r="AA41" s="15">
        <v>0.08</v>
      </c>
      <c r="AB41" s="15">
        <v>0.08</v>
      </c>
      <c r="AC41" s="15">
        <v>0.08</v>
      </c>
      <c r="AD41" s="15">
        <v>0.08</v>
      </c>
      <c r="AE41" s="15">
        <v>0.08</v>
      </c>
      <c r="AF41" s="15">
        <v>0.08</v>
      </c>
      <c r="AG41" s="15"/>
      <c r="AH41" s="15"/>
      <c r="AI41" s="15"/>
      <c r="AJ41" s="15"/>
      <c r="AK41" s="15"/>
    </row>
    <row r="42" spans="1:37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</row>
    <row r="43" spans="1:37" s="15" customFormat="1" x14ac:dyDescent="0.25">
      <c r="B43" s="1" t="s">
        <v>59</v>
      </c>
      <c r="G43" s="15">
        <f t="shared" ref="G43:L43" si="46">G3/C3-1</f>
        <v>0</v>
      </c>
      <c r="H43" s="15">
        <f t="shared" si="46"/>
        <v>0.41415900809020689</v>
      </c>
      <c r="I43" s="15">
        <f t="shared" si="46"/>
        <v>0.35188954604808353</v>
      </c>
      <c r="J43" s="15">
        <f t="shared" si="46"/>
        <v>0.76938851603281266</v>
      </c>
      <c r="K43" s="15">
        <f t="shared" si="46"/>
        <v>0.16805587239194897</v>
      </c>
      <c r="L43" s="15">
        <f t="shared" si="46"/>
        <v>0.21535070659924815</v>
      </c>
      <c r="M43" s="15">
        <f>M3/I3-1</f>
        <v>0.18413090723143122</v>
      </c>
      <c r="P43" s="16"/>
      <c r="R43" s="15">
        <f>R3/Q3-1</f>
        <v>0.13541147862772096</v>
      </c>
      <c r="S43" s="15">
        <f>S3/R3-1</f>
        <v>9.1794607147464902E-2</v>
      </c>
      <c r="T43" s="15">
        <f>T3/S3-1</f>
        <v>0.15573412112259977</v>
      </c>
      <c r="U43" s="15">
        <f>U3/T3-1</f>
        <v>0.35485256226739192</v>
      </c>
      <c r="V43" s="15">
        <v>0.17</v>
      </c>
      <c r="W43" s="15">
        <v>-0.2</v>
      </c>
      <c r="X43" s="15">
        <v>-0.18</v>
      </c>
      <c r="Y43" s="15">
        <v>0.12</v>
      </c>
      <c r="Z43" s="15">
        <v>0.09</v>
      </c>
      <c r="AA43" s="15">
        <v>0.08</v>
      </c>
      <c r="AB43" s="15">
        <v>0.08</v>
      </c>
      <c r="AC43" s="15">
        <v>0.08</v>
      </c>
      <c r="AD43" s="15">
        <v>0.08</v>
      </c>
      <c r="AE43" s="15">
        <v>0.08</v>
      </c>
      <c r="AF43" s="15">
        <v>0.08</v>
      </c>
    </row>
    <row r="44" spans="1:37" s="15" customFormat="1" x14ac:dyDescent="0.25">
      <c r="B44" s="1" t="s">
        <v>60</v>
      </c>
      <c r="G44" s="15">
        <f t="shared" ref="G44:M44" si="47">G4/C4-1</f>
        <v>0</v>
      </c>
      <c r="H44" s="15">
        <f t="shared" si="47"/>
        <v>0.59627329192546563</v>
      </c>
      <c r="I44" s="15">
        <f t="shared" si="47"/>
        <v>1.1627906976744184</v>
      </c>
      <c r="J44" s="15">
        <f t="shared" si="47"/>
        <v>-4.340567612687829E-2</v>
      </c>
      <c r="K44" s="15">
        <f t="shared" si="47"/>
        <v>0.18315789473684219</v>
      </c>
      <c r="L44" s="15">
        <f t="shared" si="47"/>
        <v>6.6147859922178975E-2</v>
      </c>
      <c r="M44" s="15">
        <f t="shared" si="47"/>
        <v>0.5716845878136203</v>
      </c>
      <c r="P44" s="16"/>
      <c r="R44" s="15">
        <f>R4/Q4-1</f>
        <v>1.1596828992072479</v>
      </c>
      <c r="S44" s="15">
        <f>S4/R4-1</f>
        <v>0.18615626638699534</v>
      </c>
      <c r="T44" s="15">
        <f>T4/S4-1</f>
        <v>-0.26878868258178601</v>
      </c>
      <c r="U44" s="15">
        <f>U4/T4-1</f>
        <v>0.28174123337363954</v>
      </c>
      <c r="V44" s="15">
        <v>0.24</v>
      </c>
      <c r="W44" s="15">
        <v>-0.14000000000000001</v>
      </c>
      <c r="X44" s="15">
        <v>-0.2</v>
      </c>
      <c r="Y44" s="15">
        <v>0.18</v>
      </c>
      <c r="Z44" s="15">
        <v>0.1</v>
      </c>
      <c r="AA44" s="15">
        <v>0.11</v>
      </c>
      <c r="AB44" s="15">
        <v>0.08</v>
      </c>
      <c r="AC44" s="15">
        <v>0.08</v>
      </c>
      <c r="AD44" s="15">
        <v>0.08</v>
      </c>
      <c r="AE44" s="15">
        <v>0.08</v>
      </c>
      <c r="AF44" s="15">
        <v>0.08</v>
      </c>
    </row>
    <row r="45" spans="1:37" s="15" customFormat="1" x14ac:dyDescent="0.25">
      <c r="B45" s="1" t="s">
        <v>61</v>
      </c>
      <c r="P45" s="16"/>
      <c r="V45" s="15">
        <v>1.4</v>
      </c>
      <c r="W45" s="15">
        <v>0.65</v>
      </c>
      <c r="X45" s="15">
        <v>0.2</v>
      </c>
      <c r="Y45" s="15">
        <v>1</v>
      </c>
      <c r="Z45" s="15">
        <v>0.3</v>
      </c>
      <c r="AA45" s="15">
        <v>0.2</v>
      </c>
      <c r="AB45" s="15">
        <v>0.15</v>
      </c>
      <c r="AC45" s="15">
        <v>0.1</v>
      </c>
      <c r="AD45" s="15">
        <v>0.1</v>
      </c>
      <c r="AE45" s="15">
        <v>0.05</v>
      </c>
      <c r="AF45" s="15">
        <v>0.05</v>
      </c>
    </row>
    <row r="46" spans="1:37" s="15" customFormat="1" x14ac:dyDescent="0.25">
      <c r="B46" s="1" t="s">
        <v>62</v>
      </c>
      <c r="G46" s="15">
        <f t="shared" ref="G46:M46" si="48">G6/C6-1</f>
        <v>0</v>
      </c>
      <c r="H46" s="15">
        <f t="shared" si="48"/>
        <v>1.1531100478468899</v>
      </c>
      <c r="I46" s="15">
        <f t="shared" si="48"/>
        <v>0.20498084291187735</v>
      </c>
      <c r="J46" s="15">
        <f t="shared" si="48"/>
        <v>0.63030746705710228</v>
      </c>
      <c r="K46" s="15">
        <f t="shared" si="48"/>
        <v>-1.5491452991452825E-2</v>
      </c>
      <c r="L46" s="15">
        <f t="shared" si="48"/>
        <v>-1.288888888888895E-2</v>
      </c>
      <c r="M46" s="15">
        <f t="shared" si="48"/>
        <v>0.34764175940646536</v>
      </c>
      <c r="P46" s="16"/>
      <c r="R46" s="15">
        <f t="shared" ref="R45:U46" si="49">R6/Q6-1</f>
        <v>7.3819742489270368E-2</v>
      </c>
      <c r="S46" s="15">
        <f t="shared" si="49"/>
        <v>0.17692512656541437</v>
      </c>
      <c r="T46" s="15">
        <f t="shared" si="49"/>
        <v>0.32420194702286609</v>
      </c>
      <c r="U46" s="15">
        <f t="shared" si="49"/>
        <v>0.40810394939305872</v>
      </c>
      <c r="V46" s="15">
        <v>0.1</v>
      </c>
      <c r="W46" s="15">
        <v>0.1</v>
      </c>
      <c r="X46" s="15">
        <v>0.1</v>
      </c>
      <c r="Y46" s="15">
        <v>0.1</v>
      </c>
      <c r="Z46" s="15">
        <v>0.1</v>
      </c>
      <c r="AA46" s="15">
        <v>0.1</v>
      </c>
      <c r="AB46" s="15">
        <v>0.1</v>
      </c>
      <c r="AC46" s="15">
        <v>0.1</v>
      </c>
      <c r="AD46" s="15">
        <v>0.1</v>
      </c>
      <c r="AE46" s="15">
        <v>0.1</v>
      </c>
      <c r="AF46" s="15">
        <v>0.1</v>
      </c>
    </row>
    <row r="47" spans="1:37" s="4" customFormat="1" x14ac:dyDescent="0.25">
      <c r="A47" s="13"/>
      <c r="B47" s="13" t="s">
        <v>22</v>
      </c>
      <c r="C47" s="13"/>
      <c r="D47" s="13"/>
      <c r="E47" s="13"/>
      <c r="F47" s="13"/>
      <c r="G47" s="13">
        <f t="shared" ref="G47:H47" si="50">G11/C11-1</f>
        <v>0.47571318427139553</v>
      </c>
      <c r="H47" s="13">
        <f t="shared" si="50"/>
        <v>0.43264444444444439</v>
      </c>
      <c r="I47" s="13">
        <f>I11/E11-1</f>
        <v>0.3515027829313544</v>
      </c>
      <c r="J47" s="13">
        <f>J11/F11-1</f>
        <v>0.3515027829313544</v>
      </c>
      <c r="K47" s="13">
        <f>K11/G11-1</f>
        <v>0.18876192402332559</v>
      </c>
      <c r="L47" s="13">
        <f>L11/H11-1</f>
        <v>0.24075136887496318</v>
      </c>
      <c r="M47" s="13">
        <f>M11/I11-1</f>
        <v>0.20638058369711443</v>
      </c>
      <c r="N47" s="13"/>
      <c r="O47" s="13"/>
      <c r="P47" s="14"/>
      <c r="Q47" s="13"/>
      <c r="R47" s="13">
        <f>R11/Q11-1</f>
        <v>0.14030232063018944</v>
      </c>
      <c r="S47" s="13">
        <f>S11/R11-1</f>
        <v>9.4902912621359414E-2</v>
      </c>
      <c r="T47" s="13">
        <f>T11/S11-1</f>
        <v>0.15449982663460826</v>
      </c>
      <c r="U47" s="13">
        <f>U11/T11-1</f>
        <v>0.36743636453153461</v>
      </c>
      <c r="V47" s="13">
        <f>V11/U11-1</f>
        <v>0.17889320947648879</v>
      </c>
      <c r="W47" s="13">
        <f>W11/V11-1</f>
        <v>-0.17651373837980999</v>
      </c>
      <c r="X47" s="13">
        <f>X11/W11-1</f>
        <v>-0.15664779769397719</v>
      </c>
      <c r="Y47" s="13">
        <f>Y11/X11-1</f>
        <v>0.16291338063019056</v>
      </c>
      <c r="Z47" s="13">
        <f>Z11/Y11-1</f>
        <v>0.10834867854558783</v>
      </c>
      <c r="AA47" s="13">
        <f>AA11/Z11-1</f>
        <v>9.3083675132349164E-2</v>
      </c>
      <c r="AB47" s="13">
        <f>AB11/AA11-1</f>
        <v>8.8555993920092613E-2</v>
      </c>
      <c r="AC47" s="13">
        <f>AC11/AB11-1</f>
        <v>8.3228048108621167E-2</v>
      </c>
      <c r="AD47" s="13">
        <f>AD11/AC11-1</f>
        <v>8.3278028966922601E-2</v>
      </c>
      <c r="AE47" s="13">
        <f>AE11/AD11-1</f>
        <v>7.7379818489857088E-2</v>
      </c>
      <c r="AF47" s="13">
        <f>AF11/AE11-1</f>
        <v>7.7490452980293112E-2</v>
      </c>
      <c r="AG47" s="13"/>
      <c r="AH47" s="13"/>
      <c r="AI47" s="13"/>
      <c r="AJ47" s="13"/>
      <c r="AK47" s="13"/>
    </row>
    <row r="48" spans="1:37" x14ac:dyDescent="0.25">
      <c r="A48" s="13"/>
      <c r="B48" s="13" t="s">
        <v>23</v>
      </c>
      <c r="C48" s="13"/>
      <c r="D48" s="13"/>
      <c r="E48" s="13"/>
      <c r="F48" s="13"/>
      <c r="G48" s="13">
        <f t="shared" ref="G48:H48" si="51">+G15/C15-1</f>
        <v>1.1115040565841476</v>
      </c>
      <c r="H48" s="13">
        <f t="shared" si="51"/>
        <v>1.0166552197802203</v>
      </c>
      <c r="I48" s="13">
        <f>+I15/E15-1</f>
        <v>0.8209051169966568</v>
      </c>
      <c r="J48" s="13">
        <f>+J15/F15-1</f>
        <v>21.787179487179099</v>
      </c>
      <c r="K48" s="13">
        <f>+K15/G15-1</f>
        <v>0.45990147783251256</v>
      </c>
      <c r="L48" s="13">
        <f>+L15/H15-1</f>
        <v>0.59557258407833169</v>
      </c>
      <c r="M48" s="13">
        <f>+M15/I15-1</f>
        <v>0.53081974158017364</v>
      </c>
      <c r="N48" s="13"/>
      <c r="O48" s="13"/>
      <c r="P48" s="14"/>
      <c r="Q48" s="13"/>
      <c r="R48" s="13">
        <f>R21/Q21-1</f>
        <v>0.40832049306625451</v>
      </c>
      <c r="S48" s="13">
        <f>S21/R21-1</f>
        <v>0.10681072210065778</v>
      </c>
      <c r="T48" s="13">
        <f>T21/S21-1</f>
        <v>0.47077721487705237</v>
      </c>
      <c r="U48" s="13">
        <f>U21/T21-1</f>
        <v>0.76085860707384678</v>
      </c>
      <c r="V48" s="13">
        <f t="shared" ref="V48:AF48" si="52">V21/U21-1</f>
        <v>0.31740529211097601</v>
      </c>
      <c r="W48" s="13">
        <f t="shared" si="52"/>
        <v>-0.36713056095276553</v>
      </c>
      <c r="X48" s="13">
        <f t="shared" si="52"/>
        <v>-0.20386319566458644</v>
      </c>
      <c r="Y48" s="13">
        <f t="shared" si="52"/>
        <v>0.40918292801702094</v>
      </c>
      <c r="Z48" s="13">
        <f t="shared" si="52"/>
        <v>0.13385160438422106</v>
      </c>
      <c r="AA48" s="13">
        <f t="shared" si="52"/>
        <v>0.10375540028177999</v>
      </c>
      <c r="AB48" s="13">
        <f t="shared" si="52"/>
        <v>9.5157894569258605E-2</v>
      </c>
      <c r="AC48" s="13">
        <f t="shared" si="52"/>
        <v>8.5214577053867702E-2</v>
      </c>
      <c r="AD48" s="13">
        <f t="shared" si="52"/>
        <v>8.547501301086835E-2</v>
      </c>
      <c r="AE48" s="13">
        <f t="shared" si="52"/>
        <v>7.4615798448563142E-2</v>
      </c>
      <c r="AF48" s="13">
        <f t="shared" si="52"/>
        <v>7.5023087304837865E-2</v>
      </c>
      <c r="AG48" s="13"/>
      <c r="AH48" s="13"/>
      <c r="AI48" s="13"/>
      <c r="AJ48" s="13"/>
      <c r="AK48" s="13"/>
    </row>
    <row r="49" spans="1:37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6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</row>
    <row r="50" spans="1:37" x14ac:dyDescent="0.25">
      <c r="B50" s="1"/>
    </row>
    <row r="51" spans="1:37" s="18" customFormat="1" x14ac:dyDescent="0.25">
      <c r="B51" s="18" t="s">
        <v>34</v>
      </c>
      <c r="G51" s="18">
        <f>(1+(G16+G18)/F30)^4-1</f>
        <v>6.1790711699860612E-3</v>
      </c>
      <c r="H51" s="18">
        <f t="shared" ref="H51:M51" si="53">(1+(H16+H18)/G30)^4-1</f>
        <v>1.6281485482563252E-3</v>
      </c>
      <c r="I51" s="18">
        <f t="shared" si="53"/>
        <v>4.9840570921666494E-3</v>
      </c>
      <c r="J51" s="18">
        <f t="shared" si="53"/>
        <v>3.6607689528751486E-3</v>
      </c>
      <c r="K51" s="18">
        <f t="shared" si="53"/>
        <v>3.8019856270012919E-3</v>
      </c>
      <c r="L51" s="18">
        <f t="shared" si="53"/>
        <v>2.1588800787670781E-3</v>
      </c>
      <c r="M51" s="18">
        <f t="shared" si="53"/>
        <v>3.321278915317416E-3</v>
      </c>
      <c r="P51" s="19"/>
      <c r="S51" s="18">
        <f t="shared" ref="S51:T51" si="54">(S16+S18)/R30</f>
        <v>9.0373818978501993E-3</v>
      </c>
      <c r="T51" s="18">
        <f t="shared" si="54"/>
        <v>8.8738179386760926E-3</v>
      </c>
      <c r="U51" s="18">
        <f>(U16+U18)/T30</f>
        <v>4.4718790676132143E-3</v>
      </c>
      <c r="V51" s="18">
        <f>V16/U30</f>
        <v>5.0000000000000001E-3</v>
      </c>
      <c r="W51" s="18">
        <f t="shared" ref="W51:AF51" si="55">W16/V30</f>
        <v>5.0000000000000001E-3</v>
      </c>
      <c r="X51" s="18">
        <f t="shared" si="55"/>
        <v>5.0000000000000001E-3</v>
      </c>
      <c r="Y51" s="18">
        <f t="shared" si="55"/>
        <v>5.0000000000000001E-3</v>
      </c>
      <c r="Z51" s="18">
        <f t="shared" si="55"/>
        <v>5.0000000000000001E-3</v>
      </c>
      <c r="AA51" s="18">
        <f t="shared" si="55"/>
        <v>5.0000000000000001E-3</v>
      </c>
      <c r="AB51" s="18">
        <f t="shared" si="55"/>
        <v>5.0000000000000001E-3</v>
      </c>
      <c r="AC51" s="18">
        <f t="shared" si="55"/>
        <v>5.0000000000000001E-3</v>
      </c>
      <c r="AD51" s="18">
        <f t="shared" si="55"/>
        <v>5.0000000000000001E-3</v>
      </c>
      <c r="AE51" s="18">
        <f t="shared" si="55"/>
        <v>5.0000000000000001E-3</v>
      </c>
      <c r="AF51" s="18">
        <f t="shared" si="55"/>
        <v>5.0000000000000001E-3</v>
      </c>
    </row>
    <row r="52" spans="1:37" x14ac:dyDescent="0.25">
      <c r="B52" t="s">
        <v>67</v>
      </c>
      <c r="AH52" s="10" t="s">
        <v>35</v>
      </c>
      <c r="AI52" s="18">
        <v>-1.4999999999999999E-2</v>
      </c>
    </row>
    <row r="53" spans="1:37" x14ac:dyDescent="0.25">
      <c r="AH53" s="15" t="s">
        <v>36</v>
      </c>
      <c r="AI53" s="18">
        <v>-5.0000000000000001E-3</v>
      </c>
    </row>
    <row r="54" spans="1:37" x14ac:dyDescent="0.25">
      <c r="AH54" t="s">
        <v>37</v>
      </c>
      <c r="AI54" s="18">
        <v>0.09</v>
      </c>
    </row>
    <row r="55" spans="1:37" x14ac:dyDescent="0.25">
      <c r="AH55" s="15" t="s">
        <v>38</v>
      </c>
      <c r="AI55" s="20">
        <f>NPV(AI54,W21:DD21)</f>
        <v>59674.776053903901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2022-07-29T15:39:37Z</dcterms:created>
  <dcterms:modified xsi:type="dcterms:W3CDTF">2022-08-05T17:12:05Z</dcterms:modified>
</cp:coreProperties>
</file>