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B58C1C0A-D907-4BF2-956A-33BFDEE9BC91}" xr6:coauthVersionLast="47" xr6:coauthVersionMax="47" xr10:uidLastSave="{00000000-0000-0000-0000-000000000000}"/>
  <bookViews>
    <workbookView xWindow="19245" yWindow="324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3" l="1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28" i="1" l="1"/>
  <c r="C27" i="1"/>
  <c r="C26" i="1"/>
  <c r="C17" i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F28" i="1"/>
  <c r="C24" i="1" l="1"/>
  <c r="C14" i="1" s="1"/>
  <c r="I27" i="3"/>
  <c r="I11" i="1" l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<sst xmlns="http://schemas.openxmlformats.org/spreadsheetml/2006/main" count="268" uniqueCount="131">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</sst>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H22" sqref="H22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44838</v>
      </c>
      <c r="C2" s="67">
        <v>1745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0</v>
      </c>
    </row>
    <row r="6" spans="2:9" ht="15.75" thickBot="1" x14ac:dyDescent="0.3">
      <c r="B6" s="1" t="s">
        <v>114</v>
      </c>
      <c r="C6" s="96">
        <f>INDEX(Tracker!B:B,COUNTA(Tracker!B:B)+0)</f>
        <v>3609.78</v>
      </c>
    </row>
    <row r="7" spans="2:9" ht="15.75" thickBot="1" x14ac:dyDescent="0.3">
      <c r="B7" s="4" t="s">
        <v>115</v>
      </c>
      <c r="C7" s="97">
        <f>INDEX(Tracker!B:B,COUNTA(Tracker!B:B)+1)</f>
        <v>3726.46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3726.46</v>
      </c>
      <c r="E8" s="2" t="s">
        <v>100</v>
      </c>
      <c r="F8" s="74">
        <f>MROUND(MAX(F10:F11),5)</f>
        <v>3770</v>
      </c>
      <c r="G8" s="75"/>
      <c r="H8" s="13" t="s">
        <v>100</v>
      </c>
      <c r="I8" s="72">
        <f>MROUND(MIN(I10:I11),5)</f>
        <v>3685</v>
      </c>
    </row>
    <row r="9" spans="2:9" ht="15.75" thickBot="1" x14ac:dyDescent="0.3">
      <c r="B9" s="2" t="s">
        <v>117</v>
      </c>
      <c r="C9" s="11">
        <v>3790.93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0.25600000000000001</v>
      </c>
      <c r="E10" s="2" t="s">
        <v>101</v>
      </c>
      <c r="F10" s="74">
        <f>C8+C13</f>
        <v>3767.1443030373293</v>
      </c>
      <c r="G10" s="75"/>
      <c r="H10" s="13" t="s">
        <v>101</v>
      </c>
      <c r="I10" s="72">
        <f>C8-C13</f>
        <v>3685.7756969626707</v>
      </c>
    </row>
    <row r="11" spans="2:9" ht="15.75" thickBot="1" x14ac:dyDescent="0.3">
      <c r="E11" s="4" t="s">
        <v>102</v>
      </c>
      <c r="F11" s="77">
        <f>C14+C13</f>
        <v>3768.4153163736773</v>
      </c>
      <c r="G11" s="78"/>
      <c r="H11" s="79" t="s">
        <v>102</v>
      </c>
      <c r="I11" s="73">
        <f>C14-C13</f>
        <v>3687.0467102990187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40.684303037329435</v>
      </c>
    </row>
    <row r="14" spans="2:9" ht="15.75" thickBot="1" x14ac:dyDescent="0.3">
      <c r="B14" s="4" t="s">
        <v>94</v>
      </c>
      <c r="C14" s="5">
        <f>C23*(1-F24)+C24*F24</f>
        <v>3727.731013336348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61.134372679034449</v>
      </c>
    </row>
    <row r="18" spans="2:7" x14ac:dyDescent="0.25">
      <c r="B18" s="2" t="s">
        <v>3</v>
      </c>
      <c r="C18" s="3">
        <f>INDEX(Tracker!C:C,COUNTA(Tracker!C:C)+1)+C17</f>
        <v>3852.0643726790345</v>
      </c>
    </row>
    <row r="19" spans="2:7" ht="15.75" thickBot="1" x14ac:dyDescent="0.3">
      <c r="B19" s="4" t="s">
        <v>4</v>
      </c>
      <c r="C19" s="5">
        <f>INDEX(Tracker!C:C,COUNTA(Tracker!C:C)+1)-C17</f>
        <v>3729.7956273209652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-11.146237319575679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3722.1129674453655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3762.2418666666672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3</v>
      </c>
      <c r="E26" s="83" t="s">
        <v>98</v>
      </c>
      <c r="F26" s="83">
        <f>IF(C26&gt;=3, 0, 1)</f>
        <v>0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2</v>
      </c>
      <c r="E27" s="83" t="s">
        <v>97</v>
      </c>
      <c r="F27" s="83">
        <f>IF(C27&gt;=2, 0, 1)</f>
        <v>0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2</v>
      </c>
      <c r="E28" s="83" t="s">
        <v>110</v>
      </c>
      <c r="F28" s="83">
        <f>IF(C28&gt;=2, 0, 1)</f>
        <v>0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21" sqref="M21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11</v>
      </c>
      <c r="G3" s="49" t="s">
        <v>7</v>
      </c>
      <c r="H3" s="41">
        <f>C7/F3</f>
        <v>-71.909090909090992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6</v>
      </c>
      <c r="G4" s="50">
        <f>F4/F3</f>
        <v>0.54545454545454541</v>
      </c>
      <c r="H4" s="41">
        <f>(SUMIF(Tracker!G:G, "&gt;0", Tracker!G:G)-SUMIF(Tracker!G1,"&gt;0", Tracker!G1))/F4*100</f>
        <v>1046.1666666666665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5</v>
      </c>
      <c r="G5" s="50">
        <f>F5/F3</f>
        <v>0.45454545454545453</v>
      </c>
      <c r="H5" s="41">
        <f>IFERROR((SUMIF(Tracker!G:G, "&lt;0", Tracker!G:G)-SUMIF(Tracker!G1,"&lt;0", Tracker!G1))/F5*100, 0)</f>
        <v>-1413.6000000000001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-791.00000000000091</v>
      </c>
      <c r="E7" s="17" t="s">
        <v>40</v>
      </c>
      <c r="F7" s="45">
        <f>C7/C4</f>
        <v>-3.3401388839037857E-2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15572</v>
      </c>
      <c r="E8" s="17" t="s">
        <v>45</v>
      </c>
      <c r="F8" s="45">
        <f>(1+F7)^(365/(Indicator!B2-Dashboard!C3+1))-1</f>
        <v>-0.56248790992042808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-5.079630105317242E-2</v>
      </c>
      <c r="E9" s="17" t="s">
        <v>46</v>
      </c>
      <c r="F9" s="45">
        <f>(1+F7)^((44927-C3)/(Indicator!B2-Dashboard!C3+1))-1</f>
        <v>-0.20806352650821758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0"/>
  <sheetViews>
    <sheetView workbookViewId="0">
      <pane ySplit="3" topLeftCell="A4" activePane="bottomLeft" state="frozen"/>
      <selection pane="bottomLeft" activeCell="I32" sqref="I32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44838</v>
      </c>
      <c r="B1" s="87">
        <f>Indicator!$C$8</f>
        <v>3726.46</v>
      </c>
      <c r="C1" s="87">
        <f>Indicator!$C$9</f>
        <v>3790.93</v>
      </c>
      <c r="D1" s="87">
        <f>Indicator!$C$14</f>
        <v>3727.731013336348</v>
      </c>
      <c r="E1" s="88">
        <f>Indicator!$C$10</f>
        <v>0.25600000000000001</v>
      </c>
      <c r="F1" s="71">
        <f>IF(ABS(D1-C1)&gt;=SQRT((7/24)/252)*E1*B1,       1, 0)</f>
        <v>1</v>
      </c>
      <c r="G1" s="89">
        <f>SUMIF(Trades!A:A,Tracker!A1,Trades!H:H)</f>
        <v>-12.72</v>
      </c>
      <c r="H1" s="90">
        <f>SUMIFS(Trades!H:H,  Trades!A:A,Tracker!A1,  Trades!C:C, "STO")</f>
        <v>4.74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1"/>
  <sheetViews>
    <sheetView workbookViewId="0">
      <pane ySplit="1" topLeftCell="A19" activePane="bottomLeft" state="frozen"/>
      <selection pane="bottomLeft" activeCell="H41" sqref="H41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1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18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8.9399999999999977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18" si="6">G16*F16</f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18"/>
  <sheetViews>
    <sheetView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8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1.4899999999999949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0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0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2022-10-04T21:52:26Z</dcterms:modified>
</cp:coreProperties>
</file>