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44480D51-3E8A-45E7-BD98-8B2361AB8F3D}" xr6:coauthVersionLast="47" xr6:coauthVersionMax="47" xr10:uidLastSave="{00000000-0000-0000-0000-000000000000}"/>
  <bookViews>
    <workbookView xWindow="10260" yWindow="2610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2" l="1"/>
  <c r="J47" i="2"/>
  <c r="J25" i="6"/>
  <c r="J24" i="6"/>
  <c r="J25" i="7"/>
  <c r="J24" i="7"/>
  <c r="H25" i="7"/>
  <c r="H24" i="7"/>
  <c r="H25" i="6"/>
  <c r="H24" i="6"/>
  <c r="H48" i="2"/>
  <c r="H47" i="2"/>
  <c r="K32" i="3"/>
  <c r="J32" i="3"/>
  <c r="I32" i="3"/>
  <c r="J23" i="7"/>
  <c r="H23" i="7"/>
  <c r="J22" i="7"/>
  <c r="H22" i="7"/>
  <c r="J23" i="6"/>
  <c r="H23" i="6"/>
  <c r="J22" i="6"/>
  <c r="H22" i="6"/>
  <c r="J46" i="2"/>
  <c r="J45" i="2"/>
  <c r="H46" i="2"/>
  <c r="H45" i="2"/>
  <c r="K31" i="3"/>
  <c r="J31" i="3"/>
  <c r="I31" i="3"/>
  <c r="H21" i="7"/>
  <c r="J20" i="7"/>
  <c r="H20" i="7"/>
  <c r="J19" i="7"/>
  <c r="H19" i="7"/>
  <c r="H21" i="6"/>
  <c r="J20" i="6"/>
  <c r="H20" i="6"/>
  <c r="J19" i="6"/>
  <c r="H19" i="6"/>
  <c r="H44" i="2"/>
  <c r="J43" i="2"/>
  <c r="J42" i="2"/>
  <c r="H43" i="2"/>
  <c r="H42" i="2"/>
  <c r="K30" i="3"/>
  <c r="J30" i="3"/>
  <c r="I30" i="3"/>
  <c r="H18" i="7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17" i="1" l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C24" i="1" l="1"/>
  <c r="C14" i="1" s="1"/>
  <c r="I27" i="3"/>
  <c r="C28" i="1" l="1"/>
  <c r="F28" i="1" s="1"/>
  <c r="C27" i="1"/>
  <c r="C26" i="1"/>
  <c r="I11" i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<sst xmlns="http://schemas.openxmlformats.org/spreadsheetml/2006/main" count="310" uniqueCount="138">
  <si>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</si>
  <si>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</si>
  <si>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</si>
  <si>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</si>
  <si>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</si>
  <si>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</si>
  <si>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</si>
  <si>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</si>
  <si>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</si>
  <si>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</si>
  <si>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</si>
  <si>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</si>
  <si>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</si>
  <si>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</si>
  <si>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</si>
  <si>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</si>
  <si>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</si>
  <si>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</si>
  <si>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</si>
  <si>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</si>
  <si>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</si>
  <si>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</si>
  <si>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</si>
  <si>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</si>
  <si>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</si>
  <si>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</si>
  <si>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</si>
  <si>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</si>
  <si>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</si>
  <si>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</si>
  <si>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</si>
  <si>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</si>
  <si>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</si>
  <si>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</si>
  <si>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</si>
  <si>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</si>
  <si>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</si>
  <si>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</si>
  <si>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</si>
  <si>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</si>
  <si>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</si>
  <si>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</si>
  <si>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</si>
  <si>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</si>
  <si>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</si>
  <si>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</si>
  <si>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</si>
  <si>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</si>
  <si>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</si>
  <si>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</si>
  <si>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</si>
  <si>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</si>
  <si>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</si>
  <si>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</si>
  <si>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</si>
  <si>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</si>
  <si>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</si>
  <si>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</si>
  <si>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</si>
  <si>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</si>
  <si>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</si>
  <si>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</si>
  <si>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</si>
  <si>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</si>
  <si>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</si>
  <si>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</si>
  <si>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</si>
  <si>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</si>
  <si>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</si>
  <si>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</si>
  <si>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</si>
  <si>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</si>
  <si>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</si>
  <si>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</si>
  <si>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</si>
  <si>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</si>
  <si>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</si>
  <si>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</si>
  <si>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</si>
  <si>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</si>
  <si>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</si>
  <si>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</si>
  <si>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</si>
  <si>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</si>
  <si>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</si>
  <si>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</si>
  <si>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</si>
  <si>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</si>
  <si>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</si>
  <si>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</si>
  <si>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</si>
  <si>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</si>
  <si>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</si>
  <si>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</si>
  <si>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</si>
  <si>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</si>
  <si>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</si>
  <si>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</si>
  <si>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</si>
  <si>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</si>
  <si>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</si>
  <si>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</si>
  <si>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</si>
  <si>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</si>
  <si>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</si>
  <si>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</si>
  <si>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</si>
  <si>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</si>
  <si>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</si>
  <si>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</si>
  <si>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</si>
  <si>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</si>
  <si>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</si>
  <si>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</si>
  <si>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</si>
  <si>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</si>
  <si>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</si>
  <si>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</si>
  <si>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</si>
  <si>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</si>
  <si>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</si>
  <si>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</si>
  <si>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</si>
  <si>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</si>
  <si>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</si>
  <si>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</si>
  <si>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</si>
  <si>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</si>
  <si>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</si>
  <si>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</si>
  <si>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</si>
  <si>
    <t>Oct05 3715/3690 Bull Put @ -3</t>
  </si>
  <si>
    <t>Oct05 3790/3815 Bear Call @ -3.1</t>
  </si>
  <si>
    <t>Oct05 3790/3815 Bear Call @ -9.55</t>
  </si>
  <si>
    <t>Oct06 3820/3845 Bear Call @-2.6</t>
  </si>
  <si>
    <t>Oct06 3735/3710 Bull Put @-2.5</t>
  </si>
  <si>
    <t>Oct07 3740/3765 Bear Call @ -4</t>
  </si>
  <si>
    <t>Oct07 3645/3620 Bull Put @ -3.5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</si>
</sst>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  <c:pt idx="11">
                  <c:v>-1499.0000000000009</c:v>
                </c:pt>
                <c:pt idx="12">
                  <c:v>-491.00000000000091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  <c:pt idx="11">
                  <c:v>12.08</c:v>
                </c:pt>
                <c:pt idx="12">
                  <c:v>10.08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  <c:pt idx="11">
                  <c:v>-7.08</c:v>
                </c:pt>
                <c:pt idx="12">
                  <c:v>10.08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  <c:pt idx="11">
                  <c:v>-0.58609271523178808</c:v>
                </c:pt>
                <c:pt idx="12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44841</v>
      </c>
      <c r="C2" s="67">
        <v>1040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3</v>
      </c>
    </row>
    <row r="6" spans="2:9" ht="15.75" thickBot="1" x14ac:dyDescent="0.3">
      <c r="B6" s="1" t="s">
        <v>114</v>
      </c>
      <c r="C6" s="96">
        <f>INDEX(Tracker!B:B,COUNTA(Tracker!B:B)+0)</f>
        <v>3753.25</v>
      </c>
    </row>
    <row r="7" spans="2:9" ht="15.75" thickBot="1" x14ac:dyDescent="0.3">
      <c r="B7" s="4" t="s">
        <v>115</v>
      </c>
      <c r="C7" s="97">
        <f>INDEX(Tracker!B:B,COUNTA(Tracker!B:B)+1)</f>
        <v>3771.97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3690</v>
      </c>
      <c r="E8" s="2" t="s">
        <v>100</v>
      </c>
      <c r="F8" s="74">
        <f>MROUND(MAX(F10:F11),5)</f>
        <v>3735</v>
      </c>
      <c r="G8" s="75"/>
      <c r="H8" s="13" t="s">
        <v>100</v>
      </c>
      <c r="I8" s="72">
        <f>MROUND(MIN(I10:I11),5)</f>
        <v>3645</v>
      </c>
    </row>
    <row r="9" spans="2:9" ht="15.75" thickBot="1" x14ac:dyDescent="0.3">
      <c r="B9" s="2" t="s">
        <v>117</v>
      </c>
      <c r="C9" s="11"/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0.27200000000000002</v>
      </c>
      <c r="E10" s="2" t="s">
        <v>101</v>
      </c>
      <c r="F10" s="74">
        <f>C8+C13</f>
        <v>3732.8041346467503</v>
      </c>
      <c r="G10" s="75"/>
      <c r="H10" s="13" t="s">
        <v>101</v>
      </c>
      <c r="I10" s="72">
        <f>C8-C13</f>
        <v>3647.1958653532497</v>
      </c>
    </row>
    <row r="11" spans="2:9" ht="15.75" thickBot="1" x14ac:dyDescent="0.3">
      <c r="E11" s="4" t="s">
        <v>102</v>
      </c>
      <c r="F11" s="77">
        <f>C14+C13</f>
        <v>3730.3213385111235</v>
      </c>
      <c r="G11" s="78"/>
      <c r="H11" s="79" t="s">
        <v>102</v>
      </c>
      <c r="I11" s="73">
        <f>C14-C13</f>
        <v>3644.7130692176229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42.804134646750462</v>
      </c>
    </row>
    <row r="14" spans="2:9" ht="15.75" thickBot="1" x14ac:dyDescent="0.3">
      <c r="B14" s="4" t="s">
        <v>94</v>
      </c>
      <c r="C14" s="5">
        <f>C23*(1-F24)+C24*F24</f>
        <v>3687.5172038643732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64.160063957420533</v>
      </c>
    </row>
    <row r="18" spans="2:7" x14ac:dyDescent="0.25">
      <c r="B18" s="2" t="s">
        <v>3</v>
      </c>
      <c r="C18" s="3">
        <f>INDEX(Tracker!C:C,COUNTA(Tracker!C:C)+1)+C17</f>
        <v>3808.6800639574203</v>
      </c>
    </row>
    <row r="19" spans="2:7" ht="15.75" thickBot="1" x14ac:dyDescent="0.3">
      <c r="B19" s="4" t="s">
        <v>4</v>
      </c>
      <c r="C19" s="5">
        <f>INDEX(Tracker!C:C,COUNTA(Tracker!C:C)+1)-C17</f>
        <v>3680.3599360425796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-10.711179096482352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3685.8226401523721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3697.9266666666663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2</v>
      </c>
      <c r="E26" s="83" t="s">
        <v>98</v>
      </c>
      <c r="F26" s="83">
        <f>IF(C26&gt;=3, 0, 1)</f>
        <v>1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1</v>
      </c>
      <c r="E27" s="83" t="s">
        <v>97</v>
      </c>
      <c r="F27" s="83">
        <f>IF(C27&gt;=2, 0, 1)</f>
        <v>1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0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M21" sqref="M21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13</v>
      </c>
      <c r="G3" s="49" t="s">
        <v>7</v>
      </c>
      <c r="H3" s="41">
        <f>C7/F3</f>
        <v>-37.769230769230838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7</v>
      </c>
      <c r="G4" s="50">
        <f>F4/F3</f>
        <v>0.53846153846153844</v>
      </c>
      <c r="H4" s="41">
        <f>(SUMIF(Tracker!G:G, "&gt;0", Tracker!G:G)-SUMIF(Tracker!G1,"&gt;0", Tracker!G1))/F4*100</f>
        <v>1040.7142857142858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6</v>
      </c>
      <c r="G5" s="50">
        <f>F5/F3</f>
        <v>0.46153846153846156</v>
      </c>
      <c r="H5" s="41">
        <f>IFERROR((SUMIF(Tracker!G:G, "&lt;0", Tracker!G:G)-SUMIF(Tracker!G1,"&lt;0", Tracker!G1))/F5*100, 0)</f>
        <v>-1296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-491.00000000000091</v>
      </c>
      <c r="E7" s="17" t="s">
        <v>40</v>
      </c>
      <c r="F7" s="45">
        <f>C7/C4</f>
        <v>-2.0733352616899618E-2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17788</v>
      </c>
      <c r="E8" s="17" t="s">
        <v>45</v>
      </c>
      <c r="F8" s="45">
        <f>(1+F7)^(365/(Indicator!B2-Dashboard!C3+1))-1</f>
        <v>-0.34612948488050754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-2.7602878344951703E-2</v>
      </c>
      <c r="E9" s="17" t="s">
        <v>46</v>
      </c>
      <c r="F9" s="45">
        <f>(1+F7)^((44927-C3)/(Indicator!B2-Dashboard!C3+1))-1</f>
        <v>-0.11298025041497672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32"/>
  <sheetViews>
    <sheetView workbookViewId="0">
      <pane ySplit="3" topLeftCell="A9" activePane="bottomLeft" state="frozen"/>
      <selection pane="bottomLeft" activeCell="J36" sqref="J36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44841</v>
      </c>
      <c r="B1" s="87">
        <f>Indicator!$C$8</f>
        <v>3690</v>
      </c>
      <c r="C1" s="87">
        <f>Indicator!$C$9</f>
        <v>0</v>
      </c>
      <c r="D1" s="87">
        <f>Indicator!$C$14</f>
        <v>3687.5172038643732</v>
      </c>
      <c r="E1" s="88">
        <f>Indicator!$C$10</f>
        <v>0.27200000000000002</v>
      </c>
      <c r="F1" s="71">
        <f>IF(ABS(D1-C1)&gt;=SQRT((7/24)/252)*E1*B1,       1, 0)</f>
        <v>1</v>
      </c>
      <c r="G1" s="89">
        <f>SUMIF(Trades!A:A,Tracker!A1,Trades!H:H)</f>
        <v>14.88</v>
      </c>
      <c r="H1" s="90">
        <f>SUMIFS(Trades!H:H,  Trades!A:A,Tracker!A1,  Trades!C:C, "STO")</f>
        <v>14.88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v>3721.015650981004</v>
      </c>
      <c r="E30" s="20">
        <v>0.25600000000000001</v>
      </c>
      <c r="F30" s="71">
        <v>1</v>
      </c>
      <c r="G30" s="13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  <row r="31" spans="1:12" x14ac:dyDescent="0.25">
      <c r="A31" s="30">
        <v>44839</v>
      </c>
      <c r="B31" s="21">
        <v>3753.25</v>
      </c>
      <c r="C31" s="21">
        <v>3783.28</v>
      </c>
      <c r="D31" s="21">
        <v>3754.4209973363477</v>
      </c>
      <c r="E31" s="20">
        <v>0.26400000000000001</v>
      </c>
      <c r="F31" s="71">
        <v>0</v>
      </c>
      <c r="G31" s="13">
        <v>-7.08</v>
      </c>
      <c r="H31" s="31">
        <v>12.08</v>
      </c>
      <c r="I31" s="16">
        <f t="shared" ref="I31" si="17">G31/H31</f>
        <v>-0.58609271523178808</v>
      </c>
      <c r="J31" s="35">
        <f t="shared" ref="J31" si="18">J30+G31*100</f>
        <v>-1499.0000000000009</v>
      </c>
      <c r="K31" s="68">
        <f t="shared" ref="K31" si="19">H31*100+K30</f>
        <v>16780</v>
      </c>
    </row>
    <row r="32" spans="1:12" x14ac:dyDescent="0.25">
      <c r="A32" s="30">
        <v>44840</v>
      </c>
      <c r="B32" s="21">
        <v>3771.97</v>
      </c>
      <c r="C32" s="21">
        <v>3744.52</v>
      </c>
      <c r="D32" s="21">
        <v>3769.4580542802919</v>
      </c>
      <c r="E32" s="20">
        <v>0.26200000000000001</v>
      </c>
      <c r="F32" s="71">
        <v>0</v>
      </c>
      <c r="G32" s="13">
        <v>10.08</v>
      </c>
      <c r="H32" s="31">
        <v>10.08</v>
      </c>
      <c r="I32" s="16">
        <f t="shared" ref="I32" si="20">G32/H32</f>
        <v>1</v>
      </c>
      <c r="J32" s="35">
        <f t="shared" ref="J32" si="21">J31+G32*100</f>
        <v>-491.00000000000091</v>
      </c>
      <c r="K32" s="68">
        <f t="shared" ref="K32" si="22">H32*100+K31</f>
        <v>17788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48"/>
  <sheetViews>
    <sheetView workbookViewId="0">
      <pane ySplit="1" topLeftCell="A22" activePane="bottomLeft" state="frozen"/>
      <selection pane="bottomLeft" activeCell="L46" sqref="L46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7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48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  <row r="42" spans="1:14" x14ac:dyDescent="0.25">
      <c r="A42" s="25">
        <v>44839</v>
      </c>
      <c r="B42" s="26">
        <v>935</v>
      </c>
      <c r="C42" s="18" t="s">
        <v>19</v>
      </c>
      <c r="D42" s="66" t="s">
        <v>131</v>
      </c>
      <c r="E42" s="64">
        <v>-0.14000000000000001</v>
      </c>
      <c r="F42" s="18">
        <v>2</v>
      </c>
      <c r="G42" s="27">
        <v>2.97</v>
      </c>
      <c r="H42" s="28">
        <f t="shared" si="12"/>
        <v>5.94</v>
      </c>
      <c r="I42" s="29">
        <v>3</v>
      </c>
      <c r="J42" s="42">
        <f t="shared" ref="J42:J43" si="16">-I42*G42</f>
        <v>-8.91</v>
      </c>
    </row>
    <row r="43" spans="1:14" x14ac:dyDescent="0.25">
      <c r="A43" s="25">
        <v>44839</v>
      </c>
      <c r="B43" s="26">
        <v>943</v>
      </c>
      <c r="C43" s="18" t="s">
        <v>19</v>
      </c>
      <c r="D43" s="66" t="s">
        <v>132</v>
      </c>
      <c r="E43" s="64">
        <v>0.17</v>
      </c>
      <c r="F43" s="18">
        <v>2</v>
      </c>
      <c r="G43" s="27">
        <v>3.07</v>
      </c>
      <c r="H43" s="28">
        <f t="shared" si="12"/>
        <v>6.14</v>
      </c>
      <c r="I43" s="29">
        <v>3</v>
      </c>
      <c r="J43" s="42">
        <f t="shared" si="16"/>
        <v>-9.2099999999999991</v>
      </c>
    </row>
    <row r="44" spans="1:14" x14ac:dyDescent="0.25">
      <c r="A44" s="25">
        <v>44839</v>
      </c>
      <c r="B44" s="26">
        <v>1502</v>
      </c>
      <c r="C44" s="18" t="s">
        <v>62</v>
      </c>
      <c r="D44" s="66" t="s">
        <v>133</v>
      </c>
      <c r="F44" s="18">
        <v>2</v>
      </c>
      <c r="G44" s="27">
        <v>-9.58</v>
      </c>
      <c r="H44" s="28">
        <f t="shared" si="12"/>
        <v>-19.16</v>
      </c>
      <c r="M44">
        <v>3796</v>
      </c>
      <c r="N44">
        <v>6</v>
      </c>
    </row>
    <row r="45" spans="1:14" x14ac:dyDescent="0.25">
      <c r="A45" s="25">
        <v>44840</v>
      </c>
      <c r="B45" s="26">
        <v>934</v>
      </c>
      <c r="C45" s="18" t="s">
        <v>19</v>
      </c>
      <c r="D45" s="66" t="s">
        <v>134</v>
      </c>
      <c r="E45" s="64">
        <v>0.15</v>
      </c>
      <c r="F45" s="18">
        <v>2</v>
      </c>
      <c r="G45" s="27">
        <v>2.57</v>
      </c>
      <c r="H45" s="28">
        <f t="shared" si="12"/>
        <v>5.14</v>
      </c>
      <c r="I45" s="29">
        <v>3</v>
      </c>
      <c r="J45" s="42">
        <f t="shared" ref="J45:J46" si="17">-I45*G45</f>
        <v>-7.7099999999999991</v>
      </c>
    </row>
    <row r="46" spans="1:14" x14ac:dyDescent="0.25">
      <c r="A46" s="25">
        <v>44840</v>
      </c>
      <c r="B46" s="26">
        <v>957</v>
      </c>
      <c r="C46" s="18" t="s">
        <v>19</v>
      </c>
      <c r="D46" s="66" t="s">
        <v>135</v>
      </c>
      <c r="E46" s="64">
        <v>-0.12</v>
      </c>
      <c r="F46" s="18">
        <v>2</v>
      </c>
      <c r="G46" s="27">
        <v>2.4700000000000002</v>
      </c>
      <c r="H46" s="28">
        <f t="shared" si="12"/>
        <v>4.9400000000000004</v>
      </c>
      <c r="I46" s="29">
        <v>3</v>
      </c>
      <c r="J46" s="42">
        <f t="shared" si="17"/>
        <v>-7.41</v>
      </c>
    </row>
    <row r="47" spans="1:14" x14ac:dyDescent="0.25">
      <c r="A47" s="25">
        <v>44841</v>
      </c>
      <c r="B47" s="26">
        <v>936</v>
      </c>
      <c r="C47" s="18" t="s">
        <v>19</v>
      </c>
      <c r="D47" s="66" t="s">
        <v>136</v>
      </c>
      <c r="F47" s="18">
        <v>2</v>
      </c>
      <c r="G47" s="27">
        <v>3.97</v>
      </c>
      <c r="H47" s="28">
        <f t="shared" si="12"/>
        <v>7.94</v>
      </c>
      <c r="I47" s="29">
        <v>3</v>
      </c>
      <c r="J47" s="42">
        <f t="shared" ref="J47:J48" si="18">-I47*G47</f>
        <v>-11.91</v>
      </c>
    </row>
    <row r="48" spans="1:14" x14ac:dyDescent="0.25">
      <c r="A48" s="25">
        <v>44841</v>
      </c>
      <c r="B48" s="26">
        <v>944</v>
      </c>
      <c r="C48" s="18" t="s">
        <v>19</v>
      </c>
      <c r="D48" s="66" t="s">
        <v>137</v>
      </c>
      <c r="F48" s="18">
        <v>2</v>
      </c>
      <c r="G48" s="27">
        <v>3.47</v>
      </c>
      <c r="H48" s="28">
        <f t="shared" si="12"/>
        <v>6.94</v>
      </c>
      <c r="I48" s="29">
        <v>3</v>
      </c>
      <c r="J48" s="42">
        <f t="shared" si="18"/>
        <v>-10.41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25"/>
  <sheetViews>
    <sheetView workbookViewId="0">
      <pane ySplit="1" topLeftCell="A2" activePane="bottomLeft" state="frozen"/>
      <selection pane="bottomLeft" activeCell="J29" activeCellId="1" sqref="I24:J25 J29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17.88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25" si="6">G16*F16</f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6"/>
        <v>2.97</v>
      </c>
      <c r="I19" s="29">
        <v>3</v>
      </c>
      <c r="J19" s="42">
        <f t="shared" ref="J19:J20" si="8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6"/>
        <v>3.07</v>
      </c>
      <c r="I20" s="29">
        <v>3</v>
      </c>
      <c r="J20" s="42">
        <f t="shared" si="8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6"/>
        <v>-9.58</v>
      </c>
    </row>
    <row r="22" spans="1:10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6"/>
        <v>2.57</v>
      </c>
      <c r="I22" s="29">
        <v>3</v>
      </c>
      <c r="J22" s="42">
        <f t="shared" ref="J22:J23" si="9">-I22*G22</f>
        <v>-7.7099999999999991</v>
      </c>
    </row>
    <row r="23" spans="1:10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6"/>
        <v>2.4700000000000002</v>
      </c>
      <c r="I23" s="29">
        <v>3</v>
      </c>
      <c r="J23" s="42">
        <f t="shared" si="9"/>
        <v>-7.41</v>
      </c>
    </row>
    <row r="24" spans="1:10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6"/>
        <v>3.97</v>
      </c>
      <c r="I24" s="29">
        <v>3</v>
      </c>
      <c r="J24" s="42">
        <f t="shared" ref="J24:J25" si="10">-I24*G24</f>
        <v>-11.91</v>
      </c>
    </row>
    <row r="25" spans="1:10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6"/>
        <v>3.47</v>
      </c>
      <c r="I25" s="29">
        <v>3</v>
      </c>
      <c r="J25" s="42">
        <f t="shared" si="10"/>
        <v>-10.41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25"/>
  <sheetViews>
    <sheetView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25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10.429999999999996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  <row r="19" spans="1:10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0"/>
        <v>2.97</v>
      </c>
      <c r="I19" s="29">
        <v>3</v>
      </c>
      <c r="J19" s="42">
        <f t="shared" ref="J19:J20" si="7">-I19*G19</f>
        <v>-8.91</v>
      </c>
    </row>
    <row r="20" spans="1:10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0"/>
        <v>3.07</v>
      </c>
      <c r="I20" s="29">
        <v>3</v>
      </c>
      <c r="J20" s="42">
        <f t="shared" si="7"/>
        <v>-9.2099999999999991</v>
      </c>
    </row>
    <row r="21" spans="1:10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0"/>
        <v>-9.58</v>
      </c>
    </row>
    <row r="22" spans="1:10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0"/>
        <v>2.57</v>
      </c>
      <c r="I22" s="29">
        <v>3</v>
      </c>
      <c r="J22" s="42">
        <f t="shared" ref="J22:J23" si="8">-I22*G22</f>
        <v>-7.7099999999999991</v>
      </c>
    </row>
    <row r="23" spans="1:10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0"/>
        <v>2.4700000000000002</v>
      </c>
      <c r="I23" s="29">
        <v>3</v>
      </c>
      <c r="J23" s="42">
        <f t="shared" si="8"/>
        <v>-7.41</v>
      </c>
    </row>
    <row r="24" spans="1:10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0"/>
        <v>3.97</v>
      </c>
      <c r="I24" s="29">
        <v>3</v>
      </c>
      <c r="J24" s="42">
        <f t="shared" ref="J24:J25" si="9">-I24*G24</f>
        <v>-11.91</v>
      </c>
    </row>
    <row r="25" spans="1:10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0"/>
        <v>3.47</v>
      </c>
      <c r="I25" s="29">
        <v>3</v>
      </c>
      <c r="J25" s="42">
        <f t="shared" si="9"/>
        <v>-10.41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2022-10-07T14:38:58Z</dcterms:modified>
</cp:coreProperties>
</file>