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A3E307DE-0505-4D3D-A401-76581C7A1822}" xr6:coauthVersionLast="47" xr6:coauthVersionMax="47" xr10:uidLastSave="{00000000-0000-0000-0000-000000000000}"/>
  <bookViews>
    <workbookView xWindow="12855" yWindow="5925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Ind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N2" i="6"/>
  <c r="J15" i="2"/>
  <c r="J3" i="7"/>
  <c r="H3" i="7"/>
  <c r="H2" i="7"/>
  <c r="J2" i="7" s="1"/>
  <c r="H3" i="6"/>
  <c r="J3" i="6" s="1"/>
  <c r="H2" i="6"/>
  <c r="J2" i="6" s="1"/>
  <c r="H15" i="2"/>
  <c r="H14" i="2"/>
  <c r="J14" i="2" s="1"/>
  <c r="H13" i="2"/>
  <c r="J13" i="2" s="1"/>
  <c r="L8" i="3"/>
  <c r="K8" i="3"/>
  <c r="J8" i="3"/>
  <c r="J12" i="2"/>
  <c r="H12" i="2"/>
  <c r="H11" i="2"/>
  <c r="H10" i="2"/>
  <c r="H9" i="2"/>
  <c r="J9" i="2" s="1"/>
  <c r="H8" i="2"/>
  <c r="J8" i="2" s="1"/>
  <c r="C22" i="5"/>
  <c r="E22" i="5" s="1"/>
  <c r="D17" i="5"/>
  <c r="E17" i="5" s="1"/>
  <c r="E15" i="5"/>
  <c r="D15" i="5"/>
  <c r="C15" i="5"/>
  <c r="D14" i="5"/>
  <c r="C14" i="5"/>
  <c r="E14" i="5" s="1"/>
  <c r="L7" i="3"/>
  <c r="K7" i="3"/>
  <c r="J7" i="3"/>
  <c r="J4" i="2"/>
  <c r="J3" i="2"/>
  <c r="J2" i="2"/>
  <c r="J6" i="2"/>
  <c r="J7" i="2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6" i="1"/>
  <c r="C17" i="1" s="1"/>
  <c r="C21" i="1"/>
  <c r="C22" i="1" s="1"/>
  <c r="H3" i="4" l="1"/>
  <c r="H2" i="3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5" i="4" l="1"/>
  <c r="H4" i="4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<sst xmlns="http://schemas.openxmlformats.org/spreadsheetml/2006/main" count="188" uniqueCount="123">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</sst>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C3" sqref="C3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66</v>
      </c>
    </row>
    <row r="2" spans="2:11" x14ac:dyDescent="0.25">
      <c r="B2" s="20">
        <v>44830</v>
      </c>
      <c r="C2" s="65">
        <v>0.45624999999999999</v>
      </c>
    </row>
    <row r="3" spans="2:11" ht="15.75" thickBot="1" x14ac:dyDescent="0.3">
      <c r="H3" s="17"/>
    </row>
    <row r="4" spans="2:11" ht="15.75" thickBot="1" x14ac:dyDescent="0.3">
      <c r="B4" s="10" t="s">
        <v>25</v>
      </c>
      <c r="C4" s="11" t="s">
        <v>6</v>
      </c>
      <c r="E4" s="8" t="s">
        <v>21</v>
      </c>
      <c r="F4" s="34" t="s">
        <v>22</v>
      </c>
      <c r="G4" s="35" t="s">
        <v>20</v>
      </c>
      <c r="H4" s="22"/>
    </row>
    <row r="5" spans="2:11" x14ac:dyDescent="0.25">
      <c r="B5" s="2" t="s">
        <v>3</v>
      </c>
      <c r="C5" s="12">
        <v>3727.14</v>
      </c>
      <c r="E5" s="3" t="s">
        <v>16</v>
      </c>
      <c r="F5" s="27">
        <f>(C9-C18)/(C17-C18)</f>
        <v>0.41674616372904594</v>
      </c>
      <c r="G5" s="25">
        <v>0.4</v>
      </c>
      <c r="H5" s="21"/>
    </row>
    <row r="6" spans="2:11" x14ac:dyDescent="0.25">
      <c r="B6" s="3" t="s">
        <v>4</v>
      </c>
      <c r="C6" s="13">
        <v>3693.49</v>
      </c>
      <c r="E6" s="3" t="s">
        <v>17</v>
      </c>
      <c r="F6" s="27">
        <f>(C9-C23)/(C22-C23)</f>
        <v>0.26688600747623897</v>
      </c>
      <c r="G6" s="25">
        <v>0.33</v>
      </c>
      <c r="H6" s="21"/>
    </row>
    <row r="7" spans="2:11" ht="15.75" thickBot="1" x14ac:dyDescent="0.3">
      <c r="B7" s="3" t="s">
        <v>12</v>
      </c>
      <c r="C7" s="13">
        <v>3725.74</v>
      </c>
      <c r="E7" s="5" t="s">
        <v>18</v>
      </c>
      <c r="F7" s="28">
        <f>(C9-C28)/(C27-C28)</f>
        <v>0.1034058134695641</v>
      </c>
      <c r="G7" s="26">
        <v>0.27</v>
      </c>
      <c r="H7" s="21"/>
    </row>
    <row r="8" spans="2:11" ht="15.75" thickBot="1" x14ac:dyDescent="0.3">
      <c r="B8" s="5" t="s">
        <v>10</v>
      </c>
      <c r="C8" s="13">
        <v>3799.45</v>
      </c>
      <c r="E8" s="23" t="s">
        <v>19</v>
      </c>
      <c r="F8" s="29">
        <f>F5*G5+F6*G6+F7*G7</f>
        <v>0.28269041759555957</v>
      </c>
      <c r="G8" s="24" t="s">
        <v>28</v>
      </c>
      <c r="H8" s="17"/>
    </row>
    <row r="9" spans="2:11" ht="15.75" thickBot="1" x14ac:dyDescent="0.3">
      <c r="B9" s="2" t="s">
        <v>0</v>
      </c>
      <c r="C9" s="12">
        <v>3682.72</v>
      </c>
      <c r="F9" s="1"/>
      <c r="G9" s="1"/>
    </row>
    <row r="10" spans="2:11" ht="15.75" thickBot="1" x14ac:dyDescent="0.3">
      <c r="B10" s="3" t="s">
        <v>1</v>
      </c>
      <c r="C10" s="13"/>
      <c r="E10" s="10" t="s">
        <v>27</v>
      </c>
      <c r="F10" s="36" t="s">
        <v>23</v>
      </c>
      <c r="G10" s="37" t="s">
        <v>24</v>
      </c>
      <c r="K10" s="40"/>
    </row>
    <row r="11" spans="2:11" x14ac:dyDescent="0.25">
      <c r="B11" s="3" t="s">
        <v>26</v>
      </c>
      <c r="C11" s="13"/>
      <c r="E11" s="15" t="s">
        <v>58</v>
      </c>
      <c r="F11" s="38" t="s">
        <v>28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60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0.27800000000000002</v>
      </c>
      <c r="E13" s="16" t="s">
        <v>61</v>
      </c>
      <c r="F13" s="31">
        <v>0.12</v>
      </c>
      <c r="G13" s="32">
        <v>-0.15</v>
      </c>
    </row>
    <row r="14" spans="2:11" ht="15.75" thickBot="1" x14ac:dyDescent="0.3">
      <c r="E14" s="16" t="s">
        <v>29</v>
      </c>
      <c r="F14" s="31">
        <v>0.15</v>
      </c>
      <c r="G14" s="32">
        <v>-0.15</v>
      </c>
    </row>
    <row r="15" spans="2:11" x14ac:dyDescent="0.25">
      <c r="B15" s="8" t="s">
        <v>13</v>
      </c>
      <c r="C15" s="9"/>
      <c r="E15" s="16" t="s">
        <v>62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C6*C$13*252^-0.5</f>
        <v>64.68170406555474</v>
      </c>
      <c r="E16" s="16" t="s">
        <v>63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3758.1717040655544</v>
      </c>
      <c r="E17" s="18" t="s">
        <v>59</v>
      </c>
      <c r="F17" s="33">
        <v>0.21</v>
      </c>
      <c r="G17" s="39" t="s">
        <v>28</v>
      </c>
    </row>
    <row r="18" spans="2:7" ht="15.75" thickBot="1" x14ac:dyDescent="0.3">
      <c r="B18" s="5" t="s">
        <v>8</v>
      </c>
      <c r="C18" s="6">
        <f>C6-C16</f>
        <v>3628.8082959344451</v>
      </c>
    </row>
    <row r="19" spans="2:7" ht="15.75" thickBot="1" x14ac:dyDescent="0.3"/>
    <row r="20" spans="2:7" x14ac:dyDescent="0.25">
      <c r="B20" s="8" t="s">
        <v>14</v>
      </c>
      <c r="C20" s="9"/>
    </row>
    <row r="21" spans="2:7" x14ac:dyDescent="0.25">
      <c r="B21" s="3" t="s">
        <v>9</v>
      </c>
      <c r="C21" s="4">
        <f>C7*C$13*(2/252)^0.5</f>
        <v>92.272453348365772</v>
      </c>
    </row>
    <row r="22" spans="2:7" x14ac:dyDescent="0.25">
      <c r="B22" s="3" t="s">
        <v>7</v>
      </c>
      <c r="C22" s="4">
        <f>C7+C21</f>
        <v>3818.0124533483654</v>
      </c>
    </row>
    <row r="23" spans="2:7" ht="15.75" thickBot="1" x14ac:dyDescent="0.3">
      <c r="B23" s="5" t="s">
        <v>8</v>
      </c>
      <c r="C23" s="6">
        <f>C7-C21</f>
        <v>3633.4675466516342</v>
      </c>
    </row>
    <row r="24" spans="2:7" ht="15.75" thickBot="1" x14ac:dyDescent="0.3"/>
    <row r="25" spans="2:7" x14ac:dyDescent="0.25">
      <c r="B25" s="8" t="s">
        <v>15</v>
      </c>
      <c r="C25" s="9"/>
    </row>
    <row r="26" spans="2:7" x14ac:dyDescent="0.25">
      <c r="B26" s="3" t="s">
        <v>9</v>
      </c>
      <c r="C26" s="4">
        <f>C17*C$13*(5/252)^0.5</f>
        <v>147.1655459970313</v>
      </c>
    </row>
    <row r="27" spans="2:7" x14ac:dyDescent="0.25">
      <c r="B27" s="3" t="s">
        <v>7</v>
      </c>
      <c r="C27" s="4">
        <f>C8+C26</f>
        <v>3946.6155459970309</v>
      </c>
    </row>
    <row r="28" spans="2:7" ht="15.75" thickBot="1" x14ac:dyDescent="0.3">
      <c r="B28" s="5" t="s">
        <v>8</v>
      </c>
      <c r="C28" s="6">
        <f>C8-C26</f>
        <v>3652.2844540029687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M17" sqref="M17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67</v>
      </c>
      <c r="C2" s="17">
        <v>2022</v>
      </c>
      <c r="F2" s="84" t="s">
        <v>84</v>
      </c>
      <c r="G2" s="84" t="s">
        <v>86</v>
      </c>
      <c r="H2" s="71" t="s">
        <v>85</v>
      </c>
      <c r="I2" s="22"/>
      <c r="J2" s="22"/>
      <c r="K2" s="70" t="s">
        <v>69</v>
      </c>
      <c r="L2" s="71" t="s">
        <v>6</v>
      </c>
      <c r="M2" s="22"/>
      <c r="N2" s="22"/>
    </row>
    <row r="3" spans="2:14" x14ac:dyDescent="0.25">
      <c r="B3" s="22" t="s">
        <v>68</v>
      </c>
      <c r="C3" s="75">
        <v>44824</v>
      </c>
      <c r="E3" s="22" t="s">
        <v>81</v>
      </c>
      <c r="F3" s="78">
        <f>COUNTA(Tracker!K:K)-1</f>
        <v>4</v>
      </c>
      <c r="G3" s="80" t="s">
        <v>28</v>
      </c>
      <c r="H3" s="72">
        <f>C7/F3</f>
        <v>24.249999999999886</v>
      </c>
      <c r="J3" s="22" t="s">
        <v>87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71</v>
      </c>
      <c r="C4" s="72">
        <v>23681.65</v>
      </c>
      <c r="E4" s="22" t="s">
        <v>82</v>
      </c>
      <c r="F4" s="78">
        <f>COUNTIF(Tracker!J:J, "&gt;0")</f>
        <v>3</v>
      </c>
      <c r="G4" s="81">
        <f>F4/F3</f>
        <v>0.75</v>
      </c>
      <c r="H4" s="72">
        <f>(SUMIF(Tracker!H:H, "&gt;0", Tracker!H:H)-SUMIF(Tracker!H2,"&gt;0", Tracker!H2))/F4*100</f>
        <v>694.66666666666652</v>
      </c>
      <c r="J4" s="22" t="s">
        <v>88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70</v>
      </c>
      <c r="C5" s="72">
        <v>23681.65</v>
      </c>
      <c r="E5" s="22" t="s">
        <v>83</v>
      </c>
      <c r="F5" s="78">
        <f>COUNTIF(Tracker!J:J, "&lt;0")</f>
        <v>1</v>
      </c>
      <c r="G5" s="81">
        <f>F5/F3</f>
        <v>0.25</v>
      </c>
      <c r="H5" s="72">
        <f>IFERROR((SUMIF(Tracker!H:H, "&lt;0", Tracker!H:H)-SUMIF(Tracker!H2,"&lt;0", Tracker!H2))/F5*100, 0)</f>
        <v>-1987.0000000000005</v>
      </c>
      <c r="J5" s="22" t="s">
        <v>89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43</v>
      </c>
      <c r="C7" s="72">
        <f>INDEX(Tracker!K:K, COUNTA(Tracker!K:K)+3,1)</f>
        <v>96.999999999999545</v>
      </c>
      <c r="E7" s="22" t="s">
        <v>72</v>
      </c>
      <c r="F7" s="76">
        <f>C7/C4</f>
        <v>4.0959983784913442E-3</v>
      </c>
      <c r="G7" s="76"/>
      <c r="J7" s="22" t="s">
        <v>76</v>
      </c>
      <c r="K7" s="82">
        <v>20</v>
      </c>
      <c r="L7" s="82">
        <v>25</v>
      </c>
    </row>
    <row r="8" spans="2:14" x14ac:dyDescent="0.25">
      <c r="B8" s="22" t="s">
        <v>74</v>
      </c>
      <c r="C8" s="72">
        <f>INDEX(Tracker!L:L, COUNTA(Tracker!L:L)+3,1)</f>
        <v>3483</v>
      </c>
      <c r="E8" s="22" t="s">
        <v>77</v>
      </c>
      <c r="F8" s="76">
        <f>(1+F7)^(365/(Indicator!B2-Dashboard!C3+1))-1</f>
        <v>0.23755894099839581</v>
      </c>
      <c r="G8" s="76"/>
      <c r="J8" s="22" t="s">
        <v>80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73</v>
      </c>
      <c r="C9" s="76">
        <f>C7/C8</f>
        <v>2.7849554981337798E-2</v>
      </c>
      <c r="E9" s="22" t="s">
        <v>78</v>
      </c>
      <c r="F9" s="76">
        <f>(1+F7)^((44927-C3)/(Indicator!B2-Dashboard!C3+1))-1</f>
        <v>6.1992217001927807E-2</v>
      </c>
      <c r="G9" s="76"/>
      <c r="J9" s="22" t="s">
        <v>79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8"/>
  <sheetViews>
    <sheetView workbookViewId="0">
      <selection activeCell="M15" sqref="M15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44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44830</v>
      </c>
      <c r="B2" s="43">
        <f>Indicator!$C$9</f>
        <v>3682.72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0.27800000000000002</v>
      </c>
      <c r="G2" s="44">
        <f>Indicator!$F$8</f>
        <v>0.28269041759555957</v>
      </c>
      <c r="H2" s="59">
        <f>SUMIF(Trades!A:A,Tracker!A2,Trades!H:H)</f>
        <v>9.01</v>
      </c>
      <c r="I2" s="60">
        <f>SUMIFS(Trades!H:H,  Trades!A:A,Tracker!A2,  Trades!C:C, "STO")</f>
        <v>9.01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31</v>
      </c>
      <c r="B4" s="45" t="s">
        <v>30</v>
      </c>
      <c r="C4" s="45" t="s">
        <v>38</v>
      </c>
      <c r="D4" s="45" t="s">
        <v>39</v>
      </c>
      <c r="E4" s="45" t="s">
        <v>40</v>
      </c>
      <c r="F4" s="46" t="s">
        <v>41</v>
      </c>
      <c r="G4" s="46" t="s">
        <v>42</v>
      </c>
      <c r="H4" s="47" t="s">
        <v>43</v>
      </c>
      <c r="I4" s="63" t="s">
        <v>64</v>
      </c>
      <c r="J4" s="47" t="s">
        <v>48</v>
      </c>
      <c r="K4" s="67" t="s">
        <v>65</v>
      </c>
      <c r="L4" s="47" t="s">
        <v>75</v>
      </c>
      <c r="M4" s="74" t="s">
        <v>49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50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  <row r="8" spans="1:13" x14ac:dyDescent="0.25">
      <c r="A8" s="58">
        <v>44827</v>
      </c>
      <c r="B8" s="42">
        <v>3727.14</v>
      </c>
      <c r="C8" s="42">
        <v>3693.49</v>
      </c>
      <c r="D8" s="42">
        <v>3725.74</v>
      </c>
      <c r="E8" s="42">
        <v>3799.45</v>
      </c>
      <c r="F8" s="41">
        <v>0.26400000000000001</v>
      </c>
      <c r="G8" s="41">
        <v>0.22597893531506713</v>
      </c>
      <c r="H8" s="17">
        <v>-19.870000000000005</v>
      </c>
      <c r="I8" s="61">
        <v>12.66</v>
      </c>
      <c r="J8" s="21">
        <f>H8/I8</f>
        <v>-1.5695102685624016</v>
      </c>
      <c r="K8" s="66">
        <f>K7+H8*100</f>
        <v>96.999999999999545</v>
      </c>
      <c r="L8">
        <f>I8*100+L7</f>
        <v>3483</v>
      </c>
      <c r="M8" s="17" t="s">
        <v>119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15"/>
  <sheetViews>
    <sheetView workbookViewId="0">
      <selection activeCell="H13" sqref="H13:H15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</row>
    <row r="2" spans="1:12" x14ac:dyDescent="0.25">
      <c r="A2" s="48">
        <v>44824</v>
      </c>
      <c r="B2" s="49">
        <v>949</v>
      </c>
      <c r="C2" s="31" t="s">
        <v>45</v>
      </c>
      <c r="D2" s="17" t="s">
        <v>46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-I2*H2</f>
        <v>-12.809999999999999</v>
      </c>
    </row>
    <row r="3" spans="1:12" x14ac:dyDescent="0.25">
      <c r="A3" s="48">
        <v>44824</v>
      </c>
      <c r="B3" s="49">
        <v>950</v>
      </c>
      <c r="C3" s="31" t="s">
        <v>45</v>
      </c>
      <c r="D3" s="17" t="s">
        <v>47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45</v>
      </c>
      <c r="D4" s="17" t="s">
        <v>51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55</v>
      </c>
      <c r="D5" s="17" t="s">
        <v>54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45</v>
      </c>
      <c r="D6" s="69" t="s">
        <v>91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>-I6*H6</f>
        <v>-14.91</v>
      </c>
    </row>
    <row r="7" spans="1:12" x14ac:dyDescent="0.25">
      <c r="A7" s="48">
        <v>44826</v>
      </c>
      <c r="B7" s="49">
        <v>946</v>
      </c>
      <c r="C7" s="31" t="s">
        <v>45</v>
      </c>
      <c r="D7" s="69" t="s">
        <v>90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>-I7*H7</f>
        <v>-14.22</v>
      </c>
    </row>
    <row r="8" spans="1:12" x14ac:dyDescent="0.25">
      <c r="A8" s="48">
        <v>44827</v>
      </c>
      <c r="B8" s="49">
        <v>936</v>
      </c>
      <c r="C8" s="31" t="s">
        <v>45</v>
      </c>
      <c r="D8" s="69" t="s">
        <v>114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>-I8*H8</f>
        <v>-19.41</v>
      </c>
    </row>
    <row r="9" spans="1:12" x14ac:dyDescent="0.25">
      <c r="A9" s="48">
        <v>44827</v>
      </c>
      <c r="B9" s="49">
        <v>949</v>
      </c>
      <c r="C9" s="31" t="s">
        <v>45</v>
      </c>
      <c r="D9" s="69" t="s">
        <v>115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>-I9*H9</f>
        <v>-11.91</v>
      </c>
    </row>
    <row r="10" spans="1:12" x14ac:dyDescent="0.25">
      <c r="A10" s="48">
        <v>44827</v>
      </c>
      <c r="B10" s="49">
        <v>240</v>
      </c>
      <c r="C10" s="31" t="s">
        <v>116</v>
      </c>
      <c r="D10" s="69" t="s">
        <v>117</v>
      </c>
      <c r="F10" s="31">
        <v>1</v>
      </c>
      <c r="G10" s="50">
        <v>-12.43</v>
      </c>
      <c r="H10" s="51">
        <f t="shared" ref="H10:H15" si="2">G10*F10</f>
        <v>-12.43</v>
      </c>
    </row>
    <row r="11" spans="1:12" x14ac:dyDescent="0.25">
      <c r="A11" s="48">
        <v>44827</v>
      </c>
      <c r="B11" s="49">
        <v>255</v>
      </c>
      <c r="C11" s="31" t="s">
        <v>116</v>
      </c>
      <c r="D11" s="69" t="s">
        <v>114</v>
      </c>
      <c r="F11" s="31">
        <v>1</v>
      </c>
      <c r="G11" s="50">
        <v>-20.100000000000001</v>
      </c>
      <c r="H11" s="51">
        <f t="shared" si="2"/>
        <v>-20.100000000000001</v>
      </c>
    </row>
    <row r="12" spans="1:12" x14ac:dyDescent="0.25">
      <c r="A12" s="48">
        <v>44827</v>
      </c>
      <c r="B12" s="49">
        <v>311</v>
      </c>
      <c r="C12" s="31" t="s">
        <v>45</v>
      </c>
      <c r="D12" s="69" t="s">
        <v>118</v>
      </c>
      <c r="E12" s="102">
        <v>-0.19</v>
      </c>
      <c r="F12" s="31">
        <v>1</v>
      </c>
      <c r="G12" s="50">
        <v>2.2200000000000002</v>
      </c>
      <c r="H12" s="51">
        <f t="shared" si="2"/>
        <v>2.2200000000000002</v>
      </c>
      <c r="I12" s="52">
        <v>3</v>
      </c>
      <c r="J12" s="73">
        <f>-I12*H12</f>
        <v>-6.66</v>
      </c>
    </row>
    <row r="13" spans="1:12" x14ac:dyDescent="0.25">
      <c r="A13" s="48">
        <v>44830</v>
      </c>
      <c r="B13" s="49">
        <v>742</v>
      </c>
      <c r="C13" s="31" t="s">
        <v>45</v>
      </c>
      <c r="D13" s="69" t="s">
        <v>121</v>
      </c>
      <c r="E13" s="102">
        <v>-0.15</v>
      </c>
      <c r="F13" s="31">
        <v>1</v>
      </c>
      <c r="G13" s="50">
        <v>4.2699999999999996</v>
      </c>
      <c r="H13" s="51">
        <f t="shared" si="2"/>
        <v>4.2699999999999996</v>
      </c>
      <c r="I13" s="52">
        <v>3</v>
      </c>
      <c r="J13" s="73">
        <f t="shared" ref="J13:J14" si="3">-I13*H13</f>
        <v>-12.809999999999999</v>
      </c>
    </row>
    <row r="14" spans="1:12" x14ac:dyDescent="0.25">
      <c r="A14" s="48">
        <v>44830</v>
      </c>
      <c r="B14" s="49">
        <v>742</v>
      </c>
      <c r="C14" s="31" t="s">
        <v>45</v>
      </c>
      <c r="D14" s="69" t="s">
        <v>120</v>
      </c>
      <c r="E14" s="102">
        <v>0.15</v>
      </c>
      <c r="F14" s="31">
        <v>1</v>
      </c>
      <c r="G14" s="50">
        <v>3.27</v>
      </c>
      <c r="H14" s="51">
        <f t="shared" si="2"/>
        <v>3.27</v>
      </c>
      <c r="I14" s="52">
        <v>3</v>
      </c>
      <c r="J14" s="73">
        <f t="shared" si="3"/>
        <v>-9.81</v>
      </c>
    </row>
    <row r="15" spans="1:12" x14ac:dyDescent="0.25">
      <c r="A15" s="48">
        <v>44830</v>
      </c>
      <c r="B15" s="49">
        <v>815</v>
      </c>
      <c r="C15" s="31" t="s">
        <v>45</v>
      </c>
      <c r="D15" s="69" t="s">
        <v>122</v>
      </c>
      <c r="E15" s="102">
        <v>0.1</v>
      </c>
      <c r="F15" s="31">
        <v>1</v>
      </c>
      <c r="G15" s="50">
        <v>1.47</v>
      </c>
      <c r="H15" s="51">
        <f t="shared" si="2"/>
        <v>1.47</v>
      </c>
      <c r="I15" s="52">
        <v>3</v>
      </c>
      <c r="J15" s="73">
        <f t="shared" ref="J15" si="4">-I15*H15</f>
        <v>-4.41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3"/>
  <sheetViews>
    <sheetView workbookViewId="0">
      <selection activeCell="J26" sqref="J26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  <c r="N1" s="99" t="s">
        <v>43</v>
      </c>
    </row>
    <row r="2" spans="1:14" x14ac:dyDescent="0.25">
      <c r="A2" s="48">
        <v>44830</v>
      </c>
      <c r="B2" s="49">
        <v>742</v>
      </c>
      <c r="C2" s="31" t="s">
        <v>45</v>
      </c>
      <c r="D2" s="69" t="s">
        <v>121</v>
      </c>
      <c r="E2" s="102">
        <v>-0.15</v>
      </c>
      <c r="F2" s="31">
        <v>1</v>
      </c>
      <c r="G2" s="50">
        <v>4.2699999999999996</v>
      </c>
      <c r="H2" s="51">
        <f t="shared" ref="H2:H3" si="0">G2*F2</f>
        <v>4.2699999999999996</v>
      </c>
      <c r="I2" s="52">
        <v>3</v>
      </c>
      <c r="J2" s="73">
        <f t="shared" ref="J2:J3" si="1">-I2*H2</f>
        <v>-12.809999999999999</v>
      </c>
      <c r="N2" s="73">
        <f>SUM(H:H)</f>
        <v>7.5399999999999991</v>
      </c>
    </row>
    <row r="3" spans="1:14" x14ac:dyDescent="0.25">
      <c r="A3" s="48">
        <v>44830</v>
      </c>
      <c r="B3" s="49">
        <v>742</v>
      </c>
      <c r="C3" s="31" t="s">
        <v>45</v>
      </c>
      <c r="D3" s="69" t="s">
        <v>120</v>
      </c>
      <c r="E3" s="102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3">
        <f t="shared" si="1"/>
        <v>-9.81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3"/>
  <sheetViews>
    <sheetView workbookViewId="0">
      <selection activeCell="K19" sqref="K1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.28515625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4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  <c r="N1" s="99" t="s">
        <v>43</v>
      </c>
    </row>
    <row r="2" spans="1:14" x14ac:dyDescent="0.25">
      <c r="A2" s="48">
        <v>44830</v>
      </c>
      <c r="B2" s="49">
        <v>742</v>
      </c>
      <c r="C2" s="31" t="s">
        <v>45</v>
      </c>
      <c r="D2" s="69" t="s">
        <v>121</v>
      </c>
      <c r="E2" s="102">
        <v>-0.15</v>
      </c>
      <c r="F2" s="31">
        <v>1</v>
      </c>
      <c r="G2" s="50">
        <v>4.2699999999999996</v>
      </c>
      <c r="H2" s="51">
        <f t="shared" ref="H2:H3" si="0">G2*F2</f>
        <v>4.2699999999999996</v>
      </c>
      <c r="I2" s="52">
        <v>3</v>
      </c>
      <c r="J2" s="73">
        <f t="shared" ref="J2" si="1">-I2*H2</f>
        <v>-12.809999999999999</v>
      </c>
      <c r="N2" s="73">
        <f>SUM(H:H)</f>
        <v>5.7399999999999993</v>
      </c>
    </row>
    <row r="3" spans="1:14" x14ac:dyDescent="0.25">
      <c r="A3" s="48">
        <v>44830</v>
      </c>
      <c r="B3" s="49">
        <v>815</v>
      </c>
      <c r="C3" s="31" t="s">
        <v>45</v>
      </c>
      <c r="D3" s="69" t="s">
        <v>122</v>
      </c>
      <c r="E3" s="102">
        <v>0.1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3">
        <f t="shared" ref="J3" si="2">-I3*H3</f>
        <v>-4.41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G21" sqref="G21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92</v>
      </c>
    </row>
    <row r="3" spans="2:9" x14ac:dyDescent="0.25">
      <c r="B3" t="s">
        <v>93</v>
      </c>
    </row>
    <row r="4" spans="2:9" x14ac:dyDescent="0.25">
      <c r="B4" t="s">
        <v>94</v>
      </c>
    </row>
    <row r="6" spans="2:9" x14ac:dyDescent="0.25">
      <c r="B6" s="92"/>
      <c r="C6" s="92" t="s">
        <v>95</v>
      </c>
      <c r="D6" s="92" t="s">
        <v>96</v>
      </c>
      <c r="E6" s="92" t="s">
        <v>97</v>
      </c>
      <c r="F6" s="92" t="s">
        <v>98</v>
      </c>
      <c r="G6" s="92" t="s">
        <v>99</v>
      </c>
      <c r="H6" s="92" t="s">
        <v>95</v>
      </c>
      <c r="I6" s="92"/>
    </row>
    <row r="7" spans="2:9" x14ac:dyDescent="0.25">
      <c r="B7" s="92" t="s">
        <v>100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101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102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43</v>
      </c>
      <c r="C10" s="95">
        <v>-250</v>
      </c>
      <c r="D10" s="95">
        <v>0</v>
      </c>
      <c r="E10" s="95">
        <v>500</v>
      </c>
      <c r="F10" s="95">
        <v>500</v>
      </c>
      <c r="G10" s="95">
        <v>0</v>
      </c>
      <c r="H10" s="95">
        <v>-250</v>
      </c>
    </row>
    <row r="13" spans="2:9" x14ac:dyDescent="0.25">
      <c r="B13" s="92" t="s">
        <v>103</v>
      </c>
      <c r="C13" s="99" t="s">
        <v>43</v>
      </c>
      <c r="D13" s="99" t="s">
        <v>102</v>
      </c>
      <c r="E13" s="99" t="s">
        <v>104</v>
      </c>
      <c r="F13" s="99"/>
      <c r="G13" s="92"/>
    </row>
    <row r="14" spans="2:9" x14ac:dyDescent="0.25">
      <c r="B14" t="s">
        <v>105</v>
      </c>
      <c r="C14" s="96">
        <f>E10</f>
        <v>500</v>
      </c>
      <c r="D14" s="94">
        <f>F9-E9</f>
        <v>0.68259999999999998</v>
      </c>
      <c r="E14" s="96">
        <f>C14*D14</f>
        <v>341.3</v>
      </c>
      <c r="F14" s="94"/>
    </row>
    <row r="15" spans="2:9" x14ac:dyDescent="0.25">
      <c r="B15" t="s">
        <v>106</v>
      </c>
      <c r="C15" s="96">
        <f>C10</f>
        <v>-250</v>
      </c>
      <c r="D15" s="94">
        <f>100%+C9-H9</f>
        <v>0.1336</v>
      </c>
      <c r="E15" s="96">
        <f>D15*C15</f>
        <v>-33.4</v>
      </c>
      <c r="F15" s="94"/>
    </row>
    <row r="16" spans="2:9" x14ac:dyDescent="0.25">
      <c r="B16" t="s">
        <v>107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108</v>
      </c>
      <c r="C17" s="96">
        <v>-250</v>
      </c>
      <c r="D17" s="94">
        <f>(H9-G9)*2</f>
        <v>0.13779999999999992</v>
      </c>
      <c r="E17" s="96">
        <f t="shared" si="0"/>
        <v>-34.449999999999982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109</v>
      </c>
      <c r="C20" s="100" t="s">
        <v>110</v>
      </c>
      <c r="D20" s="100" t="s">
        <v>111</v>
      </c>
      <c r="E20" s="100" t="s">
        <v>112</v>
      </c>
    </row>
    <row r="21" spans="2:6" x14ac:dyDescent="0.25">
      <c r="B21" s="92" t="s">
        <v>113</v>
      </c>
      <c r="C21" s="96">
        <f>SUM(E14:E17)</f>
        <v>273.45000000000005</v>
      </c>
      <c r="D21" s="97">
        <f>C21*21</f>
        <v>5742.4500000000007</v>
      </c>
      <c r="E21" s="96">
        <f>C21*252</f>
        <v>68909.400000000009</v>
      </c>
    </row>
    <row r="22" spans="2:6" x14ac:dyDescent="0.25">
      <c r="B22" s="92" t="s">
        <v>74</v>
      </c>
      <c r="C22" s="96">
        <f>E10</f>
        <v>500</v>
      </c>
      <c r="D22" s="97">
        <f>C22*21</f>
        <v>10500</v>
      </c>
      <c r="E22" s="96">
        <f>C22*252</f>
        <v>126000</v>
      </c>
    </row>
    <row r="23" spans="2:6" x14ac:dyDescent="0.25">
      <c r="B23" s="92" t="s">
        <v>73</v>
      </c>
      <c r="C23" s="98">
        <f>C21/C22</f>
        <v>0.54690000000000005</v>
      </c>
      <c r="D23" s="98">
        <f>D21/D22</f>
        <v>0.54690000000000005</v>
      </c>
      <c r="E23" s="98">
        <f>E21/E22</f>
        <v>0.54690000000000005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DeltaInd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2022-09-26T14:57:57Z</dcterms:modified>
</cp:coreProperties>
</file>