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637D1496-A300-4E4C-AF90-554E4052DE2B}" xr6:coauthVersionLast="47" xr6:coauthVersionMax="47" xr10:uidLastSave="{00000000-0000-0000-0000-000000000000}"/>
  <bookViews>
    <workbookView xWindow="3120" yWindow="5685" windowWidth="23580" windowHeight="14010" xr2:uid="{70494AAA-D256-49B2-A3DF-05E6F986F6A3}"/>
  </bookViews>
  <sheets>
    <sheet name="Indicator" sheetId="1" r:id="rId1"/>
    <sheet name="Dashboard" sheetId="4" r:id="rId2"/>
    <sheet name="Tracker" sheetId="3" r:id="rId3"/>
    <sheet name="Trades" sheetId="2" r:id="rId4"/>
    <sheet name="Statistical Proof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3" l="1"/>
  <c r="K8" i="3"/>
  <c r="J8" i="3"/>
  <c r="J12" i="2"/>
  <c r="H12" i="2"/>
  <c r="H11" i="2"/>
  <c r="H10" i="2"/>
  <c r="H9" i="2"/>
  <c r="J9" i="2" s="1"/>
  <c r="H8" i="2"/>
  <c r="J8" i="2" s="1"/>
  <c r="C22" i="5"/>
  <c r="E22" i="5" s="1"/>
  <c r="D17" i="5"/>
  <c r="E17" i="5" s="1"/>
  <c r="E15" i="5"/>
  <c r="D15" i="5"/>
  <c r="C15" i="5"/>
  <c r="D14" i="5"/>
  <c r="C14" i="5"/>
  <c r="E14" i="5" s="1"/>
  <c r="L7" i="3"/>
  <c r="K7" i="3"/>
  <c r="J7" i="3"/>
  <c r="J4" i="2"/>
  <c r="J3" i="2"/>
  <c r="J2" i="2"/>
  <c r="J6" i="2"/>
  <c r="J7" i="2"/>
  <c r="H7" i="2"/>
  <c r="H6" i="2"/>
  <c r="C7" i="4"/>
  <c r="F7" i="4" s="1"/>
  <c r="F8" i="4" s="1"/>
  <c r="K5" i="4"/>
  <c r="K4" i="4"/>
  <c r="L4" i="4"/>
  <c r="L5" i="4" s="1"/>
  <c r="K3" i="4"/>
  <c r="F5" i="4"/>
  <c r="F4" i="4"/>
  <c r="F3" i="4"/>
  <c r="L8" i="4"/>
  <c r="L9" i="4" s="1"/>
  <c r="K8" i="4"/>
  <c r="K9" i="4" s="1"/>
  <c r="C8" i="4"/>
  <c r="L3" i="4"/>
  <c r="L6" i="3"/>
  <c r="L5" i="3"/>
  <c r="K5" i="3"/>
  <c r="K6" i="3" s="1"/>
  <c r="J6" i="3"/>
  <c r="H5" i="2"/>
  <c r="L4" i="2"/>
  <c r="H4" i="2"/>
  <c r="J5" i="3"/>
  <c r="F2" i="3"/>
  <c r="E2" i="3"/>
  <c r="D2" i="3"/>
  <c r="C2" i="3"/>
  <c r="B2" i="3"/>
  <c r="A2" i="3"/>
  <c r="H3" i="2"/>
  <c r="H2" i="2"/>
  <c r="C16" i="1"/>
  <c r="C17" i="1" s="1"/>
  <c r="C21" i="1"/>
  <c r="C22" i="1" s="1"/>
  <c r="H3" i="4" l="1"/>
  <c r="H2" i="3"/>
  <c r="D16" i="5"/>
  <c r="E16" i="5" s="1"/>
  <c r="C21" i="5" s="1"/>
  <c r="D22" i="5"/>
  <c r="G5" i="4"/>
  <c r="G4" i="4"/>
  <c r="F9" i="4"/>
  <c r="C9" i="4"/>
  <c r="I2" i="3"/>
  <c r="C18" i="1"/>
  <c r="C23" i="1"/>
  <c r="F6" i="1" s="1"/>
  <c r="C26" i="1"/>
  <c r="H5" i="4" l="1"/>
  <c r="H4" i="4"/>
  <c r="D21" i="5"/>
  <c r="E21" i="5"/>
  <c r="E23" i="5" s="1"/>
  <c r="C23" i="5"/>
  <c r="D23" i="5"/>
  <c r="C28" i="1"/>
  <c r="C27" i="1"/>
  <c r="F5" i="1"/>
  <c r="F7" i="1" l="1"/>
  <c r="F8" i="1" s="1"/>
  <c r="G2" i="3" s="1"/>
</calcChain>
</file>

<file path=xl/sharedStrings.xml><?xml version="1.0" encoding="utf-8"?>
<sst xmlns="http://schemas.openxmlformats.org/spreadsheetml/2006/main" count="148" uniqueCount="120">
  <si>
    <t>SPX Open</t>
  </si>
  <si>
    <t>SPX Close</t>
  </si>
  <si>
    <t>Updated</t>
  </si>
  <si>
    <t>SPX Prior Open</t>
  </si>
  <si>
    <t>SPX Prior Close</t>
  </si>
  <si>
    <t>IV Last</t>
  </si>
  <si>
    <t>Value</t>
  </si>
  <si>
    <t>1STD SPX Upper</t>
  </si>
  <si>
    <t>1STD SPX Lower</t>
  </si>
  <si>
    <t>E. Price Move</t>
  </si>
  <si>
    <t>SPX Prior 5D MA</t>
  </si>
  <si>
    <t>SPX 5D MA</t>
  </si>
  <si>
    <t>SPX Prior 2D MA</t>
  </si>
  <si>
    <t>0 Day - Price Expectations</t>
  </si>
  <si>
    <t>2 Day - DTE Price Expectations</t>
  </si>
  <si>
    <t>5 Day - DTE Price Expectations</t>
  </si>
  <si>
    <t>0Day stdPosition</t>
  </si>
  <si>
    <t>2Day stdPosition</t>
  </si>
  <si>
    <t>5Day stdPosition</t>
  </si>
  <si>
    <t>Wt. stdPosition</t>
  </si>
  <si>
    <t>Weight</t>
  </si>
  <si>
    <t>Indicator</t>
  </si>
  <si>
    <t>Position</t>
  </si>
  <si>
    <t>CCS</t>
  </si>
  <si>
    <t>PCS</t>
  </si>
  <si>
    <t>SPX Information</t>
  </si>
  <si>
    <t>SPX 2D MA</t>
  </si>
  <si>
    <t>Delta Selection</t>
  </si>
  <si>
    <t>-</t>
  </si>
  <si>
    <t>40 - 60%</t>
  </si>
  <si>
    <t>Open</t>
  </si>
  <si>
    <t>Date</t>
  </si>
  <si>
    <t>Status</t>
  </si>
  <si>
    <t>Spread</t>
  </si>
  <si>
    <t>Time (EST)</t>
  </si>
  <si>
    <t>Delta</t>
  </si>
  <si>
    <t>Qty</t>
  </si>
  <si>
    <t>P/L ea.</t>
  </si>
  <si>
    <t>Close</t>
  </si>
  <si>
    <t>2D MA</t>
  </si>
  <si>
    <t>5D MA</t>
  </si>
  <si>
    <t>IV</t>
  </si>
  <si>
    <t>Wt. stdPos</t>
  </si>
  <si>
    <t>P/L</t>
  </si>
  <si>
    <t>Linked Data</t>
  </si>
  <si>
    <t>STO</t>
  </si>
  <si>
    <t>Sep20 3830/3805 @ -4.30 BullPut</t>
  </si>
  <si>
    <t>Sep20 3895/3925 @ -3.00 BearCall</t>
  </si>
  <si>
    <t>Capture %</t>
  </si>
  <si>
    <t>Notes</t>
  </si>
  <si>
    <t>High volitility expected, betting that market goes up overall</t>
  </si>
  <si>
    <t>Sep21 3815/3790 @ -5.20 BullPut</t>
  </si>
  <si>
    <t>Stop Loss Value</t>
  </si>
  <si>
    <t>Stop Loss %</t>
  </si>
  <si>
    <t>Sep21 3815/3790 @ -1.30 BullPut</t>
  </si>
  <si>
    <t>BTC PT</t>
  </si>
  <si>
    <t>Profit Take %</t>
  </si>
  <si>
    <t>Profit Take Value</t>
  </si>
  <si>
    <t>&lt; 10.0%</t>
  </si>
  <si>
    <t>&gt; 90.0%</t>
  </si>
  <si>
    <t>10 - 25%</t>
  </si>
  <si>
    <t>25 - 40%</t>
  </si>
  <si>
    <t>60 - 75%</t>
  </si>
  <si>
    <t>75 - 90%</t>
  </si>
  <si>
    <t>P. Max.</t>
  </si>
  <si>
    <t>Portfolio P/L</t>
  </si>
  <si>
    <t>(EST)</t>
  </si>
  <si>
    <t>Current Year</t>
  </si>
  <si>
    <t>Starting Date</t>
  </si>
  <si>
    <t>% N. Liquid</t>
  </si>
  <si>
    <t>Starting N. Liquid</t>
  </si>
  <si>
    <t>Current N. Liquid</t>
  </si>
  <si>
    <t>P/L %</t>
  </si>
  <si>
    <t>Premium Capture %</t>
  </si>
  <si>
    <t>Premium Sold</t>
  </si>
  <si>
    <t>P. Max Total</t>
  </si>
  <si>
    <t>Spread Strike Width</t>
  </si>
  <si>
    <t>P/L % Annualized</t>
  </si>
  <si>
    <t>P/L % Projected 2022End</t>
  </si>
  <si>
    <t>Margin Required Total</t>
  </si>
  <si>
    <t>Number of Spreads per Side</t>
  </si>
  <si>
    <t>Number of Trade Days</t>
  </si>
  <si>
    <t>Number of Wins</t>
  </si>
  <si>
    <t>Number of Losses</t>
  </si>
  <si>
    <t>Count</t>
  </si>
  <si>
    <t>Avg. P/(L)</t>
  </si>
  <si>
    <t>Rate %</t>
  </si>
  <si>
    <t>Premium Target per Day</t>
  </si>
  <si>
    <t>Stop Loss Target per Day</t>
  </si>
  <si>
    <t>Avg. Risk Target per Day</t>
  </si>
  <si>
    <t>Sep22 3820/3845 @ -2.40 Bear Call</t>
  </si>
  <si>
    <t>Sep22 3745/3720 @ -5.00 Bull Put</t>
  </si>
  <si>
    <t>Assuming 1std = $50 distance from SPX</t>
  </si>
  <si>
    <t>Assuming max win = $500</t>
  </si>
  <si>
    <t>Assuming max loss = ($250)</t>
  </si>
  <si>
    <t>1-Side Max Loss</t>
  </si>
  <si>
    <t>Break Even Low</t>
  </si>
  <si>
    <t>Max Win Low</t>
  </si>
  <si>
    <t>Max Win High</t>
  </si>
  <si>
    <t>Break Even High</t>
  </si>
  <si>
    <t>Standard Deviation</t>
  </si>
  <si>
    <t>SPX Distance</t>
  </si>
  <si>
    <t>Probability</t>
  </si>
  <si>
    <t>Quick Calc Worst Case</t>
  </si>
  <si>
    <t>Return</t>
  </si>
  <si>
    <t>Max Win</t>
  </si>
  <si>
    <t>Max Loss</t>
  </si>
  <si>
    <t>Even - Win</t>
  </si>
  <si>
    <t>Loss - Even</t>
  </si>
  <si>
    <t>Expected Returns</t>
  </si>
  <si>
    <t>Day</t>
  </si>
  <si>
    <t>Month</t>
  </si>
  <si>
    <t>Year</t>
  </si>
  <si>
    <t>Profit / Loss</t>
  </si>
  <si>
    <t>Sep23 3685/3660 @ -6.50 Bull Put</t>
  </si>
  <si>
    <t>Sep23 3665/3640 @ -4.00 Bull Put</t>
  </si>
  <si>
    <t>BTC SL</t>
  </si>
  <si>
    <t>Sep23 3665/3640 @ -12.40 Bull Put</t>
  </si>
  <si>
    <t>Sep23 3655/3640 @ -2.25 Bull Put</t>
  </si>
  <si>
    <t>Discovered IBKR-Web does not live update Delta; deviated from strategy; high volitility triggered 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</si>
</sst>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4" fontId="0" fillId="0" borderId="4" xfId="0" applyNumberFormat="1" applyBorder="1"/>
    <xf numFmtId="0" fontId="0" fillId="0" borderId="5" xfId="0" applyBorder="1"/>
    <xf numFmtId="4" fontId="0" fillId="0" borderId="6" xfId="0" applyNumberFormat="1" applyBorder="1"/>
    <xf numFmtId="0" fontId="0" fillId="0" borderId="9" xfId="0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1" xfId="0" applyFont="1" applyBorder="1"/>
    <xf numFmtId="4" fontId="0" fillId="0" borderId="2" xfId="0" applyNumberFormat="1" applyBorder="1" applyProtection="1">
      <protection locked="0"/>
    </xf>
    <xf numFmtId="4" fontId="0" fillId="0" borderId="4" xfId="0" applyNumberFormat="1" applyBorder="1" applyProtection="1">
      <protection locked="0"/>
    </xf>
    <xf numFmtId="164" fontId="0" fillId="0" borderId="11" xfId="0" applyNumberFormat="1" applyBorder="1" applyProtection="1">
      <protection locked="0"/>
    </xf>
    <xf numFmtId="0" fontId="0" fillId="0" borderId="1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9" fontId="0" fillId="0" borderId="0" xfId="0" applyNumberFormat="1" applyBorder="1"/>
    <xf numFmtId="0" fontId="1" fillId="0" borderId="0" xfId="0" applyFont="1" applyBorder="1"/>
    <xf numFmtId="0" fontId="0" fillId="2" borderId="9" xfId="0" applyFill="1" applyBorder="1"/>
    <xf numFmtId="0" fontId="0" fillId="2" borderId="11" xfId="0" quotePrefix="1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0" applyNumberFormat="1" applyFill="1" applyBorder="1" applyProtection="1">
      <protection locked="0"/>
    </xf>
    <xf numFmtId="4" fontId="0" fillId="0" borderId="0" xfId="0" applyNumberFormat="1" applyBorder="1" applyProtection="1">
      <protection locked="0"/>
    </xf>
    <xf numFmtId="4" fontId="0" fillId="0" borderId="0" xfId="0" applyNumberFormat="1" applyBorder="1" applyProtection="1"/>
    <xf numFmtId="164" fontId="0" fillId="0" borderId="0" xfId="0" applyNumberFormat="1" applyFill="1" applyBorder="1" applyProtection="1"/>
    <xf numFmtId="4" fontId="1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 applyProtection="1">
      <alignment horizontal="right"/>
      <protection locked="0"/>
    </xf>
    <xf numFmtId="4" fontId="1" fillId="0" borderId="0" xfId="0" applyNumberFormat="1" applyFont="1" applyFill="1" applyBorder="1" applyAlignment="1" applyProtection="1">
      <alignment horizontal="right"/>
      <protection locked="0"/>
    </xf>
    <xf numFmtId="14" fontId="0" fillId="0" borderId="3" xfId="0" applyNumberFormat="1" applyBorder="1" applyAlignment="1">
      <alignment horizontal="right"/>
    </xf>
    <xf numFmtId="1" fontId="0" fillId="0" borderId="0" xfId="0" applyNumberFormat="1" applyBorder="1" applyAlignment="1">
      <alignment horizontal="center"/>
    </xf>
    <xf numFmtId="2" fontId="0" fillId="0" borderId="0" xfId="0" applyNumberFormat="1" applyBorder="1"/>
    <xf numFmtId="2" fontId="0" fillId="0" borderId="4" xfId="0" applyNumberFormat="1" applyBorder="1"/>
    <xf numFmtId="9" fontId="0" fillId="0" borderId="0" xfId="0" applyNumberFormat="1"/>
    <xf numFmtId="14" fontId="1" fillId="0" borderId="1" xfId="0" applyNumberFormat="1" applyFont="1" applyBorder="1"/>
    <xf numFmtId="4" fontId="0" fillId="0" borderId="7" xfId="0" applyNumberFormat="1" applyBorder="1" applyProtection="1">
      <protection locked="0"/>
    </xf>
    <xf numFmtId="164" fontId="0" fillId="0" borderId="7" xfId="0" applyNumberFormat="1" applyFill="1" applyBorder="1" applyProtection="1">
      <protection locked="0"/>
    </xf>
    <xf numFmtId="2" fontId="0" fillId="0" borderId="7" xfId="0" applyNumberFormat="1" applyBorder="1"/>
    <xf numFmtId="0" fontId="0" fillId="0" borderId="2" xfId="0" applyBorder="1"/>
    <xf numFmtId="14" fontId="0" fillId="0" borderId="3" xfId="0" applyNumberFormat="1" applyBorder="1"/>
    <xf numFmtId="2" fontId="0" fillId="0" borderId="0" xfId="0" applyNumberFormat="1" applyBorder="1" applyProtection="1"/>
    <xf numFmtId="0" fontId="0" fillId="0" borderId="4" xfId="0" applyBorder="1" applyProtection="1"/>
    <xf numFmtId="0" fontId="0" fillId="0" borderId="4" xfId="0" applyBorder="1"/>
    <xf numFmtId="14" fontId="1" fillId="0" borderId="3" xfId="0" applyNumberFormat="1" applyFont="1" applyBorder="1"/>
    <xf numFmtId="4" fontId="1" fillId="0" borderId="4" xfId="0" applyNumberFormat="1" applyFont="1" applyFill="1" applyBorder="1" applyAlignment="1" applyProtection="1">
      <alignment horizontal="right"/>
      <protection locked="0"/>
    </xf>
    <xf numFmtId="0" fontId="0" fillId="0" borderId="0" xfId="0" applyAlignment="1">
      <alignment horizontal="right"/>
    </xf>
    <xf numFmtId="20" fontId="0" fillId="0" borderId="0" xfId="0" applyNumberFormat="1" applyAlignment="1" applyProtection="1">
      <alignment horizontal="left"/>
      <protection locked="0"/>
    </xf>
    <xf numFmtId="37" fontId="0" fillId="0" borderId="0" xfId="0" applyNumberFormat="1"/>
    <xf numFmtId="37" fontId="1" fillId="0" borderId="0" xfId="0" applyNumberFormat="1" applyFont="1" applyAlignment="1">
      <alignment horizontal="right"/>
    </xf>
    <xf numFmtId="10" fontId="0" fillId="0" borderId="0" xfId="0" applyNumberFormat="1" applyBorder="1"/>
    <xf numFmtId="0" fontId="0" fillId="0" borderId="0" xfId="0" applyFill="1" applyBorder="1"/>
    <xf numFmtId="10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42" fontId="0" fillId="0" borderId="0" xfId="0" applyNumberFormat="1" applyBorder="1"/>
    <xf numFmtId="2" fontId="0" fillId="0" borderId="0" xfId="0" applyNumberFormat="1"/>
    <xf numFmtId="4" fontId="1" fillId="0" borderId="0" xfId="0" applyNumberFormat="1" applyFont="1" applyFill="1" applyBorder="1" applyAlignment="1" applyProtection="1">
      <alignment horizontal="left"/>
      <protection locked="0"/>
    </xf>
    <xf numFmtId="14" fontId="0" fillId="0" borderId="0" xfId="0" applyNumberFormat="1" applyBorder="1"/>
    <xf numFmtId="164" fontId="0" fillId="0" borderId="0" xfId="0" applyNumberFormat="1" applyBorder="1"/>
    <xf numFmtId="44" fontId="0" fillId="0" borderId="0" xfId="0" applyNumberFormat="1" applyBorder="1"/>
    <xf numFmtId="3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9" fontId="0" fillId="0" borderId="0" xfId="0" quotePrefix="1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37" fontId="0" fillId="0" borderId="0" xfId="0" applyNumberFormat="1" applyBorder="1" applyAlignment="1">
      <alignment horizontal="right"/>
    </xf>
    <xf numFmtId="42" fontId="0" fillId="0" borderId="0" xfId="0" applyNumberForma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14" fontId="1" fillId="0" borderId="1" xfId="0" applyNumberFormat="1" applyFont="1" applyBorder="1" applyAlignment="1">
      <alignment horizontal="right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2" fontId="1" fillId="0" borderId="7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165" fontId="0" fillId="0" borderId="0" xfId="0" applyNumberFormat="1"/>
    <xf numFmtId="10" fontId="0" fillId="0" borderId="0" xfId="0" applyNumberFormat="1"/>
    <xf numFmtId="5" fontId="0" fillId="0" borderId="0" xfId="0" applyNumberFormat="1"/>
    <xf numFmtId="42" fontId="0" fillId="0" borderId="0" xfId="0" applyNumberFormat="1"/>
    <xf numFmtId="44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right"/>
    </xf>
    <xf numFmtId="5" fontId="1" fillId="0" borderId="0" xfId="0" applyNumberFormat="1" applyFont="1" applyAlignment="1">
      <alignment horizontal="right"/>
    </xf>
    <xf numFmtId="39" fontId="1" fillId="0" borderId="7" xfId="0" applyNumberFormat="1" applyFont="1" applyBorder="1" applyAlignment="1">
      <alignment horizontal="right"/>
    </xf>
    <xf numFmtId="39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Tracker!$K$4</c:f>
              <c:strCache>
                <c:ptCount val="1"/>
                <c:pt idx="0">
                  <c:v>Portfolio P/L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</c:numRef>
          </c:cat>
          <c:val>
            <c:numRef>
              <c:f>Tracker!$K$5:$K$700</c:f>
              <c:numCache>
                <c:formatCode>#,##0_);\(#,##0\)</c:formatCode>
                <c:ptCount val="696"/>
                <c:pt idx="0">
                  <c:v>728.99999999999989</c:v>
                </c:pt>
                <c:pt idx="1">
                  <c:v>1113</c:v>
                </c:pt>
                <c:pt idx="2">
                  <c:v>2084</c:v>
                </c:pt>
                <c:pt idx="3">
                  <c:v>96.999999999999545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A3-4209-9688-99EAB6BA8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0737584"/>
        <c:axId val="159073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Tracker!$H$4</c15:sqref>
                        </c15:formulaRef>
                      </c:ext>
                    </c:extLst>
                    <c:strCache>
                      <c:ptCount val="1"/>
                      <c:pt idx="0">
                        <c:v>P/L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A3-4209-9688-99EAB6BA8CE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Tracker!$I$4</c15:sqref>
                        </c15:formulaRef>
                      </c:ext>
                    </c:extLst>
                    <c:strCache>
                      <c:ptCount val="1"/>
                      <c:pt idx="0">
                        <c:v>P. Max.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EA3-4209-9688-99EAB6BA8CE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EA3-4209-9688-99EAB6BA8CEA}"/>
                  </c:ext>
                </c:extLst>
              </c15:ser>
            </c15:filteredLineSeries>
          </c:ext>
        </c:extLst>
      </c:line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Premium Sold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Tracker!$I$5:$I$700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5.17</c:v>
                </c:pt>
                <c:pt idx="2">
                  <c:v>9.7100000000000009</c:v>
                </c:pt>
                <c:pt idx="3">
                  <c:v>12.66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Tracker!$J$4</c15:sqref>
                        </c15:formulaRef>
                      </c:ext>
                    </c:extLst>
                    <c:strCache>
                      <c:ptCount val="1"/>
                      <c:pt idx="0">
                        <c:v>Capture %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Tracker!$J$5:$J$700</c15:sqref>
                        </c15:formulaRef>
                      </c:ext>
                    </c:extLst>
                    <c:numCache>
                      <c:formatCode>0%</c:formatCode>
                      <c:ptCount val="696"/>
                      <c:pt idx="0">
                        <c:v>1</c:v>
                      </c:pt>
                      <c:pt idx="1">
                        <c:v>0.74274661508704065</c:v>
                      </c:pt>
                      <c:pt idx="2">
                        <c:v>1</c:v>
                      </c:pt>
                      <c:pt idx="3">
                        <c:v>-1.5695102685624016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8A7-4CF3-92F1-579C12FDEE2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8A7-4CF3-92F1-579C12FDEE2D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ser>
          <c:idx val="0"/>
          <c:order val="0"/>
          <c:tx>
            <c:v>Premium Captured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Tracker!$H$5:$H$700</c:f>
              <c:numCache>
                <c:formatCode>General</c:formatCode>
                <c:ptCount val="696"/>
                <c:pt idx="0">
                  <c:v>7.2899999999999991</c:v>
                </c:pt>
                <c:pt idx="1">
                  <c:v>3.84</c:v>
                </c:pt>
                <c:pt idx="2">
                  <c:v>9.7100000000000009</c:v>
                </c:pt>
                <c:pt idx="3">
                  <c:v>-19.870000000000005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68A7-4CF3-92F1-579C12FDE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date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P/L</a:t>
            </a:r>
            <a:r>
              <a:rPr lang="en-US" baseline="0"/>
              <a:t> and Potential Max Premium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Tracker!$J$4</c:f>
              <c:strCache>
                <c:ptCount val="1"/>
                <c:pt idx="0">
                  <c:v>Capture %</c:v>
                </c:pt>
              </c:strCache>
              <c:extLst xmlns:c15="http://schemas.microsoft.com/office/drawing/2012/chart"/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numRef>
              <c:f>Tracker!$A$5:$A$700</c:f>
              <c:numCache>
                <c:formatCode>m/d/yyyy</c:formatCode>
                <c:ptCount val="69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</c:numCache>
              <c:extLst xmlns:c15="http://schemas.microsoft.com/office/drawing/2012/chart"/>
            </c:numRef>
          </c:cat>
          <c:val>
            <c:numRef>
              <c:f>Tracker!$J$5:$J$700</c:f>
              <c:numCache>
                <c:formatCode>0%</c:formatCode>
                <c:ptCount val="696"/>
                <c:pt idx="0">
                  <c:v>1</c:v>
                </c:pt>
                <c:pt idx="1">
                  <c:v>0.74274661508704065</c:v>
                </c:pt>
                <c:pt idx="2">
                  <c:v>1</c:v>
                </c:pt>
                <c:pt idx="3">
                  <c:v>-1.5695102685624016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172A-493E-AAB0-7630A20C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1590737584"/>
        <c:axId val="15907380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Premium Sold</c:v>
                </c:tx>
                <c:spPr>
                  <a:solidFill>
                    <a:schemeClr val="accent2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Tracker!$I$5:$I$700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5.17</c:v>
                      </c:pt>
                      <c:pt idx="2">
                        <c:v>9.7100000000000009</c:v>
                      </c:pt>
                      <c:pt idx="3">
                        <c:v>12.66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A-493E-AAB0-7630A20C3FB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Tracker!$K$4</c15:sqref>
                        </c15:formulaRef>
                      </c:ext>
                    </c:extLst>
                    <c:strCache>
                      <c:ptCount val="1"/>
                      <c:pt idx="0">
                        <c:v>Portfolio P/L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Tracker!$K$5:$K$700</c15:sqref>
                        </c15:formulaRef>
                      </c:ext>
                    </c:extLst>
                    <c:numCache>
                      <c:formatCode>#,##0_);\(#,##0\)</c:formatCode>
                      <c:ptCount val="696"/>
                      <c:pt idx="0">
                        <c:v>728.99999999999989</c:v>
                      </c:pt>
                      <c:pt idx="1">
                        <c:v>1113</c:v>
                      </c:pt>
                      <c:pt idx="2">
                        <c:v>2084</c:v>
                      </c:pt>
                      <c:pt idx="3">
                        <c:v>96.999999999999545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2A-493E-AAB0-7630A20C3FBE}"/>
                  </c:ext>
                </c:extLst>
              </c15:ser>
            </c15:filteredBarSeries>
          </c:ext>
        </c:extLst>
      </c:barChart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100"/>
        <c:axId val="744530864"/>
        <c:axId val="7445233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Premium Captured</c:v>
                </c:tx>
                <c:spPr>
                  <a:solidFill>
                    <a:schemeClr val="accent1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Tracker!$A$5:$A$700</c15:sqref>
                        </c15:formulaRef>
                      </c:ext>
                    </c:extLst>
                    <c:numCache>
                      <c:formatCode>m/d/yyyy</c:formatCode>
                      <c:ptCount val="696"/>
                      <c:pt idx="0">
                        <c:v>44824</c:v>
                      </c:pt>
                      <c:pt idx="1">
                        <c:v>44825</c:v>
                      </c:pt>
                      <c:pt idx="2">
                        <c:v>44826</c:v>
                      </c:pt>
                      <c:pt idx="3">
                        <c:v>44827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Tracker!$H$5:$H$700</c15:sqref>
                        </c15:formulaRef>
                      </c:ext>
                    </c:extLst>
                    <c:numCache>
                      <c:formatCode>General</c:formatCode>
                      <c:ptCount val="696"/>
                      <c:pt idx="0">
                        <c:v>7.2899999999999991</c:v>
                      </c:pt>
                      <c:pt idx="1">
                        <c:v>3.84</c:v>
                      </c:pt>
                      <c:pt idx="2">
                        <c:v>9.7100000000000009</c:v>
                      </c:pt>
                      <c:pt idx="3">
                        <c:v>-19.870000000000005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72A-493E-AAB0-7630A20C3FBE}"/>
                  </c:ext>
                </c:extLst>
              </c15:ser>
            </c15:filteredBarSeries>
          </c:ext>
        </c:extLst>
      </c:barChart>
      <c:dateAx>
        <c:axId val="1590737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8000"/>
        <c:crosses val="autoZero"/>
        <c:auto val="1"/>
        <c:lblOffset val="100"/>
        <c:baseTimeUnit val="days"/>
      </c:dateAx>
      <c:valAx>
        <c:axId val="1590738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0737584"/>
        <c:crosses val="autoZero"/>
        <c:crossBetween val="between"/>
      </c:valAx>
      <c:valAx>
        <c:axId val="744523376"/>
        <c:scaling>
          <c:orientation val="minMax"/>
        </c:scaling>
        <c:delete val="1"/>
        <c:axPos val="r"/>
        <c:numFmt formatCode="General" sourceLinked="0"/>
        <c:majorTickMark val="out"/>
        <c:minorTickMark val="none"/>
        <c:tickLblPos val="nextTo"/>
        <c:crossAx val="744530864"/>
        <c:crosses val="max"/>
        <c:crossBetween val="between"/>
      </c:valAx>
      <c:catAx>
        <c:axId val="74453086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44523376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10</xdr:col>
      <xdr:colOff>762000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9EF669-1C23-4810-84D8-786C37B3B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26</xdr:row>
      <xdr:rowOff>0</xdr:rowOff>
    </xdr:from>
    <xdr:to>
      <xdr:col>10</xdr:col>
      <xdr:colOff>762000</xdr:colOff>
      <xdr:row>40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539E96-3EF9-4BFC-9649-6CD80CAA1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41</xdr:row>
      <xdr:rowOff>0</xdr:rowOff>
    </xdr:from>
    <xdr:to>
      <xdr:col>11</xdr:col>
      <xdr:colOff>0</xdr:colOff>
      <xdr:row>55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289618-1FDA-489A-BC86-59DC472B35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E485C-BC7E-40C9-B7A6-38794294458B}">
  <dimension ref="B1:K28"/>
  <sheetViews>
    <sheetView tabSelected="1" zoomScale="115" zoomScaleNormal="115" workbookViewId="0">
      <selection activeCell="C3" sqref="C3"/>
    </sheetView>
  </sheetViews>
  <sheetFormatPr defaultRowHeight="15" x14ac:dyDescent="0.25"/>
  <cols>
    <col min="2" max="2" width="16.85546875" customWidth="1"/>
    <col min="3" max="3" width="10.5703125" customWidth="1"/>
    <col min="5" max="5" width="15.5703125" customWidth="1"/>
    <col min="6" max="6" width="8.42578125" customWidth="1"/>
    <col min="7" max="8" width="7.85546875" customWidth="1"/>
  </cols>
  <sheetData>
    <row r="1" spans="2:11" x14ac:dyDescent="0.25">
      <c r="B1" s="64" t="s">
        <v>2</v>
      </c>
      <c r="C1" s="19" t="s">
        <v>66</v>
      </c>
    </row>
    <row r="2" spans="2:11" x14ac:dyDescent="0.25">
      <c r="B2" s="20">
        <v>44827</v>
      </c>
      <c r="C2" s="65">
        <v>0.19305555555555554</v>
      </c>
    </row>
    <row r="3" spans="2:11" ht="15.75" thickBot="1" x14ac:dyDescent="0.3">
      <c r="H3" s="17"/>
    </row>
    <row r="4" spans="2:11" ht="15.75" thickBot="1" x14ac:dyDescent="0.3">
      <c r="B4" s="10" t="s">
        <v>25</v>
      </c>
      <c r="C4" s="11" t="s">
        <v>6</v>
      </c>
      <c r="E4" s="8" t="s">
        <v>21</v>
      </c>
      <c r="F4" s="34" t="s">
        <v>22</v>
      </c>
      <c r="G4" s="35" t="s">
        <v>20</v>
      </c>
      <c r="H4" s="22"/>
    </row>
    <row r="5" spans="2:11" x14ac:dyDescent="0.25">
      <c r="B5" s="2" t="s">
        <v>3</v>
      </c>
      <c r="C5" s="12">
        <v>3782.36</v>
      </c>
      <c r="E5" s="3" t="s">
        <v>16</v>
      </c>
      <c r="F5" s="27">
        <f>(C9-C18)/(C17-C18)</f>
        <v>0.26561758376169692</v>
      </c>
      <c r="G5" s="25">
        <v>0.4</v>
      </c>
      <c r="H5" s="21"/>
    </row>
    <row r="6" spans="2:11" x14ac:dyDescent="0.25">
      <c r="B6" s="3" t="s">
        <v>4</v>
      </c>
      <c r="C6" s="13">
        <v>3757.99</v>
      </c>
      <c r="E6" s="3" t="s">
        <v>17</v>
      </c>
      <c r="F6" s="27">
        <f>(C9-C23)/(C22-C23)</f>
        <v>0.2495364121152378</v>
      </c>
      <c r="G6" s="25">
        <v>0.33</v>
      </c>
      <c r="H6" s="21"/>
    </row>
    <row r="7" spans="2:11" ht="15.75" thickBot="1" x14ac:dyDescent="0.3">
      <c r="B7" s="3" t="s">
        <v>12</v>
      </c>
      <c r="C7" s="13">
        <v>3773.96</v>
      </c>
      <c r="E7" s="5" t="s">
        <v>18</v>
      </c>
      <c r="F7" s="28">
        <f>(C9-C28)/(C27-C28)</f>
        <v>0.13846254004577735</v>
      </c>
      <c r="G7" s="26">
        <v>0.27</v>
      </c>
      <c r="H7" s="21"/>
    </row>
    <row r="8" spans="2:11" ht="15.75" thickBot="1" x14ac:dyDescent="0.3">
      <c r="B8" s="5" t="s">
        <v>10</v>
      </c>
      <c r="C8" s="13">
        <v>3835.41</v>
      </c>
      <c r="E8" s="23" t="s">
        <v>19</v>
      </c>
      <c r="F8" s="29">
        <f>F5*G5+F6*G6+F7*G7</f>
        <v>0.22597893531506713</v>
      </c>
      <c r="G8" s="24" t="s">
        <v>28</v>
      </c>
      <c r="H8" s="17"/>
    </row>
    <row r="9" spans="2:11" ht="15.75" thickBot="1" x14ac:dyDescent="0.3">
      <c r="B9" s="2" t="s">
        <v>0</v>
      </c>
      <c r="C9" s="12">
        <v>3727.14</v>
      </c>
      <c r="F9" s="1"/>
      <c r="G9" s="1"/>
    </row>
    <row r="10" spans="2:11" ht="15.75" thickBot="1" x14ac:dyDescent="0.3">
      <c r="B10" s="3" t="s">
        <v>1</v>
      </c>
      <c r="C10" s="13">
        <v>3693.49</v>
      </c>
      <c r="E10" s="10" t="s">
        <v>27</v>
      </c>
      <c r="F10" s="36" t="s">
        <v>23</v>
      </c>
      <c r="G10" s="37" t="s">
        <v>24</v>
      </c>
      <c r="K10" s="40"/>
    </row>
    <row r="11" spans="2:11" x14ac:dyDescent="0.25">
      <c r="B11" s="3" t="s">
        <v>26</v>
      </c>
      <c r="C11" s="13">
        <v>3725.74</v>
      </c>
      <c r="E11" s="15" t="s">
        <v>58</v>
      </c>
      <c r="F11" s="38" t="s">
        <v>28</v>
      </c>
      <c r="G11" s="30">
        <v>-0.21</v>
      </c>
    </row>
    <row r="12" spans="2:11" ht="15.75" thickBot="1" x14ac:dyDescent="0.3">
      <c r="B12" s="3" t="s">
        <v>11</v>
      </c>
      <c r="C12" s="13">
        <v>3799.45</v>
      </c>
      <c r="E12" s="16" t="s">
        <v>60</v>
      </c>
      <c r="F12" s="31">
        <v>0.09</v>
      </c>
      <c r="G12" s="32">
        <v>-0.18</v>
      </c>
    </row>
    <row r="13" spans="2:11" ht="15.75" thickBot="1" x14ac:dyDescent="0.3">
      <c r="B13" s="7" t="s">
        <v>5</v>
      </c>
      <c r="C13" s="14">
        <v>0.27800000000000002</v>
      </c>
      <c r="E13" s="16" t="s">
        <v>61</v>
      </c>
      <c r="F13" s="31">
        <v>0.12</v>
      </c>
      <c r="G13" s="32">
        <v>-0.15</v>
      </c>
    </row>
    <row r="14" spans="2:11" ht="15.75" thickBot="1" x14ac:dyDescent="0.3">
      <c r="E14" s="16" t="s">
        <v>29</v>
      </c>
      <c r="F14" s="31">
        <v>0.15</v>
      </c>
      <c r="G14" s="32">
        <v>-0.15</v>
      </c>
    </row>
    <row r="15" spans="2:11" x14ac:dyDescent="0.25">
      <c r="B15" s="8" t="s">
        <v>13</v>
      </c>
      <c r="C15" s="9"/>
      <c r="E15" s="16" t="s">
        <v>62</v>
      </c>
      <c r="F15" s="31">
        <v>0.15</v>
      </c>
      <c r="G15" s="32">
        <v>-0.12</v>
      </c>
    </row>
    <row r="16" spans="2:11" x14ac:dyDescent="0.25">
      <c r="B16" s="3" t="s">
        <v>9</v>
      </c>
      <c r="C16" s="4">
        <f>C6*C$13*252^-0.5</f>
        <v>65.811250893142827</v>
      </c>
      <c r="E16" s="16" t="s">
        <v>63</v>
      </c>
      <c r="F16" s="31">
        <v>0.18</v>
      </c>
      <c r="G16" s="32">
        <v>-0.09</v>
      </c>
    </row>
    <row r="17" spans="2:7" ht="15.75" thickBot="1" x14ac:dyDescent="0.3">
      <c r="B17" s="3" t="s">
        <v>7</v>
      </c>
      <c r="C17" s="4">
        <f>C6+C16</f>
        <v>3823.8012508931424</v>
      </c>
      <c r="E17" s="18" t="s">
        <v>59</v>
      </c>
      <c r="F17" s="33">
        <v>0.21</v>
      </c>
      <c r="G17" s="39" t="s">
        <v>28</v>
      </c>
    </row>
    <row r="18" spans="2:7" ht="15.75" thickBot="1" x14ac:dyDescent="0.3">
      <c r="B18" s="5" t="s">
        <v>8</v>
      </c>
      <c r="C18" s="6">
        <f>C6-C16</f>
        <v>3692.1787491068571</v>
      </c>
    </row>
    <row r="19" spans="2:7" ht="15.75" thickBot="1" x14ac:dyDescent="0.3"/>
    <row r="20" spans="2:7" x14ac:dyDescent="0.25">
      <c r="B20" s="8" t="s">
        <v>14</v>
      </c>
      <c r="C20" s="9"/>
    </row>
    <row r="21" spans="2:7" x14ac:dyDescent="0.25">
      <c r="B21" s="3" t="s">
        <v>9</v>
      </c>
      <c r="C21" s="4">
        <f>C7*C$13*(2/252)^0.5</f>
        <v>93.466679918244026</v>
      </c>
    </row>
    <row r="22" spans="2:7" x14ac:dyDescent="0.25">
      <c r="B22" s="3" t="s">
        <v>7</v>
      </c>
      <c r="C22" s="4">
        <f>C7+C21</f>
        <v>3867.4266799182442</v>
      </c>
    </row>
    <row r="23" spans="2:7" ht="15.75" thickBot="1" x14ac:dyDescent="0.3">
      <c r="B23" s="5" t="s">
        <v>8</v>
      </c>
      <c r="C23" s="6">
        <f>C7-C21</f>
        <v>3680.4933200817559</v>
      </c>
    </row>
    <row r="24" spans="2:7" ht="15.75" thickBot="1" x14ac:dyDescent="0.3"/>
    <row r="25" spans="2:7" x14ac:dyDescent="0.25">
      <c r="B25" s="8" t="s">
        <v>15</v>
      </c>
      <c r="C25" s="9"/>
    </row>
    <row r="26" spans="2:7" x14ac:dyDescent="0.25">
      <c r="B26" s="3" t="s">
        <v>9</v>
      </c>
      <c r="C26" s="4">
        <f>C17*C$13*(5/252)^0.5</f>
        <v>149.7355212011901</v>
      </c>
    </row>
    <row r="27" spans="2:7" x14ac:dyDescent="0.25">
      <c r="B27" s="3" t="s">
        <v>7</v>
      </c>
      <c r="C27" s="4">
        <f>C8+C26</f>
        <v>3985.1455212011901</v>
      </c>
    </row>
    <row r="28" spans="2:7" ht="15.75" thickBot="1" x14ac:dyDescent="0.3">
      <c r="B28" s="5" t="s">
        <v>8</v>
      </c>
      <c r="C28" s="6">
        <f>C8-C26</f>
        <v>3685.6744787988096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6A24-2033-402A-BBD4-215D07AF7C50}">
  <dimension ref="B1:N27"/>
  <sheetViews>
    <sheetView zoomScaleNormal="100" workbookViewId="0">
      <selection activeCell="M17" sqref="M17"/>
    </sheetView>
  </sheetViews>
  <sheetFormatPr defaultRowHeight="15" x14ac:dyDescent="0.25"/>
  <cols>
    <col min="1" max="1" width="9.140625" style="17"/>
    <col min="2" max="2" width="16.28515625" style="17" bestFit="1" customWidth="1"/>
    <col min="3" max="3" width="11.28515625" style="17" customWidth="1"/>
    <col min="4" max="4" width="9.140625" style="17"/>
    <col min="5" max="5" width="23" style="17" bestFit="1" customWidth="1"/>
    <col min="6" max="6" width="6.85546875" style="68" customWidth="1"/>
    <col min="7" max="7" width="7" style="68" bestFit="1" customWidth="1"/>
    <col min="8" max="8" width="9.5703125" style="17" bestFit="1" customWidth="1"/>
    <col min="9" max="9" width="9.140625" style="17"/>
    <col min="10" max="10" width="26.28515625" style="17" bestFit="1" customWidth="1"/>
    <col min="11" max="12" width="10.85546875" style="17" customWidth="1"/>
    <col min="13" max="16384" width="9.140625" style="17"/>
  </cols>
  <sheetData>
    <row r="1" spans="2:14" x14ac:dyDescent="0.25">
      <c r="C1" s="75"/>
      <c r="F1" s="17"/>
      <c r="G1" s="17"/>
    </row>
    <row r="2" spans="2:14" x14ac:dyDescent="0.25">
      <c r="B2" s="22" t="s">
        <v>67</v>
      </c>
      <c r="C2" s="17">
        <v>2022</v>
      </c>
      <c r="F2" s="84" t="s">
        <v>84</v>
      </c>
      <c r="G2" s="84" t="s">
        <v>86</v>
      </c>
      <c r="H2" s="71" t="s">
        <v>85</v>
      </c>
      <c r="I2" s="22"/>
      <c r="J2" s="22"/>
      <c r="K2" s="70" t="s">
        <v>69</v>
      </c>
      <c r="L2" s="71" t="s">
        <v>6</v>
      </c>
      <c r="M2" s="22"/>
      <c r="N2" s="22"/>
    </row>
    <row r="3" spans="2:14" x14ac:dyDescent="0.25">
      <c r="B3" s="22" t="s">
        <v>68</v>
      </c>
      <c r="C3" s="75">
        <v>44824</v>
      </c>
      <c r="E3" s="22" t="s">
        <v>81</v>
      </c>
      <c r="F3" s="78">
        <f>COUNTA(Tracker!K:K)-1</f>
        <v>4</v>
      </c>
      <c r="G3" s="80" t="s">
        <v>28</v>
      </c>
      <c r="H3" s="72">
        <f>C7/F3</f>
        <v>24.249999999999886</v>
      </c>
      <c r="J3" s="22" t="s">
        <v>87</v>
      </c>
      <c r="K3" s="68">
        <f>2*1.25%</f>
        <v>2.5000000000000001E-2</v>
      </c>
      <c r="L3" s="72">
        <f>K3*C5</f>
        <v>592.0412500000001</v>
      </c>
      <c r="M3" s="77"/>
    </row>
    <row r="4" spans="2:14" x14ac:dyDescent="0.25">
      <c r="B4" s="22" t="s">
        <v>71</v>
      </c>
      <c r="C4" s="72">
        <v>23681.65</v>
      </c>
      <c r="E4" s="22" t="s">
        <v>82</v>
      </c>
      <c r="F4" s="78">
        <f>COUNTIF(Tracker!J:J, "&gt;0")</f>
        <v>3</v>
      </c>
      <c r="G4" s="81">
        <f>F4/F3</f>
        <v>0.75</v>
      </c>
      <c r="H4" s="72">
        <f>(SUMIF(Tracker!H:H, "&gt;0", Tracker!H:H)-SUMIF(Tracker!H2,"&gt;0", Tracker!H2))/F4*100</f>
        <v>694.66666666666663</v>
      </c>
      <c r="J4" s="22" t="s">
        <v>88</v>
      </c>
      <c r="K4" s="68">
        <f>-3.75%</f>
        <v>-3.7499999999999999E-2</v>
      </c>
      <c r="L4" s="72">
        <f>K4*C5</f>
        <v>-888.06187499999999</v>
      </c>
    </row>
    <row r="5" spans="2:14" x14ac:dyDescent="0.25">
      <c r="B5" s="22" t="s">
        <v>70</v>
      </c>
      <c r="C5" s="72">
        <v>23681.65</v>
      </c>
      <c r="E5" s="22" t="s">
        <v>83</v>
      </c>
      <c r="F5" s="78">
        <f>COUNTIF(Tracker!J:J, "&lt;0")</f>
        <v>1</v>
      </c>
      <c r="G5" s="81">
        <f>F5/F3</f>
        <v>0.25</v>
      </c>
      <c r="H5" s="72">
        <f>IFERROR((SUMIF(Tracker!H:H, "&lt;0", Tracker!H:H)-SUMIF(Tracker!H2,"&lt;0", Tracker!H2))/F5*100, 0)</f>
        <v>-1987.0000000000005</v>
      </c>
      <c r="J5" s="22" t="s">
        <v>89</v>
      </c>
      <c r="K5" s="68">
        <f>+K3+K4</f>
        <v>-1.2499999999999997E-2</v>
      </c>
      <c r="L5" s="72">
        <f>+L3+L4</f>
        <v>-296.02062499999988</v>
      </c>
      <c r="M5" s="77"/>
    </row>
    <row r="6" spans="2:14" x14ac:dyDescent="0.25">
      <c r="B6" s="22"/>
      <c r="E6" s="22"/>
    </row>
    <row r="7" spans="2:14" x14ac:dyDescent="0.25">
      <c r="B7" s="22" t="s">
        <v>43</v>
      </c>
      <c r="C7" s="72">
        <f>INDEX(Tracker!K:K, COUNTA(Tracker!K:K)+3,1)</f>
        <v>96.999999999999545</v>
      </c>
      <c r="E7" s="22" t="s">
        <v>72</v>
      </c>
      <c r="F7" s="76">
        <f>C7/C4</f>
        <v>4.0959983784913442E-3</v>
      </c>
      <c r="G7" s="76"/>
      <c r="J7" s="22" t="s">
        <v>76</v>
      </c>
      <c r="K7" s="82">
        <v>20</v>
      </c>
      <c r="L7" s="82">
        <v>25</v>
      </c>
    </row>
    <row r="8" spans="2:14" x14ac:dyDescent="0.25">
      <c r="B8" s="22" t="s">
        <v>74</v>
      </c>
      <c r="C8" s="72">
        <f>INDEX(Tracker!L:L, COUNTA(Tracker!L:L)+3,1)</f>
        <v>3483</v>
      </c>
      <c r="E8" s="22" t="s">
        <v>77</v>
      </c>
      <c r="F8" s="76">
        <f>(1+F7)^(365/(Indicator!B2-Dashboard!C3+1))-1</f>
        <v>0.45207922266486622</v>
      </c>
      <c r="G8" s="76"/>
      <c r="J8" s="22" t="s">
        <v>80</v>
      </c>
      <c r="K8" s="82">
        <f>FLOOR(MROUND(C4/1000, 5)/20, 1)</f>
        <v>1</v>
      </c>
      <c r="L8" s="79">
        <f>FLOOR(MROUND(C4/1000, 5)/25, 1)</f>
        <v>1</v>
      </c>
    </row>
    <row r="9" spans="2:14" x14ac:dyDescent="0.25">
      <c r="B9" s="22" t="s">
        <v>73</v>
      </c>
      <c r="C9" s="76">
        <f>C7/C8</f>
        <v>2.7849554981337798E-2</v>
      </c>
      <c r="E9" s="22" t="s">
        <v>78</v>
      </c>
      <c r="F9" s="76">
        <f>(1+F7)^((44927-C3)/(Indicator!B2-Dashboard!C3+1))-1</f>
        <v>0.1109955883822813</v>
      </c>
      <c r="G9" s="76"/>
      <c r="J9" s="22" t="s">
        <v>79</v>
      </c>
      <c r="K9" s="83">
        <f>K7*K8*100*2</f>
        <v>4000</v>
      </c>
      <c r="L9" s="83">
        <f>L7*L8*100*2</f>
        <v>5000</v>
      </c>
    </row>
    <row r="24" spans="11:12" x14ac:dyDescent="0.25">
      <c r="K24" s="69"/>
      <c r="L24" s="69"/>
    </row>
    <row r="25" spans="11:12" x14ac:dyDescent="0.25">
      <c r="K25" s="69"/>
      <c r="L25" s="69"/>
    </row>
    <row r="26" spans="11:12" x14ac:dyDescent="0.25">
      <c r="K26" s="69"/>
      <c r="L26" s="69"/>
    </row>
    <row r="27" spans="11:12" x14ac:dyDescent="0.25">
      <c r="K27" s="69"/>
      <c r="L27" s="6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2D01-CC02-4066-B9D6-9DFF5A0A89C9}">
  <dimension ref="A1:M8"/>
  <sheetViews>
    <sheetView workbookViewId="0">
      <selection activeCell="M15" sqref="M15"/>
    </sheetView>
  </sheetViews>
  <sheetFormatPr defaultRowHeight="15" x14ac:dyDescent="0.25"/>
  <cols>
    <col min="1" max="1" width="9.7109375" style="58" bestFit="1" customWidth="1"/>
    <col min="2" max="5" width="9.140625" style="42"/>
    <col min="6" max="6" width="9.140625" style="41"/>
    <col min="7" max="7" width="10.42578125" style="41" bestFit="1" customWidth="1"/>
    <col min="8" max="8" width="9.140625" style="17"/>
    <col min="9" max="9" width="9.140625" style="61"/>
    <col min="10" max="10" width="10" style="17" bestFit="1" customWidth="1"/>
    <col min="11" max="11" width="12.140625" style="66" bestFit="1" customWidth="1"/>
    <col min="12" max="12" width="11.85546875" bestFit="1" customWidth="1"/>
    <col min="13" max="13" width="55.140625" style="17" bestFit="1" customWidth="1"/>
    <col min="14" max="16384" width="9.140625" style="17"/>
  </cols>
  <sheetData>
    <row r="1" spans="1:13" customFormat="1" x14ac:dyDescent="0.25">
      <c r="A1" s="53" t="s">
        <v>44</v>
      </c>
      <c r="B1" s="54"/>
      <c r="C1" s="54"/>
      <c r="D1" s="54"/>
      <c r="E1" s="54"/>
      <c r="F1" s="55"/>
      <c r="G1" s="55"/>
      <c r="H1" s="56"/>
      <c r="I1" s="57"/>
      <c r="K1" s="66"/>
    </row>
    <row r="2" spans="1:13" customFormat="1" x14ac:dyDescent="0.25">
      <c r="A2" s="58">
        <f>Indicator!B2</f>
        <v>44827</v>
      </c>
      <c r="B2" s="43">
        <f>Indicator!$C$9</f>
        <v>3727.14</v>
      </c>
      <c r="C2" s="43">
        <f>Indicator!$C$10</f>
        <v>3693.49</v>
      </c>
      <c r="D2" s="43">
        <f>Indicator!$C$11</f>
        <v>3725.74</v>
      </c>
      <c r="E2" s="43">
        <f>Indicator!$C$12</f>
        <v>3799.45</v>
      </c>
      <c r="F2" s="44">
        <f>Indicator!$C$13</f>
        <v>0.27800000000000002</v>
      </c>
      <c r="G2" s="44">
        <f>Indicator!$F$8</f>
        <v>0.22597893531506713</v>
      </c>
      <c r="H2" s="59">
        <f>SUMIF(Trades!A:A,Tracker!A2,Trades!H:H)</f>
        <v>-19.870000000000005</v>
      </c>
      <c r="I2" s="60">
        <f>SUMIFS(Trades!H:H,  Trades!A:A,Tracker!A2,  Trades!C:C, "STO")</f>
        <v>12.66</v>
      </c>
      <c r="J2" s="21"/>
      <c r="K2" s="66"/>
    </row>
    <row r="3" spans="1:13" customFormat="1" x14ac:dyDescent="0.25">
      <c r="A3" s="58"/>
      <c r="B3" s="42"/>
      <c r="C3" s="42"/>
      <c r="D3" s="42"/>
      <c r="E3" s="42"/>
      <c r="F3" s="41"/>
      <c r="G3" s="41"/>
      <c r="H3" s="50"/>
      <c r="I3" s="61"/>
      <c r="K3" s="66"/>
    </row>
    <row r="4" spans="1:13" x14ac:dyDescent="0.25">
      <c r="A4" s="62" t="s">
        <v>31</v>
      </c>
      <c r="B4" s="45" t="s">
        <v>30</v>
      </c>
      <c r="C4" s="45" t="s">
        <v>38</v>
      </c>
      <c r="D4" s="45" t="s">
        <v>39</v>
      </c>
      <c r="E4" s="45" t="s">
        <v>40</v>
      </c>
      <c r="F4" s="46" t="s">
        <v>41</v>
      </c>
      <c r="G4" s="46" t="s">
        <v>42</v>
      </c>
      <c r="H4" s="47" t="s">
        <v>43</v>
      </c>
      <c r="I4" s="63" t="s">
        <v>64</v>
      </c>
      <c r="J4" s="47" t="s">
        <v>48</v>
      </c>
      <c r="K4" s="67" t="s">
        <v>65</v>
      </c>
      <c r="L4" s="47" t="s">
        <v>75</v>
      </c>
      <c r="M4" s="74" t="s">
        <v>49</v>
      </c>
    </row>
    <row r="5" spans="1:13" x14ac:dyDescent="0.25">
      <c r="A5" s="58">
        <v>44824</v>
      </c>
      <c r="B5" s="42">
        <v>3876.23</v>
      </c>
      <c r="C5" s="42">
        <v>3856.04</v>
      </c>
      <c r="D5" s="42">
        <v>3877.96</v>
      </c>
      <c r="E5" s="42">
        <v>3895.32</v>
      </c>
      <c r="F5" s="41">
        <v>0.24099999999999999</v>
      </c>
      <c r="G5" s="41">
        <v>0.25700000000000001</v>
      </c>
      <c r="H5" s="17">
        <v>7.2899999999999991</v>
      </c>
      <c r="I5" s="61">
        <v>7.2899999999999991</v>
      </c>
      <c r="J5" s="21">
        <f>H5/I5</f>
        <v>1</v>
      </c>
      <c r="K5" s="66">
        <f>H5*100</f>
        <v>728.99999999999989</v>
      </c>
      <c r="L5">
        <f>I5*100</f>
        <v>728.99999999999989</v>
      </c>
    </row>
    <row r="6" spans="1:13" x14ac:dyDescent="0.25">
      <c r="A6" s="58">
        <v>44825</v>
      </c>
      <c r="B6" s="42">
        <v>3871.4</v>
      </c>
      <c r="C6" s="42">
        <v>3789.93</v>
      </c>
      <c r="D6" s="42">
        <v>3822.93</v>
      </c>
      <c r="E6" s="42">
        <v>3864.09</v>
      </c>
      <c r="F6" s="41">
        <v>0.249</v>
      </c>
      <c r="G6" s="41">
        <v>0.51517990352733356</v>
      </c>
      <c r="H6" s="17">
        <v>3.84</v>
      </c>
      <c r="I6" s="61">
        <v>5.17</v>
      </c>
      <c r="J6" s="21">
        <f>H6/I6</f>
        <v>0.74274661508704065</v>
      </c>
      <c r="K6" s="66">
        <f>K5+H6*100</f>
        <v>1113</v>
      </c>
      <c r="L6">
        <f>I6*100+L5</f>
        <v>1246</v>
      </c>
      <c r="M6" s="17" t="s">
        <v>50</v>
      </c>
    </row>
    <row r="7" spans="1:13" x14ac:dyDescent="0.25">
      <c r="A7" s="58">
        <v>44826</v>
      </c>
      <c r="B7" s="42">
        <v>3782.36</v>
      </c>
      <c r="C7" s="42">
        <v>3757.99</v>
      </c>
      <c r="D7" s="42">
        <v>3773.96</v>
      </c>
      <c r="E7" s="42">
        <v>3835.41</v>
      </c>
      <c r="F7" s="41">
        <v>0.25900000000000001</v>
      </c>
      <c r="G7" s="41">
        <v>0.32110807324379981</v>
      </c>
      <c r="H7" s="17">
        <v>9.7100000000000009</v>
      </c>
      <c r="I7" s="61">
        <v>9.7100000000000009</v>
      </c>
      <c r="J7" s="21">
        <f>H7/I7</f>
        <v>1</v>
      </c>
      <c r="K7" s="66">
        <f>K6+H7*100</f>
        <v>2084</v>
      </c>
      <c r="L7">
        <f>I7*100+L6</f>
        <v>2217</v>
      </c>
    </row>
    <row r="8" spans="1:13" x14ac:dyDescent="0.25">
      <c r="A8" s="58">
        <v>44827</v>
      </c>
      <c r="B8" s="42">
        <v>3727.14</v>
      </c>
      <c r="C8" s="42">
        <v>3693.49</v>
      </c>
      <c r="D8" s="42">
        <v>3725.74</v>
      </c>
      <c r="E8" s="42">
        <v>3799.45</v>
      </c>
      <c r="F8" s="41">
        <v>0.26400000000000001</v>
      </c>
      <c r="G8" s="41">
        <v>0.22597893531506713</v>
      </c>
      <c r="H8" s="17">
        <v>-19.870000000000005</v>
      </c>
      <c r="I8" s="61">
        <v>12.66</v>
      </c>
      <c r="J8" s="21">
        <f>H8/I8</f>
        <v>-1.5695102685624016</v>
      </c>
      <c r="K8" s="66">
        <f>K7+H8*100</f>
        <v>96.999999999999545</v>
      </c>
      <c r="L8">
        <f>I8*100+L7</f>
        <v>3483</v>
      </c>
      <c r="M8" s="17" t="s">
        <v>119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AAA6-779C-4846-96DE-7528F04CBAF7}">
  <dimension ref="A1:L12"/>
  <sheetViews>
    <sheetView workbookViewId="0">
      <selection activeCell="D32" sqref="D32"/>
    </sheetView>
  </sheetViews>
  <sheetFormatPr defaultRowHeight="15" x14ac:dyDescent="0.25"/>
  <cols>
    <col min="1" max="1" width="9.7109375" style="48" bestFit="1" customWidth="1"/>
    <col min="2" max="2" width="9.7109375" style="49" customWidth="1"/>
    <col min="3" max="3" width="6.85546875" style="31" bestFit="1" customWidth="1"/>
    <col min="4" max="4" width="30.140625" style="17" bestFit="1" customWidth="1"/>
    <col min="5" max="5" width="6" style="102" bestFit="1" customWidth="1"/>
    <col min="6" max="6" width="4.140625" style="31" bestFit="1" customWidth="1"/>
    <col min="7" max="7" width="7.140625" style="50" customWidth="1"/>
    <col min="8" max="8" width="7.140625" style="51" customWidth="1"/>
    <col min="9" max="9" width="11.140625" style="52" bestFit="1" customWidth="1"/>
    <col min="10" max="10" width="14.85546875" style="73" bestFit="1" customWidth="1"/>
    <col min="11" max="11" width="12.5703125" style="52" bestFit="1" customWidth="1"/>
    <col min="12" max="12" width="16.28515625" style="73" bestFit="1" customWidth="1"/>
  </cols>
  <sheetData>
    <row r="1" spans="1:12" s="92" customFormat="1" x14ac:dyDescent="0.25">
      <c r="A1" s="85" t="s">
        <v>31</v>
      </c>
      <c r="B1" s="86" t="s">
        <v>34</v>
      </c>
      <c r="C1" s="34" t="s">
        <v>32</v>
      </c>
      <c r="D1" s="87" t="s">
        <v>33</v>
      </c>
      <c r="E1" s="101" t="s">
        <v>35</v>
      </c>
      <c r="F1" s="34" t="s">
        <v>36</v>
      </c>
      <c r="G1" s="88" t="s">
        <v>37</v>
      </c>
      <c r="H1" s="89" t="s">
        <v>43</v>
      </c>
      <c r="I1" s="90" t="s">
        <v>53</v>
      </c>
      <c r="J1" s="91" t="s">
        <v>52</v>
      </c>
      <c r="K1" s="90" t="s">
        <v>56</v>
      </c>
      <c r="L1" s="91" t="s">
        <v>57</v>
      </c>
    </row>
    <row r="2" spans="1:12" x14ac:dyDescent="0.25">
      <c r="A2" s="48">
        <v>44824</v>
      </c>
      <c r="B2" s="49">
        <v>949</v>
      </c>
      <c r="C2" s="31" t="s">
        <v>45</v>
      </c>
      <c r="D2" s="17" t="s">
        <v>46</v>
      </c>
      <c r="E2" s="102">
        <v>-0.15</v>
      </c>
      <c r="F2" s="31">
        <v>1</v>
      </c>
      <c r="G2" s="50">
        <v>4.2699999999999996</v>
      </c>
      <c r="H2" s="51">
        <f t="shared" ref="H2:H9" si="0">G2*F2</f>
        <v>4.2699999999999996</v>
      </c>
      <c r="I2" s="52">
        <v>3</v>
      </c>
      <c r="J2" s="73">
        <f t="shared" ref="J2:J4" si="1">-I2*H2</f>
        <v>-12.809999999999999</v>
      </c>
    </row>
    <row r="3" spans="1:12" x14ac:dyDescent="0.25">
      <c r="A3" s="48">
        <v>44824</v>
      </c>
      <c r="B3" s="49">
        <v>950</v>
      </c>
      <c r="C3" s="31" t="s">
        <v>45</v>
      </c>
      <c r="D3" s="17" t="s">
        <v>47</v>
      </c>
      <c r="E3" s="102">
        <v>0.09</v>
      </c>
      <c r="F3" s="31">
        <v>1</v>
      </c>
      <c r="G3" s="50">
        <v>3.02</v>
      </c>
      <c r="H3" s="51">
        <f t="shared" si="0"/>
        <v>3.02</v>
      </c>
      <c r="I3" s="52">
        <v>3</v>
      </c>
      <c r="J3" s="73">
        <f t="shared" si="1"/>
        <v>-9.06</v>
      </c>
    </row>
    <row r="4" spans="1:12" x14ac:dyDescent="0.25">
      <c r="A4" s="48">
        <v>44825</v>
      </c>
      <c r="B4" s="49">
        <v>944</v>
      </c>
      <c r="C4" s="31" t="s">
        <v>45</v>
      </c>
      <c r="D4" s="17" t="s">
        <v>51</v>
      </c>
      <c r="E4" s="102">
        <v>-0.15</v>
      </c>
      <c r="F4" s="31">
        <v>1</v>
      </c>
      <c r="G4" s="50">
        <v>5.17</v>
      </c>
      <c r="H4" s="51">
        <f t="shared" si="0"/>
        <v>5.17</v>
      </c>
      <c r="I4" s="52">
        <v>2.5</v>
      </c>
      <c r="J4" s="73">
        <f t="shared" si="1"/>
        <v>-12.925000000000001</v>
      </c>
      <c r="K4" s="52">
        <v>0.75</v>
      </c>
      <c r="L4" s="73">
        <f>-G4+K4*G4</f>
        <v>-1.2925</v>
      </c>
    </row>
    <row r="5" spans="1:12" x14ac:dyDescent="0.25">
      <c r="A5" s="48">
        <v>44825</v>
      </c>
      <c r="B5" s="49">
        <v>243</v>
      </c>
      <c r="C5" s="31" t="s">
        <v>55</v>
      </c>
      <c r="D5" s="17" t="s">
        <v>54</v>
      </c>
      <c r="F5" s="31">
        <v>1</v>
      </c>
      <c r="G5" s="50">
        <v>-1.33</v>
      </c>
      <c r="H5" s="51">
        <f t="shared" si="0"/>
        <v>-1.33</v>
      </c>
    </row>
    <row r="6" spans="1:12" x14ac:dyDescent="0.25">
      <c r="A6" s="48">
        <v>44826</v>
      </c>
      <c r="B6" s="49">
        <v>937</v>
      </c>
      <c r="C6" s="31" t="s">
        <v>45</v>
      </c>
      <c r="D6" s="69" t="s">
        <v>91</v>
      </c>
      <c r="E6" s="102">
        <v>-0.16</v>
      </c>
      <c r="F6" s="31">
        <v>1</v>
      </c>
      <c r="G6" s="50">
        <v>4.97</v>
      </c>
      <c r="H6" s="51">
        <f t="shared" si="0"/>
        <v>4.97</v>
      </c>
      <c r="I6" s="52">
        <v>3</v>
      </c>
      <c r="J6" s="73">
        <f>-I6*H6</f>
        <v>-14.91</v>
      </c>
    </row>
    <row r="7" spans="1:12" x14ac:dyDescent="0.25">
      <c r="A7" s="48">
        <v>44826</v>
      </c>
      <c r="B7" s="49">
        <v>946</v>
      </c>
      <c r="C7" s="31" t="s">
        <v>45</v>
      </c>
      <c r="D7" s="69" t="s">
        <v>90</v>
      </c>
      <c r="E7" s="102">
        <v>0.13</v>
      </c>
      <c r="F7" s="31">
        <v>2</v>
      </c>
      <c r="G7" s="50">
        <v>2.37</v>
      </c>
      <c r="H7" s="51">
        <f t="shared" si="0"/>
        <v>4.74</v>
      </c>
      <c r="I7" s="52">
        <v>3</v>
      </c>
      <c r="J7" s="73">
        <f>-I7*H7</f>
        <v>-14.22</v>
      </c>
    </row>
    <row r="8" spans="1:12" x14ac:dyDescent="0.25">
      <c r="A8" s="48">
        <v>44827</v>
      </c>
      <c r="B8" s="49">
        <v>936</v>
      </c>
      <c r="C8" s="31" t="s">
        <v>45</v>
      </c>
      <c r="D8" s="69" t="s">
        <v>114</v>
      </c>
      <c r="E8" s="102">
        <v>-0.3</v>
      </c>
      <c r="F8" s="31">
        <v>1</v>
      </c>
      <c r="G8" s="50">
        <v>6.47</v>
      </c>
      <c r="H8" s="51">
        <f t="shared" si="0"/>
        <v>6.47</v>
      </c>
      <c r="I8" s="52">
        <v>3</v>
      </c>
      <c r="J8" s="73">
        <f>-I8*H8</f>
        <v>-19.41</v>
      </c>
    </row>
    <row r="9" spans="1:12" x14ac:dyDescent="0.25">
      <c r="A9" s="48">
        <v>44827</v>
      </c>
      <c r="B9" s="49">
        <v>949</v>
      </c>
      <c r="C9" s="31" t="s">
        <v>45</v>
      </c>
      <c r="D9" s="69" t="s">
        <v>115</v>
      </c>
      <c r="E9" s="102">
        <v>-0.19</v>
      </c>
      <c r="F9" s="31">
        <v>1</v>
      </c>
      <c r="G9" s="50">
        <v>3.97</v>
      </c>
      <c r="H9" s="51">
        <f t="shared" si="0"/>
        <v>3.97</v>
      </c>
      <c r="I9" s="52">
        <v>3</v>
      </c>
      <c r="J9" s="73">
        <f>-I9*H9</f>
        <v>-11.91</v>
      </c>
    </row>
    <row r="10" spans="1:12" x14ac:dyDescent="0.25">
      <c r="A10" s="48">
        <v>44827</v>
      </c>
      <c r="B10" s="49">
        <v>240</v>
      </c>
      <c r="C10" s="31" t="s">
        <v>116</v>
      </c>
      <c r="D10" s="69" t="s">
        <v>117</v>
      </c>
      <c r="F10" s="31">
        <v>1</v>
      </c>
      <c r="G10" s="50">
        <v>-12.43</v>
      </c>
      <c r="H10" s="51">
        <f t="shared" ref="H10:H12" si="2">G10*F10</f>
        <v>-12.43</v>
      </c>
    </row>
    <row r="11" spans="1:12" x14ac:dyDescent="0.25">
      <c r="A11" s="48">
        <v>44827</v>
      </c>
      <c r="B11" s="49">
        <v>255</v>
      </c>
      <c r="C11" s="31" t="s">
        <v>116</v>
      </c>
      <c r="D11" s="69" t="s">
        <v>114</v>
      </c>
      <c r="F11" s="31">
        <v>1</v>
      </c>
      <c r="G11" s="50">
        <v>-20.100000000000001</v>
      </c>
      <c r="H11" s="51">
        <f t="shared" si="2"/>
        <v>-20.100000000000001</v>
      </c>
    </row>
    <row r="12" spans="1:12" x14ac:dyDescent="0.25">
      <c r="A12" s="48">
        <v>44827</v>
      </c>
      <c r="B12" s="49">
        <v>311</v>
      </c>
      <c r="C12" s="31" t="s">
        <v>45</v>
      </c>
      <c r="D12" s="69" t="s">
        <v>118</v>
      </c>
      <c r="E12" s="102">
        <v>-0.19</v>
      </c>
      <c r="F12" s="31">
        <v>1</v>
      </c>
      <c r="G12" s="50">
        <v>2.2200000000000002</v>
      </c>
      <c r="H12" s="51">
        <f t="shared" si="2"/>
        <v>2.2200000000000002</v>
      </c>
      <c r="I12" s="52">
        <v>3</v>
      </c>
      <c r="J12" s="73">
        <f>-I12*H12</f>
        <v>-6.66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F32E-FB9F-420E-8864-907EF6C913D5}">
  <dimension ref="B2:I23"/>
  <sheetViews>
    <sheetView workbookViewId="0">
      <selection activeCell="G21" sqref="G21"/>
    </sheetView>
  </sheetViews>
  <sheetFormatPr defaultRowHeight="15" x14ac:dyDescent="0.25"/>
  <cols>
    <col min="2" max="2" width="22" customWidth="1"/>
    <col min="3" max="8" width="15.28515625" customWidth="1"/>
  </cols>
  <sheetData>
    <row r="2" spans="2:9" x14ac:dyDescent="0.25">
      <c r="B2" t="s">
        <v>92</v>
      </c>
    </row>
    <row r="3" spans="2:9" x14ac:dyDescent="0.25">
      <c r="B3" t="s">
        <v>93</v>
      </c>
    </row>
    <row r="4" spans="2:9" x14ac:dyDescent="0.25">
      <c r="B4" t="s">
        <v>94</v>
      </c>
    </row>
    <row r="6" spans="2:9" x14ac:dyDescent="0.25">
      <c r="B6" s="92"/>
      <c r="C6" s="92" t="s">
        <v>95</v>
      </c>
      <c r="D6" s="92" t="s">
        <v>96</v>
      </c>
      <c r="E6" s="92" t="s">
        <v>97</v>
      </c>
      <c r="F6" s="92" t="s">
        <v>98</v>
      </c>
      <c r="G6" s="92" t="s">
        <v>99</v>
      </c>
      <c r="H6" s="92" t="s">
        <v>95</v>
      </c>
      <c r="I6" s="92"/>
    </row>
    <row r="7" spans="2:9" x14ac:dyDescent="0.25">
      <c r="B7" s="92" t="s">
        <v>100</v>
      </c>
      <c r="C7" s="93">
        <v>-1.5</v>
      </c>
      <c r="D7" s="93">
        <v>-1.1000000000000001</v>
      </c>
      <c r="E7" s="93">
        <v>-1</v>
      </c>
      <c r="F7" s="93">
        <v>1</v>
      </c>
      <c r="G7" s="93">
        <v>1.1000000000000001</v>
      </c>
      <c r="H7" s="93">
        <v>1.5</v>
      </c>
    </row>
    <row r="8" spans="2:9" x14ac:dyDescent="0.25">
      <c r="B8" s="92" t="s">
        <v>101</v>
      </c>
      <c r="C8">
        <v>-75</v>
      </c>
      <c r="D8">
        <v>-55</v>
      </c>
      <c r="E8">
        <v>-50</v>
      </c>
      <c r="F8">
        <v>50</v>
      </c>
      <c r="G8">
        <v>55</v>
      </c>
      <c r="H8">
        <v>75</v>
      </c>
    </row>
    <row r="9" spans="2:9" x14ac:dyDescent="0.25">
      <c r="B9" s="92" t="s">
        <v>102</v>
      </c>
      <c r="C9" s="94">
        <v>-0.43319999999999997</v>
      </c>
      <c r="D9" s="94">
        <v>-0.36430000000000001</v>
      </c>
      <c r="E9" s="94">
        <v>-0.34129999999999999</v>
      </c>
      <c r="F9" s="94">
        <v>0.34129999999999999</v>
      </c>
      <c r="G9" s="94">
        <v>0.36430000000000001</v>
      </c>
      <c r="H9" s="94">
        <v>0.43319999999999997</v>
      </c>
    </row>
    <row r="10" spans="2:9" x14ac:dyDescent="0.25">
      <c r="B10" s="92" t="s">
        <v>43</v>
      </c>
      <c r="C10" s="95">
        <v>-250</v>
      </c>
      <c r="D10" s="95">
        <v>0</v>
      </c>
      <c r="E10" s="95">
        <v>500</v>
      </c>
      <c r="F10" s="95">
        <v>500</v>
      </c>
      <c r="G10" s="95">
        <v>0</v>
      </c>
      <c r="H10" s="95">
        <v>-250</v>
      </c>
    </row>
    <row r="13" spans="2:9" x14ac:dyDescent="0.25">
      <c r="B13" s="92" t="s">
        <v>103</v>
      </c>
      <c r="C13" s="99" t="s">
        <v>43</v>
      </c>
      <c r="D13" s="99" t="s">
        <v>102</v>
      </c>
      <c r="E13" s="99" t="s">
        <v>104</v>
      </c>
      <c r="F13" s="99"/>
      <c r="G13" s="92"/>
    </row>
    <row r="14" spans="2:9" x14ac:dyDescent="0.25">
      <c r="B14" t="s">
        <v>105</v>
      </c>
      <c r="C14" s="96">
        <f>E10</f>
        <v>500</v>
      </c>
      <c r="D14" s="94">
        <f>F9-E9</f>
        <v>0.68259999999999998</v>
      </c>
      <c r="E14" s="96">
        <f>C14*D14</f>
        <v>341.3</v>
      </c>
      <c r="F14" s="94"/>
    </row>
    <row r="15" spans="2:9" x14ac:dyDescent="0.25">
      <c r="B15" t="s">
        <v>106</v>
      </c>
      <c r="C15" s="96">
        <f>C10</f>
        <v>-250</v>
      </c>
      <c r="D15" s="94">
        <f>100%+C9-H9</f>
        <v>0.1336</v>
      </c>
      <c r="E15" s="96">
        <f>D15*C15</f>
        <v>-33.4</v>
      </c>
      <c r="F15" s="94"/>
    </row>
    <row r="16" spans="2:9" x14ac:dyDescent="0.25">
      <c r="B16" t="s">
        <v>107</v>
      </c>
      <c r="C16" s="96">
        <v>0</v>
      </c>
      <c r="D16" s="94">
        <f>G9-D9-D14</f>
        <v>4.6000000000000041E-2</v>
      </c>
      <c r="E16" s="96">
        <f t="shared" ref="E16:E17" si="0">D16*C16</f>
        <v>0</v>
      </c>
      <c r="F16" s="94"/>
    </row>
    <row r="17" spans="2:6" x14ac:dyDescent="0.25">
      <c r="B17" t="s">
        <v>108</v>
      </c>
      <c r="C17" s="96">
        <v>-250</v>
      </c>
      <c r="D17" s="94">
        <f>(H9-G9)*2</f>
        <v>0.13779999999999992</v>
      </c>
      <c r="E17" s="96">
        <f t="shared" si="0"/>
        <v>-34.449999999999982</v>
      </c>
      <c r="F17" s="94"/>
    </row>
    <row r="18" spans="2:6" x14ac:dyDescent="0.25">
      <c r="C18" s="95"/>
      <c r="D18" s="94"/>
      <c r="E18" s="95"/>
    </row>
    <row r="20" spans="2:6" x14ac:dyDescent="0.25">
      <c r="B20" s="92" t="s">
        <v>109</v>
      </c>
      <c r="C20" s="100" t="s">
        <v>110</v>
      </c>
      <c r="D20" s="100" t="s">
        <v>111</v>
      </c>
      <c r="E20" s="100" t="s">
        <v>112</v>
      </c>
    </row>
    <row r="21" spans="2:6" x14ac:dyDescent="0.25">
      <c r="B21" s="92" t="s">
        <v>113</v>
      </c>
      <c r="C21" s="96">
        <f>SUM(E14:E17)</f>
        <v>273.45000000000005</v>
      </c>
      <c r="D21" s="97">
        <f>C21*21</f>
        <v>5742.4500000000007</v>
      </c>
      <c r="E21" s="96">
        <f>C21*252</f>
        <v>68909.400000000009</v>
      </c>
    </row>
    <row r="22" spans="2:6" x14ac:dyDescent="0.25">
      <c r="B22" s="92" t="s">
        <v>74</v>
      </c>
      <c r="C22" s="96">
        <f>E10</f>
        <v>500</v>
      </c>
      <c r="D22" s="97">
        <f>C22*21</f>
        <v>10500</v>
      </c>
      <c r="E22" s="96">
        <f>C22*252</f>
        <v>126000</v>
      </c>
    </row>
    <row r="23" spans="2:6" x14ac:dyDescent="0.25">
      <c r="B23" s="92" t="s">
        <v>73</v>
      </c>
      <c r="C23" s="98">
        <f>C21/C22</f>
        <v>0.54690000000000005</v>
      </c>
      <c r="D23" s="98">
        <f>D21/D22</f>
        <v>0.54690000000000005</v>
      </c>
      <c r="E23" s="98">
        <f>E21/E22</f>
        <v>0.54690000000000005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Indicator</vt:lpstr>
      <vt:lpstr>Dashboard</vt:lpstr>
      <vt:lpstr>Tracker</vt:lpstr>
      <vt:lpstr>Trades</vt:lpstr>
      <vt:lpstr>Statistical Proof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2022-09-20T04:24:51Z</dcterms:created>
  <dcterms:modified xsi:type="dcterms:W3CDTF">2022-09-23T20:38:45Z</dcterms:modified>
</cp:coreProperties>
</file>