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FJXTFS01.med.ds.osd.mil\user$\1515765022A\Desktop\GPM\Access Data\"/>
    </mc:Choice>
  </mc:AlternateContent>
  <bookViews>
    <workbookView xWindow="0" yWindow="1470" windowWidth="28800" windowHeight="12315" firstSheet="5" activeTab="5"/>
  </bookViews>
  <sheets>
    <sheet name="Table of Contents" sheetId="18" r:id="rId1"/>
    <sheet name="Standard Adjustments" sheetId="21" r:id="rId2"/>
    <sheet name="Appointment Targets" sheetId="23" r:id="rId3"/>
    <sheet name="DecrementDataValidation" sheetId="19" state="hidden" r:id="rId4"/>
    <sheet name="ApptStdsDataValidation" sheetId="22" state="hidden" r:id="rId5"/>
    <sheet name="Fleming_64" sheetId="1" r:id="rId6"/>
    <sheet name="Williams_80" sheetId="24" r:id="rId7"/>
    <sheet name="Holzer_72" sheetId="25" r:id="rId8"/>
    <sheet name="Brown_80" sheetId="26" r:id="rId9"/>
    <sheet name="Appointment Balancing" sheetId="6" r:id="rId10"/>
    <sheet name="% Authorized Appt Types" sheetId="16" state="hidden" r:id="rId11"/>
    <sheet name="%Plan Appts &gt;= 1500 Hrs" sheetId="14" r:id="rId12"/>
    <sheet name="%24HR_F2F Appts" sheetId="13" r:id="rId13"/>
    <sheet name="Restrictive Detail Code %" sheetId="17" r:id="rId14"/>
    <sheet name="%24HR_FTR TOL Appt" sheetId="15" r:id="rId15"/>
    <sheet name="%24hr_ftr tol appt logic" sheetId="29" state="hidden" r:id="rId16"/>
  </sheets>
  <definedNames>
    <definedName name="_xlnm._FilterDatabase" localSheetId="2" hidden="1">'Appointment Targets'!$A$7:$G$8</definedName>
    <definedName name="ApprovedApptTypes">ApptStdsDataValidation!$B$11:$B$15</definedName>
    <definedName name="ApptType">'%24hr_ftr tol appt logic'!$F$5:$F$8</definedName>
    <definedName name="DIETICIAN">'Appointment Targets'!$B$53</definedName>
    <definedName name="FamHealthPeds" localSheetId="8">#REF!</definedName>
    <definedName name="FamHealthPeds" localSheetId="7">#REF!</definedName>
    <definedName name="FamHealthPeds" localSheetId="6">#REF!</definedName>
    <definedName name="FamHealthPeds">#REF!</definedName>
    <definedName name="Family_Health_and_Pediatrics" localSheetId="8">DecrementDataValidation!#REF!</definedName>
    <definedName name="Family_Health_and_Pediatrics" localSheetId="7">DecrementDataValidation!#REF!</definedName>
    <definedName name="Family_Health_and_Pediatrics" localSheetId="6">DecrementDataValidation!#REF!</definedName>
    <definedName name="Family_Health_and_Pediatrics">DecrementDataValidation!#REF!</definedName>
    <definedName name="FamilyHealth" localSheetId="8">Table24[Family Health/Peds Roles]</definedName>
    <definedName name="FamilyHealth" localSheetId="7">Table24[Family Health/Peds Roles]</definedName>
    <definedName name="FamilyHealth" localSheetId="6">Table24[Family Health/Peds Roles]</definedName>
    <definedName name="FamilyHealth">Table24[Family Health/Peds Roles]</definedName>
    <definedName name="Flight_Medicine" localSheetId="8">DecrementDataValidation!#REF!</definedName>
    <definedName name="Flight_Medicine" localSheetId="7">DecrementDataValidation!#REF!</definedName>
    <definedName name="Flight_Medicine" localSheetId="6">DecrementDataValidation!#REF!</definedName>
    <definedName name="Flight_Medicine">DecrementDataValidation!#REF!</definedName>
    <definedName name="FlightMed" localSheetId="8">Table26[Flight Medicine Roles]</definedName>
    <definedName name="FlightMed" localSheetId="7">Table26[Flight Medicine Roles]</definedName>
    <definedName name="FlightMed" localSheetId="6">Table26[Flight Medicine Roles]</definedName>
    <definedName name="FlightMed">Table26[Flight Medicine Roles]</definedName>
    <definedName name="FlightMedicine" localSheetId="8">Table26[Flight Medicine Roles]</definedName>
    <definedName name="FlightMedicine" localSheetId="7">Table26[Flight Medicine Roles]</definedName>
    <definedName name="FlightMedicine" localSheetId="6">Table26[Flight Medicine Roles]</definedName>
    <definedName name="FlightMedicine">Table26[Flight Medicine Roles]</definedName>
    <definedName name="FOMC" localSheetId="8">#REF!</definedName>
    <definedName name="FOMC" localSheetId="7">#REF!</definedName>
    <definedName name="FOMC" localSheetId="6">#REF!</definedName>
    <definedName name="FOMC">#REF!</definedName>
    <definedName name="Internal_Medicine" localSheetId="8">DecrementDataValidation!#REF!</definedName>
    <definedName name="Internal_Medicine" localSheetId="7">DecrementDataValidation!#REF!</definedName>
    <definedName name="Internal_Medicine" localSheetId="6">DecrementDataValidation!#REF!</definedName>
    <definedName name="Internal_Medicine">DecrementDataValidation!#REF!</definedName>
    <definedName name="InternalMed" localSheetId="8">Table25[Internal Medicine Roles]</definedName>
    <definedName name="InternalMed" localSheetId="7">Table25[Internal Medicine Roles]</definedName>
    <definedName name="InternalMed" localSheetId="6">Table25[Internal Medicine Roles]</definedName>
    <definedName name="InternalMed">Table25[Internal Medicine Roles]</definedName>
    <definedName name="InternalMedicine" localSheetId="8">Table25[Internal Medicine Roles]</definedName>
    <definedName name="InternalMedicine" localSheetId="7">Table25[Internal Medicine Roles]</definedName>
    <definedName name="InternalMedicine" localSheetId="6">Table25[Internal Medicine Roles]</definedName>
    <definedName name="InternalMedicine">Table25[Internal Medicine Roles]</definedName>
    <definedName name="InternalMeds" localSheetId="8">#REF!</definedName>
    <definedName name="InternalMeds" localSheetId="7">#REF!</definedName>
    <definedName name="InternalMeds" localSheetId="6">#REF!</definedName>
    <definedName name="InternalMeds">#REF!</definedName>
    <definedName name="OBSTETRICS_GYNECOLOGY" localSheetId="1">'Appointment Targets'!$B$15</definedName>
    <definedName name="OPTOMETRY">'Appointment Targets'!$B$51</definedName>
    <definedName name="PainChampion" localSheetId="8">Table27[Pain Champion Roles]</definedName>
    <definedName name="PainChampion" localSheetId="7">Table27[Pain Champion Roles]</definedName>
    <definedName name="PainChampion" localSheetId="6">Table27[Pain Champion Roles]</definedName>
    <definedName name="PainChampion">Table27[Pain Champion Roles]</definedName>
    <definedName name="Pediatrics" localSheetId="8">Table24[Family Health/Peds Roles]</definedName>
    <definedName name="Pediatrics" localSheetId="7">Table24[Family Health/Peds Roles]</definedName>
    <definedName name="Pediatrics" localSheetId="6">Table24[Family Health/Peds Roles]</definedName>
    <definedName name="Pediatrics">Table24[Family Health/Peds Roles]</definedName>
    <definedName name="PHYSICAL_THERAPY" localSheetId="1">'Appointment Targets'!$B$55</definedName>
    <definedName name="Primary" localSheetId="8">Table29[Primary Care]</definedName>
    <definedName name="Primary" localSheetId="7">Table29[Primary Care]</definedName>
    <definedName name="Primary" localSheetId="6">Table29[Primary Care]</definedName>
    <definedName name="Primary">Table29[Primary Care]</definedName>
    <definedName name="Primary_Care">'Appointment Targets'!$B$151</definedName>
    <definedName name="Psych_SocialWork">'Appointment Targets'!$B$57</definedName>
    <definedName name="PSYCHIATRY">'Appointment Targets'!$B$24</definedName>
    <definedName name="RestDetCodes">'%24hr_ftr tol appt logic'!$B$8:$B$10</definedName>
    <definedName name="RestrictiveDetailCodes">'%24hr_ftr tol appt logic'!$G$5:$G$7</definedName>
    <definedName name="Role" localSheetId="8">Brown_80!#REF!</definedName>
    <definedName name="Role" localSheetId="7">Holzer_72!#REF!</definedName>
    <definedName name="Role" localSheetId="6">Williams_80!#REF!</definedName>
    <definedName name="Role">Fleming_64!#REF!</definedName>
    <definedName name="Specialty" localSheetId="8">Table23[Specialty]</definedName>
    <definedName name="Specialty" localSheetId="7">Table23[Specialty]</definedName>
    <definedName name="Specialty" localSheetId="6">Table23[Specialty]</definedName>
    <definedName name="Specialty">Table23[Specialty]</definedName>
    <definedName name="SpecialtyCare">'Appointment Targets'!$C$7</definedName>
    <definedName name="TopofApptTgts">'Appointment Targets'!$B$1</definedName>
    <definedName name="TypeofCare" localSheetId="8">Table28[Type of Care]</definedName>
    <definedName name="TypeofCare" localSheetId="7">Table28[Type of Care]</definedName>
    <definedName name="TypeofCare" localSheetId="6">Table28[Type of Care]</definedName>
    <definedName name="TypeofCare">Table28[Type of Care]</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W106" i="6" l="1"/>
  <c r="W105" i="6"/>
  <c r="T106" i="6"/>
  <c r="T105" i="6"/>
  <c r="P106" i="6"/>
  <c r="P105" i="6"/>
  <c r="L106" i="6"/>
  <c r="L105" i="6"/>
  <c r="H106" i="6"/>
  <c r="H105" i="6"/>
  <c r="D106" i="6"/>
  <c r="D105" i="6"/>
  <c r="D102" i="6"/>
  <c r="R106" i="6"/>
  <c r="N106" i="6"/>
  <c r="J106" i="6"/>
  <c r="F106" i="6"/>
  <c r="B106" i="6"/>
  <c r="V106" i="6" s="1"/>
  <c r="R105" i="6"/>
  <c r="N105" i="6"/>
  <c r="J105" i="6"/>
  <c r="F105" i="6"/>
  <c r="B105" i="6"/>
  <c r="V105" i="6" s="1"/>
  <c r="A8" i="17" l="1"/>
  <c r="B36" i="1" l="1"/>
  <c r="B35" i="1"/>
  <c r="C71" i="1"/>
  <c r="C70" i="1"/>
  <c r="C69" i="1"/>
  <c r="C68" i="1"/>
  <c r="C67" i="1"/>
  <c r="C66" i="1"/>
  <c r="C65" i="1"/>
  <c r="C64" i="1"/>
  <c r="C63" i="1"/>
  <c r="C62" i="1"/>
  <c r="B71" i="1"/>
  <c r="B70" i="1"/>
  <c r="B69" i="1"/>
  <c r="B68" i="1"/>
  <c r="B67" i="1"/>
  <c r="B66" i="1"/>
  <c r="B65" i="1"/>
  <c r="B64" i="1"/>
  <c r="B63" i="1"/>
  <c r="B62" i="1"/>
  <c r="L71" i="24"/>
  <c r="L70" i="24"/>
  <c r="L69" i="24"/>
  <c r="L68" i="24"/>
  <c r="L67" i="24"/>
  <c r="L66" i="24"/>
  <c r="L65" i="24"/>
  <c r="L64" i="24"/>
  <c r="L63" i="24"/>
  <c r="L62" i="24"/>
  <c r="K71" i="24"/>
  <c r="K70" i="24"/>
  <c r="K69" i="24"/>
  <c r="K68" i="24"/>
  <c r="K67" i="24"/>
  <c r="K66" i="24"/>
  <c r="K65" i="24"/>
  <c r="K64" i="24"/>
  <c r="K63" i="24"/>
  <c r="K62" i="24"/>
  <c r="J71" i="24"/>
  <c r="J70" i="24"/>
  <c r="J69" i="24"/>
  <c r="J68" i="24"/>
  <c r="J67" i="24"/>
  <c r="J66" i="24"/>
  <c r="J65" i="24"/>
  <c r="J64" i="24"/>
  <c r="J63" i="24"/>
  <c r="J62" i="24"/>
  <c r="I71" i="24"/>
  <c r="I70" i="24"/>
  <c r="I69" i="24"/>
  <c r="I68" i="24"/>
  <c r="I67" i="24"/>
  <c r="I66" i="24"/>
  <c r="I65" i="24"/>
  <c r="I64" i="24"/>
  <c r="I63" i="24"/>
  <c r="I62" i="24"/>
  <c r="F71" i="24"/>
  <c r="F70" i="24"/>
  <c r="F69" i="24"/>
  <c r="F68" i="24"/>
  <c r="F67" i="24"/>
  <c r="F66" i="24"/>
  <c r="F65" i="24"/>
  <c r="F64" i="24"/>
  <c r="F63" i="24"/>
  <c r="F62" i="24"/>
  <c r="E71" i="24"/>
  <c r="E70" i="24"/>
  <c r="E69" i="24"/>
  <c r="E68" i="24"/>
  <c r="E67" i="24"/>
  <c r="E66" i="24"/>
  <c r="E65" i="24"/>
  <c r="E64" i="24"/>
  <c r="E63" i="24"/>
  <c r="E62" i="24"/>
  <c r="D70" i="24"/>
  <c r="D69" i="24"/>
  <c r="D68" i="24"/>
  <c r="D67" i="24"/>
  <c r="D66" i="24"/>
  <c r="D65" i="24"/>
  <c r="D64" i="24"/>
  <c r="D63" i="24"/>
  <c r="D62" i="24"/>
  <c r="D71" i="24"/>
  <c r="C71" i="24"/>
  <c r="C70" i="24"/>
  <c r="C69" i="24"/>
  <c r="C68" i="24"/>
  <c r="C67" i="24"/>
  <c r="C66" i="24"/>
  <c r="C65" i="24"/>
  <c r="C64" i="24"/>
  <c r="C63" i="24"/>
  <c r="C62" i="24"/>
  <c r="B71" i="24"/>
  <c r="B70" i="24"/>
  <c r="B69" i="24"/>
  <c r="B68" i="24"/>
  <c r="B67" i="24"/>
  <c r="B66" i="24"/>
  <c r="B65" i="24"/>
  <c r="B64" i="24"/>
  <c r="B63" i="24"/>
  <c r="B62" i="24"/>
  <c r="R39" i="26"/>
  <c r="K44" i="16" s="1"/>
  <c r="N39" i="26"/>
  <c r="J44" i="16" s="1"/>
  <c r="J39" i="26"/>
  <c r="I44" i="16" s="1"/>
  <c r="F39" i="26"/>
  <c r="H44" i="16" s="1"/>
  <c r="B39" i="26"/>
  <c r="G44" i="16" s="1"/>
  <c r="R38" i="26"/>
  <c r="T38" i="26" s="1"/>
  <c r="N38" i="26"/>
  <c r="J38" i="26"/>
  <c r="F38" i="26"/>
  <c r="B38" i="26"/>
  <c r="R37" i="26"/>
  <c r="N37" i="26"/>
  <c r="J37" i="26"/>
  <c r="F37" i="26"/>
  <c r="B37" i="26"/>
  <c r="R38" i="25"/>
  <c r="N38" i="25"/>
  <c r="J38" i="25"/>
  <c r="F38" i="25"/>
  <c r="B38" i="25"/>
  <c r="R37" i="25"/>
  <c r="N37" i="25"/>
  <c r="J37" i="25"/>
  <c r="F37" i="25"/>
  <c r="B37" i="25"/>
  <c r="R38" i="24"/>
  <c r="N38" i="24"/>
  <c r="J38" i="24"/>
  <c r="F38" i="24"/>
  <c r="B38" i="24"/>
  <c r="R37" i="24"/>
  <c r="N37" i="24"/>
  <c r="J37" i="24"/>
  <c r="F37" i="24"/>
  <c r="B37" i="24"/>
  <c r="F42" i="1"/>
  <c r="R38" i="1"/>
  <c r="R37" i="1"/>
  <c r="N38" i="1"/>
  <c r="N37" i="1"/>
  <c r="J38" i="1"/>
  <c r="J37" i="1"/>
  <c r="F38" i="1"/>
  <c r="F37" i="1"/>
  <c r="B38" i="1"/>
  <c r="B37" i="1"/>
  <c r="E44" i="16"/>
  <c r="D44" i="16"/>
  <c r="C44" i="16"/>
  <c r="B44" i="16"/>
  <c r="A44" i="16"/>
  <c r="A41" i="16"/>
  <c r="E32" i="16"/>
  <c r="D32" i="16"/>
  <c r="C32" i="16"/>
  <c r="B32" i="16"/>
  <c r="A32" i="16"/>
  <c r="A29" i="16"/>
  <c r="E20" i="16"/>
  <c r="D20" i="16"/>
  <c r="C20" i="16"/>
  <c r="B20" i="16"/>
  <c r="A20" i="16"/>
  <c r="E8" i="16"/>
  <c r="D8" i="16"/>
  <c r="C8" i="16"/>
  <c r="B8" i="16"/>
  <c r="A8" i="16"/>
  <c r="A17" i="16"/>
  <c r="A5" i="16"/>
  <c r="L38" i="26" l="1"/>
  <c r="T37" i="26"/>
  <c r="P38" i="26"/>
  <c r="L37" i="26"/>
  <c r="H38" i="26"/>
  <c r="H37" i="26"/>
  <c r="P37" i="26"/>
  <c r="V37" i="26"/>
  <c r="V38" i="26"/>
  <c r="D37" i="26"/>
  <c r="G49" i="16"/>
  <c r="D38" i="26"/>
  <c r="V38" i="25"/>
  <c r="V37" i="25"/>
  <c r="V37" i="24"/>
  <c r="V38" i="24"/>
  <c r="C56" i="16"/>
  <c r="E56" i="16"/>
  <c r="B56" i="16"/>
  <c r="V37" i="1"/>
  <c r="V38" i="1"/>
  <c r="A56" i="16"/>
  <c r="D56" i="16"/>
  <c r="C45" i="16"/>
  <c r="D49" i="16"/>
  <c r="H49" i="16"/>
  <c r="F49" i="16"/>
  <c r="E49" i="16"/>
  <c r="I45" i="16"/>
  <c r="C33" i="16"/>
  <c r="C21" i="16"/>
  <c r="C9" i="16"/>
  <c r="C57" i="16" l="1"/>
  <c r="F50" i="16"/>
  <c r="K43" i="15" l="1"/>
  <c r="J43" i="15"/>
  <c r="I43" i="15"/>
  <c r="H43" i="15"/>
  <c r="G43" i="15"/>
  <c r="E48" i="15"/>
  <c r="D48" i="15"/>
  <c r="C48" i="15"/>
  <c r="B48" i="15"/>
  <c r="A48" i="15"/>
  <c r="E43" i="15"/>
  <c r="D43" i="15"/>
  <c r="C43" i="15"/>
  <c r="B43" i="15"/>
  <c r="A43" i="15"/>
  <c r="K31" i="15"/>
  <c r="J31" i="15"/>
  <c r="I31" i="15"/>
  <c r="H31" i="15"/>
  <c r="G31" i="15"/>
  <c r="E36" i="15"/>
  <c r="D36" i="15"/>
  <c r="C36" i="15"/>
  <c r="B36" i="15"/>
  <c r="A36" i="15"/>
  <c r="E31" i="15"/>
  <c r="D31" i="15"/>
  <c r="C31" i="15"/>
  <c r="B31" i="15"/>
  <c r="A31" i="15"/>
  <c r="K19" i="15"/>
  <c r="J19" i="15"/>
  <c r="I19" i="15"/>
  <c r="H19" i="15"/>
  <c r="G19" i="15"/>
  <c r="E24" i="15"/>
  <c r="D24" i="15"/>
  <c r="C24" i="15"/>
  <c r="B24" i="15"/>
  <c r="A24" i="15"/>
  <c r="E19" i="15"/>
  <c r="D19" i="15"/>
  <c r="C19" i="15"/>
  <c r="B19" i="15"/>
  <c r="A19" i="15"/>
  <c r="E12" i="15"/>
  <c r="D12" i="15"/>
  <c r="C12" i="15"/>
  <c r="B12" i="15"/>
  <c r="E7" i="15"/>
  <c r="D7" i="15"/>
  <c r="C7" i="15"/>
  <c r="B7" i="15"/>
  <c r="A12" i="15"/>
  <c r="A7" i="15"/>
  <c r="F30" i="29"/>
  <c r="F35" i="29" s="1"/>
  <c r="F13" i="29"/>
  <c r="G13" i="29"/>
  <c r="F25" i="29"/>
  <c r="G25" i="29"/>
  <c r="F31" i="29"/>
  <c r="F32" i="29"/>
  <c r="F33" i="29"/>
  <c r="F34" i="29"/>
  <c r="K48" i="15" l="1"/>
  <c r="J24" i="15"/>
  <c r="H48" i="15"/>
  <c r="G48" i="15"/>
  <c r="I48" i="15"/>
  <c r="K36" i="15"/>
  <c r="J48" i="15"/>
  <c r="C49" i="15"/>
  <c r="J36" i="15"/>
  <c r="I36" i="15"/>
  <c r="I32" i="15"/>
  <c r="C37" i="15"/>
  <c r="G36" i="15"/>
  <c r="C44" i="15"/>
  <c r="C32" i="15"/>
  <c r="C60" i="15"/>
  <c r="D60" i="15"/>
  <c r="H24" i="15"/>
  <c r="E60" i="15"/>
  <c r="C55" i="15"/>
  <c r="I24" i="15"/>
  <c r="K24" i="15"/>
  <c r="D55" i="15"/>
  <c r="H36" i="15"/>
  <c r="B60" i="15"/>
  <c r="E55" i="15"/>
  <c r="B55" i="15"/>
  <c r="C25" i="15"/>
  <c r="A60" i="15"/>
  <c r="C20" i="15"/>
  <c r="A55" i="15"/>
  <c r="I20" i="15"/>
  <c r="I44" i="15"/>
  <c r="G24" i="15"/>
  <c r="C13" i="15"/>
  <c r="C8" i="15"/>
  <c r="E44" i="17"/>
  <c r="D44" i="17"/>
  <c r="C44" i="17"/>
  <c r="B44" i="17"/>
  <c r="A44" i="17"/>
  <c r="E32" i="17"/>
  <c r="D32" i="17"/>
  <c r="C32" i="17"/>
  <c r="B32" i="17"/>
  <c r="A32" i="17"/>
  <c r="E20" i="17"/>
  <c r="D20" i="17"/>
  <c r="C20" i="17"/>
  <c r="B20" i="17"/>
  <c r="A20" i="17"/>
  <c r="E8" i="17"/>
  <c r="D8" i="17"/>
  <c r="C8" i="17"/>
  <c r="B8" i="17"/>
  <c r="A40" i="15"/>
  <c r="A28" i="15"/>
  <c r="A16" i="15"/>
  <c r="A4" i="15"/>
  <c r="I49" i="15" l="1"/>
  <c r="AA20" i="26" s="1"/>
  <c r="I37" i="15"/>
  <c r="AA20" i="25" s="1"/>
  <c r="C61" i="15"/>
  <c r="I25" i="15"/>
  <c r="AA20" i="24" s="1"/>
  <c r="C56" i="15"/>
  <c r="A41" i="17" l="1"/>
  <c r="A41" i="13"/>
  <c r="A40" i="14"/>
  <c r="K44" i="17"/>
  <c r="J44" i="17"/>
  <c r="I44" i="17"/>
  <c r="H44" i="17"/>
  <c r="A29" i="17"/>
  <c r="K43" i="14"/>
  <c r="J43" i="14"/>
  <c r="I43" i="14"/>
  <c r="H43" i="14"/>
  <c r="AA71" i="26"/>
  <c r="AA80" i="6" s="1"/>
  <c r="Z71" i="26"/>
  <c r="Z80" i="6" s="1"/>
  <c r="Y71" i="26"/>
  <c r="Y80" i="6" s="1"/>
  <c r="X71" i="26"/>
  <c r="X80" i="6" s="1"/>
  <c r="W71" i="26"/>
  <c r="W80" i="6" s="1"/>
  <c r="T71" i="26"/>
  <c r="T80" i="6" s="1"/>
  <c r="S71" i="26"/>
  <c r="S80" i="6" s="1"/>
  <c r="R71" i="26"/>
  <c r="R80" i="6" s="1"/>
  <c r="Q71" i="26"/>
  <c r="Q80" i="6" s="1"/>
  <c r="P71" i="26"/>
  <c r="P80" i="6" s="1"/>
  <c r="M71" i="26"/>
  <c r="M80" i="6" s="1"/>
  <c r="L71" i="26"/>
  <c r="L80" i="6" s="1"/>
  <c r="K71" i="26"/>
  <c r="K80" i="6" s="1"/>
  <c r="J71" i="26"/>
  <c r="J80" i="6" s="1"/>
  <c r="I71" i="26"/>
  <c r="I80" i="6" s="1"/>
  <c r="F71" i="26"/>
  <c r="F80" i="6" s="1"/>
  <c r="E71" i="26"/>
  <c r="E80" i="6" s="1"/>
  <c r="D71" i="26"/>
  <c r="D80" i="6" s="1"/>
  <c r="C71" i="26"/>
  <c r="C80" i="6" s="1"/>
  <c r="B71" i="26"/>
  <c r="B80" i="6" s="1"/>
  <c r="AA70" i="26"/>
  <c r="AA79" i="6" s="1"/>
  <c r="Z70" i="26"/>
  <c r="Z79" i="6" s="1"/>
  <c r="Y70" i="26"/>
  <c r="Y79" i="6" s="1"/>
  <c r="X70" i="26"/>
  <c r="X79" i="6" s="1"/>
  <c r="W70" i="26"/>
  <c r="W79" i="6" s="1"/>
  <c r="T70" i="26"/>
  <c r="T79" i="6" s="1"/>
  <c r="S70" i="26"/>
  <c r="S79" i="6" s="1"/>
  <c r="R70" i="26"/>
  <c r="R79" i="6" s="1"/>
  <c r="Q70" i="26"/>
  <c r="Q79" i="6" s="1"/>
  <c r="P70" i="26"/>
  <c r="P79" i="6" s="1"/>
  <c r="M70" i="26"/>
  <c r="L70" i="26"/>
  <c r="L79" i="6" s="1"/>
  <c r="K70" i="26"/>
  <c r="J70" i="26"/>
  <c r="J79" i="6" s="1"/>
  <c r="I70" i="26"/>
  <c r="I79" i="6" s="1"/>
  <c r="F70" i="26"/>
  <c r="F79" i="6" s="1"/>
  <c r="E70" i="26"/>
  <c r="E79" i="6" s="1"/>
  <c r="D70" i="26"/>
  <c r="D79" i="6" s="1"/>
  <c r="C70" i="26"/>
  <c r="C79" i="6" s="1"/>
  <c r="B70" i="26"/>
  <c r="B79" i="6" s="1"/>
  <c r="AA69" i="26"/>
  <c r="AA78" i="6" s="1"/>
  <c r="Z69" i="26"/>
  <c r="Z78" i="6" s="1"/>
  <c r="Y69" i="26"/>
  <c r="Y78" i="6" s="1"/>
  <c r="X69" i="26"/>
  <c r="X78" i="6" s="1"/>
  <c r="W69" i="26"/>
  <c r="W78" i="6" s="1"/>
  <c r="T69" i="26"/>
  <c r="T78" i="6" s="1"/>
  <c r="S69" i="26"/>
  <c r="S78" i="6" s="1"/>
  <c r="R69" i="26"/>
  <c r="R78" i="6" s="1"/>
  <c r="Q69" i="26"/>
  <c r="Q78" i="6" s="1"/>
  <c r="P69" i="26"/>
  <c r="P78" i="6" s="1"/>
  <c r="M69" i="26"/>
  <c r="M78" i="6" s="1"/>
  <c r="L69" i="26"/>
  <c r="L78" i="6" s="1"/>
  <c r="K69" i="26"/>
  <c r="K78" i="6" s="1"/>
  <c r="J69" i="26"/>
  <c r="J78" i="6" s="1"/>
  <c r="I69" i="26"/>
  <c r="I78" i="6" s="1"/>
  <c r="F69" i="26"/>
  <c r="F78" i="6" s="1"/>
  <c r="E69" i="26"/>
  <c r="E78" i="6" s="1"/>
  <c r="D69" i="26"/>
  <c r="D78" i="6" s="1"/>
  <c r="C69" i="26"/>
  <c r="C78" i="6" s="1"/>
  <c r="B69" i="26"/>
  <c r="B78" i="6" s="1"/>
  <c r="AA68" i="26"/>
  <c r="AA77" i="6" s="1"/>
  <c r="Z68" i="26"/>
  <c r="Z77" i="6" s="1"/>
  <c r="Y68" i="26"/>
  <c r="Y77" i="6" s="1"/>
  <c r="X68" i="26"/>
  <c r="X77" i="6" s="1"/>
  <c r="W68" i="26"/>
  <c r="W77" i="6" s="1"/>
  <c r="T68" i="26"/>
  <c r="T77" i="6" s="1"/>
  <c r="S68" i="26"/>
  <c r="S77" i="6" s="1"/>
  <c r="R68" i="26"/>
  <c r="R77" i="6" s="1"/>
  <c r="Q68" i="26"/>
  <c r="Q77" i="6" s="1"/>
  <c r="P68" i="26"/>
  <c r="P77" i="6" s="1"/>
  <c r="M68" i="26"/>
  <c r="M77" i="6" s="1"/>
  <c r="L68" i="26"/>
  <c r="L77" i="6" s="1"/>
  <c r="K68" i="26"/>
  <c r="K77" i="6" s="1"/>
  <c r="J68" i="26"/>
  <c r="J77" i="6" s="1"/>
  <c r="I68" i="26"/>
  <c r="I77" i="6" s="1"/>
  <c r="F68" i="26"/>
  <c r="F77" i="6" s="1"/>
  <c r="E68" i="26"/>
  <c r="E77" i="6" s="1"/>
  <c r="D68" i="26"/>
  <c r="D77" i="6" s="1"/>
  <c r="C68" i="26"/>
  <c r="C77" i="6" s="1"/>
  <c r="B68" i="26"/>
  <c r="B77" i="6" s="1"/>
  <c r="AA67" i="26"/>
  <c r="AA76" i="6" s="1"/>
  <c r="Z67" i="26"/>
  <c r="Z76" i="6" s="1"/>
  <c r="Y67" i="26"/>
  <c r="Y76" i="6" s="1"/>
  <c r="X67" i="26"/>
  <c r="X76" i="6" s="1"/>
  <c r="W67" i="26"/>
  <c r="W76" i="6" s="1"/>
  <c r="T67" i="26"/>
  <c r="T76" i="6" s="1"/>
  <c r="S67" i="26"/>
  <c r="S76" i="6" s="1"/>
  <c r="R67" i="26"/>
  <c r="R76" i="6" s="1"/>
  <c r="Q67" i="26"/>
  <c r="Q76" i="6" s="1"/>
  <c r="P67" i="26"/>
  <c r="P76" i="6" s="1"/>
  <c r="M67" i="26"/>
  <c r="M76" i="6" s="1"/>
  <c r="L67" i="26"/>
  <c r="L76" i="6" s="1"/>
  <c r="K67" i="26"/>
  <c r="K76" i="6" s="1"/>
  <c r="J67" i="26"/>
  <c r="J76" i="6" s="1"/>
  <c r="I67" i="26"/>
  <c r="I76" i="6" s="1"/>
  <c r="F67" i="26"/>
  <c r="F76" i="6" s="1"/>
  <c r="E67" i="26"/>
  <c r="E76" i="6" s="1"/>
  <c r="D67" i="26"/>
  <c r="D76" i="6" s="1"/>
  <c r="C67" i="26"/>
  <c r="C76" i="6" s="1"/>
  <c r="B67" i="26"/>
  <c r="B76" i="6" s="1"/>
  <c r="AA66" i="26"/>
  <c r="AA75" i="6" s="1"/>
  <c r="Z66" i="26"/>
  <c r="Z75" i="6" s="1"/>
  <c r="Y66" i="26"/>
  <c r="Y75" i="6" s="1"/>
  <c r="X66" i="26"/>
  <c r="X75" i="6" s="1"/>
  <c r="W66" i="26"/>
  <c r="W75" i="6" s="1"/>
  <c r="T66" i="26"/>
  <c r="T75" i="6" s="1"/>
  <c r="S66" i="26"/>
  <c r="S75" i="6" s="1"/>
  <c r="R66" i="26"/>
  <c r="R75" i="6" s="1"/>
  <c r="Q66" i="26"/>
  <c r="Q75" i="6" s="1"/>
  <c r="P66" i="26"/>
  <c r="P75" i="6" s="1"/>
  <c r="M66" i="26"/>
  <c r="M75" i="6" s="1"/>
  <c r="L66" i="26"/>
  <c r="L75" i="6" s="1"/>
  <c r="K66" i="26"/>
  <c r="K75" i="6" s="1"/>
  <c r="J66" i="26"/>
  <c r="J75" i="6" s="1"/>
  <c r="I66" i="26"/>
  <c r="I75" i="6" s="1"/>
  <c r="F66" i="26"/>
  <c r="F75" i="6" s="1"/>
  <c r="E66" i="26"/>
  <c r="E75" i="6" s="1"/>
  <c r="D66" i="26"/>
  <c r="D75" i="6" s="1"/>
  <c r="C66" i="26"/>
  <c r="C75" i="6" s="1"/>
  <c r="B66" i="26"/>
  <c r="B75" i="6" s="1"/>
  <c r="AA65" i="26"/>
  <c r="AA74" i="6" s="1"/>
  <c r="Z65" i="26"/>
  <c r="Z74" i="6" s="1"/>
  <c r="Y65" i="26"/>
  <c r="Y74" i="6" s="1"/>
  <c r="X65" i="26"/>
  <c r="X74" i="6" s="1"/>
  <c r="W65" i="26"/>
  <c r="W74" i="6" s="1"/>
  <c r="T65" i="26"/>
  <c r="T74" i="6" s="1"/>
  <c r="S65" i="26"/>
  <c r="S74" i="6" s="1"/>
  <c r="R65" i="26"/>
  <c r="R74" i="6" s="1"/>
  <c r="Q65" i="26"/>
  <c r="Q74" i="6" s="1"/>
  <c r="P65" i="26"/>
  <c r="P74" i="6" s="1"/>
  <c r="M65" i="26"/>
  <c r="M74" i="6" s="1"/>
  <c r="L65" i="26"/>
  <c r="L74" i="6" s="1"/>
  <c r="K65" i="26"/>
  <c r="K74" i="6" s="1"/>
  <c r="J65" i="26"/>
  <c r="J74" i="6" s="1"/>
  <c r="I65" i="26"/>
  <c r="I74" i="6" s="1"/>
  <c r="F65" i="26"/>
  <c r="F74" i="6" s="1"/>
  <c r="E65" i="26"/>
  <c r="E74" i="6" s="1"/>
  <c r="D65" i="26"/>
  <c r="D74" i="6" s="1"/>
  <c r="C65" i="26"/>
  <c r="C74" i="6" s="1"/>
  <c r="B65" i="26"/>
  <c r="B74" i="6" s="1"/>
  <c r="AA64" i="26"/>
  <c r="AA73" i="6" s="1"/>
  <c r="Z64" i="26"/>
  <c r="Z73" i="6" s="1"/>
  <c r="Y64" i="26"/>
  <c r="Y73" i="6" s="1"/>
  <c r="X64" i="26"/>
  <c r="X73" i="6" s="1"/>
  <c r="W64" i="26"/>
  <c r="W73" i="6" s="1"/>
  <c r="T64" i="26"/>
  <c r="T73" i="6" s="1"/>
  <c r="S64" i="26"/>
  <c r="S73" i="6" s="1"/>
  <c r="R64" i="26"/>
  <c r="R73" i="6" s="1"/>
  <c r="Q64" i="26"/>
  <c r="Q73" i="6" s="1"/>
  <c r="P64" i="26"/>
  <c r="P73" i="6" s="1"/>
  <c r="M64" i="26"/>
  <c r="M73" i="6" s="1"/>
  <c r="L64" i="26"/>
  <c r="L73" i="6" s="1"/>
  <c r="K64" i="26"/>
  <c r="K73" i="6" s="1"/>
  <c r="J64" i="26"/>
  <c r="J73" i="6" s="1"/>
  <c r="I64" i="26"/>
  <c r="I73" i="6" s="1"/>
  <c r="F64" i="26"/>
  <c r="F73" i="6" s="1"/>
  <c r="E64" i="26"/>
  <c r="E73" i="6" s="1"/>
  <c r="D64" i="26"/>
  <c r="D73" i="6" s="1"/>
  <c r="C64" i="26"/>
  <c r="C73" i="6" s="1"/>
  <c r="B64" i="26"/>
  <c r="B73" i="6" s="1"/>
  <c r="AA63" i="26"/>
  <c r="AA72" i="6" s="1"/>
  <c r="Z63" i="26"/>
  <c r="Z72" i="6" s="1"/>
  <c r="Y63" i="26"/>
  <c r="Y72" i="6" s="1"/>
  <c r="X63" i="26"/>
  <c r="X72" i="6" s="1"/>
  <c r="W63" i="26"/>
  <c r="W72" i="6" s="1"/>
  <c r="T63" i="26"/>
  <c r="T72" i="6" s="1"/>
  <c r="S63" i="26"/>
  <c r="S72" i="6" s="1"/>
  <c r="R63" i="26"/>
  <c r="R72" i="6" s="1"/>
  <c r="Q63" i="26"/>
  <c r="Q72" i="6" s="1"/>
  <c r="P63" i="26"/>
  <c r="P72" i="6" s="1"/>
  <c r="M63" i="26"/>
  <c r="M72" i="6" s="1"/>
  <c r="L63" i="26"/>
  <c r="L72" i="6" s="1"/>
  <c r="K63" i="26"/>
  <c r="K72" i="6" s="1"/>
  <c r="J63" i="26"/>
  <c r="J72" i="6" s="1"/>
  <c r="I63" i="26"/>
  <c r="I72" i="6" s="1"/>
  <c r="F63" i="26"/>
  <c r="F72" i="6" s="1"/>
  <c r="E63" i="26"/>
  <c r="E72" i="6" s="1"/>
  <c r="D63" i="26"/>
  <c r="D72" i="6" s="1"/>
  <c r="C63" i="26"/>
  <c r="C72" i="6" s="1"/>
  <c r="B63" i="26"/>
  <c r="B72" i="6" s="1"/>
  <c r="AA62" i="26"/>
  <c r="AA71" i="6" s="1"/>
  <c r="Z62" i="26"/>
  <c r="Z71" i="6" s="1"/>
  <c r="Y62" i="26"/>
  <c r="Y71" i="6" s="1"/>
  <c r="X62" i="26"/>
  <c r="X71" i="6" s="1"/>
  <c r="W62" i="26"/>
  <c r="W71" i="6" s="1"/>
  <c r="T62" i="26"/>
  <c r="T71" i="6" s="1"/>
  <c r="S62" i="26"/>
  <c r="S71" i="6" s="1"/>
  <c r="R62" i="26"/>
  <c r="R71" i="6" s="1"/>
  <c r="Q62" i="26"/>
  <c r="Q71" i="6" s="1"/>
  <c r="P62" i="26"/>
  <c r="P71" i="6" s="1"/>
  <c r="M62" i="26"/>
  <c r="M71" i="6" s="1"/>
  <c r="L62" i="26"/>
  <c r="L71" i="6" s="1"/>
  <c r="K62" i="26"/>
  <c r="K71" i="6" s="1"/>
  <c r="J62" i="26"/>
  <c r="J71" i="6" s="1"/>
  <c r="I62" i="26"/>
  <c r="I71" i="6" s="1"/>
  <c r="F62" i="26"/>
  <c r="F71" i="6" s="1"/>
  <c r="E62" i="26"/>
  <c r="E71" i="6" s="1"/>
  <c r="D62" i="26"/>
  <c r="D71" i="6" s="1"/>
  <c r="C62" i="26"/>
  <c r="C71" i="6" s="1"/>
  <c r="B62" i="26"/>
  <c r="B71" i="6" s="1"/>
  <c r="K56" i="26"/>
  <c r="R54" i="26" s="1"/>
  <c r="C56" i="26"/>
  <c r="B43" i="26"/>
  <c r="F42" i="26"/>
  <c r="B42" i="26"/>
  <c r="R36" i="26"/>
  <c r="N36" i="26"/>
  <c r="J36" i="26"/>
  <c r="F36" i="26"/>
  <c r="B36" i="26"/>
  <c r="R35" i="26"/>
  <c r="N35" i="26"/>
  <c r="J35" i="26"/>
  <c r="F35" i="26"/>
  <c r="B35" i="26"/>
  <c r="R34" i="26"/>
  <c r="N34" i="26"/>
  <c r="J34" i="26"/>
  <c r="F34" i="26"/>
  <c r="B34" i="26"/>
  <c r="A29" i="13"/>
  <c r="A28" i="14"/>
  <c r="AA71" i="25"/>
  <c r="AA64" i="6" s="1"/>
  <c r="Z71" i="25"/>
  <c r="Z64" i="6" s="1"/>
  <c r="Y71" i="25"/>
  <c r="Y64" i="6" s="1"/>
  <c r="X71" i="25"/>
  <c r="X64" i="6" s="1"/>
  <c r="W71" i="25"/>
  <c r="W64" i="6" s="1"/>
  <c r="T71" i="25"/>
  <c r="T64" i="6" s="1"/>
  <c r="S71" i="25"/>
  <c r="S64" i="6" s="1"/>
  <c r="R71" i="25"/>
  <c r="R64" i="6" s="1"/>
  <c r="Q71" i="25"/>
  <c r="Q64" i="6" s="1"/>
  <c r="P71" i="25"/>
  <c r="P64" i="6" s="1"/>
  <c r="M71" i="25"/>
  <c r="M64" i="6" s="1"/>
  <c r="L71" i="25"/>
  <c r="L64" i="6" s="1"/>
  <c r="K71" i="25"/>
  <c r="K64" i="6" s="1"/>
  <c r="J71" i="25"/>
  <c r="J64" i="6" s="1"/>
  <c r="I71" i="25"/>
  <c r="I64" i="6" s="1"/>
  <c r="F71" i="25"/>
  <c r="F64" i="6" s="1"/>
  <c r="E71" i="25"/>
  <c r="E64" i="6" s="1"/>
  <c r="D71" i="25"/>
  <c r="D64" i="6" s="1"/>
  <c r="C71" i="25"/>
  <c r="C64" i="6" s="1"/>
  <c r="B71" i="25"/>
  <c r="B64" i="6" s="1"/>
  <c r="AA70" i="25"/>
  <c r="AA63" i="6" s="1"/>
  <c r="Z70" i="25"/>
  <c r="Z63" i="6" s="1"/>
  <c r="Y70" i="25"/>
  <c r="Y63" i="6" s="1"/>
  <c r="X70" i="25"/>
  <c r="X63" i="6" s="1"/>
  <c r="W70" i="25"/>
  <c r="W63" i="6" s="1"/>
  <c r="T70" i="25"/>
  <c r="T63" i="6" s="1"/>
  <c r="S70" i="25"/>
  <c r="S63" i="6" s="1"/>
  <c r="R70" i="25"/>
  <c r="R63" i="6" s="1"/>
  <c r="Q70" i="25"/>
  <c r="Q63" i="6" s="1"/>
  <c r="P70" i="25"/>
  <c r="P63" i="6" s="1"/>
  <c r="M70" i="25"/>
  <c r="M63" i="6" s="1"/>
  <c r="L70" i="25"/>
  <c r="L63" i="6" s="1"/>
  <c r="K70" i="25"/>
  <c r="J70" i="25"/>
  <c r="B31" i="14" s="1"/>
  <c r="I70" i="25"/>
  <c r="F70" i="25"/>
  <c r="F63" i="6" s="1"/>
  <c r="E70" i="25"/>
  <c r="E63" i="6" s="1"/>
  <c r="D70" i="25"/>
  <c r="D63" i="6" s="1"/>
  <c r="C70" i="25"/>
  <c r="C63" i="6" s="1"/>
  <c r="B70" i="25"/>
  <c r="B63" i="6" s="1"/>
  <c r="AA69" i="25"/>
  <c r="AA62" i="6" s="1"/>
  <c r="Z69" i="25"/>
  <c r="Z62" i="6" s="1"/>
  <c r="Y69" i="25"/>
  <c r="Y62" i="6" s="1"/>
  <c r="X69" i="25"/>
  <c r="X62" i="6" s="1"/>
  <c r="W69" i="25"/>
  <c r="W62" i="6" s="1"/>
  <c r="T69" i="25"/>
  <c r="T62" i="6" s="1"/>
  <c r="S69" i="25"/>
  <c r="S62" i="6" s="1"/>
  <c r="R69" i="25"/>
  <c r="R62" i="6" s="1"/>
  <c r="Q69" i="25"/>
  <c r="Q62" i="6" s="1"/>
  <c r="P69" i="25"/>
  <c r="P62" i="6" s="1"/>
  <c r="M69" i="25"/>
  <c r="M62" i="6" s="1"/>
  <c r="L69" i="25"/>
  <c r="L62" i="6" s="1"/>
  <c r="K69" i="25"/>
  <c r="K62" i="6" s="1"/>
  <c r="J69" i="25"/>
  <c r="J62" i="6" s="1"/>
  <c r="I69" i="25"/>
  <c r="I62" i="6" s="1"/>
  <c r="F69" i="25"/>
  <c r="F62" i="6" s="1"/>
  <c r="E69" i="25"/>
  <c r="E62" i="6" s="1"/>
  <c r="D69" i="25"/>
  <c r="D62" i="6" s="1"/>
  <c r="C69" i="25"/>
  <c r="C62" i="6" s="1"/>
  <c r="B69" i="25"/>
  <c r="B62" i="6" s="1"/>
  <c r="AA68" i="25"/>
  <c r="AA61" i="6" s="1"/>
  <c r="Z68" i="25"/>
  <c r="Z61" i="6" s="1"/>
  <c r="Y68" i="25"/>
  <c r="Y61" i="6" s="1"/>
  <c r="X68" i="25"/>
  <c r="X61" i="6" s="1"/>
  <c r="W68" i="25"/>
  <c r="W61" i="6" s="1"/>
  <c r="T68" i="25"/>
  <c r="T61" i="6" s="1"/>
  <c r="S68" i="25"/>
  <c r="S61" i="6" s="1"/>
  <c r="R68" i="25"/>
  <c r="R61" i="6" s="1"/>
  <c r="Q68" i="25"/>
  <c r="Q61" i="6" s="1"/>
  <c r="P68" i="25"/>
  <c r="P61" i="6" s="1"/>
  <c r="M68" i="25"/>
  <c r="M61" i="6" s="1"/>
  <c r="L68" i="25"/>
  <c r="L61" i="6" s="1"/>
  <c r="K68" i="25"/>
  <c r="K61" i="6" s="1"/>
  <c r="J68" i="25"/>
  <c r="J61" i="6" s="1"/>
  <c r="I68" i="25"/>
  <c r="I61" i="6" s="1"/>
  <c r="F68" i="25"/>
  <c r="F61" i="6" s="1"/>
  <c r="E68" i="25"/>
  <c r="E61" i="6" s="1"/>
  <c r="D68" i="25"/>
  <c r="D61" i="6" s="1"/>
  <c r="C68" i="25"/>
  <c r="C61" i="6" s="1"/>
  <c r="B68" i="25"/>
  <c r="B61" i="6" s="1"/>
  <c r="AA67" i="25"/>
  <c r="AA60" i="6" s="1"/>
  <c r="Z67" i="25"/>
  <c r="Z60" i="6" s="1"/>
  <c r="Y67" i="25"/>
  <c r="Y60" i="6" s="1"/>
  <c r="X67" i="25"/>
  <c r="X60" i="6" s="1"/>
  <c r="W67" i="25"/>
  <c r="W60" i="6" s="1"/>
  <c r="T67" i="25"/>
  <c r="T60" i="6" s="1"/>
  <c r="S67" i="25"/>
  <c r="S60" i="6" s="1"/>
  <c r="R67" i="25"/>
  <c r="R60" i="6" s="1"/>
  <c r="Q67" i="25"/>
  <c r="Q60" i="6" s="1"/>
  <c r="P67" i="25"/>
  <c r="P60" i="6" s="1"/>
  <c r="M67" i="25"/>
  <c r="M60" i="6" s="1"/>
  <c r="L67" i="25"/>
  <c r="L60" i="6" s="1"/>
  <c r="K67" i="25"/>
  <c r="K60" i="6" s="1"/>
  <c r="J67" i="25"/>
  <c r="J60" i="6" s="1"/>
  <c r="I67" i="25"/>
  <c r="I60" i="6" s="1"/>
  <c r="F67" i="25"/>
  <c r="F60" i="6" s="1"/>
  <c r="E67" i="25"/>
  <c r="E60" i="6" s="1"/>
  <c r="D67" i="25"/>
  <c r="D60" i="6" s="1"/>
  <c r="C67" i="25"/>
  <c r="C60" i="6" s="1"/>
  <c r="B67" i="25"/>
  <c r="B60" i="6" s="1"/>
  <c r="AA66" i="25"/>
  <c r="AA59" i="6" s="1"/>
  <c r="Z66" i="25"/>
  <c r="Z59" i="6" s="1"/>
  <c r="Y66" i="25"/>
  <c r="Y59" i="6" s="1"/>
  <c r="X66" i="25"/>
  <c r="X59" i="6" s="1"/>
  <c r="W66" i="25"/>
  <c r="W59" i="6" s="1"/>
  <c r="T66" i="25"/>
  <c r="T59" i="6" s="1"/>
  <c r="S66" i="25"/>
  <c r="S59" i="6" s="1"/>
  <c r="R66" i="25"/>
  <c r="R59" i="6" s="1"/>
  <c r="Q66" i="25"/>
  <c r="Q59" i="6" s="1"/>
  <c r="P66" i="25"/>
  <c r="P59" i="6" s="1"/>
  <c r="M66" i="25"/>
  <c r="M59" i="6" s="1"/>
  <c r="L66" i="25"/>
  <c r="L59" i="6" s="1"/>
  <c r="K66" i="25"/>
  <c r="K59" i="6" s="1"/>
  <c r="J66" i="25"/>
  <c r="J59" i="6" s="1"/>
  <c r="I66" i="25"/>
  <c r="I59" i="6" s="1"/>
  <c r="F66" i="25"/>
  <c r="F59" i="6" s="1"/>
  <c r="E66" i="25"/>
  <c r="E59" i="6" s="1"/>
  <c r="D66" i="25"/>
  <c r="D59" i="6" s="1"/>
  <c r="C66" i="25"/>
  <c r="C59" i="6" s="1"/>
  <c r="B66" i="25"/>
  <c r="B59" i="6" s="1"/>
  <c r="AA65" i="25"/>
  <c r="AA58" i="6" s="1"/>
  <c r="Z65" i="25"/>
  <c r="Z58" i="6" s="1"/>
  <c r="Y65" i="25"/>
  <c r="Y58" i="6" s="1"/>
  <c r="X65" i="25"/>
  <c r="X58" i="6" s="1"/>
  <c r="W65" i="25"/>
  <c r="W58" i="6" s="1"/>
  <c r="T65" i="25"/>
  <c r="T58" i="6" s="1"/>
  <c r="S65" i="25"/>
  <c r="S58" i="6" s="1"/>
  <c r="R65" i="25"/>
  <c r="R58" i="6" s="1"/>
  <c r="Q65" i="25"/>
  <c r="Q58" i="6" s="1"/>
  <c r="P65" i="25"/>
  <c r="P58" i="6" s="1"/>
  <c r="M65" i="25"/>
  <c r="M58" i="6" s="1"/>
  <c r="L65" i="25"/>
  <c r="L58" i="6" s="1"/>
  <c r="K65" i="25"/>
  <c r="K58" i="6" s="1"/>
  <c r="J65" i="25"/>
  <c r="J58" i="6" s="1"/>
  <c r="I65" i="25"/>
  <c r="I58" i="6" s="1"/>
  <c r="F65" i="25"/>
  <c r="F58" i="6" s="1"/>
  <c r="E65" i="25"/>
  <c r="E58" i="6" s="1"/>
  <c r="D65" i="25"/>
  <c r="D58" i="6" s="1"/>
  <c r="C65" i="25"/>
  <c r="C58" i="6" s="1"/>
  <c r="B65" i="25"/>
  <c r="B58" i="6" s="1"/>
  <c r="AA64" i="25"/>
  <c r="AA57" i="6" s="1"/>
  <c r="Z64" i="25"/>
  <c r="Z57" i="6" s="1"/>
  <c r="Y64" i="25"/>
  <c r="Y57" i="6" s="1"/>
  <c r="X64" i="25"/>
  <c r="X57" i="6" s="1"/>
  <c r="W64" i="25"/>
  <c r="W57" i="6" s="1"/>
  <c r="T64" i="25"/>
  <c r="T57" i="6" s="1"/>
  <c r="S64" i="25"/>
  <c r="S57" i="6" s="1"/>
  <c r="R64" i="25"/>
  <c r="R57" i="6" s="1"/>
  <c r="Q64" i="25"/>
  <c r="Q57" i="6" s="1"/>
  <c r="P64" i="25"/>
  <c r="P57" i="6" s="1"/>
  <c r="M64" i="25"/>
  <c r="M57" i="6" s="1"/>
  <c r="L64" i="25"/>
  <c r="L57" i="6" s="1"/>
  <c r="K64" i="25"/>
  <c r="K57" i="6" s="1"/>
  <c r="J64" i="25"/>
  <c r="J57" i="6" s="1"/>
  <c r="I64" i="25"/>
  <c r="I57" i="6" s="1"/>
  <c r="F64" i="25"/>
  <c r="F57" i="6" s="1"/>
  <c r="E64" i="25"/>
  <c r="E57" i="6" s="1"/>
  <c r="D64" i="25"/>
  <c r="D57" i="6" s="1"/>
  <c r="C64" i="25"/>
  <c r="C57" i="6" s="1"/>
  <c r="B64" i="25"/>
  <c r="B57" i="6" s="1"/>
  <c r="AA63" i="25"/>
  <c r="AA56" i="6" s="1"/>
  <c r="Z63" i="25"/>
  <c r="Z56" i="6" s="1"/>
  <c r="Y63" i="25"/>
  <c r="Y56" i="6" s="1"/>
  <c r="X63" i="25"/>
  <c r="X56" i="6" s="1"/>
  <c r="W63" i="25"/>
  <c r="W56" i="6" s="1"/>
  <c r="T63" i="25"/>
  <c r="T56" i="6" s="1"/>
  <c r="S63" i="25"/>
  <c r="S56" i="6" s="1"/>
  <c r="R63" i="25"/>
  <c r="R56" i="6" s="1"/>
  <c r="Q63" i="25"/>
  <c r="Q56" i="6" s="1"/>
  <c r="P63" i="25"/>
  <c r="P56" i="6" s="1"/>
  <c r="M63" i="25"/>
  <c r="M56" i="6" s="1"/>
  <c r="L63" i="25"/>
  <c r="L56" i="6" s="1"/>
  <c r="K63" i="25"/>
  <c r="K56" i="6" s="1"/>
  <c r="J63" i="25"/>
  <c r="J56" i="6" s="1"/>
  <c r="I63" i="25"/>
  <c r="I56" i="6" s="1"/>
  <c r="F63" i="25"/>
  <c r="F56" i="6" s="1"/>
  <c r="E63" i="25"/>
  <c r="E56" i="6" s="1"/>
  <c r="D63" i="25"/>
  <c r="D56" i="6" s="1"/>
  <c r="C63" i="25"/>
  <c r="C56" i="6" s="1"/>
  <c r="B63" i="25"/>
  <c r="B56" i="6" s="1"/>
  <c r="AA62" i="25"/>
  <c r="AA55" i="6" s="1"/>
  <c r="Z62" i="25"/>
  <c r="Z55" i="6" s="1"/>
  <c r="Y62" i="25"/>
  <c r="Y55" i="6" s="1"/>
  <c r="X62" i="25"/>
  <c r="X55" i="6" s="1"/>
  <c r="W62" i="25"/>
  <c r="W55" i="6" s="1"/>
  <c r="T62" i="25"/>
  <c r="T55" i="6" s="1"/>
  <c r="S62" i="25"/>
  <c r="S55" i="6" s="1"/>
  <c r="R62" i="25"/>
  <c r="R55" i="6" s="1"/>
  <c r="Q62" i="25"/>
  <c r="Q55" i="6" s="1"/>
  <c r="P62" i="25"/>
  <c r="P55" i="6" s="1"/>
  <c r="M62" i="25"/>
  <c r="M55" i="6" s="1"/>
  <c r="L62" i="25"/>
  <c r="L55" i="6" s="1"/>
  <c r="K62" i="25"/>
  <c r="K55" i="6" s="1"/>
  <c r="J62" i="25"/>
  <c r="J55" i="6" s="1"/>
  <c r="I62" i="25"/>
  <c r="I55" i="6" s="1"/>
  <c r="F62" i="25"/>
  <c r="F55" i="6" s="1"/>
  <c r="E62" i="25"/>
  <c r="E55" i="6" s="1"/>
  <c r="D62" i="25"/>
  <c r="D55" i="6" s="1"/>
  <c r="C62" i="25"/>
  <c r="C55" i="6" s="1"/>
  <c r="B62" i="25"/>
  <c r="B55" i="6" s="1"/>
  <c r="K56" i="25"/>
  <c r="R54" i="25" s="1"/>
  <c r="C56" i="25"/>
  <c r="B43" i="25"/>
  <c r="F42" i="25"/>
  <c r="B42" i="25"/>
  <c r="R36" i="25"/>
  <c r="N36" i="25"/>
  <c r="J36" i="25"/>
  <c r="F36" i="25"/>
  <c r="B36" i="25"/>
  <c r="R35" i="25"/>
  <c r="N35" i="25"/>
  <c r="J35" i="25"/>
  <c r="F35" i="25"/>
  <c r="B35" i="25"/>
  <c r="R34" i="25"/>
  <c r="N34" i="25"/>
  <c r="J34" i="25"/>
  <c r="F34" i="25"/>
  <c r="B34" i="25"/>
  <c r="A17" i="17"/>
  <c r="A17" i="13"/>
  <c r="A16" i="14"/>
  <c r="E43" i="6"/>
  <c r="AA71" i="24"/>
  <c r="AA48" i="6" s="1"/>
  <c r="Z71" i="24"/>
  <c r="Z48" i="6" s="1"/>
  <c r="Y71" i="24"/>
  <c r="Y48" i="6" s="1"/>
  <c r="X71" i="24"/>
  <c r="X48" i="6" s="1"/>
  <c r="W71" i="24"/>
  <c r="W48" i="6" s="1"/>
  <c r="T71" i="24"/>
  <c r="T48" i="6" s="1"/>
  <c r="S71" i="24"/>
  <c r="S48" i="6" s="1"/>
  <c r="R71" i="24"/>
  <c r="R48" i="6" s="1"/>
  <c r="Q71" i="24"/>
  <c r="Q48" i="6" s="1"/>
  <c r="P71" i="24"/>
  <c r="P48" i="6" s="1"/>
  <c r="M71" i="24"/>
  <c r="M48" i="6" s="1"/>
  <c r="L48" i="6"/>
  <c r="K48" i="6"/>
  <c r="J48" i="6"/>
  <c r="I48" i="6"/>
  <c r="F48" i="6"/>
  <c r="E48" i="6"/>
  <c r="D48" i="6"/>
  <c r="C48" i="6"/>
  <c r="B48" i="6"/>
  <c r="AA70" i="24"/>
  <c r="AA47" i="6" s="1"/>
  <c r="Z70" i="24"/>
  <c r="Z47" i="6" s="1"/>
  <c r="Y70" i="24"/>
  <c r="Y47" i="6" s="1"/>
  <c r="X70" i="24"/>
  <c r="X47" i="6" s="1"/>
  <c r="W70" i="24"/>
  <c r="W47" i="6" s="1"/>
  <c r="T70" i="24"/>
  <c r="T47" i="6" s="1"/>
  <c r="S70" i="24"/>
  <c r="S47" i="6" s="1"/>
  <c r="R70" i="24"/>
  <c r="R47" i="6" s="1"/>
  <c r="Q70" i="24"/>
  <c r="Q47" i="6" s="1"/>
  <c r="P70" i="24"/>
  <c r="P47" i="6" s="1"/>
  <c r="M70" i="24"/>
  <c r="D19" i="14"/>
  <c r="B19" i="14"/>
  <c r="I47" i="6"/>
  <c r="F47" i="6"/>
  <c r="E47" i="6"/>
  <c r="D47" i="6"/>
  <c r="C47" i="6"/>
  <c r="B47" i="6"/>
  <c r="AA69" i="24"/>
  <c r="AA46" i="6" s="1"/>
  <c r="Z69" i="24"/>
  <c r="Z46" i="6" s="1"/>
  <c r="Y69" i="24"/>
  <c r="Y46" i="6" s="1"/>
  <c r="X69" i="24"/>
  <c r="X46" i="6" s="1"/>
  <c r="W69" i="24"/>
  <c r="W46" i="6" s="1"/>
  <c r="T69" i="24"/>
  <c r="T46" i="6" s="1"/>
  <c r="S69" i="24"/>
  <c r="S46" i="6" s="1"/>
  <c r="R69" i="24"/>
  <c r="R46" i="6" s="1"/>
  <c r="Q69" i="24"/>
  <c r="Q46" i="6" s="1"/>
  <c r="P69" i="24"/>
  <c r="P46" i="6" s="1"/>
  <c r="M69" i="24"/>
  <c r="M46" i="6" s="1"/>
  <c r="L46" i="6"/>
  <c r="K46" i="6"/>
  <c r="J46" i="6"/>
  <c r="I46" i="6"/>
  <c r="F46" i="6"/>
  <c r="E46" i="6"/>
  <c r="D46" i="6"/>
  <c r="C46" i="6"/>
  <c r="B46" i="6"/>
  <c r="AA68" i="24"/>
  <c r="AA45" i="6" s="1"/>
  <c r="Z68" i="24"/>
  <c r="Z45" i="6" s="1"/>
  <c r="Y68" i="24"/>
  <c r="Y45" i="6" s="1"/>
  <c r="X68" i="24"/>
  <c r="X45" i="6" s="1"/>
  <c r="W68" i="24"/>
  <c r="W45" i="6" s="1"/>
  <c r="T68" i="24"/>
  <c r="T45" i="6" s="1"/>
  <c r="S68" i="24"/>
  <c r="S45" i="6" s="1"/>
  <c r="R68" i="24"/>
  <c r="R45" i="6" s="1"/>
  <c r="Q68" i="24"/>
  <c r="Q45" i="6" s="1"/>
  <c r="P68" i="24"/>
  <c r="P45" i="6" s="1"/>
  <c r="M68" i="24"/>
  <c r="M45" i="6" s="1"/>
  <c r="L45" i="6"/>
  <c r="K45" i="6"/>
  <c r="J45" i="6"/>
  <c r="I45" i="6"/>
  <c r="F45" i="6"/>
  <c r="E45" i="6"/>
  <c r="D45" i="6"/>
  <c r="C45" i="6"/>
  <c r="B45" i="6"/>
  <c r="AA67" i="24"/>
  <c r="AA44" i="6" s="1"/>
  <c r="Z67" i="24"/>
  <c r="Z44" i="6" s="1"/>
  <c r="Y67" i="24"/>
  <c r="Y44" i="6" s="1"/>
  <c r="X67" i="24"/>
  <c r="X44" i="6" s="1"/>
  <c r="W67" i="24"/>
  <c r="W44" i="6" s="1"/>
  <c r="T67" i="24"/>
  <c r="T44" i="6" s="1"/>
  <c r="S67" i="24"/>
  <c r="S44" i="6" s="1"/>
  <c r="R67" i="24"/>
  <c r="R44" i="6" s="1"/>
  <c r="Q67" i="24"/>
  <c r="Q44" i="6" s="1"/>
  <c r="P67" i="24"/>
  <c r="P44" i="6" s="1"/>
  <c r="M67" i="24"/>
  <c r="M44" i="6" s="1"/>
  <c r="L44" i="6"/>
  <c r="K44" i="6"/>
  <c r="J44" i="6"/>
  <c r="I44" i="6"/>
  <c r="F44" i="6"/>
  <c r="E44" i="6"/>
  <c r="D44" i="6"/>
  <c r="C44" i="6"/>
  <c r="B44" i="6"/>
  <c r="AA66" i="24"/>
  <c r="AA43" i="6" s="1"/>
  <c r="Z66" i="24"/>
  <c r="Z43" i="6" s="1"/>
  <c r="Y66" i="24"/>
  <c r="Y43" i="6" s="1"/>
  <c r="X66" i="24"/>
  <c r="X43" i="6" s="1"/>
  <c r="W66" i="24"/>
  <c r="W43" i="6" s="1"/>
  <c r="T66" i="24"/>
  <c r="T43" i="6" s="1"/>
  <c r="S66" i="24"/>
  <c r="S43" i="6" s="1"/>
  <c r="R66" i="24"/>
  <c r="R43" i="6" s="1"/>
  <c r="Q66" i="24"/>
  <c r="Q43" i="6" s="1"/>
  <c r="P66" i="24"/>
  <c r="P43" i="6" s="1"/>
  <c r="M66" i="24"/>
  <c r="M43" i="6" s="1"/>
  <c r="L43" i="6"/>
  <c r="K43" i="6"/>
  <c r="J43" i="6"/>
  <c r="I43" i="6"/>
  <c r="F43" i="6"/>
  <c r="D43" i="6"/>
  <c r="C43" i="6"/>
  <c r="B43" i="6"/>
  <c r="AA65" i="24"/>
  <c r="AA42" i="6" s="1"/>
  <c r="Z65" i="24"/>
  <c r="Z42" i="6" s="1"/>
  <c r="Y65" i="24"/>
  <c r="Y42" i="6" s="1"/>
  <c r="X65" i="24"/>
  <c r="X42" i="6" s="1"/>
  <c r="W65" i="24"/>
  <c r="W42" i="6" s="1"/>
  <c r="T65" i="24"/>
  <c r="T42" i="6" s="1"/>
  <c r="S65" i="24"/>
  <c r="S42" i="6" s="1"/>
  <c r="R65" i="24"/>
  <c r="R42" i="6" s="1"/>
  <c r="Q65" i="24"/>
  <c r="Q42" i="6" s="1"/>
  <c r="P65" i="24"/>
  <c r="P42" i="6" s="1"/>
  <c r="M65" i="24"/>
  <c r="M42" i="6" s="1"/>
  <c r="L42" i="6"/>
  <c r="K42" i="6"/>
  <c r="J42" i="6"/>
  <c r="I42" i="6"/>
  <c r="F42" i="6"/>
  <c r="E42" i="6"/>
  <c r="D42" i="6"/>
  <c r="C42" i="6"/>
  <c r="B42" i="6"/>
  <c r="AA64" i="24"/>
  <c r="AA41" i="6" s="1"/>
  <c r="Z64" i="24"/>
  <c r="Z41" i="6" s="1"/>
  <c r="Y64" i="24"/>
  <c r="Y41" i="6" s="1"/>
  <c r="X64" i="24"/>
  <c r="X41" i="6" s="1"/>
  <c r="W64" i="24"/>
  <c r="W41" i="6" s="1"/>
  <c r="T64" i="24"/>
  <c r="T41" i="6" s="1"/>
  <c r="S64" i="24"/>
  <c r="S41" i="6" s="1"/>
  <c r="R64" i="24"/>
  <c r="R41" i="6" s="1"/>
  <c r="Q64" i="24"/>
  <c r="Q41" i="6" s="1"/>
  <c r="P64" i="24"/>
  <c r="P41" i="6" s="1"/>
  <c r="M64" i="24"/>
  <c r="M41" i="6" s="1"/>
  <c r="L41" i="6"/>
  <c r="K41" i="6"/>
  <c r="J41" i="6"/>
  <c r="I41" i="6"/>
  <c r="F41" i="6"/>
  <c r="E41" i="6"/>
  <c r="D41" i="6"/>
  <c r="C41" i="6"/>
  <c r="B41" i="6"/>
  <c r="AA63" i="24"/>
  <c r="AA40" i="6" s="1"/>
  <c r="Z63" i="24"/>
  <c r="Z40" i="6" s="1"/>
  <c r="Y63" i="24"/>
  <c r="Y40" i="6" s="1"/>
  <c r="X63" i="24"/>
  <c r="X40" i="6" s="1"/>
  <c r="W63" i="24"/>
  <c r="W40" i="6" s="1"/>
  <c r="T63" i="24"/>
  <c r="T40" i="6" s="1"/>
  <c r="S63" i="24"/>
  <c r="S40" i="6" s="1"/>
  <c r="R63" i="24"/>
  <c r="R40" i="6" s="1"/>
  <c r="Q63" i="24"/>
  <c r="Q40" i="6" s="1"/>
  <c r="P63" i="24"/>
  <c r="P40" i="6" s="1"/>
  <c r="M63" i="24"/>
  <c r="M40" i="6" s="1"/>
  <c r="L40" i="6"/>
  <c r="K40" i="6"/>
  <c r="J40" i="6"/>
  <c r="I40" i="6"/>
  <c r="F40" i="6"/>
  <c r="E40" i="6"/>
  <c r="D40" i="6"/>
  <c r="C40" i="6"/>
  <c r="B40" i="6"/>
  <c r="AA62" i="24"/>
  <c r="AA39" i="6" s="1"/>
  <c r="Z62" i="24"/>
  <c r="Z39" i="6" s="1"/>
  <c r="Y62" i="24"/>
  <c r="Y39" i="6" s="1"/>
  <c r="X62" i="24"/>
  <c r="X39" i="6" s="1"/>
  <c r="W62" i="24"/>
  <c r="W39" i="6" s="1"/>
  <c r="T62" i="24"/>
  <c r="T39" i="6" s="1"/>
  <c r="S62" i="24"/>
  <c r="S39" i="6" s="1"/>
  <c r="R62" i="24"/>
  <c r="R39" i="6" s="1"/>
  <c r="Q62" i="24"/>
  <c r="Q39" i="6" s="1"/>
  <c r="P62" i="24"/>
  <c r="P39" i="6" s="1"/>
  <c r="M62" i="24"/>
  <c r="M39" i="6" s="1"/>
  <c r="L39" i="6"/>
  <c r="K39" i="6"/>
  <c r="J39" i="6"/>
  <c r="I39" i="6"/>
  <c r="F39" i="6"/>
  <c r="E39" i="6"/>
  <c r="D39" i="6"/>
  <c r="C39" i="6"/>
  <c r="B39" i="6"/>
  <c r="K56" i="24"/>
  <c r="R54" i="24" s="1"/>
  <c r="C56" i="24"/>
  <c r="B43" i="24"/>
  <c r="F42" i="24"/>
  <c r="B42" i="24"/>
  <c r="R36" i="24"/>
  <c r="N36" i="24"/>
  <c r="J36" i="24"/>
  <c r="F36" i="24"/>
  <c r="B36" i="24"/>
  <c r="R35" i="24"/>
  <c r="N35" i="24"/>
  <c r="J35" i="24"/>
  <c r="F35" i="24"/>
  <c r="B35" i="24"/>
  <c r="R34" i="24"/>
  <c r="N34" i="24"/>
  <c r="J34" i="24"/>
  <c r="F34" i="24"/>
  <c r="B34" i="24"/>
  <c r="H20" i="13" l="1"/>
  <c r="B20" i="13"/>
  <c r="F39" i="24"/>
  <c r="E43" i="14"/>
  <c r="K44" i="13"/>
  <c r="E44" i="13"/>
  <c r="I44" i="13"/>
  <c r="C44" i="13"/>
  <c r="C43" i="14"/>
  <c r="H44" i="13"/>
  <c r="B44" i="13"/>
  <c r="G44" i="13"/>
  <c r="A44" i="13"/>
  <c r="C31" i="14"/>
  <c r="D44" i="13"/>
  <c r="J44" i="13"/>
  <c r="J20" i="13"/>
  <c r="D20" i="13"/>
  <c r="N39" i="24"/>
  <c r="E20" i="13"/>
  <c r="K20" i="13"/>
  <c r="R39" i="24"/>
  <c r="I20" i="13"/>
  <c r="C20" i="13"/>
  <c r="F25" i="13" s="1"/>
  <c r="J39" i="24"/>
  <c r="A20" i="13"/>
  <c r="G20" i="13"/>
  <c r="B39" i="24"/>
  <c r="G20" i="16" s="1"/>
  <c r="A31" i="14"/>
  <c r="A32" i="13"/>
  <c r="G32" i="13"/>
  <c r="B39" i="25"/>
  <c r="D34" i="25" s="1"/>
  <c r="D32" i="13"/>
  <c r="J32" i="13"/>
  <c r="N39" i="25"/>
  <c r="B32" i="13"/>
  <c r="H32" i="13"/>
  <c r="F39" i="25"/>
  <c r="H36" i="25" s="1"/>
  <c r="K32" i="13"/>
  <c r="E32" i="13"/>
  <c r="R39" i="25"/>
  <c r="T34" i="25" s="1"/>
  <c r="I32" i="13"/>
  <c r="C32" i="13"/>
  <c r="J39" i="25"/>
  <c r="L35" i="25" s="1"/>
  <c r="I63" i="6"/>
  <c r="J63" i="6"/>
  <c r="M79" i="6"/>
  <c r="D43" i="14"/>
  <c r="K79" i="6"/>
  <c r="V35" i="26"/>
  <c r="B43" i="14"/>
  <c r="A43" i="14"/>
  <c r="R55" i="26"/>
  <c r="K63" i="6"/>
  <c r="R55" i="25"/>
  <c r="C19" i="14"/>
  <c r="E19" i="14"/>
  <c r="E31" i="14"/>
  <c r="B44" i="25"/>
  <c r="D42" i="25" s="1"/>
  <c r="M47" i="6"/>
  <c r="A19" i="14"/>
  <c r="L47" i="6"/>
  <c r="K47" i="6"/>
  <c r="B44" i="24"/>
  <c r="D42" i="24" s="1"/>
  <c r="J47" i="6"/>
  <c r="D31" i="14"/>
  <c r="V36" i="26"/>
  <c r="T35" i="26"/>
  <c r="L36" i="26"/>
  <c r="P36" i="26"/>
  <c r="P35" i="26"/>
  <c r="H35" i="26"/>
  <c r="B44" i="26"/>
  <c r="D43" i="26" s="1"/>
  <c r="P34" i="26"/>
  <c r="T34" i="26"/>
  <c r="D36" i="26"/>
  <c r="V34" i="26"/>
  <c r="V36" i="25"/>
  <c r="V35" i="25"/>
  <c r="V34" i="25"/>
  <c r="R55" i="24"/>
  <c r="V36" i="24"/>
  <c r="V35" i="24"/>
  <c r="V34" i="24"/>
  <c r="F110" i="6"/>
  <c r="H25" i="13" l="1"/>
  <c r="G25" i="13"/>
  <c r="E25" i="13"/>
  <c r="D25" i="13"/>
  <c r="D35" i="25"/>
  <c r="J20" i="16"/>
  <c r="G25" i="16" s="1"/>
  <c r="P38" i="24"/>
  <c r="P37" i="24"/>
  <c r="I20" i="16"/>
  <c r="F25" i="16" s="1"/>
  <c r="L38" i="24"/>
  <c r="L37" i="24"/>
  <c r="V39" i="24"/>
  <c r="D38" i="24"/>
  <c r="D37" i="24"/>
  <c r="J32" i="16"/>
  <c r="G37" i="16" s="1"/>
  <c r="P37" i="25"/>
  <c r="P38" i="25"/>
  <c r="K32" i="16"/>
  <c r="H37" i="16" s="1"/>
  <c r="T37" i="25"/>
  <c r="T38" i="25"/>
  <c r="L36" i="25"/>
  <c r="G32" i="16"/>
  <c r="D37" i="16" s="1"/>
  <c r="D37" i="25"/>
  <c r="D38" i="25"/>
  <c r="H32" i="16"/>
  <c r="E37" i="16" s="1"/>
  <c r="H38" i="25"/>
  <c r="H37" i="25"/>
  <c r="H32" i="17"/>
  <c r="H31" i="14"/>
  <c r="D36" i="25"/>
  <c r="L34" i="25"/>
  <c r="I32" i="16"/>
  <c r="L38" i="25"/>
  <c r="L37" i="25"/>
  <c r="I32" i="17"/>
  <c r="I31" i="14"/>
  <c r="F36" i="14" s="1"/>
  <c r="V39" i="26"/>
  <c r="W34" i="26" s="1"/>
  <c r="P39" i="26"/>
  <c r="V39" i="25"/>
  <c r="W38" i="25" s="1"/>
  <c r="K20" i="16"/>
  <c r="T38" i="24"/>
  <c r="T37" i="24"/>
  <c r="H20" i="16"/>
  <c r="H38" i="24"/>
  <c r="H37" i="24"/>
  <c r="D25" i="16"/>
  <c r="D35" i="26"/>
  <c r="G43" i="14"/>
  <c r="G44" i="17"/>
  <c r="H42" i="25"/>
  <c r="T35" i="25"/>
  <c r="T36" i="25"/>
  <c r="K31" i="14"/>
  <c r="H36" i="14" s="1"/>
  <c r="K32" i="17"/>
  <c r="D43" i="25"/>
  <c r="D44" i="25" s="1"/>
  <c r="G32" i="17"/>
  <c r="D37" i="17" s="1"/>
  <c r="G31" i="14"/>
  <c r="P35" i="24"/>
  <c r="J20" i="17"/>
  <c r="J19" i="14"/>
  <c r="D43" i="24"/>
  <c r="D44" i="24" s="1"/>
  <c r="H42" i="24"/>
  <c r="L35" i="24"/>
  <c r="I19" i="14"/>
  <c r="I20" i="17"/>
  <c r="T35" i="24"/>
  <c r="K20" i="17"/>
  <c r="K19" i="14"/>
  <c r="P34" i="24"/>
  <c r="H35" i="24"/>
  <c r="H19" i="14"/>
  <c r="E24" i="14" s="1"/>
  <c r="H20" i="17"/>
  <c r="D35" i="24"/>
  <c r="G20" i="17"/>
  <c r="G19" i="14"/>
  <c r="D34" i="24"/>
  <c r="P36" i="25"/>
  <c r="J31" i="14"/>
  <c r="G36" i="14" s="1"/>
  <c r="J32" i="17"/>
  <c r="P34" i="25"/>
  <c r="H36" i="26"/>
  <c r="L35" i="26"/>
  <c r="L34" i="26"/>
  <c r="T36" i="26"/>
  <c r="T39" i="26" s="1"/>
  <c r="H34" i="26"/>
  <c r="D34" i="26"/>
  <c r="H42" i="26"/>
  <c r="D42" i="26"/>
  <c r="D44" i="26" s="1"/>
  <c r="P35" i="25"/>
  <c r="H35" i="25"/>
  <c r="H34" i="25"/>
  <c r="H39" i="25" s="1"/>
  <c r="H36" i="24"/>
  <c r="D36" i="24"/>
  <c r="H34" i="24"/>
  <c r="L36" i="24"/>
  <c r="P36" i="24"/>
  <c r="L34" i="24"/>
  <c r="T34" i="24"/>
  <c r="T36" i="24"/>
  <c r="B43" i="1"/>
  <c r="B111" i="6" s="1"/>
  <c r="G48" i="14"/>
  <c r="H48" i="14"/>
  <c r="A4" i="14"/>
  <c r="H24" i="14" l="1"/>
  <c r="G24" i="14"/>
  <c r="F24" i="14"/>
  <c r="D24" i="14"/>
  <c r="H39" i="26"/>
  <c r="D39" i="25"/>
  <c r="L39" i="25"/>
  <c r="W37" i="25"/>
  <c r="I33" i="16"/>
  <c r="F38" i="16" s="1"/>
  <c r="F37" i="16"/>
  <c r="P39" i="25"/>
  <c r="T39" i="25"/>
  <c r="D39" i="24"/>
  <c r="L39" i="26"/>
  <c r="H39" i="24"/>
  <c r="W37" i="26"/>
  <c r="W38" i="26"/>
  <c r="D39" i="26"/>
  <c r="T39" i="24"/>
  <c r="L39" i="24"/>
  <c r="P39" i="24"/>
  <c r="H25" i="16"/>
  <c r="E25" i="16"/>
  <c r="I21" i="16"/>
  <c r="F26" i="16" s="1"/>
  <c r="W34" i="24"/>
  <c r="W37" i="24"/>
  <c r="W38" i="24"/>
  <c r="R56" i="26"/>
  <c r="W35" i="26"/>
  <c r="W36" i="26"/>
  <c r="R56" i="25"/>
  <c r="W35" i="25"/>
  <c r="W36" i="25"/>
  <c r="W34" i="25"/>
  <c r="R56" i="24"/>
  <c r="W36" i="24"/>
  <c r="W35" i="24"/>
  <c r="E48" i="14"/>
  <c r="I44" i="14"/>
  <c r="E36" i="14"/>
  <c r="C32" i="14"/>
  <c r="F48" i="14"/>
  <c r="C44" i="14"/>
  <c r="D48" i="14"/>
  <c r="I32" i="14"/>
  <c r="D36" i="14"/>
  <c r="I20" i="14"/>
  <c r="C20" i="14"/>
  <c r="K56" i="1"/>
  <c r="R54" i="1" s="1"/>
  <c r="C56" i="1"/>
  <c r="G10" i="23"/>
  <c r="G11" i="23"/>
  <c r="G12" i="23"/>
  <c r="G13" i="23"/>
  <c r="G14" i="23"/>
  <c r="G15" i="23"/>
  <c r="G16" i="23"/>
  <c r="G17" i="23"/>
  <c r="G18" i="23"/>
  <c r="G19" i="23"/>
  <c r="G20" i="23"/>
  <c r="G21" i="23"/>
  <c r="G22" i="23"/>
  <c r="G23" i="23"/>
  <c r="G24" i="23"/>
  <c r="G25" i="23"/>
  <c r="G26" i="23"/>
  <c r="G27" i="23"/>
  <c r="G28" i="23"/>
  <c r="G29" i="23"/>
  <c r="G30" i="23"/>
  <c r="G31" i="23"/>
  <c r="G32" i="23"/>
  <c r="G33" i="23"/>
  <c r="G34" i="23"/>
  <c r="G35" i="23"/>
  <c r="G36" i="23"/>
  <c r="G37" i="23"/>
  <c r="G38" i="23"/>
  <c r="G39" i="23"/>
  <c r="G40" i="23"/>
  <c r="G41" i="23"/>
  <c r="G42" i="23"/>
  <c r="G43" i="23"/>
  <c r="G44" i="23"/>
  <c r="G45" i="23"/>
  <c r="G46" i="23"/>
  <c r="G47" i="23"/>
  <c r="G48" i="23"/>
  <c r="G49" i="23"/>
  <c r="G50" i="23"/>
  <c r="G51" i="23"/>
  <c r="G52" i="23"/>
  <c r="G53" i="23"/>
  <c r="G54" i="23"/>
  <c r="G55" i="23"/>
  <c r="G56" i="23"/>
  <c r="G57" i="23"/>
  <c r="G58" i="23"/>
  <c r="G59" i="23"/>
  <c r="G60" i="23"/>
  <c r="G61" i="23"/>
  <c r="G62" i="23"/>
  <c r="G63" i="23"/>
  <c r="G64" i="23"/>
  <c r="G65" i="23"/>
  <c r="G66" i="23"/>
  <c r="G67" i="23"/>
  <c r="G68" i="23"/>
  <c r="G69" i="23"/>
  <c r="G70" i="23"/>
  <c r="G71" i="23"/>
  <c r="G72" i="23"/>
  <c r="G73" i="23"/>
  <c r="G74" i="23"/>
  <c r="G75" i="23"/>
  <c r="G76" i="23"/>
  <c r="G77" i="23"/>
  <c r="G78" i="23"/>
  <c r="G79" i="23"/>
  <c r="G80" i="23"/>
  <c r="G81" i="23"/>
  <c r="G82" i="23"/>
  <c r="G83" i="23"/>
  <c r="G84" i="23"/>
  <c r="G85" i="23"/>
  <c r="G86" i="23"/>
  <c r="G87" i="23"/>
  <c r="G88" i="23"/>
  <c r="G89" i="23"/>
  <c r="G90" i="23"/>
  <c r="G91" i="23"/>
  <c r="G92" i="23"/>
  <c r="G93" i="23"/>
  <c r="G94" i="23"/>
  <c r="G95" i="23"/>
  <c r="G96" i="23"/>
  <c r="G97" i="23"/>
  <c r="G98" i="23"/>
  <c r="G99" i="23"/>
  <c r="G100" i="23"/>
  <c r="G101" i="23"/>
  <c r="G102" i="23"/>
  <c r="G103" i="23"/>
  <c r="G104" i="23"/>
  <c r="G105" i="23"/>
  <c r="G106" i="23"/>
  <c r="G107" i="23"/>
  <c r="G108" i="23"/>
  <c r="G109" i="23"/>
  <c r="G110" i="23"/>
  <c r="G111" i="23"/>
  <c r="G112" i="23"/>
  <c r="G113" i="23"/>
  <c r="G114" i="23"/>
  <c r="G115" i="23"/>
  <c r="G116" i="23"/>
  <c r="G117" i="23"/>
  <c r="G118" i="23"/>
  <c r="G119" i="23"/>
  <c r="G120" i="23"/>
  <c r="G121" i="23"/>
  <c r="G122" i="23"/>
  <c r="G123" i="23"/>
  <c r="G124" i="23"/>
  <c r="G125" i="23"/>
  <c r="G126" i="23"/>
  <c r="G127" i="23"/>
  <c r="G128" i="23"/>
  <c r="G129" i="23"/>
  <c r="G130" i="23"/>
  <c r="G131" i="23"/>
  <c r="G132" i="23"/>
  <c r="G133" i="23"/>
  <c r="G134" i="23"/>
  <c r="G135" i="23"/>
  <c r="G136" i="23"/>
  <c r="G137" i="23"/>
  <c r="G138" i="23"/>
  <c r="G139" i="23"/>
  <c r="G140" i="23"/>
  <c r="G141" i="23"/>
  <c r="G142" i="23"/>
  <c r="G143" i="23"/>
  <c r="G144" i="23"/>
  <c r="G145" i="23"/>
  <c r="G146" i="23"/>
  <c r="G147" i="23"/>
  <c r="G9" i="23"/>
  <c r="F10" i="23"/>
  <c r="F11" i="23"/>
  <c r="F12" i="23"/>
  <c r="F13" i="23"/>
  <c r="F14" i="23"/>
  <c r="F15" i="23"/>
  <c r="F16" i="23"/>
  <c r="F17" i="23"/>
  <c r="F18" i="23"/>
  <c r="F19" i="23"/>
  <c r="F20" i="23"/>
  <c r="F21" i="23"/>
  <c r="F22" i="23"/>
  <c r="F23" i="23"/>
  <c r="F24" i="23"/>
  <c r="F25" i="23"/>
  <c r="F26" i="23"/>
  <c r="F27" i="23"/>
  <c r="F28" i="23"/>
  <c r="F29" i="23"/>
  <c r="F30" i="23"/>
  <c r="F31" i="23"/>
  <c r="F32" i="23"/>
  <c r="F33" i="23"/>
  <c r="F34" i="23"/>
  <c r="F35" i="23"/>
  <c r="F36" i="23"/>
  <c r="F37" i="23"/>
  <c r="F38" i="23"/>
  <c r="F39" i="23"/>
  <c r="F40" i="23"/>
  <c r="F41" i="23"/>
  <c r="F42" i="23"/>
  <c r="F43" i="23"/>
  <c r="F44" i="23"/>
  <c r="F45" i="23"/>
  <c r="F46" i="23"/>
  <c r="F47" i="23"/>
  <c r="F48" i="23"/>
  <c r="F49" i="23"/>
  <c r="F50" i="23"/>
  <c r="F51" i="23"/>
  <c r="F52" i="23"/>
  <c r="F53" i="23"/>
  <c r="F54" i="23"/>
  <c r="F55" i="23"/>
  <c r="F56" i="23"/>
  <c r="F57" i="23"/>
  <c r="F58" i="23"/>
  <c r="F59" i="23"/>
  <c r="F60" i="23"/>
  <c r="F61" i="23"/>
  <c r="F62" i="23"/>
  <c r="F63" i="23"/>
  <c r="F64" i="23"/>
  <c r="F65" i="23"/>
  <c r="F66" i="23"/>
  <c r="F67" i="23"/>
  <c r="F68" i="23"/>
  <c r="F69" i="23"/>
  <c r="F70" i="23"/>
  <c r="F71" i="23"/>
  <c r="F72" i="23"/>
  <c r="F73" i="23"/>
  <c r="F74" i="23"/>
  <c r="F75" i="23"/>
  <c r="F76" i="23"/>
  <c r="F77" i="23"/>
  <c r="F78" i="23"/>
  <c r="F79" i="23"/>
  <c r="F80" i="23"/>
  <c r="F81" i="23"/>
  <c r="F82" i="23"/>
  <c r="F83" i="23"/>
  <c r="F84" i="23"/>
  <c r="F85" i="23"/>
  <c r="F86" i="23"/>
  <c r="F87" i="23"/>
  <c r="F88" i="23"/>
  <c r="F89" i="23"/>
  <c r="F90" i="23"/>
  <c r="F91" i="23"/>
  <c r="F92" i="23"/>
  <c r="F93" i="23"/>
  <c r="F94" i="23"/>
  <c r="F95" i="23"/>
  <c r="F96" i="23"/>
  <c r="F97" i="23"/>
  <c r="F98" i="23"/>
  <c r="F99" i="23"/>
  <c r="F100" i="23"/>
  <c r="F101" i="23"/>
  <c r="F102" i="23"/>
  <c r="F103" i="23"/>
  <c r="F104" i="23"/>
  <c r="F105" i="23"/>
  <c r="F106" i="23"/>
  <c r="F107" i="23"/>
  <c r="F108" i="23"/>
  <c r="F109" i="23"/>
  <c r="F110" i="23"/>
  <c r="F111" i="23"/>
  <c r="F112" i="23"/>
  <c r="F113" i="23"/>
  <c r="F114" i="23"/>
  <c r="F115" i="23"/>
  <c r="F116" i="23"/>
  <c r="F117" i="23"/>
  <c r="F118" i="23"/>
  <c r="F119" i="23"/>
  <c r="F120" i="23"/>
  <c r="F121" i="23"/>
  <c r="F122" i="23"/>
  <c r="F123" i="23"/>
  <c r="F124" i="23"/>
  <c r="F125" i="23"/>
  <c r="F126" i="23"/>
  <c r="F127" i="23"/>
  <c r="F128" i="23"/>
  <c r="F129" i="23"/>
  <c r="F130" i="23"/>
  <c r="F131" i="23"/>
  <c r="F132" i="23"/>
  <c r="F133" i="23"/>
  <c r="F134" i="23"/>
  <c r="F135" i="23"/>
  <c r="F136" i="23"/>
  <c r="F137" i="23"/>
  <c r="F138" i="23"/>
  <c r="F139" i="23"/>
  <c r="F140" i="23"/>
  <c r="F141" i="23"/>
  <c r="F142" i="23"/>
  <c r="F143" i="23"/>
  <c r="F144" i="23"/>
  <c r="F145" i="23"/>
  <c r="F146" i="23"/>
  <c r="F147" i="23"/>
  <c r="F9" i="23"/>
  <c r="E10" i="23"/>
  <c r="E11" i="23"/>
  <c r="E12" i="23"/>
  <c r="E13" i="23"/>
  <c r="E14" i="23"/>
  <c r="E15" i="23"/>
  <c r="E16" i="23"/>
  <c r="E17" i="23"/>
  <c r="E18" i="23"/>
  <c r="E19" i="23"/>
  <c r="E20" i="23"/>
  <c r="E21" i="23"/>
  <c r="E22" i="23"/>
  <c r="E23" i="23"/>
  <c r="E24" i="23"/>
  <c r="E25" i="23"/>
  <c r="E26" i="23"/>
  <c r="E27" i="23"/>
  <c r="E28" i="23"/>
  <c r="E29" i="23"/>
  <c r="E30" i="23"/>
  <c r="E31" i="23"/>
  <c r="E32" i="23"/>
  <c r="E33" i="23"/>
  <c r="E34" i="23"/>
  <c r="E35" i="23"/>
  <c r="E36" i="23"/>
  <c r="E37" i="23"/>
  <c r="E38" i="23"/>
  <c r="E39" i="23"/>
  <c r="E40" i="23"/>
  <c r="E41" i="23"/>
  <c r="E42" i="23"/>
  <c r="E43" i="23"/>
  <c r="E44" i="23"/>
  <c r="E45" i="23"/>
  <c r="E46" i="23"/>
  <c r="E47" i="23"/>
  <c r="E48" i="23"/>
  <c r="E49" i="23"/>
  <c r="E50" i="23"/>
  <c r="E51" i="23"/>
  <c r="E52" i="23"/>
  <c r="E53" i="23"/>
  <c r="E54" i="23"/>
  <c r="E55" i="23"/>
  <c r="E56" i="23"/>
  <c r="E57" i="23"/>
  <c r="E58" i="23"/>
  <c r="E59" i="23"/>
  <c r="E60" i="23"/>
  <c r="E61" i="23"/>
  <c r="E62" i="23"/>
  <c r="E63" i="23"/>
  <c r="E64" i="23"/>
  <c r="E65" i="23"/>
  <c r="E66" i="23"/>
  <c r="E67" i="23"/>
  <c r="E68" i="23"/>
  <c r="E69" i="23"/>
  <c r="E70" i="23"/>
  <c r="E71" i="23"/>
  <c r="E72" i="23"/>
  <c r="E73" i="23"/>
  <c r="E74" i="23"/>
  <c r="E75" i="23"/>
  <c r="E76" i="23"/>
  <c r="E77" i="23"/>
  <c r="E78" i="23"/>
  <c r="E79" i="23"/>
  <c r="E80" i="23"/>
  <c r="E81" i="23"/>
  <c r="E82" i="23"/>
  <c r="E83" i="23"/>
  <c r="E84" i="23"/>
  <c r="E85" i="23"/>
  <c r="E86" i="23"/>
  <c r="E87" i="23"/>
  <c r="E88" i="23"/>
  <c r="E89" i="23"/>
  <c r="E90" i="23"/>
  <c r="E91" i="23"/>
  <c r="E92" i="23"/>
  <c r="E93" i="23"/>
  <c r="E94" i="23"/>
  <c r="E95" i="23"/>
  <c r="E96" i="23"/>
  <c r="E97" i="23"/>
  <c r="E98" i="23"/>
  <c r="E99" i="23"/>
  <c r="E100" i="23"/>
  <c r="E101" i="23"/>
  <c r="E102" i="23"/>
  <c r="E103" i="23"/>
  <c r="E104" i="23"/>
  <c r="E105" i="23"/>
  <c r="E106" i="23"/>
  <c r="E107" i="23"/>
  <c r="E108" i="23"/>
  <c r="E109" i="23"/>
  <c r="E110" i="23"/>
  <c r="E111" i="23"/>
  <c r="E112" i="23"/>
  <c r="E113" i="23"/>
  <c r="E114" i="23"/>
  <c r="E115" i="23"/>
  <c r="E116" i="23"/>
  <c r="E117" i="23"/>
  <c r="E118" i="23"/>
  <c r="E119" i="23"/>
  <c r="E120" i="23"/>
  <c r="E121" i="23"/>
  <c r="E122" i="23"/>
  <c r="E123" i="23"/>
  <c r="E124" i="23"/>
  <c r="E125" i="23"/>
  <c r="E126" i="23"/>
  <c r="E127" i="23"/>
  <c r="E128" i="23"/>
  <c r="E129" i="23"/>
  <c r="E130" i="23"/>
  <c r="E131" i="23"/>
  <c r="E132" i="23"/>
  <c r="E133" i="23"/>
  <c r="E134" i="23"/>
  <c r="E135" i="23"/>
  <c r="E136" i="23"/>
  <c r="E137" i="23"/>
  <c r="E138" i="23"/>
  <c r="E139" i="23"/>
  <c r="E140" i="23"/>
  <c r="E141" i="23"/>
  <c r="E142" i="23"/>
  <c r="E143" i="23"/>
  <c r="E144" i="23"/>
  <c r="E145" i="23"/>
  <c r="E146" i="23"/>
  <c r="E147" i="23"/>
  <c r="E9" i="23"/>
  <c r="W39" i="26" l="1"/>
  <c r="W39" i="24"/>
  <c r="W39" i="25"/>
  <c r="F49" i="14"/>
  <c r="AA5" i="26" s="1"/>
  <c r="F37" i="14"/>
  <c r="AA5" i="25" s="1"/>
  <c r="F25" i="14"/>
  <c r="AA5" i="24" s="1"/>
  <c r="R55" i="1"/>
  <c r="H49" i="17"/>
  <c r="G49" i="17"/>
  <c r="F49" i="17"/>
  <c r="E49" i="17"/>
  <c r="D49" i="17"/>
  <c r="I45" i="17"/>
  <c r="G37" i="17"/>
  <c r="H37" i="17"/>
  <c r="F37" i="17"/>
  <c r="E37" i="17"/>
  <c r="H25" i="17"/>
  <c r="G25" i="17"/>
  <c r="F25" i="17"/>
  <c r="E25" i="17"/>
  <c r="D25" i="17"/>
  <c r="E56" i="17"/>
  <c r="C56" i="17"/>
  <c r="B56" i="17"/>
  <c r="A56" i="17"/>
  <c r="I33" i="17"/>
  <c r="A53" i="17"/>
  <c r="I21" i="17"/>
  <c r="A5" i="17"/>
  <c r="A53" i="13"/>
  <c r="D56" i="17" l="1"/>
  <c r="C45" i="17"/>
  <c r="F50" i="17" s="1"/>
  <c r="AA15" i="26" s="1"/>
  <c r="C33" i="17"/>
  <c r="F38" i="17" s="1"/>
  <c r="AA15" i="25" s="1"/>
  <c r="C21" i="17"/>
  <c r="F26" i="17" s="1"/>
  <c r="AA15" i="24" s="1"/>
  <c r="C9" i="17"/>
  <c r="A5" i="13"/>
  <c r="AA71" i="1"/>
  <c r="AA32" i="6" s="1"/>
  <c r="AA96" i="6" s="1"/>
  <c r="Z71" i="1"/>
  <c r="Z32" i="6" s="1"/>
  <c r="Z96" i="6" s="1"/>
  <c r="Y71" i="1"/>
  <c r="Y32" i="6" s="1"/>
  <c r="Y96" i="6" s="1"/>
  <c r="X71" i="1"/>
  <c r="X32" i="6" s="1"/>
  <c r="X96" i="6" s="1"/>
  <c r="W71" i="1"/>
  <c r="W32" i="6" s="1"/>
  <c r="W96" i="6" s="1"/>
  <c r="T71" i="1"/>
  <c r="T32" i="6" s="1"/>
  <c r="T96" i="6" s="1"/>
  <c r="S71" i="1"/>
  <c r="S32" i="6" s="1"/>
  <c r="S96" i="6" s="1"/>
  <c r="R71" i="1"/>
  <c r="R32" i="6" s="1"/>
  <c r="R96" i="6" s="1"/>
  <c r="Q71" i="1"/>
  <c r="Q32" i="6" s="1"/>
  <c r="Q96" i="6" s="1"/>
  <c r="P71" i="1"/>
  <c r="P32" i="6" s="1"/>
  <c r="P96" i="6" s="1"/>
  <c r="M71" i="1"/>
  <c r="L71" i="1"/>
  <c r="K71" i="1"/>
  <c r="K32" i="6" s="1"/>
  <c r="K96" i="6" s="1"/>
  <c r="J71" i="1"/>
  <c r="J32" i="6" s="1"/>
  <c r="J96" i="6" s="1"/>
  <c r="I71" i="1"/>
  <c r="I32" i="6" s="1"/>
  <c r="I96" i="6" s="1"/>
  <c r="F71" i="1"/>
  <c r="F32" i="6" s="1"/>
  <c r="F96" i="6" s="1"/>
  <c r="E71" i="1"/>
  <c r="D71" i="1"/>
  <c r="AA70" i="1"/>
  <c r="AA31" i="6" s="1"/>
  <c r="AA95" i="6" s="1"/>
  <c r="Z70" i="1"/>
  <c r="Z31" i="6" s="1"/>
  <c r="Z95" i="6" s="1"/>
  <c r="Y70" i="1"/>
  <c r="Y31" i="6" s="1"/>
  <c r="Y95" i="6" s="1"/>
  <c r="X70" i="1"/>
  <c r="X31" i="6" s="1"/>
  <c r="X95" i="6" s="1"/>
  <c r="W70" i="1"/>
  <c r="W31" i="6" s="1"/>
  <c r="W95" i="6" s="1"/>
  <c r="T70" i="1"/>
  <c r="T31" i="6" s="1"/>
  <c r="T95" i="6" s="1"/>
  <c r="S70" i="1"/>
  <c r="S31" i="6" s="1"/>
  <c r="S95" i="6" s="1"/>
  <c r="R70" i="1"/>
  <c r="R31" i="6" s="1"/>
  <c r="R95" i="6" s="1"/>
  <c r="Q70" i="1"/>
  <c r="Q31" i="6" s="1"/>
  <c r="Q95" i="6" s="1"/>
  <c r="P70" i="1"/>
  <c r="P31" i="6" s="1"/>
  <c r="P95" i="6" s="1"/>
  <c r="M70" i="1"/>
  <c r="L70" i="1"/>
  <c r="K70" i="1"/>
  <c r="K31" i="6" s="1"/>
  <c r="K95" i="6" s="1"/>
  <c r="J70" i="1"/>
  <c r="I70" i="1"/>
  <c r="F70" i="1"/>
  <c r="E70" i="1"/>
  <c r="E31" i="6" s="1"/>
  <c r="E95" i="6" s="1"/>
  <c r="D70" i="1"/>
  <c r="D31" i="6" s="1"/>
  <c r="D95" i="6" s="1"/>
  <c r="C31" i="6"/>
  <c r="C95" i="6" s="1"/>
  <c r="B31" i="6"/>
  <c r="B95" i="6" s="1"/>
  <c r="AA69" i="1"/>
  <c r="AA30" i="6" s="1"/>
  <c r="AA94" i="6" s="1"/>
  <c r="Z69" i="1"/>
  <c r="Z30" i="6" s="1"/>
  <c r="Z94" i="6" s="1"/>
  <c r="Y69" i="1"/>
  <c r="Y30" i="6" s="1"/>
  <c r="Y94" i="6" s="1"/>
  <c r="X69" i="1"/>
  <c r="X30" i="6" s="1"/>
  <c r="X94" i="6" s="1"/>
  <c r="W69" i="1"/>
  <c r="W30" i="6" s="1"/>
  <c r="W94" i="6" s="1"/>
  <c r="T69" i="1"/>
  <c r="T30" i="6" s="1"/>
  <c r="T94" i="6" s="1"/>
  <c r="S69" i="1"/>
  <c r="S30" i="6" s="1"/>
  <c r="S94" i="6" s="1"/>
  <c r="R69" i="1"/>
  <c r="R30" i="6" s="1"/>
  <c r="R94" i="6" s="1"/>
  <c r="Q69" i="1"/>
  <c r="Q30" i="6" s="1"/>
  <c r="Q94" i="6" s="1"/>
  <c r="P69" i="1"/>
  <c r="P30" i="6" s="1"/>
  <c r="P94" i="6" s="1"/>
  <c r="M69" i="1"/>
  <c r="L69" i="1"/>
  <c r="L30" i="6" s="1"/>
  <c r="L94" i="6" s="1"/>
  <c r="K69" i="1"/>
  <c r="J69" i="1"/>
  <c r="I69" i="1"/>
  <c r="F69" i="1"/>
  <c r="E69" i="1"/>
  <c r="D69" i="1"/>
  <c r="B30" i="6"/>
  <c r="B94" i="6" s="1"/>
  <c r="AA68" i="1"/>
  <c r="AA29" i="6" s="1"/>
  <c r="AA93" i="6" s="1"/>
  <c r="Z68" i="1"/>
  <c r="Z29" i="6" s="1"/>
  <c r="Z93" i="6" s="1"/>
  <c r="Y68" i="1"/>
  <c r="Y29" i="6" s="1"/>
  <c r="Y93" i="6" s="1"/>
  <c r="X68" i="1"/>
  <c r="X29" i="6" s="1"/>
  <c r="X93" i="6" s="1"/>
  <c r="W68" i="1"/>
  <c r="W29" i="6" s="1"/>
  <c r="W93" i="6" s="1"/>
  <c r="T68" i="1"/>
  <c r="T29" i="6" s="1"/>
  <c r="T93" i="6" s="1"/>
  <c r="S68" i="1"/>
  <c r="S29" i="6" s="1"/>
  <c r="S93" i="6" s="1"/>
  <c r="R68" i="1"/>
  <c r="R29" i="6" s="1"/>
  <c r="R93" i="6" s="1"/>
  <c r="Q68" i="1"/>
  <c r="Q29" i="6" s="1"/>
  <c r="Q93" i="6" s="1"/>
  <c r="P68" i="1"/>
  <c r="P29" i="6" s="1"/>
  <c r="P93" i="6" s="1"/>
  <c r="M68" i="1"/>
  <c r="L68" i="1"/>
  <c r="K68" i="1"/>
  <c r="J68" i="1"/>
  <c r="I68" i="1"/>
  <c r="F68" i="1"/>
  <c r="E68" i="1"/>
  <c r="E29" i="6" s="1"/>
  <c r="E93" i="6" s="1"/>
  <c r="D68" i="1"/>
  <c r="D29" i="6" s="1"/>
  <c r="D93" i="6" s="1"/>
  <c r="AA67" i="1"/>
  <c r="AA28" i="6" s="1"/>
  <c r="AA92" i="6" s="1"/>
  <c r="Z67" i="1"/>
  <c r="Z28" i="6" s="1"/>
  <c r="Z92" i="6" s="1"/>
  <c r="Y67" i="1"/>
  <c r="Y28" i="6" s="1"/>
  <c r="Y92" i="6" s="1"/>
  <c r="X67" i="1"/>
  <c r="X28" i="6" s="1"/>
  <c r="X92" i="6" s="1"/>
  <c r="W67" i="1"/>
  <c r="W28" i="6" s="1"/>
  <c r="W92" i="6" s="1"/>
  <c r="T67" i="1"/>
  <c r="T28" i="6" s="1"/>
  <c r="T92" i="6" s="1"/>
  <c r="S67" i="1"/>
  <c r="S28" i="6" s="1"/>
  <c r="S92" i="6" s="1"/>
  <c r="R67" i="1"/>
  <c r="R28" i="6" s="1"/>
  <c r="R92" i="6" s="1"/>
  <c r="Q67" i="1"/>
  <c r="Q28" i="6" s="1"/>
  <c r="Q92" i="6" s="1"/>
  <c r="P67" i="1"/>
  <c r="P28" i="6" s="1"/>
  <c r="P92" i="6" s="1"/>
  <c r="M67" i="1"/>
  <c r="L67" i="1"/>
  <c r="K67" i="1"/>
  <c r="K28" i="6" s="1"/>
  <c r="K92" i="6" s="1"/>
  <c r="J67" i="1"/>
  <c r="J28" i="6" s="1"/>
  <c r="J92" i="6" s="1"/>
  <c r="I67" i="1"/>
  <c r="I28" i="6" s="1"/>
  <c r="I92" i="6" s="1"/>
  <c r="F67" i="1"/>
  <c r="F28" i="6" s="1"/>
  <c r="F92" i="6" s="1"/>
  <c r="E67" i="1"/>
  <c r="D67" i="1"/>
  <c r="AA66" i="1"/>
  <c r="AA27" i="6" s="1"/>
  <c r="AA91" i="6" s="1"/>
  <c r="Z66" i="1"/>
  <c r="Z27" i="6" s="1"/>
  <c r="Z91" i="6" s="1"/>
  <c r="Y66" i="1"/>
  <c r="Y27" i="6" s="1"/>
  <c r="Y91" i="6" s="1"/>
  <c r="X66" i="1"/>
  <c r="X27" i="6" s="1"/>
  <c r="X91" i="6" s="1"/>
  <c r="W66" i="1"/>
  <c r="W27" i="6" s="1"/>
  <c r="W91" i="6" s="1"/>
  <c r="T66" i="1"/>
  <c r="T27" i="6" s="1"/>
  <c r="T91" i="6" s="1"/>
  <c r="S66" i="1"/>
  <c r="S27" i="6" s="1"/>
  <c r="S91" i="6" s="1"/>
  <c r="R66" i="1"/>
  <c r="R27" i="6" s="1"/>
  <c r="R91" i="6" s="1"/>
  <c r="Q66" i="1"/>
  <c r="Q27" i="6" s="1"/>
  <c r="Q91" i="6" s="1"/>
  <c r="P66" i="1"/>
  <c r="P27" i="6" s="1"/>
  <c r="P91" i="6" s="1"/>
  <c r="M66" i="1"/>
  <c r="M27" i="6" s="1"/>
  <c r="M91" i="6" s="1"/>
  <c r="L66" i="1"/>
  <c r="L27" i="6" s="1"/>
  <c r="L91" i="6" s="1"/>
  <c r="K66" i="1"/>
  <c r="K27" i="6" s="1"/>
  <c r="K91" i="6" s="1"/>
  <c r="J66" i="1"/>
  <c r="J27" i="6" s="1"/>
  <c r="J91" i="6" s="1"/>
  <c r="I66" i="1"/>
  <c r="F66" i="1"/>
  <c r="E66" i="1"/>
  <c r="E27" i="6" s="1"/>
  <c r="E91" i="6" s="1"/>
  <c r="D66" i="1"/>
  <c r="D27" i="6" s="1"/>
  <c r="D91" i="6" s="1"/>
  <c r="C27" i="6"/>
  <c r="C91" i="6" s="1"/>
  <c r="B27" i="6"/>
  <c r="B91" i="6" s="1"/>
  <c r="AA65" i="1"/>
  <c r="AA26" i="6" s="1"/>
  <c r="AA90" i="6" s="1"/>
  <c r="Z65" i="1"/>
  <c r="Z26" i="6" s="1"/>
  <c r="Z90" i="6" s="1"/>
  <c r="Y65" i="1"/>
  <c r="Y26" i="6" s="1"/>
  <c r="Y90" i="6" s="1"/>
  <c r="X65" i="1"/>
  <c r="X26" i="6" s="1"/>
  <c r="X90" i="6" s="1"/>
  <c r="W65" i="1"/>
  <c r="W26" i="6" s="1"/>
  <c r="W90" i="6" s="1"/>
  <c r="T65" i="1"/>
  <c r="T26" i="6" s="1"/>
  <c r="T90" i="6" s="1"/>
  <c r="S65" i="1"/>
  <c r="S26" i="6" s="1"/>
  <c r="S90" i="6" s="1"/>
  <c r="R65" i="1"/>
  <c r="R26" i="6" s="1"/>
  <c r="R90" i="6" s="1"/>
  <c r="Q65" i="1"/>
  <c r="Q26" i="6" s="1"/>
  <c r="Q90" i="6" s="1"/>
  <c r="P65" i="1"/>
  <c r="P26" i="6" s="1"/>
  <c r="P90" i="6" s="1"/>
  <c r="M65" i="1"/>
  <c r="L65" i="1"/>
  <c r="L26" i="6" s="1"/>
  <c r="L90" i="6" s="1"/>
  <c r="K65" i="1"/>
  <c r="J65" i="1"/>
  <c r="I65" i="1"/>
  <c r="F65" i="1"/>
  <c r="E65" i="1"/>
  <c r="D65" i="1"/>
  <c r="AA64" i="1"/>
  <c r="AA25" i="6" s="1"/>
  <c r="AA89" i="6" s="1"/>
  <c r="Z64" i="1"/>
  <c r="Z25" i="6" s="1"/>
  <c r="Z89" i="6" s="1"/>
  <c r="Y64" i="1"/>
  <c r="Y25" i="6" s="1"/>
  <c r="Y89" i="6" s="1"/>
  <c r="X64" i="1"/>
  <c r="X25" i="6" s="1"/>
  <c r="X89" i="6" s="1"/>
  <c r="W64" i="1"/>
  <c r="W25" i="6" s="1"/>
  <c r="W89" i="6" s="1"/>
  <c r="T64" i="1"/>
  <c r="T25" i="6" s="1"/>
  <c r="T89" i="6" s="1"/>
  <c r="S64" i="1"/>
  <c r="S25" i="6" s="1"/>
  <c r="S89" i="6" s="1"/>
  <c r="R64" i="1"/>
  <c r="R25" i="6" s="1"/>
  <c r="R89" i="6" s="1"/>
  <c r="Q64" i="1"/>
  <c r="Q25" i="6" s="1"/>
  <c r="Q89" i="6" s="1"/>
  <c r="P64" i="1"/>
  <c r="P25" i="6" s="1"/>
  <c r="P89" i="6" s="1"/>
  <c r="M64" i="1"/>
  <c r="L64" i="1"/>
  <c r="K64" i="1"/>
  <c r="J64" i="1"/>
  <c r="I64" i="1"/>
  <c r="F64" i="1"/>
  <c r="E64" i="1"/>
  <c r="E25" i="6" s="1"/>
  <c r="E89" i="6" s="1"/>
  <c r="D64" i="1"/>
  <c r="D25" i="6" s="1"/>
  <c r="D89" i="6" s="1"/>
  <c r="AA63" i="1"/>
  <c r="AA24" i="6" s="1"/>
  <c r="AA88" i="6" s="1"/>
  <c r="Z63" i="1"/>
  <c r="Z24" i="6" s="1"/>
  <c r="Z88" i="6" s="1"/>
  <c r="Y63" i="1"/>
  <c r="Y24" i="6" s="1"/>
  <c r="Y88" i="6" s="1"/>
  <c r="X63" i="1"/>
  <c r="X24" i="6" s="1"/>
  <c r="X88" i="6" s="1"/>
  <c r="W63" i="1"/>
  <c r="W24" i="6" s="1"/>
  <c r="W88" i="6" s="1"/>
  <c r="T63" i="1"/>
  <c r="T24" i="6" s="1"/>
  <c r="T88" i="6" s="1"/>
  <c r="S63" i="1"/>
  <c r="S24" i="6" s="1"/>
  <c r="S88" i="6" s="1"/>
  <c r="R63" i="1"/>
  <c r="R24" i="6" s="1"/>
  <c r="R88" i="6" s="1"/>
  <c r="Q63" i="1"/>
  <c r="Q24" i="6" s="1"/>
  <c r="Q88" i="6" s="1"/>
  <c r="P63" i="1"/>
  <c r="P24" i="6" s="1"/>
  <c r="P88" i="6" s="1"/>
  <c r="M63" i="1"/>
  <c r="L63" i="1"/>
  <c r="K63" i="1"/>
  <c r="K24" i="6" s="1"/>
  <c r="K88" i="6" s="1"/>
  <c r="J63" i="1"/>
  <c r="J24" i="6" s="1"/>
  <c r="J88" i="6" s="1"/>
  <c r="I63" i="1"/>
  <c r="I24" i="6" s="1"/>
  <c r="I88" i="6" s="1"/>
  <c r="F63" i="1"/>
  <c r="F24" i="6" s="1"/>
  <c r="F88" i="6" s="1"/>
  <c r="E63" i="1"/>
  <c r="D63" i="1"/>
  <c r="AA62" i="1"/>
  <c r="AA23" i="6" s="1"/>
  <c r="AA87" i="6" s="1"/>
  <c r="Z62" i="1"/>
  <c r="Z23" i="6" s="1"/>
  <c r="Z87" i="6" s="1"/>
  <c r="Y62" i="1"/>
  <c r="Y23" i="6" s="1"/>
  <c r="Y87" i="6" s="1"/>
  <c r="X62" i="1"/>
  <c r="X23" i="6" s="1"/>
  <c r="X87" i="6" s="1"/>
  <c r="W62" i="1"/>
  <c r="W23" i="6" s="1"/>
  <c r="W87" i="6" s="1"/>
  <c r="T62" i="1"/>
  <c r="T23" i="6" s="1"/>
  <c r="T87" i="6" s="1"/>
  <c r="S62" i="1"/>
  <c r="S23" i="6" s="1"/>
  <c r="S87" i="6" s="1"/>
  <c r="R62" i="1"/>
  <c r="R23" i="6" s="1"/>
  <c r="R87" i="6" s="1"/>
  <c r="Q62" i="1"/>
  <c r="Q23" i="6" s="1"/>
  <c r="Q87" i="6" s="1"/>
  <c r="P62" i="1"/>
  <c r="P23" i="6" s="1"/>
  <c r="P87" i="6" s="1"/>
  <c r="M62" i="1"/>
  <c r="L62" i="1"/>
  <c r="K62" i="1"/>
  <c r="J62" i="1"/>
  <c r="I62" i="1"/>
  <c r="F62" i="1"/>
  <c r="E62" i="1"/>
  <c r="E23" i="6" s="1"/>
  <c r="E87" i="6" s="1"/>
  <c r="D62" i="1"/>
  <c r="B23" i="6"/>
  <c r="B87" i="6" s="1"/>
  <c r="R36" i="1"/>
  <c r="R104" i="6" s="1"/>
  <c r="N36" i="1"/>
  <c r="N104" i="6" s="1"/>
  <c r="J36" i="1"/>
  <c r="J104" i="6" s="1"/>
  <c r="F36" i="1"/>
  <c r="F104" i="6" s="1"/>
  <c r="B104" i="6"/>
  <c r="R35" i="1"/>
  <c r="R103" i="6" s="1"/>
  <c r="N35" i="1"/>
  <c r="N103" i="6" s="1"/>
  <c r="J35" i="1"/>
  <c r="J103" i="6" s="1"/>
  <c r="F35" i="1"/>
  <c r="F103" i="6" s="1"/>
  <c r="B103" i="6"/>
  <c r="R34" i="1"/>
  <c r="N34" i="1"/>
  <c r="J34" i="1"/>
  <c r="F34" i="1"/>
  <c r="B34" i="1"/>
  <c r="D8" i="13" l="1"/>
  <c r="J8" i="13"/>
  <c r="J56" i="13" s="1"/>
  <c r="H8" i="13"/>
  <c r="B8" i="13"/>
  <c r="B56" i="13" s="1"/>
  <c r="F39" i="1"/>
  <c r="A8" i="13"/>
  <c r="A56" i="13" s="1"/>
  <c r="G8" i="13"/>
  <c r="G56" i="13" s="1"/>
  <c r="J102" i="6"/>
  <c r="C8" i="13"/>
  <c r="I8" i="13"/>
  <c r="I56" i="13" s="1"/>
  <c r="J39" i="1"/>
  <c r="E8" i="13"/>
  <c r="K8" i="13"/>
  <c r="K56" i="13" s="1"/>
  <c r="R39" i="1"/>
  <c r="K7" i="15" s="1"/>
  <c r="B39" i="1"/>
  <c r="N102" i="6"/>
  <c r="N107" i="6" s="1"/>
  <c r="N39" i="1"/>
  <c r="B102" i="6"/>
  <c r="R102" i="6"/>
  <c r="F102" i="6"/>
  <c r="B42" i="1"/>
  <c r="A7" i="14"/>
  <c r="A55" i="14" s="1"/>
  <c r="B7" i="14"/>
  <c r="B55" i="14" s="1"/>
  <c r="D7" i="14"/>
  <c r="D55" i="14" s="1"/>
  <c r="B28" i="6"/>
  <c r="B92" i="6" s="1"/>
  <c r="E7" i="14"/>
  <c r="E55" i="14" s="1"/>
  <c r="F31" i="6"/>
  <c r="F95" i="6" s="1"/>
  <c r="V36" i="1"/>
  <c r="L24" i="6"/>
  <c r="L88" i="6" s="1"/>
  <c r="F25" i="6"/>
  <c r="F89" i="6" s="1"/>
  <c r="L28" i="6"/>
  <c r="L92" i="6" s="1"/>
  <c r="B32" i="6"/>
  <c r="B96" i="6" s="1"/>
  <c r="B26" i="6"/>
  <c r="B90" i="6" s="1"/>
  <c r="F29" i="6"/>
  <c r="F93" i="6" s="1"/>
  <c r="L32" i="6"/>
  <c r="L96" i="6" s="1"/>
  <c r="F23" i="6"/>
  <c r="F87" i="6" s="1"/>
  <c r="V34" i="1"/>
  <c r="B24" i="6"/>
  <c r="B88" i="6" s="1"/>
  <c r="F27" i="6"/>
  <c r="F91" i="6" s="1"/>
  <c r="I23" i="6"/>
  <c r="I87" i="6" s="1"/>
  <c r="C24" i="6"/>
  <c r="C88" i="6" s="1"/>
  <c r="M24" i="6"/>
  <c r="M88" i="6" s="1"/>
  <c r="I25" i="6"/>
  <c r="I89" i="6" s="1"/>
  <c r="C26" i="6"/>
  <c r="C90" i="6" s="1"/>
  <c r="M26" i="6"/>
  <c r="M90" i="6" s="1"/>
  <c r="I27" i="6"/>
  <c r="I91" i="6" s="1"/>
  <c r="C28" i="6"/>
  <c r="C92" i="6" s="1"/>
  <c r="M28" i="6"/>
  <c r="M92" i="6" s="1"/>
  <c r="I29" i="6"/>
  <c r="I93" i="6" s="1"/>
  <c r="C30" i="6"/>
  <c r="C94" i="6" s="1"/>
  <c r="M30" i="6"/>
  <c r="M94" i="6" s="1"/>
  <c r="I31" i="6"/>
  <c r="I95" i="6" s="1"/>
  <c r="C32" i="6"/>
  <c r="C96" i="6" s="1"/>
  <c r="M32" i="6"/>
  <c r="M96" i="6" s="1"/>
  <c r="J23" i="6"/>
  <c r="J87" i="6" s="1"/>
  <c r="D24" i="6"/>
  <c r="D88" i="6" s="1"/>
  <c r="J25" i="6"/>
  <c r="J89" i="6" s="1"/>
  <c r="D26" i="6"/>
  <c r="D90" i="6" s="1"/>
  <c r="D28" i="6"/>
  <c r="D92" i="6" s="1"/>
  <c r="J29" i="6"/>
  <c r="J93" i="6" s="1"/>
  <c r="D30" i="6"/>
  <c r="D94" i="6" s="1"/>
  <c r="J31" i="6"/>
  <c r="J95" i="6" s="1"/>
  <c r="D32" i="6"/>
  <c r="D96" i="6" s="1"/>
  <c r="K23" i="6"/>
  <c r="K87" i="6" s="1"/>
  <c r="E24" i="6"/>
  <c r="E88" i="6" s="1"/>
  <c r="K25" i="6"/>
  <c r="K89" i="6" s="1"/>
  <c r="E26" i="6"/>
  <c r="E90" i="6" s="1"/>
  <c r="E28" i="6"/>
  <c r="E92" i="6" s="1"/>
  <c r="K29" i="6"/>
  <c r="K93" i="6" s="1"/>
  <c r="E30" i="6"/>
  <c r="E94" i="6" s="1"/>
  <c r="E32" i="6"/>
  <c r="E96" i="6" s="1"/>
  <c r="C7" i="14"/>
  <c r="C55" i="14" s="1"/>
  <c r="L23" i="6"/>
  <c r="L87" i="6" s="1"/>
  <c r="B25" i="6"/>
  <c r="B89" i="6" s="1"/>
  <c r="L25" i="6"/>
  <c r="L89" i="6" s="1"/>
  <c r="F26" i="6"/>
  <c r="F90" i="6" s="1"/>
  <c r="B29" i="6"/>
  <c r="B93" i="6" s="1"/>
  <c r="L29" i="6"/>
  <c r="L93" i="6" s="1"/>
  <c r="F30" i="6"/>
  <c r="F94" i="6" s="1"/>
  <c r="L31" i="6"/>
  <c r="L95" i="6" s="1"/>
  <c r="V35" i="1"/>
  <c r="C23" i="6"/>
  <c r="C87" i="6" s="1"/>
  <c r="M23" i="6"/>
  <c r="M87" i="6" s="1"/>
  <c r="C25" i="6"/>
  <c r="C89" i="6" s="1"/>
  <c r="M25" i="6"/>
  <c r="M89" i="6" s="1"/>
  <c r="I26" i="6"/>
  <c r="I90" i="6" s="1"/>
  <c r="C29" i="6"/>
  <c r="C93" i="6" s="1"/>
  <c r="M29" i="6"/>
  <c r="M93" i="6" s="1"/>
  <c r="I30" i="6"/>
  <c r="I94" i="6" s="1"/>
  <c r="M31" i="6"/>
  <c r="M95" i="6" s="1"/>
  <c r="D23" i="6"/>
  <c r="D87" i="6" s="1"/>
  <c r="J26" i="6"/>
  <c r="J90" i="6" s="1"/>
  <c r="J30" i="6"/>
  <c r="J94" i="6" s="1"/>
  <c r="K26" i="6"/>
  <c r="K90" i="6" s="1"/>
  <c r="K30" i="6"/>
  <c r="K94" i="6" s="1"/>
  <c r="G37" i="13"/>
  <c r="D49" i="13"/>
  <c r="F49" i="13"/>
  <c r="G49" i="13"/>
  <c r="E49" i="13"/>
  <c r="I45" i="13"/>
  <c r="H49" i="13"/>
  <c r="F38" i="13"/>
  <c r="AA10" i="25" s="1"/>
  <c r="I21" i="13"/>
  <c r="I33" i="13"/>
  <c r="D37" i="13"/>
  <c r="F26" i="13"/>
  <c r="AA10" i="24" s="1"/>
  <c r="E37" i="13"/>
  <c r="F37" i="13"/>
  <c r="C21" i="13"/>
  <c r="H37" i="13"/>
  <c r="H56" i="13"/>
  <c r="C33" i="13"/>
  <c r="F50" i="13"/>
  <c r="AA10" i="26" s="1"/>
  <c r="C45" i="13"/>
  <c r="C57" i="17"/>
  <c r="K12" i="15" l="1"/>
  <c r="K55" i="15"/>
  <c r="K60" i="15" s="1"/>
  <c r="P34" i="1"/>
  <c r="J7" i="15"/>
  <c r="L34" i="1"/>
  <c r="I7" i="15"/>
  <c r="H35" i="1"/>
  <c r="H7" i="15"/>
  <c r="G8" i="16"/>
  <c r="D13" i="16" s="1"/>
  <c r="G7" i="15"/>
  <c r="H13" i="13"/>
  <c r="G13" i="13"/>
  <c r="D56" i="13"/>
  <c r="G61" i="13" s="1"/>
  <c r="E13" i="13"/>
  <c r="H8" i="16"/>
  <c r="H37" i="1"/>
  <c r="H38" i="1"/>
  <c r="D38" i="1"/>
  <c r="D34" i="1"/>
  <c r="I9" i="13"/>
  <c r="D37" i="1"/>
  <c r="D13" i="13"/>
  <c r="C56" i="13"/>
  <c r="I8" i="16"/>
  <c r="L38" i="1"/>
  <c r="L37" i="1"/>
  <c r="E56" i="13"/>
  <c r="H61" i="13" s="1"/>
  <c r="K8" i="16"/>
  <c r="T38" i="1"/>
  <c r="T37" i="1"/>
  <c r="T35" i="1"/>
  <c r="F13" i="13"/>
  <c r="C9" i="13"/>
  <c r="V39" i="1"/>
  <c r="G56" i="16"/>
  <c r="D61" i="16" s="1"/>
  <c r="J8" i="16"/>
  <c r="P38" i="1"/>
  <c r="P37" i="1"/>
  <c r="V102" i="6"/>
  <c r="F107" i="6"/>
  <c r="B44" i="1"/>
  <c r="H42" i="1" s="1"/>
  <c r="B110" i="6"/>
  <c r="D35" i="1"/>
  <c r="P104" i="6"/>
  <c r="R107" i="6"/>
  <c r="T102" i="6" s="1"/>
  <c r="V104" i="6"/>
  <c r="J107" i="6"/>
  <c r="D36" i="1"/>
  <c r="T34" i="1"/>
  <c r="T36" i="1"/>
  <c r="B107" i="6"/>
  <c r="P103" i="6"/>
  <c r="P36" i="1"/>
  <c r="L35" i="1"/>
  <c r="J7" i="14"/>
  <c r="J8" i="17"/>
  <c r="P35" i="1"/>
  <c r="L36" i="1"/>
  <c r="K7" i="14"/>
  <c r="K8" i="17"/>
  <c r="P102" i="6"/>
  <c r="G7" i="14"/>
  <c r="G55" i="14" s="1"/>
  <c r="G8" i="17"/>
  <c r="I7" i="14"/>
  <c r="I8" i="17"/>
  <c r="H7" i="14"/>
  <c r="H8" i="17"/>
  <c r="H36" i="1"/>
  <c r="H34" i="1"/>
  <c r="V103" i="6"/>
  <c r="C8" i="14"/>
  <c r="I57" i="13"/>
  <c r="D61" i="13"/>
  <c r="E61" i="13"/>
  <c r="H12" i="14" l="1"/>
  <c r="K55" i="14"/>
  <c r="J55" i="15"/>
  <c r="J60" i="15" s="1"/>
  <c r="J12" i="15"/>
  <c r="G12" i="14"/>
  <c r="J55" i="14"/>
  <c r="F12" i="14"/>
  <c r="I55" i="14"/>
  <c r="F60" i="14" s="1"/>
  <c r="I55" i="15"/>
  <c r="I60" i="15" s="1"/>
  <c r="I12" i="15"/>
  <c r="E12" i="14"/>
  <c r="H55" i="14"/>
  <c r="E60" i="14" s="1"/>
  <c r="H12" i="15"/>
  <c r="H55" i="15"/>
  <c r="H60" i="15" s="1"/>
  <c r="I8" i="15"/>
  <c r="I13" i="15" s="1"/>
  <c r="AA20" i="1" s="1"/>
  <c r="G12" i="15"/>
  <c r="G55" i="15"/>
  <c r="F62" i="13"/>
  <c r="B27" i="18" s="1"/>
  <c r="H39" i="1"/>
  <c r="F14" i="13"/>
  <c r="AA10" i="1" s="1"/>
  <c r="E13" i="16"/>
  <c r="H56" i="16"/>
  <c r="E61" i="16" s="1"/>
  <c r="F61" i="13"/>
  <c r="C57" i="13"/>
  <c r="F13" i="16"/>
  <c r="I56" i="16"/>
  <c r="F61" i="16" s="1"/>
  <c r="H13" i="16"/>
  <c r="K56" i="16"/>
  <c r="H61" i="16" s="1"/>
  <c r="P39" i="1"/>
  <c r="I9" i="16"/>
  <c r="F14" i="16" s="1"/>
  <c r="G13" i="16"/>
  <c r="J56" i="16"/>
  <c r="T39" i="1"/>
  <c r="D39" i="1"/>
  <c r="L39" i="1"/>
  <c r="H103" i="6"/>
  <c r="H104" i="6"/>
  <c r="H102" i="6"/>
  <c r="B112" i="6"/>
  <c r="D110" i="6" s="1"/>
  <c r="C56" i="14"/>
  <c r="D42" i="1"/>
  <c r="D43" i="1"/>
  <c r="G60" i="14"/>
  <c r="D103" i="6"/>
  <c r="T103" i="6"/>
  <c r="H60" i="14"/>
  <c r="L104" i="6"/>
  <c r="T104" i="6"/>
  <c r="L102" i="6"/>
  <c r="L103" i="6"/>
  <c r="P107" i="6"/>
  <c r="D104" i="6"/>
  <c r="V107" i="6"/>
  <c r="W103" i="6" s="1"/>
  <c r="H56" i="17"/>
  <c r="E61" i="17" s="1"/>
  <c r="E13" i="17"/>
  <c r="K56" i="17"/>
  <c r="H61" i="17" s="1"/>
  <c r="H13" i="17"/>
  <c r="J56" i="17"/>
  <c r="G61" i="17" s="1"/>
  <c r="G13" i="17"/>
  <c r="I56" i="17"/>
  <c r="F61" i="17" s="1"/>
  <c r="F13" i="17"/>
  <c r="D13" i="17"/>
  <c r="I9" i="17"/>
  <c r="F14" i="17" s="1"/>
  <c r="AA15" i="1" s="1"/>
  <c r="G56" i="17"/>
  <c r="I8" i="14"/>
  <c r="F13" i="14" s="1"/>
  <c r="AA5" i="1" s="1"/>
  <c r="D12" i="14"/>
  <c r="I56" i="15" l="1"/>
  <c r="I61" i="15" s="1"/>
  <c r="B29" i="18" s="1"/>
  <c r="G60" i="15"/>
  <c r="G61" i="16"/>
  <c r="I57" i="16"/>
  <c r="F62" i="16" s="1"/>
  <c r="B25" i="18" s="1"/>
  <c r="H107" i="6"/>
  <c r="H110" i="6"/>
  <c r="D111" i="6"/>
  <c r="D112" i="6" s="1"/>
  <c r="D44" i="1"/>
  <c r="T107" i="6"/>
  <c r="I56" i="14"/>
  <c r="F61" i="14" s="1"/>
  <c r="B26" i="18" s="1"/>
  <c r="D60" i="14"/>
  <c r="L107" i="6"/>
  <c r="D107" i="6"/>
  <c r="W104" i="6"/>
  <c r="W102" i="6"/>
  <c r="I57" i="17"/>
  <c r="F62" i="17" s="1"/>
  <c r="B28" i="18" s="1"/>
  <c r="D61" i="17"/>
  <c r="W107" i="6" l="1"/>
  <c r="W38" i="1" l="1"/>
  <c r="W37" i="1"/>
  <c r="R56" i="1"/>
  <c r="W35" i="1"/>
  <c r="W36" i="1"/>
  <c r="W34" i="1"/>
  <c r="W39" i="1" l="1"/>
</calcChain>
</file>

<file path=xl/sharedStrings.xml><?xml version="1.0" encoding="utf-8"?>
<sst xmlns="http://schemas.openxmlformats.org/spreadsheetml/2006/main" count="2501" uniqueCount="442">
  <si>
    <t>NP FLEMING, JEN</t>
  </si>
  <si>
    <t>Active Duty Health Clinic</t>
  </si>
  <si>
    <t>Monday</t>
  </si>
  <si>
    <t>Tuesday</t>
  </si>
  <si>
    <t>Wednesday</t>
  </si>
  <si>
    <t>Thursday</t>
  </si>
  <si>
    <t>Friday</t>
  </si>
  <si>
    <t>Time</t>
  </si>
  <si>
    <t>Type</t>
  </si>
  <si>
    <t>Dtl Code</t>
  </si>
  <si>
    <t>Duration</t>
  </si>
  <si>
    <t>HC</t>
  </si>
  <si>
    <t>SPEC</t>
  </si>
  <si>
    <t>24HR</t>
  </si>
  <si>
    <t>FTR</t>
  </si>
  <si>
    <t>Weekly Total</t>
  </si>
  <si>
    <t>QTY</t>
  </si>
  <si>
    <t>%</t>
  </si>
  <si>
    <t>Total</t>
  </si>
  <si>
    <t>Appointments Available Each Operating Hour</t>
  </si>
  <si>
    <t># Appointments Available Each Operating Hour</t>
  </si>
  <si>
    <t>24HR Appointments Each Operating Hour</t>
  </si>
  <si>
    <t>FTR Appointments Each Operating Hour</t>
  </si>
  <si>
    <t>DHA Chapter 7: Primary Care Specific Standard Processes and Procedures</t>
  </si>
  <si>
    <t>Paragraph d:</t>
  </si>
  <si>
    <t>d. Balancing and Maximizing Supply and Demand. MTFs will actively manage appointment supply and capacity in order to meet patient demand for primary care. MTFs will use approved standard data sources, including TRICARE Operations Center, the DART, and authorized data sources on the DHA Patient-Centered Medical Home (PCMH)/Access SharePoint site https://info.health.mil/hco/clinicsup/hsd/pcpcmh/SitePages/Home.aspx. The PCMH/Access SharePoint site provides actionable information that includes, but is not limited to, appointments by day/hour, predictive no-show data, enrollee ER/UC utilization, and NAL outcomes and booking performance data.</t>
  </si>
  <si>
    <t>Paragraph e.2.:</t>
  </si>
  <si>
    <t>MTFs will ensure primary care appointments are available every operating hour, based on patient demand for preferred times. 
(a) The availability of appointments by type, per hour, will be adjusted locally to minimize unfilled appointments and maximize access to care. 
(b) If the MTF uses a generic 9-hour operating day, at least 10 percent of total planned primary care appointments will be available each hour. 
(c) MTFs should minimize scheduling 24HR appointments before 0900 hours if they are routinely unfilled. MTFs also will ensure sufficient 24HR appointments are available through the end of the day to meet demand after patient work or school hours.
(d) If an MTF expands/extends operating hours, the MTF will distribute planned appointments proportionally. MTFs may adjust these standards in collaboration with Service-level access representatives based on post-implementation analysis of local demand.</t>
  </si>
  <si>
    <t>Fleming</t>
  </si>
  <si>
    <t>Hough</t>
  </si>
  <si>
    <t>Holzer</t>
  </si>
  <si>
    <t>Brown</t>
  </si>
  <si>
    <t>Clinic Appointment Mix</t>
  </si>
  <si>
    <t>740</t>
  </si>
  <si>
    <t>800</t>
  </si>
  <si>
    <t>820</t>
  </si>
  <si>
    <t>840</t>
  </si>
  <si>
    <t>900</t>
  </si>
  <si>
    <t>920</t>
  </si>
  <si>
    <t>940</t>
  </si>
  <si>
    <t>1000</t>
  </si>
  <si>
    <t>1020</t>
  </si>
  <si>
    <t>1040</t>
  </si>
  <si>
    <t>1100</t>
  </si>
  <si>
    <t>1120</t>
  </si>
  <si>
    <t>1340</t>
  </si>
  <si>
    <t>1400</t>
  </si>
  <si>
    <t>1420</t>
  </si>
  <si>
    <t>1440</t>
  </si>
  <si>
    <t>1500</t>
  </si>
  <si>
    <t>1520</t>
  </si>
  <si>
    <t>1540</t>
  </si>
  <si>
    <t>1600</t>
  </si>
  <si>
    <t>1140</t>
  </si>
  <si>
    <t>1200</t>
  </si>
  <si>
    <t>1220</t>
  </si>
  <si>
    <t>1240</t>
  </si>
  <si>
    <t>1300</t>
  </si>
  <si>
    <t>1320</t>
  </si>
  <si>
    <t>Num:</t>
  </si>
  <si>
    <t>Denom:</t>
  </si>
  <si>
    <t>DART Methodology:</t>
  </si>
  <si>
    <t>BLUE:</t>
  </si>
  <si>
    <t>Between 15 and 20%</t>
  </si>
  <si>
    <t>Between 10 and 15%</t>
  </si>
  <si>
    <t>Less than 10%</t>
  </si>
  <si>
    <t>Greater/Equal to 20%</t>
  </si>
  <si>
    <t>GREEN:</t>
  </si>
  <si>
    <t>YELLOW:</t>
  </si>
  <si>
    <t>RED:</t>
  </si>
  <si>
    <t>DR HOLZER, ROBIN</t>
  </si>
  <si>
    <t>Sum of total appointments where slots are enabled for TOL</t>
  </si>
  <si>
    <t>Sum of 24HR and FTR appt types TOL avail</t>
  </si>
  <si>
    <t>Sum of 24HR F2F Appointments</t>
  </si>
  <si>
    <t>Sum of F2F and Virtual 24HR Appointments</t>
  </si>
  <si>
    <t>24HR Appointments Each Operating Day</t>
  </si>
  <si>
    <t>24HR F2F Appointments Each Operating Day</t>
  </si>
  <si>
    <t>Weekly Total:</t>
  </si>
  <si>
    <t>%24HR F2F Appts Each Operating Day</t>
  </si>
  <si>
    <t>PA HOUGH, CRISTINA</t>
  </si>
  <si>
    <t>PA BROWN, THOMAS</t>
  </si>
  <si>
    <t>Provider Templates</t>
  </si>
  <si>
    <t>% Authorized Appt Types</t>
  </si>
  <si>
    <t>% Planned Appts After 1500</t>
  </si>
  <si>
    <t>% 24HR F2F Appts</t>
  </si>
  <si>
    <t>% 24HR&amp;FTR TOL Appts</t>
  </si>
  <si>
    <t>% Restrictive Detail Code</t>
  </si>
  <si>
    <t>Sum of all Appts</t>
  </si>
  <si>
    <t>Sum of Appts where DC contains PBO, CBO, NBO, PHA, WEX</t>
  </si>
  <si>
    <t>Restrictive Detail Codes by Day</t>
  </si>
  <si>
    <t>Total Appts by Day</t>
  </si>
  <si>
    <t>Greater/Equal to 60%</t>
  </si>
  <si>
    <t>Between 50 and 60%</t>
  </si>
  <si>
    <t>Between 40 and 50%</t>
  </si>
  <si>
    <t>Less than 40%</t>
  </si>
  <si>
    <t>Less than 2%</t>
  </si>
  <si>
    <t>Between 2 and 5%</t>
  </si>
  <si>
    <t>Between 5 and 7%</t>
  </si>
  <si>
    <t>Greater than 7%</t>
  </si>
  <si>
    <t>% Restrictive Detail Codes by Day</t>
  </si>
  <si>
    <t># Appointments Available After 1500:</t>
  </si>
  <si>
    <t>Total # Appointments:</t>
  </si>
  <si>
    <t>% Appointments Available After 1500:</t>
  </si>
  <si>
    <t>Sum of total appointments</t>
  </si>
  <si>
    <t>Sum of appointments after 1500</t>
  </si>
  <si>
    <t>AD assigned to UTC position</t>
  </si>
  <si>
    <t>Specialty:</t>
  </si>
  <si>
    <t>Family Health</t>
  </si>
  <si>
    <t>Pediatrics</t>
  </si>
  <si>
    <t>Internal Medicine</t>
  </si>
  <si>
    <t>Flight Medicine</t>
  </si>
  <si>
    <t>Full Time GS or Contractor PCM</t>
  </si>
  <si>
    <t>Pain Champion &lt;= 15,000 Empaneled Bene's</t>
  </si>
  <si>
    <t>Pain Champion &gt; 15,000 Empaneled Bene's</t>
  </si>
  <si>
    <t>Role:</t>
  </si>
  <si>
    <t>Specialty</t>
  </si>
  <si>
    <t>Family Health and Pediatrics</t>
  </si>
  <si>
    <t>Full Time GS or Contract PCM</t>
  </si>
  <si>
    <t>No Adjustment</t>
  </si>
  <si>
    <t>Full Time AD PCM</t>
  </si>
  <si>
    <t>Up to 0.1 based on CMRP requirements</t>
  </si>
  <si>
    <t>Flight Commander &lt; 5,000 Empaneled Bene's</t>
  </si>
  <si>
    <t>Medical Director &lt; 5,000 Empaneled Bene's</t>
  </si>
  <si>
    <t>Flight Commander 5,000 to &lt; 10,000 Empaneled Bene's</t>
  </si>
  <si>
    <t>Medical Director 5,000 to &lt; 10,000 Empaneled Bene's</t>
  </si>
  <si>
    <t>Flight Commander 10,000 to &lt; 15,000 Empaneled Bene's</t>
  </si>
  <si>
    <t>Medical Director 10,000 to &lt; 15,000 Empaneled Bene's</t>
  </si>
  <si>
    <t>Flight Commander 15,000 to &lt;20,000 Empaneled Bene's</t>
  </si>
  <si>
    <t>Medical Director 15,000 to &lt;20,000 Empaneled Bene's</t>
  </si>
  <si>
    <t>Flight Commander &gt;= 20,000 Empaneled Bene's</t>
  </si>
  <si>
    <t>Medical Director &gt; 20,000 Empaneled Bene's</t>
  </si>
  <si>
    <t>Flight Commander &lt; 2,500 Empaneled Bene's</t>
  </si>
  <si>
    <t>Medical Director &lt; 2,500 Emapeneled Bene's</t>
  </si>
  <si>
    <t>Flight Commander 2,500 to 5,000 Empaneled Bene's</t>
  </si>
  <si>
    <t>Medical Director 2,500 to 5,000 Empaneled Bene's</t>
  </si>
  <si>
    <t>Flight Commander &gt; 5,000 Empaneled Bene's</t>
  </si>
  <si>
    <t>Medical Director &gt; 5,000 Empaneled Bene's</t>
  </si>
  <si>
    <t>Flight Commander &lt; 1,500 Empaneled Beneficiaries</t>
  </si>
  <si>
    <t>Medical Director &lt; 1,500 Empaneled Beneficiaries</t>
  </si>
  <si>
    <t>Flight Commander &gt;= 1,500 Empaneled Beneficiaries</t>
  </si>
  <si>
    <t>Medical Director &gt;= 1,500 Empaneled Beneficiaries</t>
  </si>
  <si>
    <t>Family Health/Peds Roles</t>
  </si>
  <si>
    <t>Internal Medicine Roles</t>
  </si>
  <si>
    <t>Flight Medicine Roles</t>
  </si>
  <si>
    <t>Decrement:</t>
  </si>
  <si>
    <t>Pain Champion</t>
  </si>
  <si>
    <t>Pain Champion Roles</t>
  </si>
  <si>
    <t>Air Force Standard Adjustments for Leadership Roles</t>
  </si>
  <si>
    <t>DHA-PI 6025.11 Appendix D</t>
  </si>
  <si>
    <t>Decrements for Leadership Roles:</t>
  </si>
  <si>
    <t>Weekly Appointment Standard:</t>
  </si>
  <si>
    <t>Type of Care</t>
  </si>
  <si>
    <t>Primary</t>
  </si>
  <si>
    <t>Mental/Behavioral</t>
  </si>
  <si>
    <t>Active Duty</t>
  </si>
  <si>
    <t>Family/Retiree/Retiree Family</t>
  </si>
  <si>
    <t>ALLERGY/IMMUNOLOGY</t>
  </si>
  <si>
    <t>Allergy/Immunology</t>
  </si>
  <si>
    <t>EMERGENCY MEDICINE</t>
  </si>
  <si>
    <t>Emergency Medicine</t>
  </si>
  <si>
    <t>ANESTHESIOLOGY</t>
  </si>
  <si>
    <t>Anesthesiology</t>
  </si>
  <si>
    <t>Anesthesiology: Pain Management</t>
  </si>
  <si>
    <t>DERMATOLOGY</t>
  </si>
  <si>
    <t>Dermatology</t>
  </si>
  <si>
    <t>NEUROLOGY</t>
  </si>
  <si>
    <t>Neurology</t>
  </si>
  <si>
    <t>OBSTETRICS/GYNECOLOGY</t>
  </si>
  <si>
    <t>Obstetrics/Gynecology: General</t>
  </si>
  <si>
    <t>OCCUPATIONAL MEDICINE</t>
  </si>
  <si>
    <t>Occupational Medicine</t>
  </si>
  <si>
    <t>OPHTHALMOLOGY</t>
  </si>
  <si>
    <t>Ophthalmology</t>
  </si>
  <si>
    <t>PEDIATRICS, SUBSPECIALTIES</t>
  </si>
  <si>
    <t>Weighted Median of: Pediatrics: Adolescent Medicine, Pediatrics: Allergy/Immunology, Pediatrics: Cardiology, Pediatrics: Child Development, Pediatrics: Critical Care/Intensivist, Pediatrics: Emergency Medicine, Pediatrics: Endocrinology, Pediatrics: Gastroenterology, Pediatrics: Hematology/Oncology, Pediatrics: Infectious Disease, Pediatrics: Neonatal Medicine, Pediatrics: Nephrology, Pediatrics: Neurology, Pediatrics: Pulmonology, Pediatrics: Radiology, Pediatrics: Urgent Care</t>
  </si>
  <si>
    <t>OTORHINOLARYNGOLOGY</t>
  </si>
  <si>
    <t>Otorhinolaryngology</t>
  </si>
  <si>
    <t>PATHOLOGY</t>
  </si>
  <si>
    <t>Pathology: Clinical</t>
  </si>
  <si>
    <t>N/A</t>
  </si>
  <si>
    <t>PHYSICAL/REHABILITATION MEDICINE</t>
  </si>
  <si>
    <t>Physiatry (Physical Medicine and Rehabilitation)</t>
  </si>
  <si>
    <t>PREVENTIVE MEDICINE</t>
  </si>
  <si>
    <t>Family Medicine: Ambulatory Only (No Inpatient Work)</t>
  </si>
  <si>
    <t>COLON AND RECTAL SURGERY</t>
  </si>
  <si>
    <t>Surgery: Colon and Rectal</t>
  </si>
  <si>
    <t>Occ Code Description</t>
  </si>
  <si>
    <t>Occ Code</t>
  </si>
  <si>
    <t>MGMA Monthly Median</t>
  </si>
  <si>
    <t>PSYCHIATRY</t>
  </si>
  <si>
    <t>Psychiatry: General</t>
  </si>
  <si>
    <t>RADIOLOGY, DIAGNOSTIC</t>
  </si>
  <si>
    <t>Radiology: Diagnostic</t>
  </si>
  <si>
    <t>NUCLEAR MEDICINE</t>
  </si>
  <si>
    <t>Radiology: Nuclear Medicine</t>
  </si>
  <si>
    <t>UNDERSEA MEDICINE</t>
  </si>
  <si>
    <t>GENERAL SURGERY</t>
  </si>
  <si>
    <t>Surgery: General</t>
  </si>
  <si>
    <t>NEUROLOGICAL SURGERY</t>
  </si>
  <si>
    <t>Surgery: Neurological</t>
  </si>
  <si>
    <t>ORTHOPEDIC SURGERY</t>
  </si>
  <si>
    <t>Orthopedic Surgery: General</t>
  </si>
  <si>
    <t>PLASTIC SURGERY</t>
  </si>
  <si>
    <t>Surgery: Plastic and Reconstruction</t>
  </si>
  <si>
    <t>CARDIAC/THORACIC SURGERY</t>
  </si>
  <si>
    <t>Surgery: Cardiovascular</t>
  </si>
  <si>
    <t>ONCOLOGY SURGERY</t>
  </si>
  <si>
    <t>Surgery: Oncology</t>
  </si>
  <si>
    <t>UROLOGY</t>
  </si>
  <si>
    <t>Urology</t>
  </si>
  <si>
    <t>PEDIATRIC SURGERY</t>
  </si>
  <si>
    <t>Pediatrics: Surgery</t>
  </si>
  <si>
    <t>PERIPHERAL VASCULAR SURGERY</t>
  </si>
  <si>
    <t>Surgery: Vascular (Primary)</t>
  </si>
  <si>
    <t>Radiology: Interventional</t>
  </si>
  <si>
    <t>PULMONARY DISEASE</t>
  </si>
  <si>
    <t>Pulmonary Medicine: General</t>
  </si>
  <si>
    <t>GASTROENTEROLOGY</t>
  </si>
  <si>
    <t>Gastroenterology</t>
  </si>
  <si>
    <t>CARDIOLOGY</t>
  </si>
  <si>
    <t>Cardiology: Invasive-Interventional</t>
  </si>
  <si>
    <t>NEPHROLOGY</t>
  </si>
  <si>
    <t>Nephrology</t>
  </si>
  <si>
    <t>HEMATOLOGY AND ONCOLOGY</t>
  </si>
  <si>
    <t>Hematology/Oncology</t>
  </si>
  <si>
    <t>ENDOCRINOLOGY</t>
  </si>
  <si>
    <t>Endocrinology/Metabolism</t>
  </si>
  <si>
    <t>RHEUMATOLOGY</t>
  </si>
  <si>
    <t>Rheumatology</t>
  </si>
  <si>
    <t>CRITICAL CARE/TRAUMA, MEDICINE</t>
  </si>
  <si>
    <t>Critical Care: Intensivist</t>
  </si>
  <si>
    <t>INFECTIOUS DISEASE</t>
  </si>
  <si>
    <t>Infectious Disease</t>
  </si>
  <si>
    <t>CRITICAL CARE/TRAUMA, SURGERY</t>
  </si>
  <si>
    <t>Surgery: Trauma</t>
  </si>
  <si>
    <t>ORAL MAXILLOFACIAL SURGERY</t>
  </si>
  <si>
    <t>Surgery: Oral</t>
  </si>
  <si>
    <t>NURSE ANESTHETIST</t>
  </si>
  <si>
    <t>Certified Registered Nurse Anesthetist</t>
  </si>
  <si>
    <t>AUDIOLOGY AND SPEECH</t>
  </si>
  <si>
    <t>Audiologist</t>
  </si>
  <si>
    <t>OPTOMETRY</t>
  </si>
  <si>
    <t>Optometrist</t>
  </si>
  <si>
    <t>PODIATRY</t>
  </si>
  <si>
    <t>Podiatry: General</t>
  </si>
  <si>
    <t>DIETICIAN</t>
  </si>
  <si>
    <t>Dietician/Nutritionist</t>
  </si>
  <si>
    <t>OCCUPATIONAL THERAPY</t>
  </si>
  <si>
    <t>Occupational Therapist</t>
  </si>
  <si>
    <t>PHYSICAL THERAPY</t>
  </si>
  <si>
    <t>Physical Therapist</t>
  </si>
  <si>
    <t>NURSE MIDWIFE</t>
  </si>
  <si>
    <t>0.75 of Obstetrics/Gynecology: General</t>
  </si>
  <si>
    <t>PSYCHOLOGY AND SOCIAL WORK</t>
  </si>
  <si>
    <t>Psychologist</t>
  </si>
  <si>
    <t>Cardiology: Invasive</t>
  </si>
  <si>
    <t>Cardiology: Noninvasive</t>
  </si>
  <si>
    <t>Dermatology: Mohs Surgery</t>
  </si>
  <si>
    <t>Family Medicine (without OB)</t>
  </si>
  <si>
    <t>Family Medicine: Sports Medicine</t>
  </si>
  <si>
    <t>Family Medicine: Urgent Care</t>
  </si>
  <si>
    <t>Geriatrics</t>
  </si>
  <si>
    <t>Hospice/Palliative Care</t>
  </si>
  <si>
    <t>Hospitalist: Family Medicine</t>
  </si>
  <si>
    <t>Hospitalist: Internal Medicine</t>
  </si>
  <si>
    <t>Hyperbaric Medicine/Wound Care</t>
  </si>
  <si>
    <t>Internal Medicine: Ambulatory Only (No Inpatient Work)</t>
  </si>
  <si>
    <t>Neurology: Stroke Medicine</t>
  </si>
  <si>
    <t>NP: Adult</t>
  </si>
  <si>
    <t>NP: Cardiology</t>
  </si>
  <si>
    <t>NP: Family Medicine (with OB)</t>
  </si>
  <si>
    <t>NP: Family Medicine (without OB)</t>
  </si>
  <si>
    <t>NP: Gastroenterology</t>
  </si>
  <si>
    <t>NP: Gerontology/Elder Health</t>
  </si>
  <si>
    <t>NP: Hematology/Oncology</t>
  </si>
  <si>
    <t>NP: Hospitalist</t>
  </si>
  <si>
    <t>NP: Internal Medicine</t>
  </si>
  <si>
    <t>NP: Neurology</t>
  </si>
  <si>
    <t>NP: Neurosurgery</t>
  </si>
  <si>
    <t>NP: OB/GYN/Women's Health</t>
  </si>
  <si>
    <t>NP: Pediatric/Child Health</t>
  </si>
  <si>
    <t>NP: Psychiatry</t>
  </si>
  <si>
    <t>NP: Pulmonary Medicine</t>
  </si>
  <si>
    <t>NP: Urgent Care</t>
  </si>
  <si>
    <t>Nurse Midwife: Outpatient/Inpatient Deliveries</t>
  </si>
  <si>
    <t>Nurse Practitioner (Nonsurgical/Nonprimary Care)</t>
  </si>
  <si>
    <t>Nurse Practitioner (Primary Care)</t>
  </si>
  <si>
    <t>Nurse Practitioner (Surgical)</t>
  </si>
  <si>
    <t>OB/GYN: Gynecological Oncology</t>
  </si>
  <si>
    <t>OB/GYN: Gynecology (Only)</t>
  </si>
  <si>
    <t>OB/GYN: Maternal and Fetal Medicine</t>
  </si>
  <si>
    <t>Ophthalmology: Retina</t>
  </si>
  <si>
    <t>Orthopedic (Nonsurgical)</t>
  </si>
  <si>
    <t>Orthopedic Surgery: Foot and Ankle</t>
  </si>
  <si>
    <t>Orthopedic Surgery: Hand</t>
  </si>
  <si>
    <t>Orthopedic Surgery: Hip and Joint</t>
  </si>
  <si>
    <t>Orthopedic Surgery: Spine</t>
  </si>
  <si>
    <t>Orthopedic Surgery: Sports Medicine</t>
  </si>
  <si>
    <t>Orthopedic Surgery: Trauma</t>
  </si>
  <si>
    <t>PA: Cardiology</t>
  </si>
  <si>
    <t>PA: Cardiothoracic Surgery</t>
  </si>
  <si>
    <t>PA: Dermatology</t>
  </si>
  <si>
    <t>PA: Emergency Medicine</t>
  </si>
  <si>
    <t>PA: Family Medicine (without OB)</t>
  </si>
  <si>
    <t>PA: Gastroenterology</t>
  </si>
  <si>
    <t>PA: Hospitalist</t>
  </si>
  <si>
    <t>PA: Internal Medicine</t>
  </si>
  <si>
    <t>PA: Orthopedic (Nonsurgical/Nonprimary Care)</t>
  </si>
  <si>
    <t>PA: Orthopedic (Surgical)</t>
  </si>
  <si>
    <t>PA: Pediatric</t>
  </si>
  <si>
    <t>PA: Pulmonary Medicine</t>
  </si>
  <si>
    <t>PA: Surgery: General</t>
  </si>
  <si>
    <t>PA: Urgent Care (Primary Care)</t>
  </si>
  <si>
    <t>Pain Management: Nonanesthesia</t>
  </si>
  <si>
    <t>Pathology: Anatomic</t>
  </si>
  <si>
    <t>Pathology: Anatomic and Clinical</t>
  </si>
  <si>
    <t>Pediatrics: Cardiology</t>
  </si>
  <si>
    <t>Pediatrics: Child Development</t>
  </si>
  <si>
    <t>Pediatrics: Critical Care/Intensivist</t>
  </si>
  <si>
    <t>Pediatrics: Endocrinology</t>
  </si>
  <si>
    <t>Pediatrics: Gastroenterology</t>
  </si>
  <si>
    <t>Pediatrics: Hematology/Oncology</t>
  </si>
  <si>
    <t>Pediatrics: Hospitalist</t>
  </si>
  <si>
    <t>Pediatrics: Internal Medicine</t>
  </si>
  <si>
    <t>Pediatrics: Neonatal Medicine</t>
  </si>
  <si>
    <t>Pediatrics: Neurology</t>
  </si>
  <si>
    <t>Pediatrics: Ophthalmology</t>
  </si>
  <si>
    <t>Pediatrics: Orthopedic Surgery</t>
  </si>
  <si>
    <t>Pediatrics: Pulmonology</t>
  </si>
  <si>
    <t>Physician Assistant (Nonsurgical/Nonprimary Care)</t>
  </si>
  <si>
    <t>Physician Assistant (Primary Care)</t>
  </si>
  <si>
    <t>Physician Assistant (Surgical)</t>
  </si>
  <si>
    <t>Podiatry: Surgery-Foot and Ankle</t>
  </si>
  <si>
    <t>Psychiatry: Child and Adolescent</t>
  </si>
  <si>
    <t>Pulmonary Medicine: Critical Care</t>
  </si>
  <si>
    <t>Pulmonary Medicine: General and Critical Care</t>
  </si>
  <si>
    <t>Radiation Oncology</t>
  </si>
  <si>
    <t>Radiology: Neurological</t>
  </si>
  <si>
    <t>Sleep Medicine</t>
  </si>
  <si>
    <t>Surgery: Bariatric</t>
  </si>
  <si>
    <t>Surgery: Breast</t>
  </si>
  <si>
    <t>Surgery: Thoracic (Primary)</t>
  </si>
  <si>
    <t>Surgery: Transplant</t>
  </si>
  <si>
    <t>Urgent Care</t>
  </si>
  <si>
    <t>Care Type:</t>
  </si>
  <si>
    <t>Primary Care</t>
  </si>
  <si>
    <t>Specialty Care</t>
  </si>
  <si>
    <t>Beneficiaries Served:</t>
  </si>
  <si>
    <t>Weekly Appointment Goal</t>
  </si>
  <si>
    <t>MHS Standard:</t>
  </si>
  <si>
    <t>Templated Difference:</t>
  </si>
  <si>
    <t>References</t>
  </si>
  <si>
    <t>AF Standard Adjustments</t>
  </si>
  <si>
    <t>Appointment Targets</t>
  </si>
  <si>
    <t>Optometry</t>
  </si>
  <si>
    <t>OB/GYN</t>
  </si>
  <si>
    <t>Physical Therapy</t>
  </si>
  <si>
    <t>Standard minus adjustments:</t>
  </si>
  <si>
    <t>Psychiatry</t>
  </si>
  <si>
    <t>Dietician</t>
  </si>
  <si>
    <t>Psychology and Social Work</t>
  </si>
  <si>
    <t>Click on provider names to go to templates.</t>
  </si>
  <si>
    <t>Virtual</t>
  </si>
  <si>
    <t>Restrictive</t>
  </si>
  <si>
    <t>F2F</t>
  </si>
  <si>
    <t>Virtual vs F2F visits</t>
  </si>
  <si>
    <t>Restrictive Detail Codes</t>
  </si>
  <si>
    <t>ftr</t>
  </si>
  <si>
    <t>AD Monthly Targets</t>
  </si>
  <si>
    <t>(55% of MGMA tgt)</t>
  </si>
  <si>
    <t>GS Monthly Targets</t>
  </si>
  <si>
    <t>(71% of MGMA tgt)</t>
  </si>
  <si>
    <t>CTR Monthly Targets</t>
  </si>
  <si>
    <t>(83% of MGMA tgt)</t>
  </si>
  <si>
    <t>Total Appointments Enabled f/ TOL</t>
  </si>
  <si>
    <t>WEX</t>
  </si>
  <si>
    <t>PBO</t>
  </si>
  <si>
    <t>24hr</t>
  </si>
  <si>
    <t>%24HR/FTR Appts TOL Available</t>
  </si>
  <si>
    <t>Greater/Equal to 90%</t>
  </si>
  <si>
    <t>Less than 90%</t>
  </si>
  <si>
    <t>wex</t>
  </si>
  <si>
    <t>NBO</t>
  </si>
  <si>
    <t>TOL Enabled</t>
  </si>
  <si>
    <t>Does not contain restrictive detail code</t>
  </si>
  <si>
    <t>contains either 24HR or FTR</t>
  </si>
  <si>
    <t>does not contain one of the above</t>
  </si>
  <si>
    <t>contains either 24hr or ftr</t>
  </si>
  <si>
    <t>proc</t>
  </si>
  <si>
    <t>restdc</t>
  </si>
  <si>
    <t>Appt Type</t>
  </si>
  <si>
    <t>(COUNTIFS(D20:D26,"24HR",E20:E26,"&lt;&gt;*BO*",D20:D26,"24HR",E20:E26,"&lt;&gt;*WEX*"))</t>
  </si>
  <si>
    <t>24HR Appts Available on TOL by Day</t>
  </si>
  <si>
    <t>FTR Appts Available on TOL by Day</t>
  </si>
  <si>
    <t>Appointment Mix/Times</t>
  </si>
  <si>
    <t>DHA Scorecard Measures</t>
  </si>
  <si>
    <t>Count of authorized appointment types</t>
  </si>
  <si>
    <t>Total appointments</t>
  </si>
  <si>
    <t xml:space="preserve">Thursday </t>
  </si>
  <si>
    <t>Count of Total Appointments</t>
  </si>
  <si>
    <t>Count of Auth Appt Types per Day</t>
  </si>
  <si>
    <t>% Authorized Appointment Types:</t>
  </si>
  <si>
    <t>Less than 100%</t>
  </si>
  <si>
    <t>PROC</t>
  </si>
  <si>
    <t>GRP</t>
  </si>
  <si>
    <t>Notes: Numbers in left table will become red if template contains unauthorized appt types.</t>
  </si>
  <si>
    <t>Approved Appt Types:</t>
  </si>
  <si>
    <t>Appointment Balancing</t>
  </si>
  <si>
    <t>***Hidden due to updated data validation that does not allow unathorized appt types.</t>
  </si>
  <si>
    <t>Nutrition</t>
  </si>
  <si>
    <t>Psychology/Social Work</t>
  </si>
  <si>
    <t>Template Planning Tool
Last updated 27 May 21</t>
  </si>
  <si>
    <t>% 24HR and FTR TOL Availability</t>
  </si>
  <si>
    <t>% 24HR F2F Appointments</t>
  </si>
  <si>
    <t>% Planned Appointments &gt;= 1500</t>
  </si>
  <si>
    <t>Click here to return to table of contents.</t>
  </si>
  <si>
    <t xml:space="preserve">This will count ANYTHING besides HC. So a PBO will count as F2F, a WEX will count as F2F, NBO as F2F, etc. </t>
  </si>
  <si>
    <t>Total Appointments Per Day</t>
  </si>
  <si>
    <t>755</t>
  </si>
  <si>
    <t>735</t>
  </si>
  <si>
    <t>815</t>
  </si>
  <si>
    <t>835</t>
  </si>
  <si>
    <t>855</t>
  </si>
  <si>
    <t>915</t>
  </si>
  <si>
    <t>935</t>
  </si>
  <si>
    <t>955</t>
  </si>
  <si>
    <t>1015</t>
  </si>
  <si>
    <t>1255</t>
  </si>
  <si>
    <t>1315</t>
  </si>
  <si>
    <t>1335</t>
  </si>
  <si>
    <t>1355</t>
  </si>
  <si>
    <t>1415</t>
  </si>
  <si>
    <t>1435</t>
  </si>
  <si>
    <t>1455</t>
  </si>
  <si>
    <t>1515</t>
  </si>
  <si>
    <t>1535</t>
  </si>
  <si>
    <t>1035</t>
  </si>
  <si>
    <t>1055</t>
  </si>
  <si>
    <t>1115</t>
  </si>
  <si>
    <t>SHPE</t>
  </si>
  <si>
    <t>VAS/PBO</t>
  </si>
  <si>
    <t>Williams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</si>
</sst>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6" x14ac:knownFonts="1">
    <font>
      <sz val="11"/>
      <color theme="1"/>
      <name val="Arial"/>
      <family val="2"/>
      <scheme val="minor"/>
    </font>
    <font>
      <sz val="11"/>
      <color theme="1"/>
      <name val="Arial"/>
      <family val="2"/>
    </font>
    <font>
      <sz val="11"/>
      <color theme="1"/>
      <name val="Arial"/>
      <family val="2"/>
    </font>
    <font>
      <sz val="11"/>
      <color theme="1"/>
      <name val="Arial"/>
      <family val="2"/>
      <scheme val="minor"/>
    </font>
    <font>
      <b/>
      <sz val="11"/>
      <color theme="0"/>
      <name val="Arial"/>
      <family val="2"/>
      <scheme val="minor"/>
    </font>
    <font>
      <b/>
      <sz val="14"/>
      <color theme="1"/>
      <name val="Arial"/>
      <family val="2"/>
      <scheme val="minor"/>
    </font>
    <font>
      <b/>
      <sz val="11"/>
      <name val="Arial"/>
      <family val="2"/>
      <scheme val="minor"/>
    </font>
    <font>
      <i/>
      <sz val="11"/>
      <color theme="1"/>
      <name val="Arial"/>
      <family val="2"/>
      <scheme val="minor"/>
    </font>
    <font>
      <b/>
      <sz val="11"/>
      <color theme="1"/>
      <name val="Arial"/>
      <family val="2"/>
      <scheme val="minor"/>
    </font>
    <font>
      <sz val="11"/>
      <name val="Arial"/>
      <family val="2"/>
      <scheme val="minor"/>
    </font>
    <font>
      <b/>
      <sz val="11"/>
      <color rgb="FFFF0000"/>
      <name val="Arial"/>
      <family val="2"/>
      <scheme val="minor"/>
    </font>
    <font>
      <b/>
      <sz val="18"/>
      <color theme="1"/>
      <name val="Arial"/>
      <family val="2"/>
      <scheme val="minor"/>
    </font>
    <font>
      <b/>
      <sz val="16"/>
      <color theme="1"/>
      <name val="Arial"/>
      <family val="2"/>
      <scheme val="minor"/>
    </font>
    <font>
      <b/>
      <sz val="22"/>
      <color theme="1"/>
      <name val="Arial"/>
      <family val="2"/>
      <scheme val="minor"/>
    </font>
    <font>
      <b/>
      <sz val="20"/>
      <color theme="1"/>
      <name val="Arial"/>
      <family val="2"/>
      <scheme val="minor"/>
    </font>
    <font>
      <sz val="22"/>
      <color theme="1"/>
      <name val="Arial"/>
      <family val="2"/>
      <scheme val="minor"/>
    </font>
    <font>
      <u/>
      <sz val="11"/>
      <color theme="10"/>
      <name val="Arial"/>
      <family val="2"/>
      <scheme val="minor"/>
    </font>
    <font>
      <b/>
      <u/>
      <sz val="11"/>
      <color theme="8"/>
      <name val="Arial"/>
      <family val="2"/>
      <scheme val="minor"/>
    </font>
    <font>
      <b/>
      <u/>
      <sz val="11"/>
      <color theme="10"/>
      <name val="Arial"/>
      <family val="2"/>
      <scheme val="minor"/>
    </font>
    <font>
      <i/>
      <sz val="14"/>
      <color theme="1"/>
      <name val="Arial"/>
      <family val="2"/>
      <scheme val="minor"/>
    </font>
    <font>
      <sz val="10"/>
      <color rgb="FF000000"/>
      <name val="Arial"/>
      <family val="2"/>
    </font>
    <font>
      <b/>
      <sz val="10"/>
      <color rgb="FFFFFFFF"/>
      <name val="Arial"/>
      <family val="2"/>
    </font>
    <font>
      <sz val="12"/>
      <color rgb="FF000000"/>
      <name val="Calibri"/>
      <family val="2"/>
    </font>
    <font>
      <b/>
      <sz val="11"/>
      <color theme="1"/>
      <name val="Arial"/>
      <family val="2"/>
    </font>
    <font>
      <sz val="22"/>
      <color theme="1"/>
      <name val="Arial"/>
      <family val="2"/>
    </font>
    <font>
      <b/>
      <sz val="11"/>
      <name val="Arial"/>
      <family val="2"/>
    </font>
    <font>
      <b/>
      <sz val="20"/>
      <color theme="1"/>
      <name val="Arial"/>
      <family val="2"/>
    </font>
    <font>
      <sz val="12"/>
      <color theme="1"/>
      <name val="Arial"/>
      <family val="2"/>
      <scheme val="minor"/>
    </font>
    <font>
      <b/>
      <sz val="12"/>
      <color theme="1"/>
      <name val="Arial"/>
      <family val="2"/>
      <scheme val="minor"/>
    </font>
    <font>
      <sz val="8"/>
      <color rgb="FFFF0000"/>
      <name val="Arial"/>
      <family val="2"/>
      <scheme val="minor"/>
    </font>
    <font>
      <i/>
      <sz val="8"/>
      <color theme="1"/>
      <name val="Arial"/>
      <family val="2"/>
      <scheme val="minor"/>
    </font>
    <font>
      <b/>
      <u/>
      <sz val="11"/>
      <color theme="10"/>
      <name val="Arial"/>
      <family val="2"/>
    </font>
    <font>
      <b/>
      <sz val="14"/>
      <color theme="0"/>
      <name val="Arial"/>
      <family val="2"/>
      <scheme val="minor"/>
    </font>
    <font>
      <b/>
      <sz val="16"/>
      <color theme="0"/>
      <name val="Arial"/>
      <family val="2"/>
      <scheme val="minor"/>
    </font>
    <font>
      <sz val="16"/>
      <color theme="1"/>
      <name val="Arial"/>
      <family val="2"/>
      <scheme val="minor"/>
    </font>
    <font>
      <b/>
      <u/>
      <sz val="16"/>
      <color theme="0"/>
      <name val="Arial"/>
      <family val="2"/>
      <scheme val="minor"/>
    </font>
  </fonts>
  <fills count="22">
    <fill>
      <patternFill patternType="none"/>
    </fill>
    <fill>
      <patternFill patternType="gray125"/>
    </fill>
    <fill>
      <patternFill patternType="solid">
        <fgColor rgb="FF33CCFF"/>
        <bgColor indexed="64"/>
      </patternFill>
    </fill>
    <fill>
      <patternFill patternType="solid">
        <fgColor rgb="FFFFFF00"/>
        <bgColor indexed="64"/>
      </patternFill>
    </fill>
    <fill>
      <patternFill patternType="solid">
        <fgColor theme="0" tint="-0.34998626667073579"/>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theme="1"/>
        <bgColor indexed="64"/>
      </patternFill>
    </fill>
    <fill>
      <patternFill patternType="solid">
        <fgColor theme="9" tint="0.39997558519241921"/>
        <bgColor indexed="64"/>
      </patternFill>
    </fill>
    <fill>
      <patternFill patternType="solid">
        <fgColor rgb="FF00B0F0"/>
        <bgColor indexed="64"/>
      </patternFill>
    </fill>
    <fill>
      <patternFill patternType="solid">
        <fgColor theme="5" tint="0.39997558519241921"/>
        <bgColor indexed="64"/>
      </patternFill>
    </fill>
    <fill>
      <patternFill patternType="solid">
        <fgColor theme="0" tint="-4.9989318521683403E-2"/>
        <bgColor indexed="64"/>
      </patternFill>
    </fill>
    <fill>
      <patternFill patternType="solid">
        <fgColor rgb="FFFFFFFF"/>
        <bgColor indexed="64"/>
      </patternFill>
    </fill>
    <fill>
      <patternFill patternType="solid">
        <fgColor theme="4" tint="0.59999389629810485"/>
        <bgColor indexed="64"/>
      </patternFill>
    </fill>
    <fill>
      <patternFill patternType="solid">
        <fgColor theme="9"/>
        <bgColor indexed="64"/>
      </patternFill>
    </fill>
    <fill>
      <patternFill patternType="solid">
        <fgColor theme="7"/>
        <bgColor indexed="64"/>
      </patternFill>
    </fill>
    <fill>
      <patternFill patternType="solid">
        <fgColor rgb="FFFF0000"/>
        <bgColor indexed="64"/>
      </patternFill>
    </fill>
    <fill>
      <patternFill patternType="solid">
        <fgColor theme="5" tint="0.59999389629810485"/>
        <bgColor indexed="64"/>
      </patternFill>
    </fill>
    <fill>
      <patternFill patternType="solid">
        <fgColor theme="0" tint="-0.499984740745262"/>
        <bgColor indexed="64"/>
      </patternFill>
    </fill>
    <fill>
      <patternFill patternType="solid">
        <fgColor rgb="FF44546A"/>
        <bgColor indexed="64"/>
      </patternFill>
    </fill>
    <fill>
      <patternFill patternType="solid">
        <fgColor theme="4"/>
        <bgColor indexed="64"/>
      </patternFill>
    </fill>
    <fill>
      <patternFill patternType="solid">
        <fgColor theme="5"/>
        <bgColor indexed="64"/>
      </patternFill>
    </fill>
  </fills>
  <borders count="110">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style="medium">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double">
        <color indexed="64"/>
      </left>
      <right style="medium">
        <color indexed="64"/>
      </right>
      <top style="double">
        <color indexed="64"/>
      </top>
      <bottom style="double">
        <color indexed="64"/>
      </bottom>
      <diagonal/>
    </border>
    <border>
      <left style="medium">
        <color indexed="64"/>
      </left>
      <right/>
      <top style="double">
        <color indexed="64"/>
      </top>
      <bottom style="double">
        <color indexed="64"/>
      </bottom>
      <diagonal/>
    </border>
    <border>
      <left/>
      <right/>
      <top style="double">
        <color indexed="64"/>
      </top>
      <bottom style="double">
        <color indexed="64"/>
      </bottom>
      <diagonal/>
    </border>
    <border>
      <left/>
      <right style="double">
        <color indexed="64"/>
      </right>
      <top style="double">
        <color indexed="64"/>
      </top>
      <bottom style="double">
        <color indexed="64"/>
      </bottom>
      <diagonal/>
    </border>
    <border>
      <left style="double">
        <color indexed="64"/>
      </left>
      <right/>
      <top style="double">
        <color indexed="64"/>
      </top>
      <bottom style="double">
        <color indexed="64"/>
      </bottom>
      <diagonal/>
    </border>
    <border>
      <left style="medium">
        <color indexed="64"/>
      </left>
      <right style="double">
        <color indexed="64"/>
      </right>
      <top style="double">
        <color indexed="64"/>
      </top>
      <bottom style="double">
        <color indexed="64"/>
      </bottom>
      <diagonal/>
    </border>
    <border>
      <left/>
      <right/>
      <top style="medium">
        <color indexed="64"/>
      </top>
      <bottom/>
      <diagonal/>
    </border>
    <border>
      <left style="medium">
        <color indexed="64"/>
      </left>
      <right style="medium">
        <color indexed="64"/>
      </right>
      <top/>
      <bottom style="medium">
        <color indexed="64"/>
      </bottom>
      <diagonal/>
    </border>
    <border>
      <left style="medium">
        <color indexed="64"/>
      </left>
      <right/>
      <top/>
      <bottom style="medium">
        <color indexed="64"/>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style="medium">
        <color indexed="64"/>
      </right>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bottom style="thin">
        <color indexed="64"/>
      </bottom>
      <diagonal/>
    </border>
    <border>
      <left style="medium">
        <color indexed="64"/>
      </left>
      <right/>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medium">
        <color indexed="64"/>
      </left>
      <right style="thin">
        <color indexed="64"/>
      </right>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ck">
        <color indexed="64"/>
      </left>
      <right style="thin">
        <color indexed="64"/>
      </right>
      <top style="thick">
        <color indexed="64"/>
      </top>
      <bottom style="thin">
        <color indexed="64"/>
      </bottom>
      <diagonal/>
    </border>
    <border>
      <left style="thick">
        <color indexed="64"/>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n">
        <color indexed="64"/>
      </left>
      <right style="thick">
        <color indexed="64"/>
      </right>
      <top/>
      <bottom style="thin">
        <color indexed="64"/>
      </bottom>
      <diagonal/>
    </border>
    <border>
      <left style="thick">
        <color indexed="64"/>
      </left>
      <right style="thick">
        <color indexed="64"/>
      </right>
      <top/>
      <bottom style="thin">
        <color indexed="64"/>
      </bottom>
      <diagonal/>
    </border>
    <border>
      <left style="thick">
        <color indexed="64"/>
      </left>
      <right style="thin">
        <color indexed="64"/>
      </right>
      <top/>
      <bottom style="thin">
        <color indexed="64"/>
      </bottom>
      <diagonal/>
    </border>
    <border>
      <left style="thick">
        <color indexed="64"/>
      </left>
      <right style="thick">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thin">
        <color indexed="64"/>
      </left>
      <right/>
      <top/>
      <bottom style="medium">
        <color indexed="64"/>
      </bottom>
      <diagonal/>
    </border>
    <border>
      <left style="medium">
        <color indexed="64"/>
      </left>
      <right style="thin">
        <color indexed="64"/>
      </right>
      <top style="thin">
        <color indexed="64"/>
      </top>
      <bottom/>
      <diagonal/>
    </border>
    <border>
      <left style="thin">
        <color indexed="64"/>
      </left>
      <right/>
      <top/>
      <bottom style="thin">
        <color indexed="64"/>
      </bottom>
      <diagonal/>
    </border>
    <border>
      <left/>
      <right style="medium">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medium">
        <color indexed="64"/>
      </left>
      <right style="thin">
        <color indexed="64"/>
      </right>
      <top/>
      <bottom/>
      <diagonal/>
    </border>
    <border>
      <left/>
      <right style="thin">
        <color indexed="64"/>
      </right>
      <top/>
      <bottom/>
      <diagonal/>
    </border>
    <border>
      <left/>
      <right style="thin">
        <color indexed="64"/>
      </right>
      <top style="medium">
        <color indexed="64"/>
      </top>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thin">
        <color indexed="64"/>
      </left>
      <right/>
      <top/>
      <bottom/>
      <diagonal/>
    </border>
    <border>
      <left/>
      <right style="thin">
        <color indexed="64"/>
      </right>
      <top style="thin">
        <color indexed="64"/>
      </top>
      <bottom/>
      <diagonal/>
    </border>
    <border>
      <left style="thick">
        <color rgb="FF00B0F0"/>
      </left>
      <right style="thin">
        <color indexed="64"/>
      </right>
      <top style="thick">
        <color rgb="FF00B0F0"/>
      </top>
      <bottom style="thin">
        <color indexed="64"/>
      </bottom>
      <diagonal/>
    </border>
    <border>
      <left style="thin">
        <color indexed="64"/>
      </left>
      <right style="thin">
        <color indexed="64"/>
      </right>
      <top style="thick">
        <color rgb="FF00B0F0"/>
      </top>
      <bottom style="thin">
        <color indexed="64"/>
      </bottom>
      <diagonal/>
    </border>
    <border>
      <left style="thin">
        <color indexed="64"/>
      </left>
      <right style="thick">
        <color rgb="FF00B0F0"/>
      </right>
      <top style="thick">
        <color rgb="FF00B0F0"/>
      </top>
      <bottom style="thin">
        <color indexed="64"/>
      </bottom>
      <diagonal/>
    </border>
    <border>
      <left style="thick">
        <color rgb="FF00B0F0"/>
      </left>
      <right style="thin">
        <color indexed="64"/>
      </right>
      <top style="thin">
        <color indexed="64"/>
      </top>
      <bottom/>
      <diagonal/>
    </border>
    <border>
      <left style="thin">
        <color indexed="64"/>
      </left>
      <right style="thick">
        <color rgb="FF00B0F0"/>
      </right>
      <top style="thin">
        <color indexed="64"/>
      </top>
      <bottom/>
      <diagonal/>
    </border>
    <border>
      <left style="thick">
        <color rgb="FF00B0F0"/>
      </left>
      <right style="thin">
        <color indexed="64"/>
      </right>
      <top style="thin">
        <color indexed="64"/>
      </top>
      <bottom style="thin">
        <color indexed="64"/>
      </bottom>
      <diagonal/>
    </border>
    <border>
      <left style="thin">
        <color indexed="64"/>
      </left>
      <right style="thick">
        <color rgb="FF00B0F0"/>
      </right>
      <top style="thin">
        <color indexed="64"/>
      </top>
      <bottom style="thin">
        <color indexed="64"/>
      </bottom>
      <diagonal/>
    </border>
    <border>
      <left style="thick">
        <color rgb="FF00B0F0"/>
      </left>
      <right style="thin">
        <color indexed="64"/>
      </right>
      <top/>
      <bottom style="thick">
        <color rgb="FF00B0F0"/>
      </bottom>
      <diagonal/>
    </border>
    <border>
      <left style="thin">
        <color indexed="64"/>
      </left>
      <right style="thin">
        <color indexed="64"/>
      </right>
      <top/>
      <bottom style="thick">
        <color rgb="FF00B0F0"/>
      </bottom>
      <diagonal/>
    </border>
    <border>
      <left style="thin">
        <color indexed="64"/>
      </left>
      <right style="thick">
        <color rgb="FF00B0F0"/>
      </right>
      <top/>
      <bottom style="thick">
        <color rgb="FF00B0F0"/>
      </bottom>
      <diagonal/>
    </border>
    <border>
      <left style="thin">
        <color indexed="64"/>
      </left>
      <right/>
      <top style="thin">
        <color indexed="64"/>
      </top>
      <bottom style="thick">
        <color rgb="FF00B0F0"/>
      </bottom>
      <diagonal/>
    </border>
    <border>
      <left/>
      <right/>
      <top style="thin">
        <color indexed="64"/>
      </top>
      <bottom style="thick">
        <color rgb="FF00B0F0"/>
      </bottom>
      <diagonal/>
    </border>
    <border>
      <left/>
      <right style="thick">
        <color rgb="FF00B0F0"/>
      </right>
      <top style="thin">
        <color indexed="64"/>
      </top>
      <bottom style="thick">
        <color rgb="FF00B0F0"/>
      </bottom>
      <diagonal/>
    </border>
    <border>
      <left style="thick">
        <color rgb="FF00B0F0"/>
      </left>
      <right/>
      <top style="thick">
        <color rgb="FF00B0F0"/>
      </top>
      <bottom style="thin">
        <color indexed="64"/>
      </bottom>
      <diagonal/>
    </border>
    <border>
      <left/>
      <right/>
      <top style="thick">
        <color rgb="FF00B0F0"/>
      </top>
      <bottom style="thin">
        <color indexed="64"/>
      </bottom>
      <diagonal/>
    </border>
    <border>
      <left/>
      <right style="thick">
        <color rgb="FF00B0F0"/>
      </right>
      <top style="thick">
        <color rgb="FF00B0F0"/>
      </top>
      <bottom style="thin">
        <color indexed="64"/>
      </bottom>
      <diagonal/>
    </border>
    <border>
      <left style="thick">
        <color rgb="FF00B0F0"/>
      </left>
      <right style="thin">
        <color indexed="64"/>
      </right>
      <top style="thin">
        <color indexed="64"/>
      </top>
      <bottom style="thick">
        <color rgb="FF00B0F0"/>
      </bottom>
      <diagonal/>
    </border>
    <border>
      <left style="thin">
        <color indexed="64"/>
      </left>
      <right style="thin">
        <color indexed="64"/>
      </right>
      <top style="thin">
        <color indexed="64"/>
      </top>
      <bottom style="thick">
        <color rgb="FF00B0F0"/>
      </bottom>
      <diagonal/>
    </border>
    <border>
      <left style="thin">
        <color indexed="64"/>
      </left>
      <right style="thick">
        <color rgb="FF00B0F0"/>
      </right>
      <top style="thin">
        <color indexed="64"/>
      </top>
      <bottom style="thick">
        <color rgb="FF00B0F0"/>
      </bottom>
      <diagonal/>
    </border>
    <border>
      <left style="thick">
        <color rgb="FF00B0F0"/>
      </left>
      <right style="thick">
        <color rgb="FF00B0F0"/>
      </right>
      <top style="thin">
        <color indexed="64"/>
      </top>
      <bottom/>
      <diagonal/>
    </border>
    <border>
      <left style="thick">
        <color rgb="FF00B0F0"/>
      </left>
      <right style="thick">
        <color rgb="FF00B0F0"/>
      </right>
      <top/>
      <bottom style="thin">
        <color indexed="64"/>
      </bottom>
      <diagonal/>
    </border>
    <border>
      <left style="thick">
        <color rgb="FF00B0F0"/>
      </left>
      <right style="thin">
        <color indexed="64"/>
      </right>
      <top/>
      <bottom style="thin">
        <color indexed="64"/>
      </bottom>
      <diagonal/>
    </border>
    <border>
      <left style="thick">
        <color rgb="FF00B0F0"/>
      </left>
      <right style="thick">
        <color rgb="FF00B0F0"/>
      </right>
      <top style="thin">
        <color indexed="64"/>
      </top>
      <bottom style="thin">
        <color indexed="64"/>
      </bottom>
      <diagonal/>
    </border>
    <border>
      <left style="thick">
        <color rgb="FF00B0F0"/>
      </left>
      <right/>
      <top style="thin">
        <color indexed="64"/>
      </top>
      <bottom style="thin">
        <color indexed="64"/>
      </bottom>
      <diagonal/>
    </border>
    <border>
      <left style="thin">
        <color indexed="64"/>
      </left>
      <right style="thick">
        <color rgb="FF00B0F0"/>
      </right>
      <top/>
      <bottom style="thin">
        <color indexed="64"/>
      </bottom>
      <diagonal/>
    </border>
    <border>
      <left style="thick">
        <color rgb="FF00B0F0"/>
      </left>
      <right/>
      <top/>
      <bottom style="thin">
        <color indexed="64"/>
      </bottom>
      <diagonal/>
    </border>
    <border>
      <left/>
      <right style="medium">
        <color indexed="64"/>
      </right>
      <top/>
      <bottom style="double">
        <color indexed="64"/>
      </bottom>
      <diagonal/>
    </border>
    <border>
      <left style="medium">
        <color indexed="64"/>
      </left>
      <right/>
      <top/>
      <bottom style="double">
        <color indexed="64"/>
      </bottom>
      <diagonal/>
    </border>
    <border>
      <left style="double">
        <color indexed="64"/>
      </left>
      <right style="double">
        <color indexed="64"/>
      </right>
      <top style="double">
        <color indexed="64"/>
      </top>
      <bottom style="double">
        <color indexed="64"/>
      </bottom>
      <diagonal/>
    </border>
    <border>
      <left style="thick">
        <color theme="4"/>
      </left>
      <right style="thin">
        <color indexed="64"/>
      </right>
      <top style="thick">
        <color theme="4"/>
      </top>
      <bottom style="thin">
        <color indexed="64"/>
      </bottom>
      <diagonal/>
    </border>
    <border>
      <left style="thin">
        <color indexed="64"/>
      </left>
      <right style="thin">
        <color indexed="64"/>
      </right>
      <top style="thick">
        <color theme="4"/>
      </top>
      <bottom style="thin">
        <color indexed="64"/>
      </bottom>
      <diagonal/>
    </border>
    <border>
      <left style="thin">
        <color indexed="64"/>
      </left>
      <right style="thick">
        <color theme="4"/>
      </right>
      <top style="thick">
        <color theme="4"/>
      </top>
      <bottom style="thin">
        <color indexed="64"/>
      </bottom>
      <diagonal/>
    </border>
    <border>
      <left style="thick">
        <color theme="4"/>
      </left>
      <right style="thin">
        <color indexed="64"/>
      </right>
      <top style="thin">
        <color indexed="64"/>
      </top>
      <bottom style="thin">
        <color indexed="64"/>
      </bottom>
      <diagonal/>
    </border>
    <border>
      <left style="thin">
        <color indexed="64"/>
      </left>
      <right style="thick">
        <color theme="4"/>
      </right>
      <top style="thin">
        <color indexed="64"/>
      </top>
      <bottom style="thin">
        <color indexed="64"/>
      </bottom>
      <diagonal/>
    </border>
    <border>
      <left style="thick">
        <color theme="4"/>
      </left>
      <right style="thin">
        <color indexed="64"/>
      </right>
      <top style="thin">
        <color indexed="64"/>
      </top>
      <bottom style="thick">
        <color theme="4"/>
      </bottom>
      <diagonal/>
    </border>
    <border>
      <left style="thin">
        <color indexed="64"/>
      </left>
      <right style="thin">
        <color indexed="64"/>
      </right>
      <top style="thin">
        <color indexed="64"/>
      </top>
      <bottom style="thick">
        <color theme="4"/>
      </bottom>
      <diagonal/>
    </border>
    <border>
      <left style="thin">
        <color indexed="64"/>
      </left>
      <right style="thick">
        <color theme="4"/>
      </right>
      <top style="thin">
        <color indexed="64"/>
      </top>
      <bottom style="thick">
        <color theme="4"/>
      </bottom>
      <diagonal/>
    </border>
    <border>
      <left/>
      <right style="thick">
        <color theme="4"/>
      </right>
      <top style="thin">
        <color indexed="64"/>
      </top>
      <bottom style="thin">
        <color indexed="64"/>
      </bottom>
      <diagonal/>
    </border>
    <border>
      <left style="thick">
        <color theme="4"/>
      </left>
      <right style="thin">
        <color indexed="64"/>
      </right>
      <top/>
      <bottom style="thick">
        <color theme="4"/>
      </bottom>
      <diagonal/>
    </border>
    <border>
      <left style="thin">
        <color indexed="64"/>
      </left>
      <right style="thin">
        <color indexed="64"/>
      </right>
      <top/>
      <bottom style="thick">
        <color theme="4"/>
      </bottom>
      <diagonal/>
    </border>
    <border>
      <left style="thin">
        <color indexed="64"/>
      </left>
      <right style="thick">
        <color theme="4"/>
      </right>
      <top/>
      <bottom style="thick">
        <color theme="4"/>
      </bottom>
      <diagonal/>
    </border>
    <border>
      <left style="thick">
        <color indexed="64"/>
      </left>
      <right style="thick">
        <color indexed="64"/>
      </right>
      <top style="thick">
        <color indexed="64"/>
      </top>
      <bottom/>
      <diagonal/>
    </border>
    <border>
      <left style="thick">
        <color indexed="64"/>
      </left>
      <right style="thick">
        <color indexed="64"/>
      </right>
      <top/>
      <bottom/>
      <diagonal/>
    </border>
    <border>
      <left style="thick">
        <color indexed="64"/>
      </left>
      <right style="thick">
        <color indexed="64"/>
      </right>
      <top/>
      <bottom style="thick">
        <color indexed="64"/>
      </bottom>
      <diagonal/>
    </border>
    <border>
      <left/>
      <right style="thick">
        <color indexed="64"/>
      </right>
      <top/>
      <bottom/>
      <diagonal/>
    </border>
  </borders>
  <cellStyleXfs count="4">
    <xf numFmtId="0" fontId="0" fillId="0" borderId="0"/>
    <xf numFmtId="9" fontId="3" fillId="0" borderId="0" applyFont="0" applyFill="0" applyBorder="0" applyAlignment="0" applyProtection="0"/>
    <xf numFmtId="0" fontId="16" fillId="0" borderId="0" applyNumberFormat="0" applyFill="0" applyBorder="0" applyAlignment="0" applyProtection="0"/>
    <xf numFmtId="0" fontId="1" fillId="0" borderId="0"/>
  </cellStyleXfs>
  <cellXfs count="469">
    <xf numFmtId="0" fontId="0" fillId="0" borderId="0" xfId="0"/>
    <xf numFmtId="0" fontId="7" fillId="5" borderId="4" xfId="0" applyFont="1" applyFill="1" applyBorder="1" applyAlignment="1">
      <alignment horizontal="center"/>
    </xf>
    <xf numFmtId="0" fontId="7" fillId="5" borderId="3" xfId="0" applyFont="1" applyFill="1" applyBorder="1" applyAlignment="1">
      <alignment horizontal="center"/>
    </xf>
    <xf numFmtId="0" fontId="7" fillId="5" borderId="1" xfId="0" applyFont="1" applyFill="1" applyBorder="1" applyAlignment="1">
      <alignment horizontal="center"/>
    </xf>
    <xf numFmtId="0" fontId="0" fillId="0" borderId="0" xfId="0" applyBorder="1"/>
    <xf numFmtId="0" fontId="0" fillId="0" borderId="6" xfId="0" applyBorder="1"/>
    <xf numFmtId="0" fontId="0" fillId="0" borderId="0" xfId="0" applyBorder="1" applyAlignment="1">
      <alignment horizontal="center"/>
    </xf>
    <xf numFmtId="0" fontId="0" fillId="0" borderId="0" xfId="0" applyFill="1" applyBorder="1" applyAlignment="1">
      <alignment horizontal="center"/>
    </xf>
    <xf numFmtId="0" fontId="0" fillId="0" borderId="6" xfId="0" applyBorder="1" applyAlignment="1"/>
    <xf numFmtId="0" fontId="0" fillId="0" borderId="0" xfId="0" applyFill="1" applyBorder="1"/>
    <xf numFmtId="0" fontId="6" fillId="6" borderId="4" xfId="0" applyFont="1" applyFill="1" applyBorder="1" applyAlignment="1">
      <alignment horizontal="center"/>
    </xf>
    <xf numFmtId="0" fontId="0" fillId="0" borderId="7" xfId="0" applyBorder="1" applyAlignment="1">
      <alignment horizontal="center"/>
    </xf>
    <xf numFmtId="9" fontId="0" fillId="0" borderId="6" xfId="1" applyFont="1" applyBorder="1" applyAlignment="1">
      <alignment horizontal="center"/>
    </xf>
    <xf numFmtId="9" fontId="0" fillId="0" borderId="7" xfId="1" applyFont="1" applyBorder="1" applyAlignment="1">
      <alignment horizontal="center"/>
    </xf>
    <xf numFmtId="0" fontId="0" fillId="0" borderId="8" xfId="0" applyBorder="1" applyAlignment="1">
      <alignment horizontal="center"/>
    </xf>
    <xf numFmtId="0" fontId="0" fillId="0" borderId="10" xfId="0" applyBorder="1" applyAlignment="1">
      <alignment horizontal="center"/>
    </xf>
    <xf numFmtId="9" fontId="0" fillId="0" borderId="10" xfId="1" applyFont="1" applyBorder="1" applyAlignment="1">
      <alignment horizontal="center"/>
    </xf>
    <xf numFmtId="9" fontId="0" fillId="0" borderId="9" xfId="1" applyFont="1" applyBorder="1" applyAlignment="1">
      <alignment horizontal="center"/>
    </xf>
    <xf numFmtId="0" fontId="0" fillId="0" borderId="5" xfId="0" applyBorder="1" applyAlignment="1">
      <alignment horizontal="center"/>
    </xf>
    <xf numFmtId="9" fontId="0" fillId="5" borderId="11" xfId="0" applyNumberFormat="1" applyFill="1" applyBorder="1" applyAlignment="1">
      <alignment horizontal="center"/>
    </xf>
    <xf numFmtId="0" fontId="0" fillId="5" borderId="12" xfId="0" applyFill="1" applyBorder="1" applyAlignment="1">
      <alignment horizontal="center"/>
    </xf>
    <xf numFmtId="0" fontId="0" fillId="5" borderId="13" xfId="0" applyFill="1" applyBorder="1" applyAlignment="1">
      <alignment horizontal="center"/>
    </xf>
    <xf numFmtId="9" fontId="0" fillId="5" borderId="14" xfId="0" applyNumberFormat="1" applyFill="1" applyBorder="1" applyAlignment="1">
      <alignment horizontal="center"/>
    </xf>
    <xf numFmtId="0" fontId="0" fillId="5" borderId="16" xfId="0" applyFill="1" applyBorder="1" applyAlignment="1">
      <alignment horizontal="center"/>
    </xf>
    <xf numFmtId="9" fontId="0" fillId="0" borderId="0" xfId="0" applyNumberFormat="1" applyFill="1" applyBorder="1" applyAlignment="1">
      <alignment horizontal="center"/>
    </xf>
    <xf numFmtId="0" fontId="0" fillId="0" borderId="0" xfId="0" applyFill="1"/>
    <xf numFmtId="0" fontId="6" fillId="6" borderId="5" xfId="0" applyFont="1" applyFill="1" applyBorder="1" applyAlignment="1">
      <alignment horizontal="center"/>
    </xf>
    <xf numFmtId="0" fontId="6" fillId="6" borderId="7" xfId="0" applyFont="1" applyFill="1" applyBorder="1" applyAlignment="1">
      <alignment horizontal="center"/>
    </xf>
    <xf numFmtId="0" fontId="0" fillId="0" borderId="7" xfId="0" applyBorder="1"/>
    <xf numFmtId="0" fontId="0" fillId="5" borderId="1" xfId="0" applyFill="1" applyBorder="1"/>
    <xf numFmtId="0" fontId="0" fillId="7" borderId="0" xfId="0" applyFill="1"/>
    <xf numFmtId="0" fontId="0" fillId="0" borderId="0" xfId="0" applyAlignment="1">
      <alignment horizontal="center"/>
    </xf>
    <xf numFmtId="0" fontId="6" fillId="6" borderId="21" xfId="0" applyFont="1" applyFill="1" applyBorder="1" applyAlignment="1">
      <alignment horizontal="center" vertical="top"/>
    </xf>
    <xf numFmtId="0" fontId="6" fillId="6" borderId="22" xfId="0" applyFont="1" applyFill="1" applyBorder="1" applyAlignment="1">
      <alignment horizontal="center" vertical="top"/>
    </xf>
    <xf numFmtId="0" fontId="0" fillId="0" borderId="0" xfId="0" applyBorder="1" applyAlignment="1">
      <alignment horizontal="right"/>
    </xf>
    <xf numFmtId="0" fontId="0" fillId="0" borderId="23" xfId="0" applyBorder="1" applyAlignment="1">
      <alignment horizontal="center"/>
    </xf>
    <xf numFmtId="0" fontId="0" fillId="0" borderId="24" xfId="0" applyBorder="1" applyAlignment="1">
      <alignment horizontal="center"/>
    </xf>
    <xf numFmtId="0" fontId="0" fillId="0" borderId="0" xfId="0" applyAlignment="1">
      <alignment horizontal="right"/>
    </xf>
    <xf numFmtId="0" fontId="8" fillId="0" borderId="0" xfId="0" applyFont="1"/>
    <xf numFmtId="0" fontId="9" fillId="0" borderId="24" xfId="0" applyFont="1" applyFill="1" applyBorder="1" applyAlignment="1">
      <alignment horizontal="center" vertical="top"/>
    </xf>
    <xf numFmtId="0" fontId="9" fillId="0" borderId="0" xfId="0" applyFont="1" applyBorder="1" applyAlignment="1">
      <alignment horizontal="right"/>
    </xf>
    <xf numFmtId="0" fontId="9" fillId="0" borderId="5" xfId="0" applyFont="1" applyBorder="1" applyAlignment="1">
      <alignment horizontal="right"/>
    </xf>
    <xf numFmtId="0" fontId="6" fillId="0" borderId="5" xfId="0" applyFont="1" applyBorder="1"/>
    <xf numFmtId="9" fontId="0" fillId="5" borderId="25" xfId="0" applyNumberFormat="1" applyFill="1" applyBorder="1" applyAlignment="1">
      <alignment horizontal="center"/>
    </xf>
    <xf numFmtId="0" fontId="0" fillId="5" borderId="19" xfId="0" applyFill="1" applyBorder="1" applyAlignment="1">
      <alignment horizontal="center"/>
    </xf>
    <xf numFmtId="9" fontId="0" fillId="0" borderId="18" xfId="1" applyFont="1" applyBorder="1" applyAlignment="1">
      <alignment horizontal="center"/>
    </xf>
    <xf numFmtId="0" fontId="0" fillId="0" borderId="18" xfId="0" applyBorder="1" applyAlignment="1">
      <alignment horizontal="center"/>
    </xf>
    <xf numFmtId="0" fontId="9" fillId="0" borderId="5" xfId="0" applyFont="1" applyBorder="1"/>
    <xf numFmtId="0" fontId="0" fillId="0" borderId="0" xfId="0" applyBorder="1" applyAlignment="1">
      <alignment horizontal="center"/>
    </xf>
    <xf numFmtId="0" fontId="0" fillId="0" borderId="0" xfId="0" applyFill="1" applyAlignment="1">
      <alignment horizontal="center"/>
    </xf>
    <xf numFmtId="0" fontId="0" fillId="0" borderId="0" xfId="0" applyFill="1" applyBorder="1" applyAlignment="1">
      <alignment horizontal="center" vertical="center"/>
    </xf>
    <xf numFmtId="0" fontId="0" fillId="0" borderId="17" xfId="0" applyFill="1" applyBorder="1" applyAlignment="1">
      <alignment vertical="center" textRotation="90" wrapText="1"/>
    </xf>
    <xf numFmtId="0" fontId="0" fillId="0" borderId="0" xfId="0" applyFill="1" applyAlignment="1">
      <alignment horizontal="center" vertical="center"/>
    </xf>
    <xf numFmtId="0" fontId="0" fillId="9" borderId="0" xfId="0" applyFill="1"/>
    <xf numFmtId="0" fontId="0" fillId="0" borderId="0" xfId="0" applyFont="1" applyAlignment="1">
      <alignment wrapText="1"/>
    </xf>
    <xf numFmtId="0" fontId="0" fillId="9" borderId="0" xfId="0" applyFont="1" applyFill="1" applyAlignment="1"/>
    <xf numFmtId="0" fontId="0" fillId="0" borderId="0" xfId="0" applyFont="1" applyFill="1" applyAlignment="1">
      <alignment horizontal="left" wrapText="1"/>
    </xf>
    <xf numFmtId="0" fontId="9" fillId="0" borderId="28" xfId="0" applyFont="1" applyBorder="1" applyAlignment="1">
      <alignment horizontal="right"/>
    </xf>
    <xf numFmtId="0" fontId="0" fillId="7" borderId="28" xfId="0" applyFill="1" applyBorder="1"/>
    <xf numFmtId="0" fontId="9" fillId="0" borderId="29" xfId="0" applyFont="1" applyBorder="1" applyAlignment="1">
      <alignment horizontal="right"/>
    </xf>
    <xf numFmtId="0" fontId="9" fillId="0" borderId="29" xfId="0" applyFont="1" applyBorder="1"/>
    <xf numFmtId="0" fontId="6" fillId="6" borderId="3" xfId="0" applyFont="1" applyFill="1" applyBorder="1" applyAlignment="1">
      <alignment horizontal="center"/>
    </xf>
    <xf numFmtId="0" fontId="0" fillId="5" borderId="20" xfId="0" applyFill="1" applyBorder="1" applyAlignment="1">
      <alignment horizontal="center"/>
    </xf>
    <xf numFmtId="0" fontId="0" fillId="0" borderId="0" xfId="0" applyFill="1" applyAlignment="1">
      <alignment horizontal="center" vertical="center" textRotation="90" wrapText="1"/>
    </xf>
    <xf numFmtId="0" fontId="0" fillId="0" borderId="0" xfId="0" applyAlignment="1"/>
    <xf numFmtId="0" fontId="4" fillId="0" borderId="0" xfId="0" applyFont="1" applyFill="1" applyAlignment="1">
      <alignment vertical="top"/>
    </xf>
    <xf numFmtId="9" fontId="0" fillId="5" borderId="25" xfId="1" applyFont="1" applyFill="1" applyBorder="1" applyAlignment="1">
      <alignment horizontal="center"/>
    </xf>
    <xf numFmtId="9" fontId="0" fillId="5" borderId="3" xfId="1" applyFont="1" applyFill="1" applyBorder="1" applyAlignment="1">
      <alignment horizontal="center"/>
    </xf>
    <xf numFmtId="49" fontId="0" fillId="0" borderId="5" xfId="0" applyNumberFormat="1" applyBorder="1" applyAlignment="1">
      <alignment horizontal="right"/>
    </xf>
    <xf numFmtId="49" fontId="0" fillId="0" borderId="0" xfId="0" applyNumberFormat="1" applyAlignment="1">
      <alignment horizontal="right"/>
    </xf>
    <xf numFmtId="49" fontId="9" fillId="0" borderId="5" xfId="0" applyNumberFormat="1" applyFont="1" applyBorder="1" applyAlignment="1">
      <alignment horizontal="right"/>
    </xf>
    <xf numFmtId="0" fontId="0" fillId="0" borderId="0" xfId="0" applyFill="1" applyAlignment="1">
      <alignment horizontal="center" vertical="center" wrapText="1"/>
    </xf>
    <xf numFmtId="0" fontId="8" fillId="0" borderId="0" xfId="0" applyFont="1" applyFill="1" applyAlignment="1">
      <alignment wrapText="1"/>
    </xf>
    <xf numFmtId="0" fontId="14" fillId="0" borderId="0" xfId="0" applyFont="1" applyFill="1" applyAlignment="1">
      <alignment vertical="center" wrapText="1"/>
    </xf>
    <xf numFmtId="0" fontId="0" fillId="0" borderId="0" xfId="0" applyAlignment="1">
      <alignment vertical="center"/>
    </xf>
    <xf numFmtId="0" fontId="0" fillId="0" borderId="21" xfId="0" applyBorder="1" applyAlignment="1">
      <alignment horizontal="center"/>
    </xf>
    <xf numFmtId="9" fontId="0" fillId="0" borderId="21" xfId="1" applyFont="1" applyBorder="1" applyAlignment="1">
      <alignment horizontal="center"/>
    </xf>
    <xf numFmtId="0" fontId="12" fillId="0" borderId="41" xfId="0" applyFont="1" applyBorder="1"/>
    <xf numFmtId="0" fontId="12" fillId="0" borderId="42" xfId="0" applyFont="1" applyBorder="1"/>
    <xf numFmtId="0" fontId="0" fillId="0" borderId="0" xfId="0" applyFont="1"/>
    <xf numFmtId="9" fontId="0" fillId="0" borderId="0" xfId="0" applyNumberFormat="1"/>
    <xf numFmtId="0" fontId="8" fillId="0" borderId="41" xfId="0" applyFont="1" applyBorder="1"/>
    <xf numFmtId="0" fontId="8" fillId="0" borderId="42" xfId="0" applyFont="1" applyBorder="1"/>
    <xf numFmtId="0" fontId="8" fillId="0" borderId="0" xfId="0" applyFont="1" applyBorder="1" applyAlignment="1"/>
    <xf numFmtId="0" fontId="8" fillId="0" borderId="0" xfId="0" applyFont="1" applyFill="1" applyAlignment="1">
      <alignment horizontal="center" vertical="center"/>
    </xf>
    <xf numFmtId="9" fontId="0" fillId="0" borderId="26" xfId="1" applyFont="1" applyBorder="1" applyAlignment="1">
      <alignment horizontal="center"/>
    </xf>
    <xf numFmtId="0" fontId="0" fillId="0" borderId="5" xfId="0" applyBorder="1" applyAlignment="1">
      <alignment horizontal="center"/>
    </xf>
    <xf numFmtId="0" fontId="0" fillId="0" borderId="8" xfId="0" applyBorder="1" applyAlignment="1">
      <alignment horizontal="center"/>
    </xf>
    <xf numFmtId="0" fontId="0" fillId="0" borderId="0" xfId="0" applyFill="1" applyBorder="1" applyAlignment="1">
      <alignment horizontal="left"/>
    </xf>
    <xf numFmtId="9" fontId="0" fillId="0" borderId="0" xfId="0" applyNumberFormat="1" applyFill="1" applyBorder="1" applyAlignment="1">
      <alignment horizontal="left"/>
    </xf>
    <xf numFmtId="0" fontId="0" fillId="0" borderId="0" xfId="0" applyAlignment="1">
      <alignment horizontal="left"/>
    </xf>
    <xf numFmtId="0" fontId="10" fillId="0" borderId="0" xfId="0" applyFont="1" applyFill="1" applyAlignment="1">
      <alignment vertical="top"/>
    </xf>
    <xf numFmtId="0" fontId="0" fillId="11" borderId="21" xfId="0" applyFill="1" applyBorder="1" applyAlignment="1">
      <alignment horizontal="left"/>
    </xf>
    <xf numFmtId="0" fontId="0" fillId="11" borderId="21" xfId="0" applyFill="1" applyBorder="1" applyAlignment="1">
      <alignment horizontal="center"/>
    </xf>
    <xf numFmtId="0" fontId="0" fillId="11" borderId="21" xfId="0" applyFill="1" applyBorder="1"/>
    <xf numFmtId="0" fontId="20" fillId="0" borderId="57" xfId="0" applyFont="1" applyBorder="1" applyAlignment="1">
      <alignment vertical="center" wrapText="1"/>
    </xf>
    <xf numFmtId="0" fontId="21" fillId="19" borderId="60" xfId="0" applyFont="1" applyFill="1" applyBorder="1" applyAlignment="1">
      <alignment vertical="center"/>
    </xf>
    <xf numFmtId="0" fontId="21" fillId="19" borderId="59" xfId="0" applyFont="1" applyFill="1" applyBorder="1" applyAlignment="1">
      <alignment vertical="center"/>
    </xf>
    <xf numFmtId="0" fontId="20" fillId="0" borderId="39" xfId="0" applyFont="1" applyBorder="1" applyAlignment="1">
      <alignment vertical="center"/>
    </xf>
    <xf numFmtId="0" fontId="20" fillId="0" borderId="21" xfId="0" applyFont="1" applyBorder="1" applyAlignment="1">
      <alignment vertical="center"/>
    </xf>
    <xf numFmtId="0" fontId="20" fillId="0" borderId="22" xfId="0" applyFont="1" applyBorder="1" applyAlignment="1">
      <alignment vertical="center"/>
    </xf>
    <xf numFmtId="0" fontId="20" fillId="0" borderId="55" xfId="0" applyFont="1" applyBorder="1" applyAlignment="1">
      <alignment vertical="center"/>
    </xf>
    <xf numFmtId="0" fontId="20" fillId="0" borderId="56" xfId="0" applyFont="1" applyBorder="1" applyAlignment="1">
      <alignment vertical="center"/>
    </xf>
    <xf numFmtId="0" fontId="20" fillId="0" borderId="57" xfId="0" applyFont="1" applyBorder="1" applyAlignment="1">
      <alignment vertical="center"/>
    </xf>
    <xf numFmtId="0" fontId="22" fillId="0" borderId="21" xfId="0" applyFont="1" applyBorder="1" applyAlignment="1">
      <alignment vertical="center"/>
    </xf>
    <xf numFmtId="0" fontId="22" fillId="0" borderId="57" xfId="0" applyFont="1" applyBorder="1" applyAlignment="1">
      <alignment vertical="center"/>
    </xf>
    <xf numFmtId="0" fontId="20" fillId="12" borderId="57" xfId="0" applyFont="1" applyFill="1" applyBorder="1" applyAlignment="1">
      <alignment vertical="center"/>
    </xf>
    <xf numFmtId="0" fontId="22" fillId="0" borderId="56" xfId="0" applyFont="1" applyBorder="1" applyAlignment="1">
      <alignment vertical="center"/>
    </xf>
    <xf numFmtId="0" fontId="22" fillId="0" borderId="23" xfId="0" applyFont="1" applyBorder="1" applyAlignment="1">
      <alignment vertical="center"/>
    </xf>
    <xf numFmtId="0" fontId="22" fillId="0" borderId="59" xfId="0" applyFont="1" applyBorder="1" applyAlignment="1">
      <alignment vertical="center"/>
    </xf>
    <xf numFmtId="0" fontId="20" fillId="12" borderId="59" xfId="0" applyFont="1" applyFill="1" applyBorder="1" applyAlignment="1">
      <alignment vertical="center"/>
    </xf>
    <xf numFmtId="0" fontId="20" fillId="0" borderId="59" xfId="0" applyFont="1" applyBorder="1" applyAlignment="1">
      <alignment vertical="center"/>
    </xf>
    <xf numFmtId="1" fontId="20" fillId="0" borderId="22" xfId="0" applyNumberFormat="1" applyFont="1" applyBorder="1" applyAlignment="1">
      <alignment vertical="center"/>
    </xf>
    <xf numFmtId="0" fontId="0" fillId="0" borderId="40" xfId="0" applyBorder="1" applyAlignment="1">
      <alignment horizontal="center"/>
    </xf>
    <xf numFmtId="0" fontId="0" fillId="0" borderId="35" xfId="0" applyBorder="1" applyAlignment="1">
      <alignment horizontal="center"/>
    </xf>
    <xf numFmtId="0" fontId="0" fillId="0" borderId="5" xfId="0" applyBorder="1" applyAlignment="1">
      <alignment horizontal="center"/>
    </xf>
    <xf numFmtId="0" fontId="0" fillId="0" borderId="8" xfId="0" applyBorder="1" applyAlignment="1">
      <alignment horizontal="center"/>
    </xf>
    <xf numFmtId="0" fontId="0" fillId="0" borderId="0" xfId="0" applyBorder="1" applyAlignment="1">
      <alignment horizontal="center"/>
    </xf>
    <xf numFmtId="0" fontId="0" fillId="0" borderId="39" xfId="0" applyBorder="1" applyAlignment="1"/>
    <xf numFmtId="0" fontId="0" fillId="0" borderId="33" xfId="0" applyBorder="1" applyAlignment="1"/>
    <xf numFmtId="0" fontId="16" fillId="5" borderId="0" xfId="2" applyFill="1" applyAlignment="1">
      <alignment horizontal="center"/>
    </xf>
    <xf numFmtId="0" fontId="23" fillId="0" borderId="21" xfId="0" applyFont="1" applyFill="1" applyBorder="1" applyAlignment="1">
      <alignment horizontal="left" wrapText="1"/>
    </xf>
    <xf numFmtId="0" fontId="2" fillId="0" borderId="0" xfId="0" applyFont="1"/>
    <xf numFmtId="0" fontId="2" fillId="0" borderId="0" xfId="0" applyFont="1" applyFill="1" applyAlignment="1">
      <alignment horizontal="left" wrapText="1"/>
    </xf>
    <xf numFmtId="0" fontId="2" fillId="0" borderId="0" xfId="0" applyFont="1" applyAlignment="1">
      <alignment wrapText="1"/>
    </xf>
    <xf numFmtId="0" fontId="25" fillId="6" borderId="21" xfId="0" applyFont="1" applyFill="1" applyBorder="1" applyAlignment="1">
      <alignment horizontal="center" vertical="top"/>
    </xf>
    <xf numFmtId="0" fontId="2" fillId="0" borderId="21" xfId="0" applyFont="1" applyBorder="1" applyAlignment="1">
      <alignment horizontal="center"/>
    </xf>
    <xf numFmtId="0" fontId="2" fillId="0" borderId="21" xfId="0" applyFont="1" applyBorder="1" applyAlignment="1">
      <alignment horizontal="center"/>
    </xf>
    <xf numFmtId="9" fontId="2" fillId="0" borderId="21" xfId="1" applyFont="1" applyBorder="1" applyAlignment="1">
      <alignment horizontal="center"/>
    </xf>
    <xf numFmtId="0" fontId="2" fillId="0" borderId="0" xfId="0" applyFont="1" applyFill="1"/>
    <xf numFmtId="0" fontId="23" fillId="0" borderId="0" xfId="0" applyFont="1" applyFill="1" applyAlignment="1">
      <alignment wrapText="1"/>
    </xf>
    <xf numFmtId="0" fontId="26" fillId="0" borderId="0" xfId="0" applyFont="1" applyFill="1" applyAlignment="1">
      <alignment vertical="center" wrapText="1"/>
    </xf>
    <xf numFmtId="0" fontId="0" fillId="0" borderId="7" xfId="0" applyFill="1" applyBorder="1"/>
    <xf numFmtId="0" fontId="0" fillId="0" borderId="5" xfId="0" applyBorder="1"/>
    <xf numFmtId="0" fontId="8" fillId="0" borderId="0" xfId="0" applyFont="1" applyAlignment="1">
      <alignment horizontal="right"/>
    </xf>
    <xf numFmtId="0" fontId="6" fillId="0" borderId="5" xfId="0" applyFont="1" applyBorder="1" applyAlignment="1">
      <alignment horizontal="right"/>
    </xf>
    <xf numFmtId="0" fontId="8" fillId="0" borderId="0" xfId="0" applyFont="1" applyBorder="1" applyAlignment="1">
      <alignment horizontal="right"/>
    </xf>
    <xf numFmtId="0" fontId="6" fillId="0" borderId="0" xfId="0" applyFont="1" applyBorder="1" applyAlignment="1">
      <alignment horizontal="right"/>
    </xf>
    <xf numFmtId="0" fontId="0" fillId="5" borderId="0" xfId="0" applyFill="1" applyBorder="1"/>
    <xf numFmtId="0" fontId="0" fillId="5" borderId="0" xfId="0" applyFill="1" applyBorder="1" applyAlignment="1">
      <alignment horizontal="center"/>
    </xf>
    <xf numFmtId="9" fontId="0" fillId="5" borderId="0" xfId="1" applyFont="1" applyFill="1" applyBorder="1" applyAlignment="1">
      <alignment horizontal="center"/>
    </xf>
    <xf numFmtId="0" fontId="0" fillId="0" borderId="4" xfId="0" applyBorder="1"/>
    <xf numFmtId="9" fontId="0" fillId="0" borderId="4" xfId="1" applyFont="1" applyBorder="1" applyAlignment="1">
      <alignment horizontal="center"/>
    </xf>
    <xf numFmtId="0" fontId="0" fillId="0" borderId="6" xfId="0" applyBorder="1" applyAlignment="1">
      <alignment horizontal="center"/>
    </xf>
    <xf numFmtId="0" fontId="0" fillId="0" borderId="21" xfId="0" applyBorder="1" applyAlignment="1">
      <alignment horizontal="center"/>
    </xf>
    <xf numFmtId="0" fontId="0" fillId="0" borderId="27" xfId="0" applyBorder="1" applyAlignment="1">
      <alignment horizontal="center"/>
    </xf>
    <xf numFmtId="0" fontId="21" fillId="19" borderId="59" xfId="0" applyFont="1" applyFill="1" applyBorder="1" applyAlignment="1">
      <alignment vertical="center" wrapText="1"/>
    </xf>
    <xf numFmtId="0" fontId="0" fillId="0" borderId="21" xfId="0" applyBorder="1" applyAlignment="1">
      <alignment horizontal="center"/>
    </xf>
    <xf numFmtId="0" fontId="0" fillId="5" borderId="14" xfId="0" applyFill="1" applyBorder="1" applyAlignment="1">
      <alignment horizontal="center"/>
    </xf>
    <xf numFmtId="0" fontId="0" fillId="0" borderId="5" xfId="0" applyBorder="1" applyAlignment="1">
      <alignment horizontal="center"/>
    </xf>
    <xf numFmtId="0" fontId="0" fillId="0" borderId="8" xfId="0" applyBorder="1" applyAlignment="1">
      <alignment horizontal="center"/>
    </xf>
    <xf numFmtId="0" fontId="8" fillId="0" borderId="0" xfId="0" applyFont="1" applyFill="1" applyBorder="1" applyAlignment="1"/>
    <xf numFmtId="0" fontId="0" fillId="0" borderId="0" xfId="0" applyFont="1" applyBorder="1" applyAlignment="1"/>
    <xf numFmtId="0" fontId="6" fillId="6" borderId="64" xfId="0" applyFont="1" applyFill="1" applyBorder="1" applyAlignment="1">
      <alignment horizontal="center" vertical="top"/>
    </xf>
    <xf numFmtId="0" fontId="6" fillId="6" borderId="24" xfId="0" applyFont="1" applyFill="1" applyBorder="1" applyAlignment="1">
      <alignment horizontal="center" vertical="top"/>
    </xf>
    <xf numFmtId="0" fontId="8" fillId="0" borderId="21" xfId="0" applyFont="1" applyFill="1" applyBorder="1" applyAlignment="1">
      <alignment wrapText="1"/>
    </xf>
    <xf numFmtId="0" fontId="16" fillId="0" borderId="0" xfId="2"/>
    <xf numFmtId="0" fontId="27" fillId="0" borderId="0" xfId="0" applyFont="1" applyAlignment="1">
      <alignment wrapText="1"/>
    </xf>
    <xf numFmtId="0" fontId="1" fillId="0" borderId="0" xfId="3"/>
    <xf numFmtId="0" fontId="6" fillId="6" borderId="68" xfId="0" applyFont="1" applyFill="1" applyBorder="1" applyAlignment="1">
      <alignment horizontal="center" vertical="top"/>
    </xf>
    <xf numFmtId="0" fontId="6" fillId="6" borderId="69" xfId="0" applyFont="1" applyFill="1" applyBorder="1" applyAlignment="1">
      <alignment horizontal="center" vertical="top"/>
    </xf>
    <xf numFmtId="9" fontId="0" fillId="0" borderId="70" xfId="1" applyFont="1" applyBorder="1" applyAlignment="1">
      <alignment horizontal="center"/>
    </xf>
    <xf numFmtId="9" fontId="0" fillId="0" borderId="71" xfId="1" applyFont="1" applyBorder="1" applyAlignment="1">
      <alignment horizontal="center"/>
    </xf>
    <xf numFmtId="0" fontId="8" fillId="0" borderId="65" xfId="0" applyFont="1" applyBorder="1" applyAlignment="1"/>
    <xf numFmtId="0" fontId="8" fillId="0" borderId="66" xfId="0" applyFont="1" applyBorder="1" applyAlignment="1"/>
    <xf numFmtId="0" fontId="8" fillId="0" borderId="67" xfId="0" applyFont="1" applyBorder="1" applyAlignment="1"/>
    <xf numFmtId="0" fontId="0" fillId="0" borderId="72" xfId="0" applyBorder="1" applyAlignment="1"/>
    <xf numFmtId="0" fontId="0" fillId="0" borderId="73" xfId="0" applyBorder="1" applyAlignment="1"/>
    <xf numFmtId="0" fontId="6" fillId="6" borderId="70" xfId="0" applyFont="1" applyFill="1" applyBorder="1" applyAlignment="1">
      <alignment horizontal="center" vertical="top"/>
    </xf>
    <xf numFmtId="0" fontId="6" fillId="6" borderId="71" xfId="0" applyFont="1" applyFill="1" applyBorder="1" applyAlignment="1">
      <alignment horizontal="center" vertical="top"/>
    </xf>
    <xf numFmtId="0" fontId="0" fillId="0" borderId="63" xfId="0" applyBorder="1"/>
    <xf numFmtId="0" fontId="0" fillId="0" borderId="49" xfId="0" applyBorder="1"/>
    <xf numFmtId="0" fontId="8" fillId="6" borderId="21" xfId="0" applyFont="1" applyFill="1" applyBorder="1"/>
    <xf numFmtId="0" fontId="8" fillId="6" borderId="59" xfId="0" applyFont="1" applyFill="1" applyBorder="1"/>
    <xf numFmtId="0" fontId="8" fillId="6" borderId="53" xfId="0" applyFont="1" applyFill="1" applyBorder="1"/>
    <xf numFmtId="0" fontId="8" fillId="6" borderId="48" xfId="0" applyFont="1" applyFill="1" applyBorder="1"/>
    <xf numFmtId="0" fontId="8" fillId="6" borderId="24" xfId="0" applyFont="1" applyFill="1" applyBorder="1"/>
    <xf numFmtId="0" fontId="0" fillId="0" borderId="48" xfId="0" applyBorder="1" applyAlignment="1">
      <alignment horizontal="center"/>
    </xf>
    <xf numFmtId="0" fontId="0" fillId="0" borderId="28" xfId="0" applyBorder="1" applyAlignment="1">
      <alignment horizontal="center"/>
    </xf>
    <xf numFmtId="0" fontId="0" fillId="0" borderId="56" xfId="0" applyBorder="1" applyAlignment="1">
      <alignment horizontal="center"/>
    </xf>
    <xf numFmtId="0" fontId="0" fillId="0" borderId="57" xfId="0" applyBorder="1" applyAlignment="1">
      <alignment horizontal="center"/>
    </xf>
    <xf numFmtId="0" fontId="8" fillId="6" borderId="26" xfId="0" applyFont="1" applyFill="1" applyBorder="1" applyAlignment="1">
      <alignment horizontal="center"/>
    </xf>
    <xf numFmtId="0" fontId="8" fillId="6" borderId="21" xfId="0" applyFont="1" applyFill="1" applyBorder="1" applyAlignment="1">
      <alignment horizontal="center"/>
    </xf>
    <xf numFmtId="0" fontId="8" fillId="6" borderId="22" xfId="0" applyFont="1" applyFill="1" applyBorder="1" applyAlignment="1">
      <alignment horizontal="center"/>
    </xf>
    <xf numFmtId="9" fontId="0" fillId="0" borderId="21" xfId="0" applyNumberFormat="1" applyBorder="1"/>
    <xf numFmtId="9" fontId="0" fillId="0" borderId="21" xfId="0" applyNumberFormat="1" applyBorder="1" applyAlignment="1">
      <alignment horizontal="center"/>
    </xf>
    <xf numFmtId="0" fontId="8" fillId="6" borderId="70" xfId="0" applyFont="1" applyFill="1" applyBorder="1"/>
    <xf numFmtId="0" fontId="8" fillId="6" borderId="71" xfId="0" applyFont="1" applyFill="1" applyBorder="1"/>
    <xf numFmtId="9" fontId="0" fillId="0" borderId="70" xfId="0" applyNumberFormat="1" applyBorder="1" applyAlignment="1">
      <alignment horizontal="center"/>
    </xf>
    <xf numFmtId="9" fontId="0" fillId="0" borderId="71" xfId="0" applyNumberFormat="1" applyBorder="1" applyAlignment="1">
      <alignment horizontal="center"/>
    </xf>
    <xf numFmtId="0" fontId="0" fillId="0" borderId="91" xfId="0" applyBorder="1" applyAlignment="1">
      <alignment horizontal="center"/>
    </xf>
    <xf numFmtId="9" fontId="0" fillId="0" borderId="91" xfId="1" applyFont="1" applyBorder="1" applyAlignment="1">
      <alignment horizontal="center"/>
    </xf>
    <xf numFmtId="0" fontId="5" fillId="0" borderId="0" xfId="0" applyFont="1" applyFill="1" applyAlignment="1">
      <alignment vertical="center" wrapText="1"/>
    </xf>
    <xf numFmtId="0" fontId="8" fillId="6" borderId="63" xfId="0" applyFont="1" applyFill="1" applyBorder="1"/>
    <xf numFmtId="0" fontId="8" fillId="0" borderId="0" xfId="0" applyFont="1" applyAlignment="1"/>
    <xf numFmtId="0" fontId="17" fillId="0" borderId="21" xfId="2" applyFont="1" applyFill="1" applyBorder="1" applyAlignment="1">
      <alignment horizontal="left"/>
    </xf>
    <xf numFmtId="0" fontId="18" fillId="0" borderId="21" xfId="2" applyFont="1" applyFill="1" applyBorder="1" applyAlignment="1">
      <alignment horizontal="left"/>
    </xf>
    <xf numFmtId="9" fontId="0" fillId="0" borderId="0" xfId="1" applyFont="1" applyFill="1" applyBorder="1" applyAlignment="1">
      <alignment horizontal="center"/>
    </xf>
    <xf numFmtId="0" fontId="0" fillId="5" borderId="93" xfId="0" applyFill="1" applyBorder="1" applyAlignment="1">
      <alignment horizontal="center"/>
    </xf>
    <xf numFmtId="0" fontId="0" fillId="0" borderId="5" xfId="0" applyNumberFormat="1" applyBorder="1" applyAlignment="1">
      <alignment horizontal="right"/>
    </xf>
    <xf numFmtId="0" fontId="30" fillId="0" borderId="0" xfId="0" applyFont="1"/>
    <xf numFmtId="0" fontId="18" fillId="0" borderId="21" xfId="2" applyFont="1" applyBorder="1" applyAlignment="1">
      <alignment horizontal="left"/>
    </xf>
    <xf numFmtId="0" fontId="18" fillId="0" borderId="21" xfId="2" applyFont="1" applyBorder="1" applyAlignment="1">
      <alignment horizontal="left" indent="1"/>
    </xf>
    <xf numFmtId="0" fontId="18" fillId="0" borderId="21" xfId="2" applyFont="1" applyBorder="1" applyAlignment="1">
      <alignment horizontal="left" indent="2"/>
    </xf>
    <xf numFmtId="0" fontId="25" fillId="6" borderId="97" xfId="0" applyFont="1" applyFill="1" applyBorder="1" applyAlignment="1">
      <alignment horizontal="center" vertical="top"/>
    </xf>
    <xf numFmtId="0" fontId="25" fillId="6" borderId="98" xfId="0" applyFont="1" applyFill="1" applyBorder="1" applyAlignment="1">
      <alignment horizontal="center" vertical="top"/>
    </xf>
    <xf numFmtId="9" fontId="2" fillId="0" borderId="97" xfId="1" applyFont="1" applyBorder="1" applyAlignment="1">
      <alignment horizontal="center"/>
    </xf>
    <xf numFmtId="9" fontId="2" fillId="0" borderId="98" xfId="1" applyFont="1" applyBorder="1" applyAlignment="1">
      <alignment horizontal="center"/>
    </xf>
    <xf numFmtId="0" fontId="6" fillId="6" borderId="97" xfId="0" applyFont="1" applyFill="1" applyBorder="1" applyAlignment="1">
      <alignment horizontal="center" vertical="top"/>
    </xf>
    <xf numFmtId="0" fontId="6" fillId="6" borderId="98" xfId="0" applyFont="1" applyFill="1" applyBorder="1" applyAlignment="1">
      <alignment horizontal="center" vertical="top"/>
    </xf>
    <xf numFmtId="9" fontId="0" fillId="0" borderId="97" xfId="1" applyFont="1" applyBorder="1" applyAlignment="1">
      <alignment horizontal="center"/>
    </xf>
    <xf numFmtId="9" fontId="0" fillId="0" borderId="98" xfId="1" applyFont="1" applyBorder="1" applyAlignment="1">
      <alignment horizontal="center"/>
    </xf>
    <xf numFmtId="9" fontId="0" fillId="0" borderId="102" xfId="1" applyFont="1" applyBorder="1" applyAlignment="1">
      <alignment horizontal="center"/>
    </xf>
    <xf numFmtId="49" fontId="9" fillId="0" borderId="0" xfId="0" applyNumberFormat="1" applyFont="1" applyAlignment="1">
      <alignment horizontal="right"/>
    </xf>
    <xf numFmtId="0" fontId="8" fillId="20" borderId="21" xfId="0" applyFont="1" applyFill="1" applyBorder="1"/>
    <xf numFmtId="0" fontId="8" fillId="21" borderId="21" xfId="0" applyFont="1" applyFill="1" applyBorder="1"/>
    <xf numFmtId="0" fontId="8" fillId="14" borderId="21" xfId="0" applyFont="1" applyFill="1" applyBorder="1"/>
    <xf numFmtId="0" fontId="32" fillId="0" borderId="0" xfId="0" applyFont="1" applyAlignment="1">
      <alignment vertical="center"/>
    </xf>
    <xf numFmtId="0" fontId="33" fillId="0" borderId="0" xfId="0" applyFont="1" applyFill="1" applyAlignment="1">
      <alignment vertical="center"/>
    </xf>
    <xf numFmtId="0" fontId="33" fillId="0" borderId="0" xfId="0" applyFont="1" applyAlignment="1">
      <alignment vertical="center"/>
    </xf>
    <xf numFmtId="0" fontId="34" fillId="0" borderId="0" xfId="0" applyFont="1" applyAlignment="1">
      <alignment vertical="center"/>
    </xf>
    <xf numFmtId="0" fontId="12" fillId="0" borderId="0" xfId="0" applyFont="1" applyAlignment="1">
      <alignment vertical="center"/>
    </xf>
    <xf numFmtId="0" fontId="0" fillId="0" borderId="0" xfId="0" applyFont="1" applyFill="1" applyBorder="1" applyAlignment="1">
      <alignment horizontal="center"/>
    </xf>
    <xf numFmtId="0" fontId="0" fillId="0" borderId="0" xfId="0" applyFont="1" applyBorder="1" applyAlignment="1">
      <alignment horizontal="center"/>
    </xf>
    <xf numFmtId="0" fontId="0" fillId="0" borderId="0" xfId="0" applyFont="1" applyAlignment="1">
      <alignment vertical="center" wrapText="1"/>
    </xf>
    <xf numFmtId="0" fontId="0" fillId="0" borderId="0" xfId="0" applyBorder="1" applyAlignment="1">
      <alignment horizontal="center"/>
    </xf>
    <xf numFmtId="0" fontId="2" fillId="0" borderId="21" xfId="0" applyFont="1" applyBorder="1" applyAlignment="1">
      <alignment horizontal="center"/>
    </xf>
    <xf numFmtId="0" fontId="0" fillId="0" borderId="0" xfId="0" applyBorder="1" applyAlignment="1">
      <alignment horizontal="center"/>
    </xf>
    <xf numFmtId="0" fontId="0" fillId="0" borderId="0" xfId="0" applyFont="1" applyAlignment="1">
      <alignment horizontal="center"/>
    </xf>
    <xf numFmtId="0" fontId="0" fillId="0" borderId="17" xfId="0" applyFill="1" applyBorder="1" applyAlignment="1">
      <alignment horizontal="center" vertical="center" wrapText="1"/>
    </xf>
    <xf numFmtId="9" fontId="2" fillId="0" borderId="22" xfId="1" applyFont="1" applyBorder="1" applyAlignment="1">
      <alignment horizontal="center"/>
    </xf>
    <xf numFmtId="0" fontId="8" fillId="0" borderId="21" xfId="0" applyFont="1" applyBorder="1" applyAlignment="1">
      <alignment horizontal="center" wrapText="1"/>
    </xf>
    <xf numFmtId="0" fontId="8" fillId="13" borderId="21" xfId="0" applyFont="1" applyFill="1" applyBorder="1" applyAlignment="1">
      <alignment horizontal="center"/>
    </xf>
    <xf numFmtId="0" fontId="14" fillId="18" borderId="0" xfId="0" applyFont="1" applyFill="1" applyAlignment="1">
      <alignment horizontal="center"/>
    </xf>
    <xf numFmtId="0" fontId="19" fillId="6" borderId="0" xfId="0" applyFont="1" applyFill="1" applyAlignment="1">
      <alignment horizontal="center"/>
    </xf>
    <xf numFmtId="0" fontId="21" fillId="19" borderId="30" xfId="0" applyFont="1" applyFill="1" applyBorder="1" applyAlignment="1">
      <alignment vertical="center"/>
    </xf>
    <xf numFmtId="0" fontId="21" fillId="19" borderId="58" xfId="0" applyFont="1" applyFill="1" applyBorder="1" applyAlignment="1">
      <alignment vertical="center"/>
    </xf>
    <xf numFmtId="0" fontId="13" fillId="6" borderId="36" xfId="0" applyFont="1" applyFill="1" applyBorder="1" applyAlignment="1">
      <alignment horizontal="center" vertical="center"/>
    </xf>
    <xf numFmtId="0" fontId="13" fillId="6" borderId="38" xfId="0" applyFont="1" applyFill="1" applyBorder="1" applyAlignment="1">
      <alignment horizontal="center" vertical="center"/>
    </xf>
    <xf numFmtId="0" fontId="13" fillId="6" borderId="39" xfId="0" applyFont="1" applyFill="1" applyBorder="1" applyAlignment="1">
      <alignment horizontal="center" vertical="center"/>
    </xf>
    <xf numFmtId="0" fontId="13" fillId="6" borderId="40" xfId="0" applyFont="1" applyFill="1" applyBorder="1" applyAlignment="1">
      <alignment horizontal="center" vertical="center"/>
    </xf>
    <xf numFmtId="0" fontId="21" fillId="19" borderId="31" xfId="0" applyFont="1" applyFill="1" applyBorder="1" applyAlignment="1">
      <alignment horizontal="center" vertical="center" wrapText="1"/>
    </xf>
    <xf numFmtId="0" fontId="21" fillId="19" borderId="23" xfId="0" applyFont="1" applyFill="1" applyBorder="1" applyAlignment="1">
      <alignment horizontal="center" vertical="center" wrapText="1"/>
    </xf>
    <xf numFmtId="0" fontId="21" fillId="19" borderId="31" xfId="0" applyFont="1" applyFill="1" applyBorder="1" applyAlignment="1">
      <alignment horizontal="center" vertical="center"/>
    </xf>
    <xf numFmtId="0" fontId="21" fillId="19" borderId="23" xfId="0" applyFont="1" applyFill="1" applyBorder="1" applyAlignment="1">
      <alignment horizontal="center" vertical="center"/>
    </xf>
    <xf numFmtId="0" fontId="35" fillId="20" borderId="0" xfId="2" applyFont="1" applyFill="1" applyAlignment="1">
      <alignment horizontal="center" vertical="center"/>
    </xf>
    <xf numFmtId="9" fontId="12" fillId="0" borderId="106" xfId="0" applyNumberFormat="1" applyFont="1" applyBorder="1" applyAlignment="1">
      <alignment horizontal="center" vertical="center"/>
    </xf>
    <xf numFmtId="9" fontId="12" fillId="0" borderId="107" xfId="0" applyNumberFormat="1" applyFont="1" applyBorder="1" applyAlignment="1">
      <alignment horizontal="center" vertical="center"/>
    </xf>
    <xf numFmtId="9" fontId="12" fillId="0" borderId="108" xfId="0" applyNumberFormat="1" applyFont="1" applyBorder="1" applyAlignment="1">
      <alignment horizontal="center" vertical="center"/>
    </xf>
    <xf numFmtId="0" fontId="35" fillId="20" borderId="109" xfId="2" applyFont="1" applyFill="1" applyBorder="1" applyAlignment="1">
      <alignment horizontal="center" vertical="center"/>
    </xf>
    <xf numFmtId="0" fontId="0" fillId="0" borderId="39" xfId="0" applyBorder="1" applyAlignment="1">
      <alignment horizontal="center"/>
    </xf>
    <xf numFmtId="0" fontId="0" fillId="0" borderId="21" xfId="0" applyBorder="1" applyAlignment="1">
      <alignment horizontal="center"/>
    </xf>
    <xf numFmtId="0" fontId="0" fillId="0" borderId="26" xfId="0" applyBorder="1" applyAlignment="1">
      <alignment horizontal="center"/>
    </xf>
    <xf numFmtId="0" fontId="6" fillId="4" borderId="19" xfId="0" applyFont="1" applyFill="1" applyBorder="1" applyAlignment="1">
      <alignment horizontal="center"/>
    </xf>
    <xf numFmtId="0" fontId="6" fillId="4" borderId="20" xfId="0" applyFont="1" applyFill="1" applyBorder="1" applyAlignment="1">
      <alignment horizontal="center"/>
    </xf>
    <xf numFmtId="0" fontId="6" fillId="4" borderId="25" xfId="0" applyFont="1" applyFill="1" applyBorder="1" applyAlignment="1">
      <alignment horizontal="center"/>
    </xf>
    <xf numFmtId="0" fontId="0" fillId="5" borderId="36" xfId="0" applyFill="1" applyBorder="1" applyAlignment="1">
      <alignment horizontal="center"/>
    </xf>
    <xf numFmtId="0" fontId="0" fillId="5" borderId="37" xfId="0" applyFill="1" applyBorder="1" applyAlignment="1">
      <alignment horizontal="center"/>
    </xf>
    <xf numFmtId="0" fontId="0" fillId="5" borderId="38" xfId="0" applyFill="1" applyBorder="1" applyAlignment="1">
      <alignment horizontal="center"/>
    </xf>
    <xf numFmtId="0" fontId="0" fillId="5" borderId="61" xfId="0" applyFill="1" applyBorder="1" applyAlignment="1">
      <alignment horizontal="center"/>
    </xf>
    <xf numFmtId="0" fontId="0" fillId="0" borderId="40" xfId="0" applyBorder="1" applyAlignment="1">
      <alignment horizontal="center"/>
    </xf>
    <xf numFmtId="0" fontId="6" fillId="6" borderId="8" xfId="0" applyFont="1" applyFill="1" applyBorder="1" applyAlignment="1">
      <alignment horizontal="center"/>
    </xf>
    <xf numFmtId="0" fontId="6" fillId="6" borderId="9" xfId="0" applyFont="1" applyFill="1" applyBorder="1" applyAlignment="1">
      <alignment horizontal="center"/>
    </xf>
    <xf numFmtId="0" fontId="0" fillId="0" borderId="5" xfId="0" applyBorder="1" applyAlignment="1">
      <alignment horizontal="center"/>
    </xf>
    <xf numFmtId="0" fontId="0" fillId="0" borderId="6" xfId="0" applyBorder="1" applyAlignment="1">
      <alignment horizontal="center"/>
    </xf>
    <xf numFmtId="0" fontId="0" fillId="5" borderId="2" xfId="0" applyFill="1" applyBorder="1" applyAlignment="1">
      <alignment horizontal="center"/>
    </xf>
    <xf numFmtId="0" fontId="0" fillId="5" borderId="15" xfId="0" applyFill="1" applyBorder="1" applyAlignment="1">
      <alignment horizontal="center"/>
    </xf>
    <xf numFmtId="0" fontId="0" fillId="5" borderId="14" xfId="0" applyFill="1" applyBorder="1" applyAlignment="1">
      <alignment horizontal="center"/>
    </xf>
    <xf numFmtId="0" fontId="6" fillId="6" borderId="1" xfId="0" applyFont="1" applyFill="1" applyBorder="1" applyAlignment="1">
      <alignment horizontal="center"/>
    </xf>
    <xf numFmtId="0" fontId="6" fillId="6" borderId="3" xfId="0" applyFont="1" applyFill="1" applyBorder="1" applyAlignment="1">
      <alignment horizontal="center"/>
    </xf>
    <xf numFmtId="0" fontId="0" fillId="0" borderId="8" xfId="0" applyBorder="1" applyAlignment="1">
      <alignment horizontal="center"/>
    </xf>
    <xf numFmtId="0" fontId="0" fillId="0" borderId="9" xfId="0" applyBorder="1" applyAlignment="1">
      <alignment horizontal="center"/>
    </xf>
    <xf numFmtId="0" fontId="6" fillId="4" borderId="1" xfId="0" applyFont="1" applyFill="1" applyBorder="1" applyAlignment="1">
      <alignment horizontal="center"/>
    </xf>
    <xf numFmtId="0" fontId="6" fillId="4" borderId="2" xfId="0" applyFont="1" applyFill="1" applyBorder="1" applyAlignment="1">
      <alignment horizontal="center"/>
    </xf>
    <xf numFmtId="0" fontId="6" fillId="4" borderId="3" xfId="0" applyFont="1" applyFill="1" applyBorder="1" applyAlignment="1">
      <alignment horizontal="center"/>
    </xf>
    <xf numFmtId="0" fontId="5" fillId="2" borderId="0" xfId="0" applyFont="1" applyFill="1" applyBorder="1" applyAlignment="1">
      <alignment horizontal="center"/>
    </xf>
    <xf numFmtId="0" fontId="5" fillId="2" borderId="6" xfId="0" applyFont="1" applyFill="1" applyBorder="1" applyAlignment="1">
      <alignment horizontal="center"/>
    </xf>
    <xf numFmtId="0" fontId="5" fillId="3" borderId="0" xfId="0" applyFont="1" applyFill="1" applyBorder="1" applyAlignment="1">
      <alignment horizontal="center"/>
    </xf>
    <xf numFmtId="0" fontId="5" fillId="3" borderId="6" xfId="0" applyFont="1" applyFill="1" applyBorder="1" applyAlignment="1">
      <alignment horizontal="center"/>
    </xf>
    <xf numFmtId="0" fontId="6" fillId="0" borderId="21" xfId="0" applyFont="1" applyFill="1" applyBorder="1" applyAlignment="1">
      <alignment horizontal="center" vertical="top"/>
    </xf>
    <xf numFmtId="0" fontId="0" fillId="0" borderId="33" xfId="0" applyBorder="1" applyAlignment="1">
      <alignment horizontal="center"/>
    </xf>
    <xf numFmtId="0" fontId="0" fillId="0" borderId="34" xfId="0" applyBorder="1" applyAlignment="1">
      <alignment horizontal="center"/>
    </xf>
    <xf numFmtId="0" fontId="0" fillId="0" borderId="35" xfId="0" applyBorder="1" applyAlignment="1">
      <alignment horizontal="center"/>
    </xf>
    <xf numFmtId="0" fontId="6" fillId="0" borderId="26" xfId="0" applyFont="1" applyFill="1" applyBorder="1" applyAlignment="1">
      <alignment horizontal="center" vertical="top"/>
    </xf>
    <xf numFmtId="0" fontId="6" fillId="0" borderId="27" xfId="0" applyFont="1" applyFill="1" applyBorder="1" applyAlignment="1">
      <alignment horizontal="center" vertical="top"/>
    </xf>
    <xf numFmtId="0" fontId="6" fillId="0" borderId="22" xfId="0" applyFont="1" applyFill="1" applyBorder="1" applyAlignment="1">
      <alignment horizontal="center" vertical="top"/>
    </xf>
    <xf numFmtId="0" fontId="0" fillId="0" borderId="1" xfId="0" applyBorder="1" applyAlignment="1">
      <alignment horizontal="center"/>
    </xf>
    <xf numFmtId="0" fontId="0" fillId="0" borderId="3" xfId="0" applyBorder="1" applyAlignment="1">
      <alignment horizontal="center"/>
    </xf>
    <xf numFmtId="0" fontId="0" fillId="5" borderId="8" xfId="0" applyFill="1" applyBorder="1" applyAlignment="1">
      <alignment horizontal="center"/>
    </xf>
    <xf numFmtId="0" fontId="0" fillId="5" borderId="17" xfId="0" applyFill="1" applyBorder="1" applyAlignment="1">
      <alignment horizontal="center"/>
    </xf>
    <xf numFmtId="0" fontId="0" fillId="5" borderId="9" xfId="0" applyFill="1" applyBorder="1" applyAlignment="1">
      <alignment horizontal="center"/>
    </xf>
    <xf numFmtId="0" fontId="8" fillId="0" borderId="21" xfId="0" applyFont="1" applyFill="1" applyBorder="1" applyAlignment="1">
      <alignment horizontal="center"/>
    </xf>
    <xf numFmtId="0" fontId="8" fillId="0" borderId="40" xfId="0" applyFont="1" applyFill="1" applyBorder="1" applyAlignment="1">
      <alignment horizontal="center"/>
    </xf>
    <xf numFmtId="0" fontId="6" fillId="0" borderId="40" xfId="0" applyFont="1" applyFill="1" applyBorder="1" applyAlignment="1">
      <alignment horizontal="center" vertical="top"/>
    </xf>
    <xf numFmtId="0" fontId="0" fillId="0" borderId="39" xfId="0" applyFill="1" applyBorder="1" applyAlignment="1">
      <alignment horizontal="center"/>
    </xf>
    <xf numFmtId="0" fontId="0" fillId="0" borderId="21" xfId="0" applyFill="1" applyBorder="1" applyAlignment="1">
      <alignment horizontal="center"/>
    </xf>
    <xf numFmtId="0" fontId="0" fillId="0" borderId="62" xfId="0" applyBorder="1" applyAlignment="1">
      <alignment horizontal="center"/>
    </xf>
    <xf numFmtId="9" fontId="0" fillId="0" borderId="39" xfId="0" applyNumberFormat="1" applyFill="1" applyBorder="1" applyAlignment="1">
      <alignment horizontal="center"/>
    </xf>
    <xf numFmtId="9" fontId="0" fillId="0" borderId="21" xfId="0" applyNumberFormat="1" applyFill="1" applyBorder="1" applyAlignment="1">
      <alignment horizontal="center"/>
    </xf>
    <xf numFmtId="9" fontId="0" fillId="0" borderId="33" xfId="0" applyNumberFormat="1" applyFill="1" applyBorder="1" applyAlignment="1">
      <alignment horizontal="center"/>
    </xf>
    <xf numFmtId="9" fontId="0" fillId="0" borderId="34" xfId="0" applyNumberFormat="1" applyFill="1" applyBorder="1" applyAlignment="1">
      <alignment horizontal="center"/>
    </xf>
    <xf numFmtId="0" fontId="0" fillId="0" borderId="0" xfId="0" applyBorder="1" applyAlignment="1">
      <alignment horizontal="center"/>
    </xf>
    <xf numFmtId="0" fontId="0" fillId="0" borderId="92" xfId="0" applyBorder="1" applyAlignment="1">
      <alignment horizontal="center"/>
    </xf>
    <xf numFmtId="0" fontId="0" fillId="0" borderId="91" xfId="0" applyBorder="1" applyAlignment="1">
      <alignment horizontal="center"/>
    </xf>
    <xf numFmtId="0" fontId="12" fillId="0" borderId="107" xfId="0" applyFont="1" applyBorder="1" applyAlignment="1">
      <alignment horizontal="center" vertical="center"/>
    </xf>
    <xf numFmtId="0" fontId="12" fillId="0" borderId="108" xfId="0" applyFont="1" applyBorder="1" applyAlignment="1">
      <alignment horizontal="center" vertical="center"/>
    </xf>
    <xf numFmtId="0" fontId="0" fillId="8" borderId="0" xfId="0" applyFill="1" applyAlignment="1">
      <alignment horizontal="center"/>
    </xf>
    <xf numFmtId="0" fontId="8" fillId="10" borderId="0" xfId="0" applyFont="1" applyFill="1" applyAlignment="1">
      <alignment horizontal="center" wrapText="1"/>
    </xf>
    <xf numFmtId="0" fontId="0" fillId="3" borderId="0" xfId="0" applyFont="1" applyFill="1" applyAlignment="1">
      <alignment horizontal="left" wrapText="1"/>
    </xf>
    <xf numFmtId="0" fontId="11" fillId="3" borderId="0" xfId="0" applyFont="1" applyFill="1" applyAlignment="1">
      <alignment horizontal="center" vertical="center"/>
    </xf>
    <xf numFmtId="0" fontId="0" fillId="0" borderId="19" xfId="0" applyBorder="1" applyAlignment="1">
      <alignment horizontal="center"/>
    </xf>
    <xf numFmtId="0" fontId="0" fillId="0" borderId="25" xfId="0" applyBorder="1" applyAlignment="1">
      <alignment horizontal="center"/>
    </xf>
    <xf numFmtId="0" fontId="0" fillId="5" borderId="20" xfId="0" applyFill="1" applyBorder="1" applyAlignment="1">
      <alignment horizontal="center"/>
    </xf>
    <xf numFmtId="0" fontId="0" fillId="0" borderId="81" xfId="0" applyBorder="1" applyAlignment="1">
      <alignment horizontal="center"/>
    </xf>
    <xf numFmtId="0" fontId="0" fillId="0" borderId="82" xfId="0" applyBorder="1" applyAlignment="1">
      <alignment horizontal="center"/>
    </xf>
    <xf numFmtId="9" fontId="0" fillId="0" borderId="82" xfId="0" applyNumberFormat="1" applyBorder="1" applyAlignment="1">
      <alignment horizontal="center"/>
    </xf>
    <xf numFmtId="9" fontId="0" fillId="0" borderId="83" xfId="0" applyNumberFormat="1" applyBorder="1" applyAlignment="1">
      <alignment horizontal="center"/>
    </xf>
    <xf numFmtId="0" fontId="18" fillId="17" borderId="0" xfId="2" applyFont="1" applyFill="1" applyAlignment="1">
      <alignment horizontal="center"/>
    </xf>
    <xf numFmtId="0" fontId="8" fillId="0" borderId="71" xfId="0" applyFont="1" applyBorder="1" applyAlignment="1">
      <alignment horizontal="center"/>
    </xf>
    <xf numFmtId="0" fontId="8" fillId="0" borderId="87" xfId="0" applyFont="1" applyBorder="1" applyAlignment="1">
      <alignment horizontal="center"/>
    </xf>
    <xf numFmtId="0" fontId="8" fillId="0" borderId="70" xfId="0" applyFont="1" applyBorder="1" applyAlignment="1">
      <alignment horizontal="center"/>
    </xf>
    <xf numFmtId="0" fontId="0" fillId="0" borderId="71" xfId="0" applyBorder="1" applyAlignment="1">
      <alignment horizontal="center"/>
    </xf>
    <xf numFmtId="0" fontId="0" fillId="0" borderId="88" xfId="0" applyBorder="1" applyAlignment="1">
      <alignment horizontal="center"/>
    </xf>
    <xf numFmtId="0" fontId="0" fillId="0" borderId="87" xfId="0" applyBorder="1" applyAlignment="1">
      <alignment horizontal="center"/>
    </xf>
    <xf numFmtId="0" fontId="0" fillId="0" borderId="70" xfId="0" applyBorder="1" applyAlignment="1">
      <alignment horizontal="center"/>
    </xf>
    <xf numFmtId="0" fontId="8" fillId="0" borderId="69" xfId="0" applyFont="1" applyBorder="1" applyAlignment="1">
      <alignment horizontal="center"/>
    </xf>
    <xf numFmtId="0" fontId="8" fillId="0" borderId="84" xfId="0" applyFont="1" applyBorder="1" applyAlignment="1">
      <alignment horizontal="center"/>
    </xf>
    <xf numFmtId="0" fontId="8" fillId="0" borderId="68" xfId="0" applyFont="1" applyBorder="1" applyAlignment="1">
      <alignment horizontal="center"/>
    </xf>
    <xf numFmtId="0" fontId="0" fillId="0" borderId="89" xfId="0" applyBorder="1" applyAlignment="1">
      <alignment horizontal="center"/>
    </xf>
    <xf numFmtId="0" fontId="0" fillId="0" borderId="90" xfId="0" applyBorder="1" applyAlignment="1">
      <alignment horizontal="center"/>
    </xf>
    <xf numFmtId="0" fontId="0" fillId="0" borderId="85" xfId="0" applyBorder="1" applyAlignment="1">
      <alignment horizontal="center"/>
    </xf>
    <xf numFmtId="0" fontId="0" fillId="0" borderId="86" xfId="0" applyBorder="1" applyAlignment="1">
      <alignment horizontal="center"/>
    </xf>
    <xf numFmtId="0" fontId="0" fillId="0" borderId="65" xfId="0" applyBorder="1" applyAlignment="1">
      <alignment horizontal="center"/>
    </xf>
    <xf numFmtId="0" fontId="0" fillId="0" borderId="66" xfId="0" applyBorder="1" applyAlignment="1">
      <alignment horizontal="center"/>
    </xf>
    <xf numFmtId="0" fontId="0" fillId="0" borderId="67" xfId="0" applyBorder="1" applyAlignment="1">
      <alignment horizontal="center"/>
    </xf>
    <xf numFmtId="0" fontId="8" fillId="17" borderId="0" xfId="0" applyFont="1" applyFill="1" applyAlignment="1">
      <alignment horizontal="center"/>
    </xf>
    <xf numFmtId="9" fontId="24" fillId="14" borderId="21" xfId="0" applyNumberFormat="1" applyFont="1" applyFill="1" applyBorder="1" applyAlignment="1">
      <alignment horizontal="center" vertical="center"/>
    </xf>
    <xf numFmtId="0" fontId="24" fillId="14" borderId="21" xfId="0" applyFont="1" applyFill="1" applyBorder="1" applyAlignment="1">
      <alignment horizontal="center" vertical="center"/>
    </xf>
    <xf numFmtId="0" fontId="24" fillId="14" borderId="40" xfId="0" applyFont="1" applyFill="1" applyBorder="1" applyAlignment="1">
      <alignment horizontal="center" vertical="center"/>
    </xf>
    <xf numFmtId="0" fontId="24" fillId="16" borderId="39" xfId="0" applyFont="1" applyFill="1" applyBorder="1" applyAlignment="1">
      <alignment horizontal="center" vertical="center"/>
    </xf>
    <xf numFmtId="0" fontId="24" fillId="16" borderId="33" xfId="0" applyFont="1" applyFill="1" applyBorder="1" applyAlignment="1">
      <alignment horizontal="center" vertical="center"/>
    </xf>
    <xf numFmtId="0" fontId="24" fillId="16" borderId="21" xfId="0" applyFont="1" applyFill="1" applyBorder="1" applyAlignment="1">
      <alignment horizontal="center" vertical="center"/>
    </xf>
    <xf numFmtId="0" fontId="24" fillId="16" borderId="40" xfId="0" applyFont="1" applyFill="1" applyBorder="1" applyAlignment="1">
      <alignment horizontal="center" vertical="center"/>
    </xf>
    <xf numFmtId="0" fontId="24" fillId="16" borderId="34" xfId="0" applyFont="1" applyFill="1" applyBorder="1" applyAlignment="1">
      <alignment horizontal="center" vertical="center"/>
    </xf>
    <xf numFmtId="0" fontId="24" fillId="16" borderId="35" xfId="0" applyFont="1" applyFill="1" applyBorder="1" applyAlignment="1">
      <alignment horizontal="center" vertical="center"/>
    </xf>
    <xf numFmtId="0" fontId="28" fillId="15" borderId="0" xfId="0" applyFont="1" applyFill="1" applyAlignment="1">
      <alignment horizontal="center" vertical="center" wrapText="1"/>
    </xf>
    <xf numFmtId="0" fontId="29" fillId="0" borderId="21" xfId="0" applyFont="1" applyBorder="1" applyAlignment="1">
      <alignment horizontal="center"/>
    </xf>
    <xf numFmtId="0" fontId="8" fillId="0" borderId="21" xfId="0" applyFont="1" applyBorder="1" applyAlignment="1">
      <alignment horizontal="center"/>
    </xf>
    <xf numFmtId="0" fontId="24" fillId="5" borderId="36" xfId="0" applyFont="1" applyFill="1" applyBorder="1" applyAlignment="1">
      <alignment horizontal="center" vertical="center"/>
    </xf>
    <xf numFmtId="0" fontId="24" fillId="5" borderId="37" xfId="0" applyFont="1" applyFill="1" applyBorder="1" applyAlignment="1">
      <alignment horizontal="center" vertical="center"/>
    </xf>
    <xf numFmtId="0" fontId="24" fillId="5" borderId="38" xfId="0" applyFont="1" applyFill="1" applyBorder="1" applyAlignment="1">
      <alignment horizontal="center" vertical="center"/>
    </xf>
    <xf numFmtId="0" fontId="24" fillId="5" borderId="39" xfId="0" applyFont="1" applyFill="1" applyBorder="1" applyAlignment="1">
      <alignment horizontal="center" vertical="center"/>
    </xf>
    <xf numFmtId="0" fontId="24" fillId="5" borderId="21" xfId="0" applyFont="1" applyFill="1" applyBorder="1" applyAlignment="1">
      <alignment horizontal="center" vertical="center"/>
    </xf>
    <xf numFmtId="0" fontId="24" fillId="5" borderId="40" xfId="0" applyFont="1" applyFill="1" applyBorder="1" applyAlignment="1">
      <alignment horizontal="center" vertical="center"/>
    </xf>
    <xf numFmtId="0" fontId="24" fillId="14" borderId="39" xfId="0" applyFont="1" applyFill="1" applyBorder="1" applyAlignment="1">
      <alignment horizontal="center" vertical="center"/>
    </xf>
    <xf numFmtId="0" fontId="24" fillId="16" borderId="39" xfId="0" applyFont="1" applyFill="1" applyBorder="1" applyAlignment="1">
      <alignment horizontal="center" vertical="center" wrapText="1"/>
    </xf>
    <xf numFmtId="0" fontId="24" fillId="16" borderId="33" xfId="0" applyFont="1" applyFill="1" applyBorder="1" applyAlignment="1">
      <alignment horizontal="center" vertical="center" wrapText="1"/>
    </xf>
    <xf numFmtId="0" fontId="24" fillId="13" borderId="39" xfId="0" applyFont="1" applyFill="1" applyBorder="1" applyAlignment="1">
      <alignment horizontal="center" vertical="center" wrapText="1"/>
    </xf>
    <xf numFmtId="0" fontId="24" fillId="13" borderId="21" xfId="0" applyFont="1" applyFill="1" applyBorder="1" applyAlignment="1">
      <alignment horizontal="center" vertical="center"/>
    </xf>
    <xf numFmtId="0" fontId="24" fillId="13" borderId="40" xfId="0" applyFont="1" applyFill="1" applyBorder="1" applyAlignment="1">
      <alignment horizontal="center" vertical="center"/>
    </xf>
    <xf numFmtId="0" fontId="24" fillId="14" borderId="39" xfId="0" applyFont="1" applyFill="1" applyBorder="1" applyAlignment="1">
      <alignment horizontal="center" vertical="center" wrapText="1"/>
    </xf>
    <xf numFmtId="0" fontId="24" fillId="15" borderId="39" xfId="0" applyFont="1" applyFill="1" applyBorder="1" applyAlignment="1">
      <alignment horizontal="center" vertical="center" wrapText="1"/>
    </xf>
    <xf numFmtId="0" fontId="24" fillId="15" borderId="21" xfId="0" applyFont="1" applyFill="1" applyBorder="1" applyAlignment="1">
      <alignment horizontal="center" vertical="center"/>
    </xf>
    <xf numFmtId="0" fontId="24" fillId="15" borderId="40" xfId="0" applyFont="1" applyFill="1" applyBorder="1" applyAlignment="1">
      <alignment horizontal="center" vertical="center"/>
    </xf>
    <xf numFmtId="0" fontId="2" fillId="0" borderId="99" xfId="0" applyFont="1" applyBorder="1" applyAlignment="1">
      <alignment horizontal="center"/>
    </xf>
    <xf numFmtId="0" fontId="2" fillId="0" borderId="100" xfId="0" applyFont="1" applyBorder="1" applyAlignment="1">
      <alignment horizontal="center"/>
    </xf>
    <xf numFmtId="9" fontId="2" fillId="0" borderId="100" xfId="1" applyFont="1" applyBorder="1" applyAlignment="1">
      <alignment horizontal="center"/>
    </xf>
    <xf numFmtId="9" fontId="2" fillId="0" borderId="101" xfId="1" applyFont="1" applyBorder="1" applyAlignment="1">
      <alignment horizontal="center"/>
    </xf>
    <xf numFmtId="0" fontId="23" fillId="0" borderId="21" xfId="0" applyFont="1" applyFill="1" applyBorder="1" applyAlignment="1">
      <alignment horizontal="center"/>
    </xf>
    <xf numFmtId="0" fontId="31" fillId="10" borderId="0" xfId="2" applyFont="1" applyFill="1" applyAlignment="1">
      <alignment horizontal="center" wrapText="1"/>
    </xf>
    <xf numFmtId="0" fontId="2" fillId="0" borderId="21" xfId="0" applyFont="1" applyBorder="1" applyAlignment="1">
      <alignment horizontal="center"/>
    </xf>
    <xf numFmtId="0" fontId="25" fillId="0" borderId="21" xfId="0" applyFont="1" applyFill="1" applyBorder="1" applyAlignment="1">
      <alignment horizontal="center" vertical="top"/>
    </xf>
    <xf numFmtId="0" fontId="25" fillId="0" borderId="94" xfId="0" applyFont="1" applyFill="1" applyBorder="1" applyAlignment="1">
      <alignment horizontal="center" vertical="top"/>
    </xf>
    <xf numFmtId="0" fontId="25" fillId="0" borderId="95" xfId="0" applyFont="1" applyFill="1" applyBorder="1" applyAlignment="1">
      <alignment horizontal="center" vertical="top"/>
    </xf>
    <xf numFmtId="0" fontId="25" fillId="0" borderId="96" xfId="0" applyFont="1" applyFill="1" applyBorder="1" applyAlignment="1">
      <alignment horizontal="center" vertical="top"/>
    </xf>
    <xf numFmtId="0" fontId="18" fillId="10" borderId="0" xfId="2" applyFont="1" applyFill="1" applyAlignment="1">
      <alignment horizontal="center" wrapText="1"/>
    </xf>
    <xf numFmtId="0" fontId="23" fillId="15" borderId="0" xfId="0" applyFont="1" applyFill="1" applyAlignment="1">
      <alignment horizontal="center" vertical="center"/>
    </xf>
    <xf numFmtId="0" fontId="23" fillId="10" borderId="0" xfId="0" applyFont="1" applyFill="1" applyAlignment="1">
      <alignment horizontal="center" wrapText="1"/>
    </xf>
    <xf numFmtId="0" fontId="15" fillId="5" borderId="36" xfId="0" applyFont="1" applyFill="1" applyBorder="1" applyAlignment="1">
      <alignment horizontal="center" vertical="center"/>
    </xf>
    <xf numFmtId="0" fontId="15" fillId="5" borderId="37" xfId="0" applyFont="1" applyFill="1" applyBorder="1" applyAlignment="1">
      <alignment horizontal="center" vertical="center"/>
    </xf>
    <xf numFmtId="0" fontId="15" fillId="5" borderId="38" xfId="0" applyFont="1" applyFill="1" applyBorder="1" applyAlignment="1">
      <alignment horizontal="center" vertical="center"/>
    </xf>
    <xf numFmtId="0" fontId="15" fillId="5" borderId="39" xfId="0" applyFont="1" applyFill="1" applyBorder="1" applyAlignment="1">
      <alignment horizontal="center" vertical="center"/>
    </xf>
    <xf numFmtId="0" fontId="15" fillId="5" borderId="21" xfId="0" applyFont="1" applyFill="1" applyBorder="1" applyAlignment="1">
      <alignment horizontal="center" vertical="center"/>
    </xf>
    <xf numFmtId="0" fontId="15" fillId="5" borderId="40" xfId="0" applyFont="1" applyFill="1" applyBorder="1" applyAlignment="1">
      <alignment horizontal="center" vertical="center"/>
    </xf>
    <xf numFmtId="0" fontId="15" fillId="13" borderId="52" xfId="0" applyFont="1" applyFill="1" applyBorder="1" applyAlignment="1">
      <alignment horizontal="center" vertical="center" wrapText="1"/>
    </xf>
    <xf numFmtId="0" fontId="15" fillId="13" borderId="55" xfId="0" applyFont="1" applyFill="1" applyBorder="1" applyAlignment="1">
      <alignment horizontal="center" vertical="center" wrapText="1"/>
    </xf>
    <xf numFmtId="0" fontId="15" fillId="13" borderId="21" xfId="0" applyFont="1" applyFill="1" applyBorder="1" applyAlignment="1">
      <alignment horizontal="center" vertical="center"/>
    </xf>
    <xf numFmtId="0" fontId="15" fillId="13" borderId="40" xfId="0" applyFont="1" applyFill="1" applyBorder="1" applyAlignment="1">
      <alignment horizontal="center" vertical="center"/>
    </xf>
    <xf numFmtId="0" fontId="8" fillId="0" borderId="94" xfId="0" applyFont="1" applyBorder="1" applyAlignment="1">
      <alignment horizontal="center"/>
    </xf>
    <xf numFmtId="0" fontId="8" fillId="0" borderId="95" xfId="0" applyFont="1" applyBorder="1" applyAlignment="1">
      <alignment horizontal="center"/>
    </xf>
    <xf numFmtId="0" fontId="8" fillId="0" borderId="96" xfId="0" applyFont="1" applyBorder="1" applyAlignment="1">
      <alignment horizontal="center"/>
    </xf>
    <xf numFmtId="0" fontId="0" fillId="0" borderId="99" xfId="0" applyBorder="1" applyAlignment="1">
      <alignment horizontal="center"/>
    </xf>
    <xf numFmtId="0" fontId="0" fillId="0" borderId="100" xfId="0" applyBorder="1" applyAlignment="1">
      <alignment horizontal="center"/>
    </xf>
    <xf numFmtId="9" fontId="0" fillId="0" borderId="100" xfId="1" applyFont="1" applyBorder="1" applyAlignment="1">
      <alignment horizontal="center"/>
    </xf>
    <xf numFmtId="9" fontId="0" fillId="0" borderId="101" xfId="1" applyFont="1" applyBorder="1" applyAlignment="1">
      <alignment horizontal="center"/>
    </xf>
    <xf numFmtId="0" fontId="0" fillId="0" borderId="27" xfId="0" applyBorder="1" applyAlignment="1">
      <alignment horizontal="center"/>
    </xf>
    <xf numFmtId="0" fontId="0" fillId="0" borderId="22" xfId="0" applyBorder="1" applyAlignment="1">
      <alignment horizontal="center"/>
    </xf>
    <xf numFmtId="0" fontId="8" fillId="17" borderId="0" xfId="0" applyFont="1" applyFill="1" applyAlignment="1">
      <alignment horizontal="center" vertical="center"/>
    </xf>
    <xf numFmtId="0" fontId="18" fillId="17" borderId="0" xfId="2" applyFont="1" applyFill="1" applyAlignment="1">
      <alignment horizontal="center" vertical="center"/>
    </xf>
    <xf numFmtId="0" fontId="12" fillId="0" borderId="44" xfId="0" applyFont="1" applyBorder="1" applyAlignment="1">
      <alignment horizontal="center"/>
    </xf>
    <xf numFmtId="0" fontId="12" fillId="0" borderId="45" xfId="0" applyFont="1" applyBorder="1" applyAlignment="1">
      <alignment horizontal="center"/>
    </xf>
    <xf numFmtId="0" fontId="12" fillId="0" borderId="46" xfId="0" applyFont="1" applyBorder="1" applyAlignment="1">
      <alignment horizontal="center"/>
    </xf>
    <xf numFmtId="0" fontId="12" fillId="0" borderId="43" xfId="0" applyFont="1" applyBorder="1" applyAlignment="1">
      <alignment horizontal="center"/>
    </xf>
    <xf numFmtId="0" fontId="12" fillId="0" borderId="47" xfId="0" applyFont="1" applyBorder="1" applyAlignment="1">
      <alignment horizontal="center"/>
    </xf>
    <xf numFmtId="0" fontId="12" fillId="0" borderId="42" xfId="0" applyFont="1" applyBorder="1" applyAlignment="1">
      <alignment horizontal="center"/>
    </xf>
    <xf numFmtId="0" fontId="5" fillId="15" borderId="0" xfId="0" applyFont="1" applyFill="1" applyAlignment="1">
      <alignment horizontal="center" vertical="center" wrapText="1"/>
    </xf>
    <xf numFmtId="0" fontId="0" fillId="3" borderId="0" xfId="0" applyFill="1" applyAlignment="1">
      <alignment horizontal="left" vertical="top" wrapText="1"/>
    </xf>
    <xf numFmtId="0" fontId="15" fillId="14" borderId="52" xfId="0" applyFont="1" applyFill="1" applyBorder="1" applyAlignment="1">
      <alignment horizontal="center" vertical="center" wrapText="1"/>
    </xf>
    <xf numFmtId="0" fontId="15" fillId="14" borderId="55" xfId="0" applyFont="1" applyFill="1" applyBorder="1" applyAlignment="1">
      <alignment horizontal="center" vertical="center" wrapText="1"/>
    </xf>
    <xf numFmtId="0" fontId="15" fillId="14" borderId="48" xfId="0" applyFont="1" applyFill="1" applyBorder="1" applyAlignment="1">
      <alignment horizontal="center" vertical="center"/>
    </xf>
    <xf numFmtId="0" fontId="15" fillId="14" borderId="49" xfId="0" applyFont="1" applyFill="1" applyBorder="1" applyAlignment="1">
      <alignment horizontal="center" vertical="center"/>
    </xf>
    <xf numFmtId="0" fontId="15" fillId="14" borderId="50" xfId="0" applyFont="1" applyFill="1" applyBorder="1" applyAlignment="1">
      <alignment horizontal="center" vertical="center"/>
    </xf>
    <xf numFmtId="0" fontId="15" fillId="14" borderId="53" xfId="0" applyFont="1" applyFill="1" applyBorder="1" applyAlignment="1">
      <alignment horizontal="center" vertical="center"/>
    </xf>
    <xf numFmtId="0" fontId="15" fillId="14" borderId="28" xfId="0" applyFont="1" applyFill="1" applyBorder="1" applyAlignment="1">
      <alignment horizontal="center" vertical="center"/>
    </xf>
    <xf numFmtId="0" fontId="15" fillId="14" borderId="54" xfId="0" applyFont="1" applyFill="1" applyBorder="1" applyAlignment="1">
      <alignment horizontal="center" vertical="center"/>
    </xf>
    <xf numFmtId="0" fontId="15" fillId="15" borderId="52" xfId="0" applyFont="1" applyFill="1" applyBorder="1" applyAlignment="1">
      <alignment horizontal="center" vertical="center" wrapText="1"/>
    </xf>
    <xf numFmtId="0" fontId="15" fillId="15" borderId="55" xfId="0" applyFont="1" applyFill="1" applyBorder="1" applyAlignment="1">
      <alignment horizontal="center" vertical="center" wrapText="1"/>
    </xf>
    <xf numFmtId="0" fontId="15" fillId="15" borderId="48" xfId="0" applyFont="1" applyFill="1" applyBorder="1" applyAlignment="1">
      <alignment horizontal="center" vertical="center"/>
    </xf>
    <xf numFmtId="0" fontId="15" fillId="15" borderId="49" xfId="0" applyFont="1" applyFill="1" applyBorder="1" applyAlignment="1">
      <alignment horizontal="center" vertical="center"/>
    </xf>
    <xf numFmtId="0" fontId="15" fillId="15" borderId="50" xfId="0" applyFont="1" applyFill="1" applyBorder="1" applyAlignment="1">
      <alignment horizontal="center" vertical="center"/>
    </xf>
    <xf numFmtId="0" fontId="15" fillId="15" borderId="53" xfId="0" applyFont="1" applyFill="1" applyBorder="1" applyAlignment="1">
      <alignment horizontal="center" vertical="center"/>
    </xf>
    <xf numFmtId="0" fontId="15" fillId="15" borderId="28" xfId="0" applyFont="1" applyFill="1" applyBorder="1" applyAlignment="1">
      <alignment horizontal="center" vertical="center"/>
    </xf>
    <xf numFmtId="0" fontId="15" fillId="15" borderId="54" xfId="0" applyFont="1" applyFill="1" applyBorder="1" applyAlignment="1">
      <alignment horizontal="center" vertical="center"/>
    </xf>
    <xf numFmtId="0" fontId="15" fillId="16" borderId="52" xfId="0" applyFont="1" applyFill="1" applyBorder="1" applyAlignment="1">
      <alignment horizontal="center" vertical="center" wrapText="1"/>
    </xf>
    <xf numFmtId="0" fontId="15" fillId="16" borderId="32" xfId="0" applyFont="1" applyFill="1" applyBorder="1" applyAlignment="1">
      <alignment horizontal="center" vertical="center" wrapText="1"/>
    </xf>
    <xf numFmtId="0" fontId="15" fillId="16" borderId="48" xfId="0" applyFont="1" applyFill="1" applyBorder="1" applyAlignment="1">
      <alignment horizontal="center" vertical="center"/>
    </xf>
    <xf numFmtId="0" fontId="15" fillId="16" borderId="49" xfId="0" applyFont="1" applyFill="1" applyBorder="1" applyAlignment="1">
      <alignment horizontal="center" vertical="center"/>
    </xf>
    <xf numFmtId="0" fontId="15" fillId="16" borderId="50" xfId="0" applyFont="1" applyFill="1" applyBorder="1" applyAlignment="1">
      <alignment horizontal="center" vertical="center"/>
    </xf>
    <xf numFmtId="0" fontId="15" fillId="16" borderId="51" xfId="0" applyFont="1" applyFill="1" applyBorder="1" applyAlignment="1">
      <alignment horizontal="center" vertical="center"/>
    </xf>
    <xf numFmtId="0" fontId="15" fillId="16" borderId="20" xfId="0" applyFont="1" applyFill="1" applyBorder="1" applyAlignment="1">
      <alignment horizontal="center" vertical="center"/>
    </xf>
    <xf numFmtId="0" fontId="15" fillId="16" borderId="25" xfId="0" applyFont="1" applyFill="1" applyBorder="1" applyAlignment="1">
      <alignment horizontal="center" vertical="center"/>
    </xf>
    <xf numFmtId="0" fontId="0" fillId="0" borderId="103" xfId="0" applyBorder="1" applyAlignment="1">
      <alignment horizontal="center"/>
    </xf>
    <xf numFmtId="0" fontId="0" fillId="0" borderId="104" xfId="0" applyBorder="1" applyAlignment="1">
      <alignment horizontal="center"/>
    </xf>
    <xf numFmtId="9" fontId="0" fillId="0" borderId="104" xfId="1" applyFont="1" applyBorder="1" applyAlignment="1">
      <alignment horizontal="center"/>
    </xf>
    <xf numFmtId="9" fontId="0" fillId="0" borderId="105" xfId="1" applyFont="1" applyBorder="1" applyAlignment="1">
      <alignment horizontal="center"/>
    </xf>
    <xf numFmtId="0" fontId="15" fillId="15" borderId="39" xfId="0" applyFont="1" applyFill="1" applyBorder="1" applyAlignment="1">
      <alignment horizontal="center" vertical="center"/>
    </xf>
    <xf numFmtId="0" fontId="15" fillId="15" borderId="21" xfId="0" applyFont="1" applyFill="1" applyBorder="1" applyAlignment="1">
      <alignment horizontal="center" vertical="center"/>
    </xf>
    <xf numFmtId="0" fontId="15" fillId="15" borderId="40" xfId="0" applyFont="1" applyFill="1" applyBorder="1" applyAlignment="1">
      <alignment horizontal="center" vertical="center"/>
    </xf>
    <xf numFmtId="0" fontId="15" fillId="16" borderId="39" xfId="0" applyFont="1" applyFill="1" applyBorder="1" applyAlignment="1">
      <alignment horizontal="center" vertical="center"/>
    </xf>
    <xf numFmtId="0" fontId="15" fillId="16" borderId="33" xfId="0" applyFont="1" applyFill="1" applyBorder="1" applyAlignment="1">
      <alignment horizontal="center" vertical="center"/>
    </xf>
    <xf numFmtId="0" fontId="15" fillId="16" borderId="21" xfId="0" applyFont="1" applyFill="1" applyBorder="1" applyAlignment="1">
      <alignment horizontal="center" vertical="center"/>
    </xf>
    <xf numFmtId="0" fontId="15" fillId="16" borderId="40" xfId="0" applyFont="1" applyFill="1" applyBorder="1" applyAlignment="1">
      <alignment horizontal="center" vertical="center"/>
    </xf>
    <xf numFmtId="0" fontId="15" fillId="16" borderId="34" xfId="0" applyFont="1" applyFill="1" applyBorder="1" applyAlignment="1">
      <alignment horizontal="center" vertical="center"/>
    </xf>
    <xf numFmtId="0" fontId="15" fillId="16" borderId="35" xfId="0" applyFont="1" applyFill="1" applyBorder="1" applyAlignment="1">
      <alignment horizontal="center" vertical="center"/>
    </xf>
    <xf numFmtId="0" fontId="8" fillId="15" borderId="0" xfId="0" applyFont="1" applyFill="1" applyAlignment="1">
      <alignment horizontal="center" wrapText="1"/>
    </xf>
    <xf numFmtId="0" fontId="15" fillId="14" borderId="39" xfId="0" applyFont="1" applyFill="1" applyBorder="1" applyAlignment="1">
      <alignment horizontal="center" vertical="center"/>
    </xf>
    <xf numFmtId="0" fontId="15" fillId="14" borderId="21" xfId="0" applyFont="1" applyFill="1" applyBorder="1" applyAlignment="1">
      <alignment horizontal="center" vertical="center"/>
    </xf>
    <xf numFmtId="0" fontId="15" fillId="14" borderId="40" xfId="0" applyFont="1" applyFill="1" applyBorder="1" applyAlignment="1">
      <alignment horizontal="center" vertical="center"/>
    </xf>
    <xf numFmtId="0" fontId="15" fillId="13" borderId="39" xfId="0" applyFont="1" applyFill="1" applyBorder="1" applyAlignment="1">
      <alignment horizontal="center" vertical="center"/>
    </xf>
    <xf numFmtId="0" fontId="8" fillId="0" borderId="26" xfId="0" applyFont="1" applyBorder="1" applyAlignment="1">
      <alignment horizontal="center"/>
    </xf>
    <xf numFmtId="0" fontId="8" fillId="0" borderId="27" xfId="0" applyFont="1" applyBorder="1" applyAlignment="1">
      <alignment horizontal="center"/>
    </xf>
    <xf numFmtId="0" fontId="8" fillId="0" borderId="22" xfId="0" applyFont="1" applyBorder="1" applyAlignment="1">
      <alignment horizontal="center"/>
    </xf>
    <xf numFmtId="0" fontId="18" fillId="10" borderId="0" xfId="2" applyFont="1" applyFill="1" applyAlignment="1">
      <alignment horizontal="center"/>
    </xf>
    <xf numFmtId="9" fontId="0" fillId="0" borderId="75" xfId="1" applyFont="1" applyBorder="1" applyAlignment="1">
      <alignment horizontal="center"/>
    </xf>
    <xf numFmtId="9" fontId="0" fillId="0" borderId="76" xfId="1" applyFont="1" applyBorder="1" applyAlignment="1">
      <alignment horizontal="center"/>
    </xf>
    <xf numFmtId="9" fontId="0" fillId="0" borderId="77" xfId="1" applyFont="1" applyBorder="1" applyAlignment="1">
      <alignment horizontal="center"/>
    </xf>
    <xf numFmtId="9" fontId="0" fillId="0" borderId="82" xfId="1" applyFont="1" applyBorder="1" applyAlignment="1">
      <alignment horizontal="center"/>
    </xf>
    <xf numFmtId="9" fontId="0" fillId="0" borderId="83" xfId="1" applyFont="1" applyBorder="1" applyAlignment="1">
      <alignment horizontal="center"/>
    </xf>
    <xf numFmtId="0" fontId="8" fillId="0" borderId="65" xfId="0" applyFont="1" applyBorder="1" applyAlignment="1">
      <alignment horizontal="center"/>
    </xf>
    <xf numFmtId="0" fontId="8" fillId="0" borderId="66" xfId="0" applyFont="1" applyBorder="1" applyAlignment="1">
      <alignment horizontal="center"/>
    </xf>
    <xf numFmtId="0" fontId="8" fillId="0" borderId="67" xfId="0" applyFont="1" applyBorder="1" applyAlignment="1">
      <alignment horizontal="center"/>
    </xf>
    <xf numFmtId="0" fontId="8" fillId="0" borderId="78" xfId="0" applyFont="1" applyBorder="1" applyAlignment="1">
      <alignment horizontal="center"/>
    </xf>
    <xf numFmtId="0" fontId="8" fillId="0" borderId="79" xfId="0" applyFont="1" applyBorder="1" applyAlignment="1">
      <alignment horizontal="center"/>
    </xf>
    <xf numFmtId="0" fontId="8" fillId="0" borderId="80" xfId="0" applyFont="1" applyBorder="1" applyAlignment="1">
      <alignment horizontal="center"/>
    </xf>
    <xf numFmtId="0" fontId="0" fillId="0" borderId="72" xfId="0" applyBorder="1" applyAlignment="1">
      <alignment horizontal="center"/>
    </xf>
    <xf numFmtId="0" fontId="0" fillId="0" borderId="73" xfId="0" applyBorder="1" applyAlignment="1">
      <alignment horizontal="center"/>
    </xf>
    <xf numFmtId="9" fontId="0" fillId="0" borderId="73" xfId="1" applyFont="1" applyBorder="1" applyAlignment="1">
      <alignment horizontal="center"/>
    </xf>
    <xf numFmtId="9" fontId="0" fillId="0" borderId="74" xfId="1" applyFont="1" applyBorder="1" applyAlignment="1">
      <alignment horizontal="center"/>
    </xf>
    <xf numFmtId="0" fontId="0" fillId="0" borderId="7" xfId="0" applyFill="1" applyBorder="1" applyAlignment="1">
      <alignment horizontal="center"/>
    </xf>
  </cellXfs>
  <cellStyles count="4">
    <cellStyle name="Hyperlink" xfId="2" builtinId="8"/>
    <cellStyle name="Normal" xfId="0" builtinId="0"/>
    <cellStyle name="Normal 2" xfId="3"/>
    <cellStyle name="Percent" xfId="1" builtinId="5"/>
  </cellStyles>
  <dxfs count="1157">
    <dxf>
      <font>
        <color theme="9" tint="-0.499984740745262"/>
      </font>
      <fill>
        <patternFill>
          <bgColor theme="9" tint="0.59996337778862885"/>
        </patternFill>
      </fill>
    </dxf>
    <dxf>
      <font>
        <color rgb="FF9C0006"/>
      </font>
      <fill>
        <patternFill>
          <bgColor rgb="FFFFC7CE"/>
        </patternFill>
      </fill>
    </dxf>
    <dxf>
      <font>
        <color theme="9" tint="-0.499984740745262"/>
      </font>
      <fill>
        <patternFill>
          <bgColor theme="9" tint="0.59996337778862885"/>
        </patternFill>
      </fill>
    </dxf>
    <dxf>
      <font>
        <color rgb="FF9C0006"/>
      </font>
      <fill>
        <patternFill>
          <bgColor rgb="FFFFC7CE"/>
        </patternFill>
      </fill>
    </dxf>
    <dxf>
      <font>
        <color theme="4" tint="-0.499984740745262"/>
      </font>
      <fill>
        <patternFill>
          <bgColor theme="4" tint="0.39994506668294322"/>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theme="4" tint="-0.499984740745262"/>
      </font>
      <fill>
        <patternFill>
          <bgColor theme="4" tint="0.39994506668294322"/>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4" tint="-0.499984740745262"/>
      </font>
      <fill>
        <patternFill>
          <bgColor theme="4" tint="0.39994506668294322"/>
        </patternFill>
      </fill>
    </dxf>
    <dxf>
      <font>
        <color rgb="FF9C0006"/>
      </font>
      <fill>
        <patternFill>
          <bgColor rgb="FFFFC7CE"/>
        </patternFill>
      </fill>
    </dxf>
    <dxf>
      <font>
        <color rgb="FF9C6500"/>
      </font>
      <fill>
        <patternFill>
          <bgColor rgb="FFFFEB9C"/>
        </patternFill>
      </fill>
    </dxf>
    <dxf>
      <font>
        <color rgb="FF006100"/>
      </font>
      <fill>
        <patternFill>
          <bgColor theme="9" tint="0.59996337778862885"/>
        </patternFill>
      </fill>
    </dxf>
    <dxf>
      <font>
        <color theme="4" tint="-0.499984740745262"/>
      </font>
      <fill>
        <patternFill>
          <bgColor theme="4" tint="0.39994506668294322"/>
        </patternFill>
      </fill>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color rgb="FF006100"/>
      </font>
      <fill>
        <patternFill>
          <bgColor rgb="FFC6EFCE"/>
        </patternFill>
      </fill>
    </dxf>
    <dxf>
      <font>
        <color rgb="FF9C0006"/>
      </font>
      <fill>
        <patternFill>
          <bgColor rgb="FFFFC7CE"/>
        </patternFill>
      </fill>
    </dxf>
    <dxf>
      <font>
        <color theme="5" tint="-0.499984740745262"/>
      </font>
      <fill>
        <patternFill>
          <bgColor theme="5" tint="0.59996337778862885"/>
        </patternFill>
      </fill>
    </dxf>
    <dxf>
      <font>
        <color theme="4" tint="-0.499984740745262"/>
      </font>
      <fill>
        <patternFill>
          <bgColor theme="4" tint="0.59996337778862885"/>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theme="5" tint="-0.499984740745262"/>
      </font>
      <fill>
        <patternFill>
          <bgColor theme="5" tint="0.59996337778862885"/>
        </patternFill>
      </fill>
    </dxf>
    <dxf>
      <font>
        <color theme="4" tint="-0.499984740745262"/>
      </font>
      <fill>
        <patternFill>
          <bgColor theme="4" tint="0.59996337778862885"/>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7030A0"/>
      </font>
      <fill>
        <patternFill>
          <bgColor rgb="FFCC99FF"/>
        </patternFill>
      </fill>
    </dxf>
    <dxf>
      <font>
        <color rgb="FF7030A0"/>
      </font>
      <fill>
        <patternFill>
          <bgColor rgb="FFCC99FF"/>
        </patternFill>
      </fill>
    </dxf>
    <dxf>
      <font>
        <color rgb="FF7030A0"/>
      </font>
      <fill>
        <patternFill>
          <bgColor rgb="FFCC99FF"/>
        </patternFill>
      </fill>
    </dxf>
    <dxf>
      <font>
        <color rgb="FF7030A0"/>
      </font>
      <fill>
        <patternFill>
          <bgColor rgb="FFCC99FF"/>
        </patternFill>
      </fill>
    </dxf>
    <dxf>
      <font>
        <color rgb="FF7030A0"/>
      </font>
      <fill>
        <patternFill>
          <bgColor rgb="FFCC99FF"/>
        </patternFill>
      </fill>
    </dxf>
    <dxf>
      <font>
        <color rgb="FF7030A0"/>
      </font>
      <fill>
        <patternFill>
          <bgColor rgb="FFCC99FF"/>
        </patternFill>
      </fill>
    </dxf>
    <dxf>
      <font>
        <color rgb="FF7030A0"/>
      </font>
      <fill>
        <patternFill>
          <bgColor rgb="FFCC99FF"/>
        </patternFill>
      </fill>
    </dxf>
    <dxf>
      <font>
        <color rgb="FF7030A0"/>
      </font>
      <fill>
        <patternFill>
          <bgColor rgb="FFCC99FF"/>
        </patternFill>
      </fill>
    </dxf>
    <dxf>
      <font>
        <color rgb="FF7030A0"/>
      </font>
      <fill>
        <patternFill>
          <bgColor rgb="FFCC99FF"/>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7030A0"/>
      </font>
      <fill>
        <patternFill>
          <bgColor rgb="FFCC99FF"/>
        </patternFill>
      </fill>
    </dxf>
    <dxf>
      <font>
        <color theme="4" tint="-0.499984740745262"/>
      </font>
      <fill>
        <patternFill>
          <bgColor theme="4" tint="0.59996337778862885"/>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theme="4" tint="-0.499984740745262"/>
      </font>
      <fill>
        <patternFill>
          <bgColor theme="4"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theme="4" tint="-0.499984740745262"/>
      </font>
      <fill>
        <patternFill>
          <bgColor theme="4" tint="0.59996337778862885"/>
        </patternFill>
      </fill>
    </dxf>
    <dxf>
      <font>
        <color theme="4" tint="-0.499984740745262"/>
      </font>
      <fill>
        <patternFill>
          <bgColor theme="4" tint="0.59996337778862885"/>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theme="4" tint="-0.499984740745262"/>
      </font>
      <fill>
        <patternFill>
          <bgColor theme="4" tint="0.59996337778862885"/>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5" tint="-0.499984740745262"/>
      </font>
      <fill>
        <patternFill>
          <bgColor theme="5" tint="0.59996337778862885"/>
        </patternFill>
      </fill>
    </dxf>
    <dxf>
      <font>
        <color theme="4" tint="-0.499984740745262"/>
      </font>
      <fill>
        <patternFill>
          <bgColor theme="4"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theme="9" tint="-0.499984740745262"/>
      </font>
      <fill>
        <patternFill>
          <bgColor theme="9" tint="0.39994506668294322"/>
        </patternFill>
      </fill>
    </dxf>
    <dxf>
      <font>
        <color rgb="FF9C0006"/>
      </font>
      <fill>
        <patternFill>
          <bgColor rgb="FFFFC7CE"/>
        </patternFill>
      </fill>
    </dxf>
    <dxf>
      <font>
        <color theme="4" tint="-0.499984740745262"/>
      </font>
      <fill>
        <patternFill>
          <bgColor theme="4" tint="0.39994506668294322"/>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theme="4" tint="-0.499984740745262"/>
      </font>
      <fill>
        <patternFill>
          <bgColor theme="4" tint="0.39994506668294322"/>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theme="4" tint="-0.499984740745262"/>
      </font>
      <fill>
        <patternFill>
          <bgColor theme="4" tint="0.39994506668294322"/>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theme="4" tint="-0.499984740745262"/>
      </font>
      <fill>
        <patternFill>
          <bgColor theme="4" tint="0.3999450666829432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4" tint="-0.499984740745262"/>
      </font>
      <fill>
        <patternFill>
          <bgColor theme="4" tint="0.39994506668294322"/>
        </patternFill>
      </fill>
    </dxf>
    <dxf>
      <font>
        <color rgb="FF9C0006"/>
      </font>
      <fill>
        <patternFill>
          <bgColor rgb="FFFFC7CE"/>
        </patternFill>
      </fill>
    </dxf>
    <dxf>
      <font>
        <color rgb="FF006100"/>
      </font>
      <fill>
        <patternFill>
          <bgColor rgb="FFC6EFCE"/>
        </patternFill>
      </fill>
    </dxf>
    <dxf>
      <font>
        <color theme="4" tint="-0.499984740745262"/>
      </font>
      <fill>
        <patternFill>
          <bgColor theme="4" tint="0.39994506668294322"/>
        </patternFill>
      </fill>
    </dxf>
    <dxf>
      <font>
        <color rgb="FF9C0006"/>
      </font>
      <fill>
        <patternFill>
          <bgColor rgb="FFFFC7CE"/>
        </patternFill>
      </fill>
    </dxf>
    <dxf>
      <font>
        <color rgb="FF006100"/>
      </font>
      <fill>
        <patternFill>
          <bgColor rgb="FFC6EFCE"/>
        </patternFill>
      </fill>
    </dxf>
    <dxf>
      <font>
        <color theme="4" tint="-0.499984740745262"/>
      </font>
      <fill>
        <patternFill>
          <bgColor theme="4" tint="0.39994506668294322"/>
        </patternFill>
      </fill>
    </dxf>
    <dxf>
      <font>
        <color rgb="FF9C0006"/>
      </font>
      <fill>
        <patternFill>
          <bgColor rgb="FFFFC7CE"/>
        </patternFill>
      </fill>
    </dxf>
    <dxf>
      <font>
        <color rgb="FF006100"/>
      </font>
      <fill>
        <patternFill>
          <bgColor rgb="FFC6EFCE"/>
        </patternFill>
      </fill>
    </dxf>
    <dxf>
      <font>
        <color theme="4" tint="-0.499984740745262"/>
      </font>
      <fill>
        <patternFill>
          <bgColor theme="4" tint="0.39994506668294322"/>
        </patternFill>
      </fill>
    </dxf>
    <dxf>
      <font>
        <color rgb="FF9C0006"/>
      </font>
      <fill>
        <patternFill>
          <bgColor rgb="FFFFC7CE"/>
        </patternFill>
      </fill>
    </dxf>
    <dxf>
      <font>
        <color rgb="FF006100"/>
      </font>
      <fill>
        <patternFill>
          <bgColor rgb="FFC6EFCE"/>
        </patternFill>
      </fill>
    </dxf>
    <dxf>
      <font>
        <color theme="4" tint="-0.499984740745262"/>
      </font>
      <fill>
        <patternFill>
          <bgColor theme="4" tint="0.39994506668294322"/>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theme="4" tint="-0.499984740745262"/>
      </font>
      <fill>
        <patternFill>
          <bgColor theme="4" tint="0.39994506668294322"/>
        </patternFill>
      </fill>
    </dxf>
    <dxf>
      <font>
        <color rgb="FF9C0006"/>
      </font>
      <fill>
        <patternFill>
          <bgColor rgb="FFFFC7CE"/>
        </patternFill>
      </fill>
    </dxf>
    <dxf>
      <font>
        <color rgb="FF006100"/>
      </font>
      <fill>
        <patternFill>
          <bgColor rgb="FFC6EFCE"/>
        </patternFill>
      </fill>
    </dxf>
    <dxf>
      <font>
        <color theme="4" tint="-0.499984740745262"/>
      </font>
      <fill>
        <patternFill>
          <bgColor theme="4" tint="0.39994506668294322"/>
        </patternFill>
      </fill>
    </dxf>
    <dxf>
      <font>
        <color theme="4" tint="-0.499984740745262"/>
      </font>
      <fill>
        <patternFill>
          <bgColor theme="4" tint="0.39994506668294322"/>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7030A0"/>
      </font>
      <fill>
        <patternFill>
          <bgColor rgb="FFCC99FF"/>
        </patternFill>
      </fill>
    </dxf>
    <dxf>
      <font>
        <color theme="4" tint="-0.499984740745262"/>
      </font>
      <fill>
        <patternFill>
          <bgColor theme="4" tint="0.39994506668294322"/>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7030A0"/>
      </font>
      <fill>
        <patternFill>
          <bgColor rgb="FFCC99FF"/>
        </patternFill>
      </fill>
    </dxf>
    <dxf>
      <font>
        <color theme="4" tint="-0.499984740745262"/>
      </font>
      <fill>
        <patternFill>
          <bgColor theme="4" tint="0.39994506668294322"/>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theme="4" tint="-0.499984740745262"/>
      </font>
      <fill>
        <patternFill>
          <bgColor theme="4" tint="0.39994506668294322"/>
        </patternFill>
      </fill>
    </dxf>
    <dxf>
      <font>
        <color rgb="FF9C6500"/>
      </font>
      <fill>
        <patternFill>
          <bgColor rgb="FFFFEB9C"/>
        </patternFill>
      </fill>
    </dxf>
    <dxf>
      <font>
        <color rgb="FF7030A0"/>
      </font>
      <fill>
        <patternFill>
          <bgColor rgb="FFCC99FF"/>
        </patternFill>
      </fill>
    </dxf>
    <dxf>
      <font>
        <color theme="4" tint="-0.499984740745262"/>
      </font>
      <fill>
        <patternFill>
          <bgColor theme="4" tint="0.59996337778862885"/>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theme="4" tint="-0.499984740745262"/>
      </font>
      <fill>
        <patternFill>
          <bgColor theme="4"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theme="4" tint="-0.499984740745262"/>
      </font>
      <fill>
        <patternFill>
          <bgColor theme="4" tint="0.59996337778862885"/>
        </patternFill>
      </fill>
    </dxf>
    <dxf>
      <font>
        <color rgb="FF9C0006"/>
      </font>
      <fill>
        <patternFill>
          <bgColor rgb="FFFFC7CE"/>
        </patternFill>
      </fill>
    </dxf>
    <dxf>
      <font>
        <color rgb="FF006100"/>
      </font>
      <fill>
        <patternFill>
          <bgColor rgb="FFC6EFCE"/>
        </patternFill>
      </fill>
    </dxf>
    <dxf>
      <font>
        <color theme="4" tint="-0.499984740745262"/>
      </font>
      <fill>
        <patternFill>
          <bgColor theme="4" tint="0.39994506668294322"/>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theme="4" tint="-0.499984740745262"/>
      </font>
      <fill>
        <patternFill>
          <bgColor theme="4" tint="0.59996337778862885"/>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theme="4" tint="-0.499984740745262"/>
      </font>
      <fill>
        <patternFill>
          <bgColor theme="4" tint="0.59996337778862885"/>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theme="4" tint="-0.499984740745262"/>
      </font>
      <fill>
        <patternFill>
          <bgColor theme="4" tint="0.39994506668294322"/>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theme="4" tint="-0.499984740745262"/>
      </font>
      <fill>
        <patternFill>
          <bgColor theme="4" tint="0.39994506668294322"/>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4" tint="-0.499984740745262"/>
      </font>
      <fill>
        <patternFill>
          <bgColor theme="4" tint="0.39994506668294322"/>
        </patternFill>
      </fill>
    </dxf>
    <dxf>
      <font>
        <color theme="4" tint="-0.499984740745262"/>
      </font>
      <fill>
        <patternFill>
          <bgColor theme="4" tint="0.39994506668294322"/>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theme="9" tint="-0.499984740745262"/>
      </font>
      <fill>
        <patternFill>
          <bgColor theme="9" tint="0.3999450666829432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4" tint="-0.499984740745262"/>
      </font>
      <fill>
        <patternFill>
          <bgColor theme="4" tint="0.3999450666829432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4" tint="-0.499984740745262"/>
      </font>
      <fill>
        <patternFill>
          <bgColor theme="4" tint="0.39994506668294322"/>
        </patternFill>
      </fill>
    </dxf>
    <dxf>
      <font>
        <color rgb="FF9C0006"/>
      </font>
      <fill>
        <patternFill>
          <bgColor rgb="FFFFC7CE"/>
        </patternFill>
      </fill>
    </dxf>
    <dxf>
      <font>
        <color rgb="FF006100"/>
      </font>
      <fill>
        <patternFill>
          <bgColor rgb="FFC6EFCE"/>
        </patternFill>
      </fill>
    </dxf>
    <dxf>
      <font>
        <color theme="4" tint="-0.499984740745262"/>
      </font>
      <fill>
        <patternFill>
          <bgColor theme="4" tint="0.39994506668294322"/>
        </patternFill>
      </fill>
    </dxf>
    <dxf>
      <font>
        <color rgb="FF9C0006"/>
      </font>
      <fill>
        <patternFill>
          <bgColor rgb="FFFFC7CE"/>
        </patternFill>
      </fill>
    </dxf>
    <dxf>
      <font>
        <color rgb="FF006100"/>
      </font>
      <fill>
        <patternFill>
          <bgColor rgb="FFC6EFCE"/>
        </patternFill>
      </fill>
    </dxf>
    <dxf>
      <font>
        <color theme="4" tint="-0.499984740745262"/>
      </font>
      <fill>
        <patternFill>
          <bgColor theme="4" tint="0.39994506668294322"/>
        </patternFill>
      </fill>
    </dxf>
    <dxf>
      <font>
        <color rgb="FF9C0006"/>
      </font>
      <fill>
        <patternFill>
          <bgColor rgb="FFFFC7CE"/>
        </patternFill>
      </fill>
    </dxf>
    <dxf>
      <font>
        <color rgb="FF006100"/>
      </font>
      <fill>
        <patternFill>
          <bgColor rgb="FFC6EFCE"/>
        </patternFill>
      </fill>
    </dxf>
    <dxf>
      <font>
        <color theme="4" tint="-0.499984740745262"/>
      </font>
      <fill>
        <patternFill>
          <bgColor theme="4" tint="0.39994506668294322"/>
        </patternFill>
      </fill>
    </dxf>
    <dxf>
      <font>
        <color rgb="FF9C0006"/>
      </font>
      <fill>
        <patternFill>
          <bgColor rgb="FFFFC7CE"/>
        </patternFill>
      </fill>
    </dxf>
    <dxf>
      <font>
        <color rgb="FF006100"/>
      </font>
      <fill>
        <patternFill>
          <bgColor rgb="FFC6EFCE"/>
        </patternFill>
      </fill>
    </dxf>
    <dxf>
      <font>
        <color theme="4" tint="-0.499984740745262"/>
      </font>
      <fill>
        <patternFill>
          <bgColor theme="4" tint="0.39994506668294322"/>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theme="4" tint="-0.499984740745262"/>
      </font>
      <fill>
        <patternFill>
          <bgColor theme="4" tint="0.39994506668294322"/>
        </patternFill>
      </fill>
    </dxf>
    <dxf>
      <font>
        <color rgb="FF9C0006"/>
      </font>
      <fill>
        <patternFill>
          <bgColor rgb="FFFFC7CE"/>
        </patternFill>
      </fill>
    </dxf>
    <dxf>
      <font>
        <color rgb="FF006100"/>
      </font>
      <fill>
        <patternFill>
          <bgColor rgb="FFC6EFCE"/>
        </patternFill>
      </fill>
    </dxf>
    <dxf>
      <font>
        <color theme="4" tint="-0.499984740745262"/>
      </font>
      <fill>
        <patternFill>
          <bgColor theme="4" tint="0.39994506668294322"/>
        </patternFill>
      </fill>
    </dxf>
    <dxf>
      <font>
        <color theme="4" tint="-0.499984740745262"/>
      </font>
      <fill>
        <patternFill>
          <bgColor theme="4" tint="0.39994506668294322"/>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7030A0"/>
      </font>
      <fill>
        <patternFill>
          <bgColor rgb="FFCC99FF"/>
        </patternFill>
      </fill>
    </dxf>
    <dxf>
      <font>
        <color theme="4" tint="-0.499984740745262"/>
      </font>
      <fill>
        <patternFill>
          <bgColor theme="4" tint="0.39994506668294322"/>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7030A0"/>
      </font>
      <fill>
        <patternFill>
          <bgColor rgb="FFCC99FF"/>
        </patternFill>
      </fill>
    </dxf>
    <dxf>
      <font>
        <color theme="4" tint="-0.499984740745262"/>
      </font>
      <fill>
        <patternFill>
          <bgColor theme="4" tint="0.39994506668294322"/>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b val="0"/>
        <i val="0"/>
        <color theme="4" tint="-0.499984740745262"/>
      </font>
      <fill>
        <patternFill>
          <bgColor theme="4" tint="0.39994506668294322"/>
        </patternFill>
      </fill>
    </dxf>
    <dxf>
      <font>
        <color rgb="FF9C6500"/>
      </font>
      <fill>
        <patternFill>
          <bgColor rgb="FFFFEB9C"/>
        </patternFill>
      </fill>
    </dxf>
    <dxf>
      <font>
        <color rgb="FF7030A0"/>
      </font>
      <fill>
        <patternFill>
          <bgColor rgb="FFCC99FF"/>
        </patternFill>
      </fill>
    </dxf>
    <dxf>
      <font>
        <color theme="4" tint="-0.499984740745262"/>
      </font>
      <fill>
        <patternFill>
          <bgColor theme="4" tint="0.59996337778862885"/>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theme="4" tint="-0.499984740745262"/>
      </font>
      <fill>
        <patternFill>
          <bgColor theme="4"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theme="4" tint="-0.499984740745262"/>
      </font>
      <fill>
        <patternFill>
          <bgColor theme="4" tint="0.59996337778862885"/>
        </patternFill>
      </fill>
    </dxf>
    <dxf>
      <font>
        <color rgb="FF9C0006"/>
      </font>
      <fill>
        <patternFill>
          <bgColor rgb="FFFFC7CE"/>
        </patternFill>
      </fill>
    </dxf>
    <dxf>
      <font>
        <color rgb="FF006100"/>
      </font>
      <fill>
        <patternFill>
          <bgColor rgb="FFC6EFCE"/>
        </patternFill>
      </fill>
    </dxf>
    <dxf>
      <font>
        <color theme="4" tint="-0.499984740745262"/>
      </font>
      <fill>
        <patternFill>
          <bgColor theme="4" tint="0.39994506668294322"/>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theme="4" tint="-0.499984740745262"/>
      </font>
      <fill>
        <patternFill>
          <bgColor theme="4" tint="0.59996337778862885"/>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theme="4" tint="-0.499984740745262"/>
      </font>
      <fill>
        <patternFill>
          <bgColor theme="4" tint="0.59996337778862885"/>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theme="4" tint="-0.499984740745262"/>
      </font>
      <fill>
        <patternFill>
          <bgColor theme="4" tint="0.39994506668294322"/>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theme="9" tint="-0.499984740745262"/>
      </font>
      <fill>
        <patternFill>
          <bgColor theme="9" tint="0.39994506668294322"/>
        </patternFill>
      </fill>
    </dxf>
    <dxf>
      <font>
        <color rgb="FF9C0006"/>
      </font>
      <fill>
        <patternFill>
          <bgColor rgb="FFFFC7CE"/>
        </patternFill>
      </fill>
    </dxf>
    <dxf>
      <font>
        <color theme="4" tint="-0.499984740745262"/>
      </font>
      <fill>
        <patternFill>
          <bgColor theme="4" tint="0.39994506668294322"/>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theme="4" tint="-0.499984740745262"/>
      </font>
      <fill>
        <patternFill>
          <bgColor theme="4" tint="0.39994506668294322"/>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theme="4" tint="-0.499984740745262"/>
      </font>
      <fill>
        <patternFill>
          <bgColor theme="4" tint="0.39994506668294322"/>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4" tint="-0.499984740745262"/>
      </font>
      <fill>
        <patternFill>
          <bgColor theme="4" tint="0.3999450666829432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4" tint="-0.499984740745262"/>
      </font>
      <fill>
        <patternFill>
          <bgColor theme="4" tint="0.39994506668294322"/>
        </patternFill>
      </fill>
    </dxf>
    <dxf>
      <font>
        <color rgb="FF9C0006"/>
      </font>
      <fill>
        <patternFill>
          <bgColor rgb="FFFFC7CE"/>
        </patternFill>
      </fill>
    </dxf>
    <dxf>
      <font>
        <color rgb="FF006100"/>
      </font>
      <fill>
        <patternFill>
          <bgColor rgb="FFC6EFCE"/>
        </patternFill>
      </fill>
    </dxf>
    <dxf>
      <font>
        <color theme="4" tint="-0.499984740745262"/>
      </font>
      <fill>
        <patternFill>
          <bgColor theme="4" tint="0.39994506668294322"/>
        </patternFill>
      </fill>
    </dxf>
    <dxf>
      <font>
        <color rgb="FF9C0006"/>
      </font>
      <fill>
        <patternFill>
          <bgColor rgb="FFFFC7CE"/>
        </patternFill>
      </fill>
    </dxf>
    <dxf>
      <font>
        <color rgb="FF006100"/>
      </font>
      <fill>
        <patternFill>
          <bgColor rgb="FFC6EFCE"/>
        </patternFill>
      </fill>
    </dxf>
    <dxf>
      <font>
        <color theme="4" tint="-0.499984740745262"/>
      </font>
      <fill>
        <patternFill>
          <bgColor theme="4" tint="0.39994506668294322"/>
        </patternFill>
      </fill>
    </dxf>
    <dxf>
      <font>
        <color rgb="FF9C0006"/>
      </font>
      <fill>
        <patternFill>
          <bgColor rgb="FFFFC7CE"/>
        </patternFill>
      </fill>
    </dxf>
    <dxf>
      <font>
        <color rgb="FF006100"/>
      </font>
      <fill>
        <patternFill>
          <bgColor rgb="FFC6EFCE"/>
        </patternFill>
      </fill>
    </dxf>
    <dxf>
      <font>
        <color theme="4" tint="-0.499984740745262"/>
      </font>
      <fill>
        <patternFill>
          <bgColor theme="4" tint="0.39994506668294322"/>
        </patternFill>
      </fill>
    </dxf>
    <dxf>
      <font>
        <color rgb="FF9C0006"/>
      </font>
      <fill>
        <patternFill>
          <bgColor rgb="FFFFC7CE"/>
        </patternFill>
      </fill>
    </dxf>
    <dxf>
      <font>
        <color rgb="FF006100"/>
      </font>
      <fill>
        <patternFill>
          <bgColor rgb="FFC6EFCE"/>
        </patternFill>
      </fill>
    </dxf>
    <dxf>
      <font>
        <color theme="4" tint="-0.499984740745262"/>
      </font>
      <fill>
        <patternFill>
          <bgColor theme="4" tint="0.39994506668294322"/>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theme="4" tint="-0.499984740745262"/>
      </font>
      <fill>
        <patternFill>
          <bgColor theme="4" tint="0.39994506668294322"/>
        </patternFill>
      </fill>
    </dxf>
    <dxf>
      <font>
        <color rgb="FF9C0006"/>
      </font>
      <fill>
        <patternFill>
          <bgColor rgb="FFFFC7CE"/>
        </patternFill>
      </fill>
    </dxf>
    <dxf>
      <font>
        <color rgb="FF006100"/>
      </font>
      <fill>
        <patternFill>
          <bgColor rgb="FFC6EFCE"/>
        </patternFill>
      </fill>
    </dxf>
    <dxf>
      <font>
        <color theme="4" tint="-0.499984740745262"/>
      </font>
      <fill>
        <patternFill>
          <bgColor theme="4" tint="0.39994506668294322"/>
        </patternFill>
      </fill>
    </dxf>
    <dxf>
      <font>
        <color theme="4" tint="-0.499984740745262"/>
      </font>
      <fill>
        <patternFill>
          <bgColor theme="4" tint="0.39994506668294322"/>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7030A0"/>
      </font>
      <fill>
        <patternFill>
          <bgColor rgb="FFCC99FF"/>
        </patternFill>
      </fill>
    </dxf>
    <dxf>
      <font>
        <color theme="4" tint="-0.499984740745262"/>
      </font>
      <fill>
        <patternFill>
          <bgColor theme="4" tint="0.39994506668294322"/>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7030A0"/>
      </font>
      <fill>
        <patternFill>
          <bgColor rgb="FFCC99FF"/>
        </patternFill>
      </fill>
    </dxf>
    <dxf>
      <font>
        <color theme="4" tint="-0.499984740745262"/>
      </font>
      <fill>
        <patternFill>
          <bgColor theme="4" tint="0.39994506668294322"/>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theme="4" tint="-0.499984740745262"/>
      </font>
      <fill>
        <patternFill>
          <bgColor theme="4" tint="0.39994506668294322"/>
        </patternFill>
      </fill>
    </dxf>
    <dxf>
      <font>
        <color rgb="FF9C6500"/>
      </font>
      <fill>
        <patternFill>
          <bgColor rgb="FFFFEB9C"/>
        </patternFill>
      </fill>
    </dxf>
    <dxf>
      <font>
        <color rgb="FF7030A0"/>
      </font>
      <fill>
        <patternFill>
          <bgColor rgb="FFCC99FF"/>
        </patternFill>
      </fill>
    </dxf>
    <dxf>
      <font>
        <color theme="4" tint="-0.499984740745262"/>
      </font>
      <fill>
        <patternFill>
          <bgColor theme="4" tint="0.59996337778862885"/>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theme="4" tint="-0.499984740745262"/>
      </font>
      <fill>
        <patternFill>
          <bgColor theme="4"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theme="4" tint="-0.499984740745262"/>
      </font>
      <fill>
        <patternFill>
          <bgColor theme="4" tint="0.59996337778862885"/>
        </patternFill>
      </fill>
    </dxf>
    <dxf>
      <font>
        <color rgb="FF9C0006"/>
      </font>
      <fill>
        <patternFill>
          <bgColor rgb="FFFFC7CE"/>
        </patternFill>
      </fill>
    </dxf>
    <dxf>
      <font>
        <color rgb="FF006100"/>
      </font>
      <fill>
        <patternFill>
          <bgColor rgb="FFC6EFCE"/>
        </patternFill>
      </fill>
    </dxf>
    <dxf>
      <font>
        <color theme="4" tint="-0.499984740745262"/>
      </font>
      <fill>
        <patternFill>
          <bgColor theme="4" tint="0.39994506668294322"/>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theme="4" tint="-0.499984740745262"/>
      </font>
      <fill>
        <patternFill>
          <bgColor theme="4" tint="0.59996337778862885"/>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theme="4" tint="-0.499984740745262"/>
      </font>
      <fill>
        <patternFill>
          <bgColor theme="4" tint="0.59996337778862885"/>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theme="4" tint="-0.499984740745262"/>
      </font>
      <fill>
        <patternFill>
          <bgColor theme="4" tint="0.39994506668294322"/>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theme="9" tint="-0.499984740745262"/>
      </font>
      <fill>
        <patternFill>
          <bgColor theme="9" tint="0.39994506668294322"/>
        </patternFill>
      </fill>
    </dxf>
    <dxf>
      <font>
        <color rgb="FF9C0006"/>
      </font>
      <fill>
        <patternFill>
          <bgColor rgb="FFFFC7CE"/>
        </patternFill>
      </fill>
    </dxf>
    <dxf>
      <font>
        <color theme="4" tint="-0.499984740745262"/>
      </font>
      <fill>
        <patternFill>
          <bgColor theme="4" tint="0.39994506668294322"/>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theme="4" tint="-0.499984740745262"/>
      </font>
      <fill>
        <patternFill>
          <bgColor theme="4" tint="0.39994506668294322"/>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theme="4" tint="-0.499984740745262"/>
      </font>
      <fill>
        <patternFill>
          <bgColor theme="4" tint="0.39994506668294322"/>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4" tint="-0.499984740745262"/>
      </font>
      <fill>
        <patternFill>
          <bgColor theme="4" tint="0.39994506668294322"/>
        </patternFill>
      </fill>
    </dxf>
    <dxf>
      <font>
        <color rgb="FF9C0006"/>
      </font>
      <fill>
        <patternFill>
          <bgColor rgb="FFFFC7CE"/>
        </patternFill>
      </fill>
    </dxf>
    <dxf>
      <font>
        <color rgb="FF006100"/>
      </font>
      <fill>
        <patternFill>
          <bgColor rgb="FFC6EFCE"/>
        </patternFill>
      </fill>
    </dxf>
    <dxf>
      <font>
        <color theme="4" tint="-0.499984740745262"/>
      </font>
      <fill>
        <patternFill>
          <bgColor theme="4" tint="0.39994506668294322"/>
        </patternFill>
      </fill>
    </dxf>
    <dxf>
      <font>
        <color rgb="FF9C0006"/>
      </font>
      <fill>
        <patternFill>
          <bgColor rgb="FFFFC7CE"/>
        </patternFill>
      </fill>
    </dxf>
    <dxf>
      <font>
        <color rgb="FF006100"/>
      </font>
      <fill>
        <patternFill>
          <bgColor rgb="FFC6EFCE"/>
        </patternFill>
      </fill>
    </dxf>
    <dxf>
      <font>
        <color theme="4" tint="-0.499984740745262"/>
      </font>
      <fill>
        <patternFill>
          <bgColor theme="4" tint="0.39994506668294322"/>
        </patternFill>
      </fill>
    </dxf>
    <dxf>
      <font>
        <color rgb="FF9C0006"/>
      </font>
      <fill>
        <patternFill>
          <bgColor rgb="FFFFC7CE"/>
        </patternFill>
      </fill>
    </dxf>
    <dxf>
      <font>
        <color rgb="FF006100"/>
      </font>
      <fill>
        <patternFill>
          <bgColor rgb="FFC6EFCE"/>
        </patternFill>
      </fill>
    </dxf>
    <dxf>
      <font>
        <color theme="4" tint="-0.499984740745262"/>
      </font>
      <fill>
        <patternFill>
          <bgColor theme="4" tint="0.39994506668294322"/>
        </patternFill>
      </fill>
    </dxf>
    <dxf>
      <font>
        <color rgb="FF9C0006"/>
      </font>
      <fill>
        <patternFill>
          <bgColor rgb="FFFFC7CE"/>
        </patternFill>
      </fill>
    </dxf>
    <dxf>
      <font>
        <color rgb="FF006100"/>
      </font>
      <fill>
        <patternFill>
          <bgColor rgb="FFC6EFCE"/>
        </patternFill>
      </fill>
    </dxf>
    <dxf>
      <font>
        <color theme="4" tint="-0.499984740745262"/>
      </font>
      <fill>
        <patternFill>
          <bgColor theme="4" tint="0.39994506668294322"/>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theme="4" tint="-0.499984740745262"/>
      </font>
      <fill>
        <patternFill>
          <bgColor theme="4" tint="0.39994506668294322"/>
        </patternFill>
      </fill>
    </dxf>
    <dxf>
      <font>
        <color rgb="FF9C0006"/>
      </font>
      <fill>
        <patternFill>
          <bgColor rgb="FFFFC7CE"/>
        </patternFill>
      </fill>
    </dxf>
    <dxf>
      <font>
        <color rgb="FF006100"/>
      </font>
      <fill>
        <patternFill>
          <bgColor rgb="FFC6EFCE"/>
        </patternFill>
      </fill>
    </dxf>
    <dxf>
      <font>
        <color theme="4" tint="-0.499984740745262"/>
      </font>
      <fill>
        <patternFill>
          <bgColor theme="4" tint="0.39994506668294322"/>
        </patternFill>
      </fill>
    </dxf>
    <dxf>
      <font>
        <color theme="4" tint="-0.499984740745262"/>
      </font>
      <fill>
        <patternFill>
          <bgColor theme="4" tint="0.39994506668294322"/>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7030A0"/>
      </font>
      <fill>
        <patternFill>
          <bgColor rgb="FFCC99FF"/>
        </patternFill>
      </fill>
    </dxf>
    <dxf>
      <font>
        <color theme="4" tint="-0.499984740745262"/>
      </font>
      <fill>
        <patternFill>
          <bgColor theme="4" tint="0.39994506668294322"/>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7030A0"/>
      </font>
      <fill>
        <patternFill>
          <bgColor rgb="FFCC99FF"/>
        </patternFill>
      </fill>
    </dxf>
    <dxf>
      <font>
        <color rgb="FF9C0006"/>
      </font>
      <fill>
        <patternFill>
          <bgColor rgb="FFFFC7CE"/>
        </patternFill>
      </fill>
    </dxf>
    <dxf>
      <font>
        <color rgb="FF006100"/>
      </font>
      <fill>
        <patternFill>
          <bgColor rgb="FFC6EFCE"/>
        </patternFill>
      </fill>
    </dxf>
    <dxf>
      <font>
        <color theme="4" tint="-0.499984740745262"/>
      </font>
      <fill>
        <patternFill>
          <bgColor theme="4" tint="0.39994506668294322"/>
        </patternFill>
      </fill>
    </dxf>
    <dxf>
      <font>
        <color rgb="FF9C6500"/>
      </font>
      <fill>
        <patternFill>
          <bgColor rgb="FFFFEB9C"/>
        </patternFill>
      </fill>
    </dxf>
    <dxf>
      <font>
        <color rgb="FF7030A0"/>
      </font>
      <fill>
        <patternFill>
          <bgColor rgb="FFCC99FF"/>
        </patternFill>
      </fill>
    </dxf>
    <dxf>
      <font>
        <color theme="4" tint="-0.499984740745262"/>
      </font>
      <fill>
        <patternFill>
          <bgColor theme="4" tint="0.59996337778862885"/>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theme="4" tint="-0.499984740745262"/>
      </font>
      <fill>
        <patternFill>
          <bgColor theme="4"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theme="4" tint="-0.499984740745262"/>
      </font>
      <fill>
        <patternFill>
          <bgColor theme="4" tint="0.59996337778862885"/>
        </patternFill>
      </fill>
    </dxf>
    <dxf>
      <font>
        <color rgb="FF9C0006"/>
      </font>
      <fill>
        <patternFill>
          <bgColor rgb="FFFFC7CE"/>
        </patternFill>
      </fill>
    </dxf>
    <dxf>
      <font>
        <color rgb="FF006100"/>
      </font>
      <fill>
        <patternFill>
          <bgColor rgb="FFC6EFCE"/>
        </patternFill>
      </fill>
    </dxf>
    <dxf>
      <font>
        <color theme="4" tint="-0.499984740745262"/>
      </font>
      <fill>
        <patternFill>
          <bgColor theme="4" tint="0.39994506668294322"/>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theme="4" tint="-0.499984740745262"/>
      </font>
      <fill>
        <patternFill>
          <bgColor theme="4" tint="0.59996337778862885"/>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theme="4" tint="-0.499984740745262"/>
      </font>
      <fill>
        <patternFill>
          <bgColor theme="4" tint="0.59996337778862885"/>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4" tint="-0.499984740745262"/>
      </font>
      <fill>
        <patternFill>
          <bgColor theme="4" tint="0.3999450666829432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theme="9" tint="-0.499984740745262"/>
      </font>
      <fill>
        <patternFill>
          <bgColor theme="9" tint="0.59996337778862885"/>
        </patternFill>
      </fill>
    </dxf>
    <dxf>
      <font>
        <color theme="4" tint="-0.499984740745262"/>
      </font>
      <fill>
        <patternFill>
          <bgColor theme="4" tint="0.39994506668294322"/>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theme="4" tint="-0.499984740745262"/>
      </font>
      <fill>
        <patternFill>
          <bgColor theme="4" tint="0.39994506668294322"/>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4" tint="-0.499984740745262"/>
      </font>
      <fill>
        <patternFill>
          <bgColor theme="4" tint="0.39994506668294322"/>
        </patternFill>
      </fill>
    </dxf>
    <dxf>
      <font>
        <color rgb="FF006100"/>
      </font>
      <fill>
        <patternFill>
          <bgColor rgb="FFC6EFCE"/>
        </patternFill>
      </fill>
    </dxf>
    <dxf>
      <font>
        <color rgb="FF9C0006"/>
      </font>
      <fill>
        <patternFill>
          <bgColor rgb="FFFFC7CE"/>
        </patternFill>
      </fill>
    </dxf>
    <dxf>
      <font>
        <color theme="4" tint="-0.499984740745262"/>
      </font>
      <fill>
        <patternFill>
          <bgColor theme="4" tint="0.59996337778862885"/>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theme="4" tint="-0.499984740745262"/>
      </font>
      <fill>
        <patternFill>
          <bgColor theme="4"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theme="4" tint="-0.499984740745262"/>
      </font>
      <fill>
        <patternFill>
          <bgColor theme="4" tint="0.59996337778862885"/>
        </patternFill>
      </fill>
    </dxf>
    <dxf>
      <font>
        <color theme="4" tint="-0.499984740745262"/>
      </font>
      <fill>
        <patternFill>
          <bgColor theme="4" tint="0.59996337778862885"/>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theme="4" tint="-0.499984740745262"/>
      </font>
      <fill>
        <patternFill>
          <bgColor theme="4" tint="0.59996337778862885"/>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5" tint="-0.499984740745262"/>
      </font>
      <fill>
        <patternFill>
          <bgColor theme="5" tint="0.59996337778862885"/>
        </patternFill>
      </fill>
    </dxf>
    <dxf>
      <font>
        <color theme="4" tint="-0.499984740745262"/>
      </font>
      <fill>
        <patternFill>
          <bgColor theme="4"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colors>
    <mruColors>
      <color rgb="FFCC99FF"/>
      <color rgb="FFCC66FF"/>
      <color rgb="FFC6E0B4"/>
      <color rgb="FFFFCCCC"/>
      <color rgb="FFFF9999"/>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hyperlink" Target="#'Table of Contents'!A1"/></Relationships>
</file>

<file path=xl/drawings/_rels/drawing10.xml.rels><?xml version="1.0" encoding="UTF-8" standalone="yes"?>
<Relationships xmlns="http://schemas.openxmlformats.org/package/2006/relationships"><Relationship Id="rId3" Type="http://schemas.openxmlformats.org/officeDocument/2006/relationships/hyperlink" Target="#'%24HR_F2F Appts'!A1"/><Relationship Id="rId2" Type="http://schemas.openxmlformats.org/officeDocument/2006/relationships/hyperlink" Target="#'%Plan Appts &gt;= 1500 Hrs'!A1"/><Relationship Id="rId1" Type="http://schemas.openxmlformats.org/officeDocument/2006/relationships/hyperlink" Target="#'Table of Contents'!A1"/><Relationship Id="rId5" Type="http://schemas.openxmlformats.org/officeDocument/2006/relationships/hyperlink" Target="#'%24HR_FTR TOL Appt'!A1"/><Relationship Id="rId4" Type="http://schemas.openxmlformats.org/officeDocument/2006/relationships/hyperlink" Target="#'Restrictive Detail Code %'!A1"/></Relationships>
</file>

<file path=xl/drawings/_rels/drawing11.xml.rels><?xml version="1.0" encoding="UTF-8" standalone="yes"?>
<Relationships xmlns="http://schemas.openxmlformats.org/package/2006/relationships"><Relationship Id="rId3" Type="http://schemas.openxmlformats.org/officeDocument/2006/relationships/hyperlink" Target="#'%24HR_F2F Appts'!A1"/><Relationship Id="rId2" Type="http://schemas.openxmlformats.org/officeDocument/2006/relationships/hyperlink" Target="#'%Plan Appts &gt;= 1500 Hrs'!A1"/><Relationship Id="rId1" Type="http://schemas.openxmlformats.org/officeDocument/2006/relationships/hyperlink" Target="#'Table of Contents'!A1"/><Relationship Id="rId5" Type="http://schemas.openxmlformats.org/officeDocument/2006/relationships/hyperlink" Target="#'%24HR_FTR TOL Appt'!A1"/><Relationship Id="rId4" Type="http://schemas.openxmlformats.org/officeDocument/2006/relationships/hyperlink" Target="#'Restrictive Detail Code %'!A1"/></Relationships>
</file>

<file path=xl/drawings/_rels/drawing2.xml.rels><?xml version="1.0" encoding="UTF-8" standalone="yes"?>
<Relationships xmlns="http://schemas.openxmlformats.org/package/2006/relationships"><Relationship Id="rId2" Type="http://schemas.openxmlformats.org/officeDocument/2006/relationships/hyperlink" Target="#TopofApptTgts"/><Relationship Id="rId1" Type="http://schemas.openxmlformats.org/officeDocument/2006/relationships/hyperlink" Target="#'Table of Contents'!A1"/></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3" Type="http://schemas.openxmlformats.org/officeDocument/2006/relationships/hyperlink" Target="#'%24HR_F2F Appts'!A1"/><Relationship Id="rId2" Type="http://schemas.openxmlformats.org/officeDocument/2006/relationships/hyperlink" Target="#'%Plan Appts &gt;= 1500 Hrs'!A1"/><Relationship Id="rId1" Type="http://schemas.openxmlformats.org/officeDocument/2006/relationships/hyperlink" Target="#Overview!A1"/><Relationship Id="rId6" Type="http://schemas.openxmlformats.org/officeDocument/2006/relationships/hyperlink" Target="#'% Authorized Appt Types'!A1"/><Relationship Id="rId5" Type="http://schemas.openxmlformats.org/officeDocument/2006/relationships/hyperlink" Target="#'%24HR_FTR TOL Appt'!A1"/><Relationship Id="rId4" Type="http://schemas.openxmlformats.org/officeDocument/2006/relationships/hyperlink" Target="#'Restrictive Detail Code %'!A1"/></Relationships>
</file>

<file path=xl/drawings/_rels/drawing8.xml.rels><?xml version="1.0" encoding="UTF-8" standalone="yes"?>
<Relationships xmlns="http://schemas.openxmlformats.org/package/2006/relationships"><Relationship Id="rId3" Type="http://schemas.openxmlformats.org/officeDocument/2006/relationships/hyperlink" Target="#'%24HR_F2F Appts'!A1"/><Relationship Id="rId2" Type="http://schemas.openxmlformats.org/officeDocument/2006/relationships/hyperlink" Target="#'%Plan Appts &gt;= 1500 Hrs'!A1"/><Relationship Id="rId1" Type="http://schemas.openxmlformats.org/officeDocument/2006/relationships/hyperlink" Target="#'Table of Contents'!A1"/><Relationship Id="rId5" Type="http://schemas.openxmlformats.org/officeDocument/2006/relationships/hyperlink" Target="#'%24HR_FTR TOL Appt'!A1"/><Relationship Id="rId4" Type="http://schemas.openxmlformats.org/officeDocument/2006/relationships/hyperlink" Target="#'Restrictive Detail Code %'!A1"/></Relationships>
</file>

<file path=xl/drawings/_rels/drawing9.xml.rels><?xml version="1.0" encoding="UTF-8" standalone="yes"?>
<Relationships xmlns="http://schemas.openxmlformats.org/package/2006/relationships"><Relationship Id="rId3" Type="http://schemas.openxmlformats.org/officeDocument/2006/relationships/hyperlink" Target="#'%24HR_F2F Appts'!A1"/><Relationship Id="rId2" Type="http://schemas.openxmlformats.org/officeDocument/2006/relationships/hyperlink" Target="#'%Plan Appts &gt;= 1500 Hrs'!A1"/><Relationship Id="rId1" Type="http://schemas.openxmlformats.org/officeDocument/2006/relationships/hyperlink" Target="#'Table of Contents'!A1"/><Relationship Id="rId5" Type="http://schemas.openxmlformats.org/officeDocument/2006/relationships/hyperlink" Target="#'%24HR_FTR TOL Appt'!A1"/><Relationship Id="rId4" Type="http://schemas.openxmlformats.org/officeDocument/2006/relationships/hyperlink" Target="#'Restrictive Detail Code %'!A1"/></Relationships>
</file>

<file path=xl/drawings/drawing1.xml><?xml version="1.0" encoding="utf-8"?>
<xdr:wsDr xmlns:xdr="http://schemas.openxmlformats.org/drawingml/2006/spreadsheetDrawing" xmlns:a="http://schemas.openxmlformats.org/drawingml/2006/main">
  <xdr:twoCellAnchor>
    <xdr:from>
      <xdr:col>3</xdr:col>
      <xdr:colOff>85725</xdr:colOff>
      <xdr:row>0</xdr:row>
      <xdr:rowOff>66675</xdr:rowOff>
    </xdr:from>
    <xdr:to>
      <xdr:col>4</xdr:col>
      <xdr:colOff>2897188</xdr:colOff>
      <xdr:row>2</xdr:row>
      <xdr:rowOff>151606</xdr:rowOff>
    </xdr:to>
    <xdr:sp macro="" textlink="">
      <xdr:nvSpPr>
        <xdr:cNvPr id="9" name="Rounded Rectangle 8">
          <a:hlinkClick xmlns:r="http://schemas.openxmlformats.org/officeDocument/2006/relationships" r:id="rId1"/>
        </xdr:cNvPr>
        <xdr:cNvSpPr/>
      </xdr:nvSpPr>
      <xdr:spPr>
        <a:xfrm>
          <a:off x="8982075" y="66675"/>
          <a:ext cx="3497263" cy="656431"/>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b="1"/>
            <a:t>Back to Table</a:t>
          </a:r>
          <a:r>
            <a:rPr lang="en-US" sz="2000" b="1" baseline="0"/>
            <a:t> of Contents</a:t>
          </a: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12</xdr:col>
      <xdr:colOff>638175</xdr:colOff>
      <xdr:row>10</xdr:row>
      <xdr:rowOff>152400</xdr:rowOff>
    </xdr:from>
    <xdr:to>
      <xdr:col>17</xdr:col>
      <xdr:colOff>20638</xdr:colOff>
      <xdr:row>14</xdr:row>
      <xdr:rowOff>46831</xdr:rowOff>
    </xdr:to>
    <xdr:sp macro="" textlink="">
      <xdr:nvSpPr>
        <xdr:cNvPr id="9" name="Rounded Rectangle 8">
          <a:hlinkClick xmlns:r="http://schemas.openxmlformats.org/officeDocument/2006/relationships" r:id="rId1"/>
        </xdr:cNvPr>
        <xdr:cNvSpPr/>
      </xdr:nvSpPr>
      <xdr:spPr>
        <a:xfrm>
          <a:off x="8905875" y="2019300"/>
          <a:ext cx="3497263" cy="656431"/>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b="1"/>
            <a:t>Back to Table of Contents</a:t>
          </a:r>
        </a:p>
      </xdr:txBody>
    </xdr:sp>
    <xdr:clientData/>
  </xdr:twoCellAnchor>
  <xdr:twoCellAnchor>
    <xdr:from>
      <xdr:col>12</xdr:col>
      <xdr:colOff>627063</xdr:colOff>
      <xdr:row>14</xdr:row>
      <xdr:rowOff>129381</xdr:rowOff>
    </xdr:from>
    <xdr:to>
      <xdr:col>17</xdr:col>
      <xdr:colOff>33338</xdr:colOff>
      <xdr:row>18</xdr:row>
      <xdr:rowOff>78580</xdr:rowOff>
    </xdr:to>
    <xdr:sp macro="" textlink="">
      <xdr:nvSpPr>
        <xdr:cNvPr id="10" name="Rounded Rectangle 9">
          <a:hlinkClick xmlns:r="http://schemas.openxmlformats.org/officeDocument/2006/relationships" r:id="rId2"/>
        </xdr:cNvPr>
        <xdr:cNvSpPr/>
      </xdr:nvSpPr>
      <xdr:spPr>
        <a:xfrm>
          <a:off x="8894763" y="2767806"/>
          <a:ext cx="3521075" cy="701674"/>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b="1"/>
            <a:t>%</a:t>
          </a:r>
          <a:r>
            <a:rPr lang="en-US" sz="2000" b="1" baseline="0"/>
            <a:t> Plan Appts &gt;= 1500 Hrs</a:t>
          </a:r>
          <a:endParaRPr lang="en-US" sz="2000" b="1"/>
        </a:p>
      </xdr:txBody>
    </xdr:sp>
    <xdr:clientData/>
  </xdr:twoCellAnchor>
  <xdr:twoCellAnchor>
    <xdr:from>
      <xdr:col>12</xdr:col>
      <xdr:colOff>639763</xdr:colOff>
      <xdr:row>18</xdr:row>
      <xdr:rowOff>157955</xdr:rowOff>
    </xdr:from>
    <xdr:to>
      <xdr:col>17</xdr:col>
      <xdr:colOff>46038</xdr:colOff>
      <xdr:row>22</xdr:row>
      <xdr:rowOff>46829</xdr:rowOff>
    </xdr:to>
    <xdr:sp macro="" textlink="">
      <xdr:nvSpPr>
        <xdr:cNvPr id="11" name="Rounded Rectangle 10">
          <a:hlinkClick xmlns:r="http://schemas.openxmlformats.org/officeDocument/2006/relationships" r:id="rId3"/>
        </xdr:cNvPr>
        <xdr:cNvSpPr/>
      </xdr:nvSpPr>
      <xdr:spPr>
        <a:xfrm>
          <a:off x="8907463" y="3548855"/>
          <a:ext cx="3521075" cy="631824"/>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b="1"/>
            <a:t>%</a:t>
          </a:r>
          <a:r>
            <a:rPr lang="en-US" sz="2000" b="1" baseline="0"/>
            <a:t> 24HR F2F Appts</a:t>
          </a:r>
          <a:endParaRPr lang="en-US" sz="2000" b="1"/>
        </a:p>
      </xdr:txBody>
    </xdr:sp>
    <xdr:clientData/>
  </xdr:twoCellAnchor>
  <xdr:twoCellAnchor>
    <xdr:from>
      <xdr:col>12</xdr:col>
      <xdr:colOff>639763</xdr:colOff>
      <xdr:row>22</xdr:row>
      <xdr:rowOff>142080</xdr:rowOff>
    </xdr:from>
    <xdr:to>
      <xdr:col>17</xdr:col>
      <xdr:colOff>46038</xdr:colOff>
      <xdr:row>26</xdr:row>
      <xdr:rowOff>81755</xdr:rowOff>
    </xdr:to>
    <xdr:sp macro="" textlink="">
      <xdr:nvSpPr>
        <xdr:cNvPr id="12" name="Rounded Rectangle 11">
          <a:hlinkClick xmlns:r="http://schemas.openxmlformats.org/officeDocument/2006/relationships" r:id="rId4"/>
        </xdr:cNvPr>
        <xdr:cNvSpPr/>
      </xdr:nvSpPr>
      <xdr:spPr>
        <a:xfrm>
          <a:off x="8907463" y="4275930"/>
          <a:ext cx="3521075" cy="7016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b="1"/>
            <a:t>%</a:t>
          </a:r>
          <a:r>
            <a:rPr lang="en-US" sz="2000" b="1" baseline="0"/>
            <a:t> Restrictive Detail Code</a:t>
          </a:r>
          <a:endParaRPr lang="en-US" sz="2000" b="1"/>
        </a:p>
      </xdr:txBody>
    </xdr:sp>
    <xdr:clientData/>
  </xdr:twoCellAnchor>
  <xdr:twoCellAnchor>
    <xdr:from>
      <xdr:col>12</xdr:col>
      <xdr:colOff>639763</xdr:colOff>
      <xdr:row>26</xdr:row>
      <xdr:rowOff>170655</xdr:rowOff>
    </xdr:from>
    <xdr:to>
      <xdr:col>17</xdr:col>
      <xdr:colOff>46038</xdr:colOff>
      <xdr:row>30</xdr:row>
      <xdr:rowOff>95250</xdr:rowOff>
    </xdr:to>
    <xdr:sp macro="" textlink="">
      <xdr:nvSpPr>
        <xdr:cNvPr id="13" name="Rounded Rectangle 12">
          <a:hlinkClick xmlns:r="http://schemas.openxmlformats.org/officeDocument/2006/relationships" r:id="rId5"/>
        </xdr:cNvPr>
        <xdr:cNvSpPr/>
      </xdr:nvSpPr>
      <xdr:spPr>
        <a:xfrm>
          <a:off x="8907463" y="5066505"/>
          <a:ext cx="3521075" cy="67707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b="1"/>
            <a:t>%</a:t>
          </a:r>
          <a:r>
            <a:rPr lang="en-US" sz="2000" b="1" baseline="0"/>
            <a:t> 24HR &amp; FTR TOL Avail</a:t>
          </a:r>
          <a:endParaRPr lang="en-US" sz="2000" b="1"/>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12</xdr:col>
      <xdr:colOff>1076325</xdr:colOff>
      <xdr:row>6</xdr:row>
      <xdr:rowOff>152400</xdr:rowOff>
    </xdr:from>
    <xdr:to>
      <xdr:col>14</xdr:col>
      <xdr:colOff>1296988</xdr:colOff>
      <xdr:row>10</xdr:row>
      <xdr:rowOff>46831</xdr:rowOff>
    </xdr:to>
    <xdr:sp macro="" textlink="">
      <xdr:nvSpPr>
        <xdr:cNvPr id="9" name="Rounded Rectangle 8">
          <a:hlinkClick xmlns:r="http://schemas.openxmlformats.org/officeDocument/2006/relationships" r:id="rId1"/>
        </xdr:cNvPr>
        <xdr:cNvSpPr/>
      </xdr:nvSpPr>
      <xdr:spPr>
        <a:xfrm>
          <a:off x="9496425" y="1285875"/>
          <a:ext cx="3497263" cy="656431"/>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b="1"/>
            <a:t>Back to Table of Contents</a:t>
          </a:r>
        </a:p>
      </xdr:txBody>
    </xdr:sp>
    <xdr:clientData/>
  </xdr:twoCellAnchor>
  <xdr:twoCellAnchor>
    <xdr:from>
      <xdr:col>12</xdr:col>
      <xdr:colOff>1074738</xdr:colOff>
      <xdr:row>10</xdr:row>
      <xdr:rowOff>148431</xdr:rowOff>
    </xdr:from>
    <xdr:to>
      <xdr:col>14</xdr:col>
      <xdr:colOff>1319213</xdr:colOff>
      <xdr:row>14</xdr:row>
      <xdr:rowOff>88105</xdr:rowOff>
    </xdr:to>
    <xdr:sp macro="" textlink="">
      <xdr:nvSpPr>
        <xdr:cNvPr id="10" name="Rounded Rectangle 9">
          <a:hlinkClick xmlns:r="http://schemas.openxmlformats.org/officeDocument/2006/relationships" r:id="rId2"/>
        </xdr:cNvPr>
        <xdr:cNvSpPr/>
      </xdr:nvSpPr>
      <xdr:spPr>
        <a:xfrm>
          <a:off x="9494838" y="2043906"/>
          <a:ext cx="3521075" cy="701674"/>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b="1"/>
            <a:t>%</a:t>
          </a:r>
          <a:r>
            <a:rPr lang="en-US" sz="2000" b="1" baseline="0"/>
            <a:t> Plan Appts &gt;= 1500 Hrs</a:t>
          </a:r>
          <a:endParaRPr lang="en-US" sz="2000" b="1"/>
        </a:p>
      </xdr:txBody>
    </xdr:sp>
    <xdr:clientData/>
  </xdr:twoCellAnchor>
  <xdr:twoCellAnchor>
    <xdr:from>
      <xdr:col>12</xdr:col>
      <xdr:colOff>1087438</xdr:colOff>
      <xdr:row>14</xdr:row>
      <xdr:rowOff>167480</xdr:rowOff>
    </xdr:from>
    <xdr:to>
      <xdr:col>14</xdr:col>
      <xdr:colOff>1331913</xdr:colOff>
      <xdr:row>18</xdr:row>
      <xdr:rowOff>37304</xdr:rowOff>
    </xdr:to>
    <xdr:sp macro="" textlink="">
      <xdr:nvSpPr>
        <xdr:cNvPr id="11" name="Rounded Rectangle 10">
          <a:hlinkClick xmlns:r="http://schemas.openxmlformats.org/officeDocument/2006/relationships" r:id="rId3"/>
        </xdr:cNvPr>
        <xdr:cNvSpPr/>
      </xdr:nvSpPr>
      <xdr:spPr>
        <a:xfrm>
          <a:off x="9507538" y="2824955"/>
          <a:ext cx="3521075" cy="631824"/>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b="1"/>
            <a:t>%</a:t>
          </a:r>
          <a:r>
            <a:rPr lang="en-US" sz="2000" b="1" baseline="0"/>
            <a:t> 24HR F2F Appts</a:t>
          </a:r>
          <a:endParaRPr lang="en-US" sz="2000" b="1"/>
        </a:p>
      </xdr:txBody>
    </xdr:sp>
    <xdr:clientData/>
  </xdr:twoCellAnchor>
  <xdr:twoCellAnchor>
    <xdr:from>
      <xdr:col>12</xdr:col>
      <xdr:colOff>1087438</xdr:colOff>
      <xdr:row>18</xdr:row>
      <xdr:rowOff>132555</xdr:rowOff>
    </xdr:from>
    <xdr:to>
      <xdr:col>14</xdr:col>
      <xdr:colOff>1331913</xdr:colOff>
      <xdr:row>22</xdr:row>
      <xdr:rowOff>81755</xdr:rowOff>
    </xdr:to>
    <xdr:sp macro="" textlink="">
      <xdr:nvSpPr>
        <xdr:cNvPr id="12" name="Rounded Rectangle 11">
          <a:hlinkClick xmlns:r="http://schemas.openxmlformats.org/officeDocument/2006/relationships" r:id="rId4"/>
        </xdr:cNvPr>
        <xdr:cNvSpPr/>
      </xdr:nvSpPr>
      <xdr:spPr>
        <a:xfrm>
          <a:off x="9507538" y="3552030"/>
          <a:ext cx="3521075" cy="6921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b="1"/>
            <a:t>%</a:t>
          </a:r>
          <a:r>
            <a:rPr lang="en-US" sz="2000" b="1" baseline="0"/>
            <a:t> Restrictive Detail Code</a:t>
          </a:r>
          <a:endParaRPr lang="en-US" sz="2000" b="1"/>
        </a:p>
      </xdr:txBody>
    </xdr:sp>
    <xdr:clientData/>
  </xdr:twoCellAnchor>
  <xdr:twoCellAnchor>
    <xdr:from>
      <xdr:col>12</xdr:col>
      <xdr:colOff>1087438</xdr:colOff>
      <xdr:row>22</xdr:row>
      <xdr:rowOff>170655</xdr:rowOff>
    </xdr:from>
    <xdr:to>
      <xdr:col>14</xdr:col>
      <xdr:colOff>1331913</xdr:colOff>
      <xdr:row>26</xdr:row>
      <xdr:rowOff>76200</xdr:rowOff>
    </xdr:to>
    <xdr:sp macro="" textlink="">
      <xdr:nvSpPr>
        <xdr:cNvPr id="13" name="Rounded Rectangle 12">
          <a:hlinkClick xmlns:r="http://schemas.openxmlformats.org/officeDocument/2006/relationships" r:id="rId5"/>
        </xdr:cNvPr>
        <xdr:cNvSpPr/>
      </xdr:nvSpPr>
      <xdr:spPr>
        <a:xfrm>
          <a:off x="9507538" y="4333080"/>
          <a:ext cx="3521075" cy="67707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b="1"/>
            <a:t>%</a:t>
          </a:r>
          <a:r>
            <a:rPr lang="en-US" sz="2000" b="1" baseline="0"/>
            <a:t> 24HR &amp; FTR TOL Avail</a:t>
          </a:r>
          <a:endParaRPr lang="en-US" sz="2000" b="1"/>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171450</xdr:colOff>
      <xdr:row>0</xdr:row>
      <xdr:rowOff>76200</xdr:rowOff>
    </xdr:from>
    <xdr:to>
      <xdr:col>1</xdr:col>
      <xdr:colOff>1695904</xdr:colOff>
      <xdr:row>5</xdr:row>
      <xdr:rowOff>12700</xdr:rowOff>
    </xdr:to>
    <xdr:sp macro="" textlink="">
      <xdr:nvSpPr>
        <xdr:cNvPr id="2" name="Rounded Rectangle 1">
          <a:hlinkClick xmlns:r="http://schemas.openxmlformats.org/officeDocument/2006/relationships" r:id="rId1"/>
        </xdr:cNvPr>
        <xdr:cNvSpPr/>
      </xdr:nvSpPr>
      <xdr:spPr>
        <a:xfrm>
          <a:off x="171450" y="76200"/>
          <a:ext cx="2229304" cy="6985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b="1"/>
            <a:t>Back to Table of Contents</a:t>
          </a:r>
        </a:p>
      </xdr:txBody>
    </xdr:sp>
    <xdr:clientData/>
  </xdr:twoCellAnchor>
  <xdr:twoCellAnchor>
    <xdr:from>
      <xdr:col>3</xdr:col>
      <xdr:colOff>200025</xdr:colOff>
      <xdr:row>150</xdr:row>
      <xdr:rowOff>85725</xdr:rowOff>
    </xdr:from>
    <xdr:to>
      <xdr:col>4</xdr:col>
      <xdr:colOff>1162050</xdr:colOff>
      <xdr:row>153</xdr:row>
      <xdr:rowOff>104775</xdr:rowOff>
    </xdr:to>
    <xdr:sp macro="" textlink="">
      <xdr:nvSpPr>
        <xdr:cNvPr id="3" name="Rounded Rectangle 2">
          <a:hlinkClick xmlns:r="http://schemas.openxmlformats.org/officeDocument/2006/relationships" r:id="rId2"/>
        </xdr:cNvPr>
        <xdr:cNvSpPr/>
      </xdr:nvSpPr>
      <xdr:spPr>
        <a:xfrm>
          <a:off x="10439400" y="29594175"/>
          <a:ext cx="2590800" cy="5619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b="1"/>
            <a:t>Back to Top</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338667</xdr:colOff>
      <xdr:row>44</xdr:row>
      <xdr:rowOff>137583</xdr:rowOff>
    </xdr:from>
    <xdr:to>
      <xdr:col>6</xdr:col>
      <xdr:colOff>359834</xdr:colOff>
      <xdr:row>51</xdr:row>
      <xdr:rowOff>63500</xdr:rowOff>
    </xdr:to>
    <xdr:sp macro="" textlink="">
      <xdr:nvSpPr>
        <xdr:cNvPr id="3" name="Rounded Rectangle 2"/>
        <xdr:cNvSpPr/>
      </xdr:nvSpPr>
      <xdr:spPr>
        <a:xfrm>
          <a:off x="338667" y="8614833"/>
          <a:ext cx="4349750" cy="1005417"/>
        </a:xfrm>
        <a:prstGeom prst="roundRect">
          <a:avLst/>
        </a:prstGeom>
        <a:solidFill>
          <a:schemeClr val="accent6"/>
        </a:solidFill>
        <a:ln>
          <a:solidFill>
            <a:schemeClr val="accent6"/>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t>Step 1</a:t>
          </a:r>
          <a:r>
            <a:rPr lang="en-US" sz="1100"/>
            <a:t>: Select Specialty</a:t>
          </a:r>
          <a:r>
            <a:rPr lang="en-US" sz="1100" baseline="0"/>
            <a:t> and Role for provider. Family Health covers both Active Duty clinics (Troop/Warfighter Clinics) and Non Active Duty (Family Health/Beneficiary Clinics). The provider will be assigned a FTE adjustment (3rd row) based off of these inputs.</a:t>
          </a:r>
          <a:endParaRPr lang="en-US" sz="1100"/>
        </a:p>
      </xdr:txBody>
    </xdr:sp>
    <xdr:clientData/>
  </xdr:twoCellAnchor>
  <xdr:twoCellAnchor>
    <xdr:from>
      <xdr:col>7</xdr:col>
      <xdr:colOff>46567</xdr:colOff>
      <xdr:row>44</xdr:row>
      <xdr:rowOff>141817</xdr:rowOff>
    </xdr:from>
    <xdr:to>
      <xdr:col>12</xdr:col>
      <xdr:colOff>427567</xdr:colOff>
      <xdr:row>51</xdr:row>
      <xdr:rowOff>67734</xdr:rowOff>
    </xdr:to>
    <xdr:sp macro="" textlink="">
      <xdr:nvSpPr>
        <xdr:cNvPr id="5" name="Rounded Rectangle 4"/>
        <xdr:cNvSpPr/>
      </xdr:nvSpPr>
      <xdr:spPr>
        <a:xfrm>
          <a:off x="5084234" y="8619067"/>
          <a:ext cx="4349750" cy="1005417"/>
        </a:xfrm>
        <a:prstGeom prst="roundRect">
          <a:avLst/>
        </a:prstGeom>
        <a:solidFill>
          <a:schemeClr val="accent6"/>
        </a:solidFill>
        <a:ln>
          <a:solidFill>
            <a:schemeClr val="accent6"/>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t>Step 2:</a:t>
          </a:r>
          <a:r>
            <a:rPr lang="en-US" sz="1100" b="1" baseline="0"/>
            <a:t> </a:t>
          </a:r>
          <a:r>
            <a:rPr lang="en-US" sz="1100" b="0" baseline="0"/>
            <a:t>Select type of care provider practices in (Primary, Specialty, Mental/Behaviroal). Next, select whether the clinic serves Active Duty, Non Active Duty, or both. The provider must supply a certain amount of appointments per week based off the type of care and beneficiaires (3rd row) based off of these inputs.</a:t>
          </a:r>
          <a:endParaRPr lang="en-US" sz="1100"/>
        </a:p>
      </xdr:txBody>
    </xdr:sp>
    <xdr:clientData/>
  </xdr:twoCellAnchor>
  <xdr:twoCellAnchor>
    <xdr:from>
      <xdr:col>13</xdr:col>
      <xdr:colOff>251883</xdr:colOff>
      <xdr:row>44</xdr:row>
      <xdr:rowOff>146051</xdr:rowOff>
    </xdr:from>
    <xdr:to>
      <xdr:col>19</xdr:col>
      <xdr:colOff>495300</xdr:colOff>
      <xdr:row>51</xdr:row>
      <xdr:rowOff>71968</xdr:rowOff>
    </xdr:to>
    <xdr:sp macro="" textlink="">
      <xdr:nvSpPr>
        <xdr:cNvPr id="6" name="Rounded Rectangle 5"/>
        <xdr:cNvSpPr/>
      </xdr:nvSpPr>
      <xdr:spPr>
        <a:xfrm>
          <a:off x="9766300" y="8623301"/>
          <a:ext cx="4349750" cy="1005417"/>
        </a:xfrm>
        <a:prstGeom prst="roundRect">
          <a:avLst/>
        </a:prstGeom>
        <a:solidFill>
          <a:schemeClr val="accent6"/>
        </a:solidFill>
        <a:ln>
          <a:solidFill>
            <a:schemeClr val="accent6"/>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t>Step 3:</a:t>
          </a:r>
          <a:r>
            <a:rPr lang="en-US" sz="1100" b="1" baseline="0"/>
            <a:t> </a:t>
          </a:r>
          <a:r>
            <a:rPr lang="en-US" sz="1100" b="0" baseline="0"/>
            <a:t>Adjust provider's template above based off of result in "Templated Difference." The 3rd row cell will alert you as to whether the provider is short appointments, at their standard, or over on appointments.</a:t>
          </a:r>
          <a:endParaRPr lang="en-US" sz="1100"/>
        </a:p>
      </xdr:txBody>
    </xdr:sp>
    <xdr:clientData/>
  </xdr:twoCellAnchor>
  <xdr:twoCellAnchor>
    <xdr:from>
      <xdr:col>19</xdr:col>
      <xdr:colOff>584029</xdr:colOff>
      <xdr:row>48</xdr:row>
      <xdr:rowOff>83128</xdr:rowOff>
    </xdr:from>
    <xdr:to>
      <xdr:col>21</xdr:col>
      <xdr:colOff>299048</xdr:colOff>
      <xdr:row>56</xdr:row>
      <xdr:rowOff>24586</xdr:rowOff>
    </xdr:to>
    <xdr:sp macro="" textlink="">
      <xdr:nvSpPr>
        <xdr:cNvPr id="8" name="Curved Down Arrow 7"/>
        <xdr:cNvSpPr/>
      </xdr:nvSpPr>
      <xdr:spPr>
        <a:xfrm rot="5081254">
          <a:off x="14178872" y="9030785"/>
          <a:ext cx="1401958" cy="905644"/>
        </a:xfrm>
        <a:prstGeom prst="curvedDownArrow">
          <a:avLst>
            <a:gd name="adj1" fmla="val 13910"/>
            <a:gd name="adj2" fmla="val 31828"/>
            <a:gd name="adj3" fmla="val 29460"/>
          </a:avLst>
        </a:prstGeom>
      </xdr:spPr>
      <xdr:style>
        <a:lnRef idx="1">
          <a:schemeClr val="dk1"/>
        </a:lnRef>
        <a:fillRef idx="2">
          <a:schemeClr val="dk1"/>
        </a:fillRef>
        <a:effectRef idx="1">
          <a:schemeClr val="dk1"/>
        </a:effectRef>
        <a:fontRef idx="minor">
          <a:schemeClr val="dk1"/>
        </a:fontRef>
      </xdr:style>
      <xdr:txBody>
        <a:bodyPr vertOverflow="clip" horzOverflow="clip" rtlCol="0" anchor="t"/>
        <a:lstStyle/>
        <a:p>
          <a:pPr algn="l"/>
          <a:endParaRPr lang="en-US" sz="1100">
            <a:solidFill>
              <a:schemeClr val="tx1"/>
            </a:solidFill>
          </a:endParaRPr>
        </a:p>
      </xdr:txBody>
    </xdr:sp>
    <xdr:clientData/>
  </xdr:twoCellAnchor>
  <xdr:twoCellAnchor>
    <xdr:from>
      <xdr:col>6</xdr:col>
      <xdr:colOff>275167</xdr:colOff>
      <xdr:row>48</xdr:row>
      <xdr:rowOff>10583</xdr:rowOff>
    </xdr:from>
    <xdr:to>
      <xdr:col>7</xdr:col>
      <xdr:colOff>105833</xdr:colOff>
      <xdr:row>49</xdr:row>
      <xdr:rowOff>95250</xdr:rowOff>
    </xdr:to>
    <xdr:sp macro="" textlink="">
      <xdr:nvSpPr>
        <xdr:cNvPr id="9" name="Right Arrow 8"/>
        <xdr:cNvSpPr/>
      </xdr:nvSpPr>
      <xdr:spPr>
        <a:xfrm>
          <a:off x="4603750" y="9027583"/>
          <a:ext cx="539750" cy="264584"/>
        </a:xfrm>
        <a:prstGeom prst="rightArrow">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289983</xdr:colOff>
      <xdr:row>48</xdr:row>
      <xdr:rowOff>14816</xdr:rowOff>
    </xdr:from>
    <xdr:to>
      <xdr:col>13</xdr:col>
      <xdr:colOff>321733</xdr:colOff>
      <xdr:row>49</xdr:row>
      <xdr:rowOff>99483</xdr:rowOff>
    </xdr:to>
    <xdr:sp macro="" textlink="">
      <xdr:nvSpPr>
        <xdr:cNvPr id="10" name="Right Arrow 9"/>
        <xdr:cNvSpPr/>
      </xdr:nvSpPr>
      <xdr:spPr>
        <a:xfrm>
          <a:off x="9296400" y="9031816"/>
          <a:ext cx="539750" cy="264584"/>
        </a:xfrm>
        <a:prstGeom prst="rightArrow">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338667</xdr:colOff>
      <xdr:row>44</xdr:row>
      <xdr:rowOff>137583</xdr:rowOff>
    </xdr:from>
    <xdr:to>
      <xdr:col>6</xdr:col>
      <xdr:colOff>359834</xdr:colOff>
      <xdr:row>51</xdr:row>
      <xdr:rowOff>63500</xdr:rowOff>
    </xdr:to>
    <xdr:sp macro="" textlink="">
      <xdr:nvSpPr>
        <xdr:cNvPr id="3" name="Rounded Rectangle 2"/>
        <xdr:cNvSpPr/>
      </xdr:nvSpPr>
      <xdr:spPr>
        <a:xfrm>
          <a:off x="338667" y="8195733"/>
          <a:ext cx="4612217" cy="1192742"/>
        </a:xfrm>
        <a:prstGeom prst="roundRect">
          <a:avLst/>
        </a:prstGeom>
        <a:solidFill>
          <a:schemeClr val="accent6"/>
        </a:solidFill>
        <a:ln>
          <a:solidFill>
            <a:schemeClr val="accent6"/>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t>Step 1</a:t>
          </a:r>
          <a:r>
            <a:rPr lang="en-US" sz="1100"/>
            <a:t>: Select Specialty</a:t>
          </a:r>
          <a:r>
            <a:rPr lang="en-US" sz="1100" baseline="0"/>
            <a:t> and Role for provider. Family Health covers both Active Duty clinics (Troop/Warfighter Clinics) and Non Active Duty (Family Health/Beneficiary Clinics). The provider will be assigned a FTE adjustment (3rd row) based off of these inputs.</a:t>
          </a:r>
          <a:endParaRPr lang="en-US" sz="1100"/>
        </a:p>
      </xdr:txBody>
    </xdr:sp>
    <xdr:clientData/>
  </xdr:twoCellAnchor>
  <xdr:twoCellAnchor>
    <xdr:from>
      <xdr:col>7</xdr:col>
      <xdr:colOff>46567</xdr:colOff>
      <xdr:row>44</xdr:row>
      <xdr:rowOff>141817</xdr:rowOff>
    </xdr:from>
    <xdr:to>
      <xdr:col>12</xdr:col>
      <xdr:colOff>427567</xdr:colOff>
      <xdr:row>51</xdr:row>
      <xdr:rowOff>67734</xdr:rowOff>
    </xdr:to>
    <xdr:sp macro="" textlink="">
      <xdr:nvSpPr>
        <xdr:cNvPr id="4" name="Rounded Rectangle 3"/>
        <xdr:cNvSpPr/>
      </xdr:nvSpPr>
      <xdr:spPr>
        <a:xfrm>
          <a:off x="5342467" y="8199967"/>
          <a:ext cx="4343400" cy="1192742"/>
        </a:xfrm>
        <a:prstGeom prst="roundRect">
          <a:avLst/>
        </a:prstGeom>
        <a:solidFill>
          <a:schemeClr val="accent6"/>
        </a:solidFill>
        <a:ln>
          <a:solidFill>
            <a:schemeClr val="accent6"/>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t>Step 2:</a:t>
          </a:r>
          <a:r>
            <a:rPr lang="en-US" sz="1100" b="1" baseline="0"/>
            <a:t> </a:t>
          </a:r>
          <a:r>
            <a:rPr lang="en-US" sz="1100" b="0" baseline="0"/>
            <a:t>Select type of care provider practices in (Primary, Specialty, Mental/Behaviroal). Next, select whether the clinic serves Active Duty, Non Active Duty, or both. The provider must supply a certain amount of appointments per week based off the type of care and beneficiaires (3rd row) based off of these inputs.</a:t>
          </a:r>
          <a:endParaRPr lang="en-US" sz="1100"/>
        </a:p>
      </xdr:txBody>
    </xdr:sp>
    <xdr:clientData/>
  </xdr:twoCellAnchor>
  <xdr:twoCellAnchor>
    <xdr:from>
      <xdr:col>13</xdr:col>
      <xdr:colOff>251883</xdr:colOff>
      <xdr:row>44</xdr:row>
      <xdr:rowOff>146051</xdr:rowOff>
    </xdr:from>
    <xdr:to>
      <xdr:col>19</xdr:col>
      <xdr:colOff>495300</xdr:colOff>
      <xdr:row>51</xdr:row>
      <xdr:rowOff>71968</xdr:rowOff>
    </xdr:to>
    <xdr:sp macro="" textlink="">
      <xdr:nvSpPr>
        <xdr:cNvPr id="5" name="Rounded Rectangle 4"/>
        <xdr:cNvSpPr/>
      </xdr:nvSpPr>
      <xdr:spPr>
        <a:xfrm>
          <a:off x="10015008" y="8204201"/>
          <a:ext cx="4339167" cy="1192742"/>
        </a:xfrm>
        <a:prstGeom prst="roundRect">
          <a:avLst/>
        </a:prstGeom>
        <a:solidFill>
          <a:schemeClr val="accent6"/>
        </a:solidFill>
        <a:ln>
          <a:solidFill>
            <a:schemeClr val="accent6"/>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t>Step 3:</a:t>
          </a:r>
          <a:r>
            <a:rPr lang="en-US" sz="1100" b="1" baseline="0"/>
            <a:t> </a:t>
          </a:r>
          <a:r>
            <a:rPr lang="en-US" sz="1100" b="0" baseline="0"/>
            <a:t>Adjust provider's template above based off of result in "Templated Difference." The 3rd row cell will alert you as to whether the provider is short appointments, at their standard, or over on appointments.</a:t>
          </a:r>
          <a:endParaRPr lang="en-US" sz="1100"/>
        </a:p>
      </xdr:txBody>
    </xdr:sp>
    <xdr:clientData/>
  </xdr:twoCellAnchor>
  <xdr:twoCellAnchor>
    <xdr:from>
      <xdr:col>19</xdr:col>
      <xdr:colOff>584029</xdr:colOff>
      <xdr:row>48</xdr:row>
      <xdr:rowOff>83128</xdr:rowOff>
    </xdr:from>
    <xdr:to>
      <xdr:col>21</xdr:col>
      <xdr:colOff>299048</xdr:colOff>
      <xdr:row>56</xdr:row>
      <xdr:rowOff>24586</xdr:rowOff>
    </xdr:to>
    <xdr:sp macro="" textlink="">
      <xdr:nvSpPr>
        <xdr:cNvPr id="6" name="Curved Down Arrow 5"/>
        <xdr:cNvSpPr/>
      </xdr:nvSpPr>
      <xdr:spPr>
        <a:xfrm rot="5081254">
          <a:off x="14182047" y="9126035"/>
          <a:ext cx="1427358" cy="905644"/>
        </a:xfrm>
        <a:prstGeom prst="curvedDownArrow">
          <a:avLst>
            <a:gd name="adj1" fmla="val 13910"/>
            <a:gd name="adj2" fmla="val 31828"/>
            <a:gd name="adj3" fmla="val 29460"/>
          </a:avLst>
        </a:prstGeom>
      </xdr:spPr>
      <xdr:style>
        <a:lnRef idx="1">
          <a:schemeClr val="dk1"/>
        </a:lnRef>
        <a:fillRef idx="2">
          <a:schemeClr val="dk1"/>
        </a:fillRef>
        <a:effectRef idx="1">
          <a:schemeClr val="dk1"/>
        </a:effectRef>
        <a:fontRef idx="minor">
          <a:schemeClr val="dk1"/>
        </a:fontRef>
      </xdr:style>
      <xdr:txBody>
        <a:bodyPr vertOverflow="clip" horzOverflow="clip" rtlCol="0" anchor="t"/>
        <a:lstStyle/>
        <a:p>
          <a:pPr algn="l"/>
          <a:endParaRPr lang="en-US" sz="1100">
            <a:solidFill>
              <a:schemeClr val="tx1"/>
            </a:solidFill>
          </a:endParaRPr>
        </a:p>
      </xdr:txBody>
    </xdr:sp>
    <xdr:clientData/>
  </xdr:twoCellAnchor>
  <xdr:twoCellAnchor>
    <xdr:from>
      <xdr:col>6</xdr:col>
      <xdr:colOff>275167</xdr:colOff>
      <xdr:row>48</xdr:row>
      <xdr:rowOff>10583</xdr:rowOff>
    </xdr:from>
    <xdr:to>
      <xdr:col>7</xdr:col>
      <xdr:colOff>105833</xdr:colOff>
      <xdr:row>49</xdr:row>
      <xdr:rowOff>95250</xdr:rowOff>
    </xdr:to>
    <xdr:sp macro="" textlink="">
      <xdr:nvSpPr>
        <xdr:cNvPr id="7" name="Right Arrow 6"/>
        <xdr:cNvSpPr/>
      </xdr:nvSpPr>
      <xdr:spPr>
        <a:xfrm>
          <a:off x="4866217" y="8792633"/>
          <a:ext cx="535516" cy="265642"/>
        </a:xfrm>
        <a:prstGeom prst="rightArrow">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289983</xdr:colOff>
      <xdr:row>48</xdr:row>
      <xdr:rowOff>14816</xdr:rowOff>
    </xdr:from>
    <xdr:to>
      <xdr:col>13</xdr:col>
      <xdr:colOff>321733</xdr:colOff>
      <xdr:row>49</xdr:row>
      <xdr:rowOff>99483</xdr:rowOff>
    </xdr:to>
    <xdr:sp macro="" textlink="">
      <xdr:nvSpPr>
        <xdr:cNvPr id="8" name="Right Arrow 7"/>
        <xdr:cNvSpPr/>
      </xdr:nvSpPr>
      <xdr:spPr>
        <a:xfrm>
          <a:off x="9548283" y="8796866"/>
          <a:ext cx="536575" cy="265642"/>
        </a:xfrm>
        <a:prstGeom prst="rightArrow">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16</xdr:col>
      <xdr:colOff>268942</xdr:colOff>
      <xdr:row>24</xdr:row>
      <xdr:rowOff>44823</xdr:rowOff>
    </xdr:from>
    <xdr:to>
      <xdr:col>25</xdr:col>
      <xdr:colOff>829235</xdr:colOff>
      <xdr:row>29</xdr:row>
      <xdr:rowOff>111869</xdr:rowOff>
    </xdr:to>
    <xdr:pic>
      <xdr:nvPicPr>
        <xdr:cNvPr id="2" name="Picture 1"/>
        <xdr:cNvPicPr>
          <a:picLocks noChangeAspect="1"/>
        </xdr:cNvPicPr>
      </xdr:nvPicPr>
      <xdr:blipFill>
        <a:blip xmlns:r="http://schemas.openxmlformats.org/officeDocument/2006/relationships" r:embed="rId1"/>
        <a:stretch>
          <a:fillRect/>
        </a:stretch>
      </xdr:blipFill>
      <xdr:spPr>
        <a:xfrm>
          <a:off x="12797118" y="4941794"/>
          <a:ext cx="7866529" cy="1019546"/>
        </a:xfrm>
        <a:prstGeom prst="rect">
          <a:avLst/>
        </a:prstGeom>
        <a:ln w="127000" cap="sq">
          <a:solidFill>
            <a:srgbClr val="000000"/>
          </a:solidFill>
          <a:miter lim="800000"/>
        </a:ln>
        <a:effectLst>
          <a:outerShdw blurRad="57150" dist="50800" dir="2700000" algn="tl" rotWithShape="0">
            <a:srgbClr val="000000">
              <a:alpha val="40000"/>
            </a:srgbClr>
          </a:outerShdw>
        </a:effectLst>
      </xdr:spPr>
    </xdr:pic>
    <xdr:clientData/>
  </xdr:twoCellAnchor>
  <xdr:twoCellAnchor>
    <xdr:from>
      <xdr:col>18</xdr:col>
      <xdr:colOff>795618</xdr:colOff>
      <xdr:row>19</xdr:row>
      <xdr:rowOff>112059</xdr:rowOff>
    </xdr:from>
    <xdr:to>
      <xdr:col>21</xdr:col>
      <xdr:colOff>78442</xdr:colOff>
      <xdr:row>24</xdr:row>
      <xdr:rowOff>44823</xdr:rowOff>
    </xdr:to>
    <xdr:cxnSp macro="">
      <xdr:nvCxnSpPr>
        <xdr:cNvPr id="10" name="Straight Arrow Connector 9"/>
        <xdr:cNvCxnSpPr>
          <a:stCxn id="2" idx="0"/>
        </xdr:cNvCxnSpPr>
      </xdr:nvCxnSpPr>
      <xdr:spPr>
        <a:xfrm flipH="1" flipV="1">
          <a:off x="15172765" y="4022912"/>
          <a:ext cx="1557618" cy="918882"/>
        </a:xfrm>
        <a:prstGeom prst="straightConnector1">
          <a:avLst/>
        </a:prstGeom>
        <a:ln w="57150">
          <a:tailEnd type="triangle"/>
        </a:ln>
      </xdr:spPr>
      <xdr:style>
        <a:lnRef idx="1">
          <a:schemeClr val="dk1"/>
        </a:lnRef>
        <a:fillRef idx="0">
          <a:schemeClr val="dk1"/>
        </a:fillRef>
        <a:effectRef idx="0">
          <a:schemeClr val="dk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338667</xdr:colOff>
      <xdr:row>44</xdr:row>
      <xdr:rowOff>137583</xdr:rowOff>
    </xdr:from>
    <xdr:to>
      <xdr:col>6</xdr:col>
      <xdr:colOff>359834</xdr:colOff>
      <xdr:row>51</xdr:row>
      <xdr:rowOff>63500</xdr:rowOff>
    </xdr:to>
    <xdr:sp macro="" textlink="">
      <xdr:nvSpPr>
        <xdr:cNvPr id="3" name="Rounded Rectangle 2"/>
        <xdr:cNvSpPr/>
      </xdr:nvSpPr>
      <xdr:spPr>
        <a:xfrm>
          <a:off x="338667" y="8233833"/>
          <a:ext cx="4497917" cy="1192742"/>
        </a:xfrm>
        <a:prstGeom prst="roundRect">
          <a:avLst/>
        </a:prstGeom>
        <a:solidFill>
          <a:schemeClr val="accent6"/>
        </a:solidFill>
        <a:ln>
          <a:solidFill>
            <a:schemeClr val="accent6"/>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t>Step 1</a:t>
          </a:r>
          <a:r>
            <a:rPr lang="en-US" sz="1100"/>
            <a:t>: Select Specialty</a:t>
          </a:r>
          <a:r>
            <a:rPr lang="en-US" sz="1100" baseline="0"/>
            <a:t> and Role for provider. Family Health covers both Active Duty clinics (Troop/Warfighter Clinics) and Non Active Duty (Family Health/Beneficiary Clinics). The provider will be assigned a FTE adjustment (3rd row) based off of these inputs.</a:t>
          </a:r>
          <a:endParaRPr lang="en-US" sz="1100"/>
        </a:p>
      </xdr:txBody>
    </xdr:sp>
    <xdr:clientData/>
  </xdr:twoCellAnchor>
  <xdr:twoCellAnchor>
    <xdr:from>
      <xdr:col>7</xdr:col>
      <xdr:colOff>46567</xdr:colOff>
      <xdr:row>44</xdr:row>
      <xdr:rowOff>141817</xdr:rowOff>
    </xdr:from>
    <xdr:to>
      <xdr:col>12</xdr:col>
      <xdr:colOff>427567</xdr:colOff>
      <xdr:row>51</xdr:row>
      <xdr:rowOff>67734</xdr:rowOff>
    </xdr:to>
    <xdr:sp macro="" textlink="">
      <xdr:nvSpPr>
        <xdr:cNvPr id="4" name="Rounded Rectangle 3"/>
        <xdr:cNvSpPr/>
      </xdr:nvSpPr>
      <xdr:spPr>
        <a:xfrm>
          <a:off x="5285317" y="8238067"/>
          <a:ext cx="4410075" cy="1192742"/>
        </a:xfrm>
        <a:prstGeom prst="roundRect">
          <a:avLst/>
        </a:prstGeom>
        <a:solidFill>
          <a:schemeClr val="accent6"/>
        </a:solidFill>
        <a:ln>
          <a:solidFill>
            <a:schemeClr val="accent6"/>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t>Step 2:</a:t>
          </a:r>
          <a:r>
            <a:rPr lang="en-US" sz="1100" b="1" baseline="0"/>
            <a:t> </a:t>
          </a:r>
          <a:r>
            <a:rPr lang="en-US" sz="1100" b="0" baseline="0"/>
            <a:t>Select type of care provider practices in (Primary, Specialty, Mental/Behaviroal). Next, select whether the clinic serves Active Duty, Non Active Duty, or both. The provider must supply a certain amount of appointments per week based off the type of care and beneficiaires (3rd row) based off of these inputs.</a:t>
          </a:r>
          <a:endParaRPr lang="en-US" sz="1100"/>
        </a:p>
      </xdr:txBody>
    </xdr:sp>
    <xdr:clientData/>
  </xdr:twoCellAnchor>
  <xdr:twoCellAnchor>
    <xdr:from>
      <xdr:col>13</xdr:col>
      <xdr:colOff>251883</xdr:colOff>
      <xdr:row>44</xdr:row>
      <xdr:rowOff>146051</xdr:rowOff>
    </xdr:from>
    <xdr:to>
      <xdr:col>19</xdr:col>
      <xdr:colOff>495300</xdr:colOff>
      <xdr:row>51</xdr:row>
      <xdr:rowOff>71968</xdr:rowOff>
    </xdr:to>
    <xdr:sp macro="" textlink="">
      <xdr:nvSpPr>
        <xdr:cNvPr id="5" name="Rounded Rectangle 4"/>
        <xdr:cNvSpPr/>
      </xdr:nvSpPr>
      <xdr:spPr>
        <a:xfrm>
          <a:off x="10100733" y="8242301"/>
          <a:ext cx="4872567" cy="1192742"/>
        </a:xfrm>
        <a:prstGeom prst="roundRect">
          <a:avLst/>
        </a:prstGeom>
        <a:solidFill>
          <a:schemeClr val="accent6"/>
        </a:solidFill>
        <a:ln>
          <a:solidFill>
            <a:schemeClr val="accent6"/>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t>Step 3:</a:t>
          </a:r>
          <a:r>
            <a:rPr lang="en-US" sz="1100" b="1" baseline="0"/>
            <a:t> </a:t>
          </a:r>
          <a:r>
            <a:rPr lang="en-US" sz="1100" b="0" baseline="0"/>
            <a:t>Adjust provider's template above based off of result in "Templated Difference." The 3rd row cell will alert you as to whether the provider is short appointments, at their standard, or over on appointments.</a:t>
          </a:r>
          <a:endParaRPr lang="en-US" sz="1100"/>
        </a:p>
      </xdr:txBody>
    </xdr:sp>
    <xdr:clientData/>
  </xdr:twoCellAnchor>
  <xdr:twoCellAnchor>
    <xdr:from>
      <xdr:col>19</xdr:col>
      <xdr:colOff>584029</xdr:colOff>
      <xdr:row>48</xdr:row>
      <xdr:rowOff>83128</xdr:rowOff>
    </xdr:from>
    <xdr:to>
      <xdr:col>21</xdr:col>
      <xdr:colOff>299048</xdr:colOff>
      <xdr:row>56</xdr:row>
      <xdr:rowOff>24586</xdr:rowOff>
    </xdr:to>
    <xdr:sp macro="" textlink="">
      <xdr:nvSpPr>
        <xdr:cNvPr id="6" name="Curved Down Arrow 5"/>
        <xdr:cNvSpPr/>
      </xdr:nvSpPr>
      <xdr:spPr>
        <a:xfrm rot="5081254">
          <a:off x="14829747" y="9135560"/>
          <a:ext cx="1427358" cy="962794"/>
        </a:xfrm>
        <a:prstGeom prst="curvedDownArrow">
          <a:avLst>
            <a:gd name="adj1" fmla="val 13910"/>
            <a:gd name="adj2" fmla="val 31828"/>
            <a:gd name="adj3" fmla="val 29460"/>
          </a:avLst>
        </a:prstGeom>
      </xdr:spPr>
      <xdr:style>
        <a:lnRef idx="1">
          <a:schemeClr val="dk1"/>
        </a:lnRef>
        <a:fillRef idx="2">
          <a:schemeClr val="dk1"/>
        </a:fillRef>
        <a:effectRef idx="1">
          <a:schemeClr val="dk1"/>
        </a:effectRef>
        <a:fontRef idx="minor">
          <a:schemeClr val="dk1"/>
        </a:fontRef>
      </xdr:style>
      <xdr:txBody>
        <a:bodyPr vertOverflow="clip" horzOverflow="clip" rtlCol="0" anchor="t"/>
        <a:lstStyle/>
        <a:p>
          <a:pPr algn="l"/>
          <a:endParaRPr lang="en-US" sz="1100">
            <a:solidFill>
              <a:schemeClr val="tx1"/>
            </a:solidFill>
          </a:endParaRPr>
        </a:p>
      </xdr:txBody>
    </xdr:sp>
    <xdr:clientData/>
  </xdr:twoCellAnchor>
  <xdr:twoCellAnchor>
    <xdr:from>
      <xdr:col>6</xdr:col>
      <xdr:colOff>275167</xdr:colOff>
      <xdr:row>48</xdr:row>
      <xdr:rowOff>10583</xdr:rowOff>
    </xdr:from>
    <xdr:to>
      <xdr:col>7</xdr:col>
      <xdr:colOff>105833</xdr:colOff>
      <xdr:row>49</xdr:row>
      <xdr:rowOff>95250</xdr:rowOff>
    </xdr:to>
    <xdr:sp macro="" textlink="">
      <xdr:nvSpPr>
        <xdr:cNvPr id="7" name="Right Arrow 6"/>
        <xdr:cNvSpPr/>
      </xdr:nvSpPr>
      <xdr:spPr>
        <a:xfrm>
          <a:off x="4751917" y="8830733"/>
          <a:ext cx="592666" cy="265642"/>
        </a:xfrm>
        <a:prstGeom prst="rightArrow">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289983</xdr:colOff>
      <xdr:row>48</xdr:row>
      <xdr:rowOff>14816</xdr:rowOff>
    </xdr:from>
    <xdr:to>
      <xdr:col>13</xdr:col>
      <xdr:colOff>321733</xdr:colOff>
      <xdr:row>49</xdr:row>
      <xdr:rowOff>99483</xdr:rowOff>
    </xdr:to>
    <xdr:sp macro="" textlink="">
      <xdr:nvSpPr>
        <xdr:cNvPr id="8" name="Right Arrow 7"/>
        <xdr:cNvSpPr/>
      </xdr:nvSpPr>
      <xdr:spPr>
        <a:xfrm>
          <a:off x="9557808" y="8834966"/>
          <a:ext cx="612775" cy="265642"/>
        </a:xfrm>
        <a:prstGeom prst="rightArrow">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338667</xdr:colOff>
      <xdr:row>44</xdr:row>
      <xdr:rowOff>137583</xdr:rowOff>
    </xdr:from>
    <xdr:to>
      <xdr:col>6</xdr:col>
      <xdr:colOff>359834</xdr:colOff>
      <xdr:row>51</xdr:row>
      <xdr:rowOff>63500</xdr:rowOff>
    </xdr:to>
    <xdr:sp macro="" textlink="">
      <xdr:nvSpPr>
        <xdr:cNvPr id="3" name="Rounded Rectangle 2"/>
        <xdr:cNvSpPr/>
      </xdr:nvSpPr>
      <xdr:spPr>
        <a:xfrm>
          <a:off x="338667" y="8233833"/>
          <a:ext cx="4497917" cy="1192742"/>
        </a:xfrm>
        <a:prstGeom prst="roundRect">
          <a:avLst/>
        </a:prstGeom>
        <a:solidFill>
          <a:schemeClr val="accent6"/>
        </a:solidFill>
        <a:ln>
          <a:solidFill>
            <a:schemeClr val="accent6"/>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t>Step 1</a:t>
          </a:r>
          <a:r>
            <a:rPr lang="en-US" sz="1100"/>
            <a:t>: Select Specialty</a:t>
          </a:r>
          <a:r>
            <a:rPr lang="en-US" sz="1100" baseline="0"/>
            <a:t> and Role for provider. Family Health covers both Active Duty clinics (Troop/Warfighter Clinics) and Non Active Duty (Family Health/Beneficiary Clinics). The provider will be assigned a FTE adjustment (3rd row) based off of these inputs.</a:t>
          </a:r>
          <a:endParaRPr lang="en-US" sz="1100"/>
        </a:p>
      </xdr:txBody>
    </xdr:sp>
    <xdr:clientData/>
  </xdr:twoCellAnchor>
  <xdr:twoCellAnchor>
    <xdr:from>
      <xdr:col>7</xdr:col>
      <xdr:colOff>46567</xdr:colOff>
      <xdr:row>44</xdr:row>
      <xdr:rowOff>141817</xdr:rowOff>
    </xdr:from>
    <xdr:to>
      <xdr:col>12</xdr:col>
      <xdr:colOff>427567</xdr:colOff>
      <xdr:row>51</xdr:row>
      <xdr:rowOff>67734</xdr:rowOff>
    </xdr:to>
    <xdr:sp macro="" textlink="">
      <xdr:nvSpPr>
        <xdr:cNvPr id="4" name="Rounded Rectangle 3"/>
        <xdr:cNvSpPr/>
      </xdr:nvSpPr>
      <xdr:spPr>
        <a:xfrm>
          <a:off x="5285317" y="8238067"/>
          <a:ext cx="4410075" cy="1192742"/>
        </a:xfrm>
        <a:prstGeom prst="roundRect">
          <a:avLst/>
        </a:prstGeom>
        <a:solidFill>
          <a:schemeClr val="accent6"/>
        </a:solidFill>
        <a:ln>
          <a:solidFill>
            <a:schemeClr val="accent6"/>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t>Step 2:</a:t>
          </a:r>
          <a:r>
            <a:rPr lang="en-US" sz="1100" b="1" baseline="0"/>
            <a:t> </a:t>
          </a:r>
          <a:r>
            <a:rPr lang="en-US" sz="1100" b="0" baseline="0"/>
            <a:t>Select type of care provider practices in (Primary, Specialty, Mental/Behaviroal). Next, select whether the clinic serves Active Duty, Non Active Duty, or both. The provider must supply a certain amount of appointments per week based off the type of care and beneficiaires (3rd row) based off of these inputs.</a:t>
          </a:r>
          <a:endParaRPr lang="en-US" sz="1100"/>
        </a:p>
      </xdr:txBody>
    </xdr:sp>
    <xdr:clientData/>
  </xdr:twoCellAnchor>
  <xdr:twoCellAnchor>
    <xdr:from>
      <xdr:col>13</xdr:col>
      <xdr:colOff>251883</xdr:colOff>
      <xdr:row>44</xdr:row>
      <xdr:rowOff>146051</xdr:rowOff>
    </xdr:from>
    <xdr:to>
      <xdr:col>19</xdr:col>
      <xdr:colOff>495300</xdr:colOff>
      <xdr:row>51</xdr:row>
      <xdr:rowOff>71968</xdr:rowOff>
    </xdr:to>
    <xdr:sp macro="" textlink="">
      <xdr:nvSpPr>
        <xdr:cNvPr id="5" name="Rounded Rectangle 4"/>
        <xdr:cNvSpPr/>
      </xdr:nvSpPr>
      <xdr:spPr>
        <a:xfrm>
          <a:off x="10100733" y="8242301"/>
          <a:ext cx="4872567" cy="1192742"/>
        </a:xfrm>
        <a:prstGeom prst="roundRect">
          <a:avLst/>
        </a:prstGeom>
        <a:solidFill>
          <a:schemeClr val="accent6"/>
        </a:solidFill>
        <a:ln>
          <a:solidFill>
            <a:schemeClr val="accent6"/>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t>Step 3:</a:t>
          </a:r>
          <a:r>
            <a:rPr lang="en-US" sz="1100" b="1" baseline="0"/>
            <a:t> </a:t>
          </a:r>
          <a:r>
            <a:rPr lang="en-US" sz="1100" b="0" baseline="0"/>
            <a:t>Adjust provider's template above based off of result in "Templated Difference." The 3rd row cell will alert you as to whether the provider is short appointments, at their standard, or over on appointments.</a:t>
          </a:r>
          <a:endParaRPr lang="en-US" sz="1100"/>
        </a:p>
      </xdr:txBody>
    </xdr:sp>
    <xdr:clientData/>
  </xdr:twoCellAnchor>
  <xdr:twoCellAnchor>
    <xdr:from>
      <xdr:col>19</xdr:col>
      <xdr:colOff>584029</xdr:colOff>
      <xdr:row>48</xdr:row>
      <xdr:rowOff>83128</xdr:rowOff>
    </xdr:from>
    <xdr:to>
      <xdr:col>21</xdr:col>
      <xdr:colOff>299048</xdr:colOff>
      <xdr:row>56</xdr:row>
      <xdr:rowOff>24586</xdr:rowOff>
    </xdr:to>
    <xdr:sp macro="" textlink="">
      <xdr:nvSpPr>
        <xdr:cNvPr id="6" name="Curved Down Arrow 5"/>
        <xdr:cNvSpPr/>
      </xdr:nvSpPr>
      <xdr:spPr>
        <a:xfrm rot="5081254">
          <a:off x="14829747" y="9135560"/>
          <a:ext cx="1427358" cy="962794"/>
        </a:xfrm>
        <a:prstGeom prst="curvedDownArrow">
          <a:avLst>
            <a:gd name="adj1" fmla="val 13910"/>
            <a:gd name="adj2" fmla="val 31828"/>
            <a:gd name="adj3" fmla="val 29460"/>
          </a:avLst>
        </a:prstGeom>
      </xdr:spPr>
      <xdr:style>
        <a:lnRef idx="1">
          <a:schemeClr val="dk1"/>
        </a:lnRef>
        <a:fillRef idx="2">
          <a:schemeClr val="dk1"/>
        </a:fillRef>
        <a:effectRef idx="1">
          <a:schemeClr val="dk1"/>
        </a:effectRef>
        <a:fontRef idx="minor">
          <a:schemeClr val="dk1"/>
        </a:fontRef>
      </xdr:style>
      <xdr:txBody>
        <a:bodyPr vertOverflow="clip" horzOverflow="clip" rtlCol="0" anchor="t"/>
        <a:lstStyle/>
        <a:p>
          <a:pPr algn="l"/>
          <a:endParaRPr lang="en-US" sz="1100">
            <a:solidFill>
              <a:schemeClr val="tx1"/>
            </a:solidFill>
          </a:endParaRPr>
        </a:p>
      </xdr:txBody>
    </xdr:sp>
    <xdr:clientData/>
  </xdr:twoCellAnchor>
  <xdr:twoCellAnchor>
    <xdr:from>
      <xdr:col>6</xdr:col>
      <xdr:colOff>275167</xdr:colOff>
      <xdr:row>48</xdr:row>
      <xdr:rowOff>10583</xdr:rowOff>
    </xdr:from>
    <xdr:to>
      <xdr:col>7</xdr:col>
      <xdr:colOff>105833</xdr:colOff>
      <xdr:row>49</xdr:row>
      <xdr:rowOff>95250</xdr:rowOff>
    </xdr:to>
    <xdr:sp macro="" textlink="">
      <xdr:nvSpPr>
        <xdr:cNvPr id="7" name="Right Arrow 6"/>
        <xdr:cNvSpPr/>
      </xdr:nvSpPr>
      <xdr:spPr>
        <a:xfrm>
          <a:off x="4751917" y="8830733"/>
          <a:ext cx="592666" cy="265642"/>
        </a:xfrm>
        <a:prstGeom prst="rightArrow">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289983</xdr:colOff>
      <xdr:row>48</xdr:row>
      <xdr:rowOff>14816</xdr:rowOff>
    </xdr:from>
    <xdr:to>
      <xdr:col>13</xdr:col>
      <xdr:colOff>321733</xdr:colOff>
      <xdr:row>49</xdr:row>
      <xdr:rowOff>99483</xdr:rowOff>
    </xdr:to>
    <xdr:sp macro="" textlink="">
      <xdr:nvSpPr>
        <xdr:cNvPr id="8" name="Right Arrow 7"/>
        <xdr:cNvSpPr/>
      </xdr:nvSpPr>
      <xdr:spPr>
        <a:xfrm>
          <a:off x="9557808" y="8834966"/>
          <a:ext cx="612775" cy="265642"/>
        </a:xfrm>
        <a:prstGeom prst="rightArrow">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76200</xdr:colOff>
      <xdr:row>9</xdr:row>
      <xdr:rowOff>180975</xdr:rowOff>
    </xdr:from>
    <xdr:to>
      <xdr:col>2</xdr:col>
      <xdr:colOff>704850</xdr:colOff>
      <xdr:row>14</xdr:row>
      <xdr:rowOff>161925</xdr:rowOff>
    </xdr:to>
    <xdr:sp macro="" textlink="">
      <xdr:nvSpPr>
        <xdr:cNvPr id="3" name="Rounded Rectangle 2"/>
        <xdr:cNvSpPr/>
      </xdr:nvSpPr>
      <xdr:spPr>
        <a:xfrm>
          <a:off x="76200" y="1857375"/>
          <a:ext cx="1857375" cy="9239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800"/>
            <a:t>Note: Data validation was set</a:t>
          </a:r>
          <a:r>
            <a:rPr lang="en-US" sz="800" baseline="0"/>
            <a:t> up on provider templates AFTER this sheet was made to prevent any other appt types other than the DHA approved appt types to be entered onto the template. </a:t>
          </a:r>
          <a:endParaRPr lang="en-US" sz="800"/>
        </a:p>
      </xdr:txBody>
    </xdr:sp>
    <xdr:clientData/>
  </xdr:twoCellAnchor>
  <xdr:twoCellAnchor>
    <xdr:from>
      <xdr:col>12</xdr:col>
      <xdr:colOff>0</xdr:colOff>
      <xdr:row>6</xdr:row>
      <xdr:rowOff>123825</xdr:rowOff>
    </xdr:from>
    <xdr:to>
      <xdr:col>16</xdr:col>
      <xdr:colOff>87313</xdr:colOff>
      <xdr:row>10</xdr:row>
      <xdr:rowOff>37306</xdr:rowOff>
    </xdr:to>
    <xdr:sp macro="" textlink="">
      <xdr:nvSpPr>
        <xdr:cNvPr id="4" name="Rounded Rectangle 3">
          <a:hlinkClick xmlns:r="http://schemas.openxmlformats.org/officeDocument/2006/relationships" r:id="rId1"/>
        </xdr:cNvPr>
        <xdr:cNvSpPr/>
      </xdr:nvSpPr>
      <xdr:spPr>
        <a:xfrm>
          <a:off x="8677275" y="1247775"/>
          <a:ext cx="3497263" cy="656431"/>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b="1"/>
            <a:t>Back to Overview</a:t>
          </a:r>
        </a:p>
      </xdr:txBody>
    </xdr:sp>
    <xdr:clientData/>
  </xdr:twoCellAnchor>
  <xdr:twoCellAnchor>
    <xdr:from>
      <xdr:col>12</xdr:col>
      <xdr:colOff>26988</xdr:colOff>
      <xdr:row>14</xdr:row>
      <xdr:rowOff>148431</xdr:rowOff>
    </xdr:from>
    <xdr:to>
      <xdr:col>16</xdr:col>
      <xdr:colOff>138113</xdr:colOff>
      <xdr:row>18</xdr:row>
      <xdr:rowOff>97630</xdr:rowOff>
    </xdr:to>
    <xdr:sp macro="" textlink="">
      <xdr:nvSpPr>
        <xdr:cNvPr id="5" name="Rounded Rectangle 4">
          <a:hlinkClick xmlns:r="http://schemas.openxmlformats.org/officeDocument/2006/relationships" r:id="rId2"/>
        </xdr:cNvPr>
        <xdr:cNvSpPr/>
      </xdr:nvSpPr>
      <xdr:spPr>
        <a:xfrm>
          <a:off x="8704263" y="2767806"/>
          <a:ext cx="3521075" cy="701674"/>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b="1"/>
            <a:t>%</a:t>
          </a:r>
          <a:r>
            <a:rPr lang="en-US" sz="2000" b="1" baseline="0"/>
            <a:t> Plan Appts &gt;= 1500 Hrs</a:t>
          </a:r>
          <a:endParaRPr lang="en-US" sz="2000" b="1"/>
        </a:p>
      </xdr:txBody>
    </xdr:sp>
    <xdr:clientData/>
  </xdr:twoCellAnchor>
  <xdr:twoCellAnchor>
    <xdr:from>
      <xdr:col>12</xdr:col>
      <xdr:colOff>39688</xdr:colOff>
      <xdr:row>18</xdr:row>
      <xdr:rowOff>177005</xdr:rowOff>
    </xdr:from>
    <xdr:to>
      <xdr:col>16</xdr:col>
      <xdr:colOff>150813</xdr:colOff>
      <xdr:row>22</xdr:row>
      <xdr:rowOff>65879</xdr:rowOff>
    </xdr:to>
    <xdr:sp macro="" textlink="">
      <xdr:nvSpPr>
        <xdr:cNvPr id="6" name="Rounded Rectangle 5">
          <a:hlinkClick xmlns:r="http://schemas.openxmlformats.org/officeDocument/2006/relationships" r:id="rId3"/>
        </xdr:cNvPr>
        <xdr:cNvSpPr/>
      </xdr:nvSpPr>
      <xdr:spPr>
        <a:xfrm>
          <a:off x="8716963" y="3548855"/>
          <a:ext cx="3521075" cy="631824"/>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b="1"/>
            <a:t>%</a:t>
          </a:r>
          <a:r>
            <a:rPr lang="en-US" sz="2000" b="1" baseline="0"/>
            <a:t> 24HR F2F Appts</a:t>
          </a:r>
          <a:endParaRPr lang="en-US" sz="2000" b="1"/>
        </a:p>
      </xdr:txBody>
    </xdr:sp>
    <xdr:clientData/>
  </xdr:twoCellAnchor>
  <xdr:twoCellAnchor>
    <xdr:from>
      <xdr:col>12</xdr:col>
      <xdr:colOff>39688</xdr:colOff>
      <xdr:row>22</xdr:row>
      <xdr:rowOff>161130</xdr:rowOff>
    </xdr:from>
    <xdr:to>
      <xdr:col>16</xdr:col>
      <xdr:colOff>150813</xdr:colOff>
      <xdr:row>26</xdr:row>
      <xdr:rowOff>91280</xdr:rowOff>
    </xdr:to>
    <xdr:sp macro="" textlink="">
      <xdr:nvSpPr>
        <xdr:cNvPr id="7" name="Rounded Rectangle 6">
          <a:hlinkClick xmlns:r="http://schemas.openxmlformats.org/officeDocument/2006/relationships" r:id="rId4"/>
        </xdr:cNvPr>
        <xdr:cNvSpPr/>
      </xdr:nvSpPr>
      <xdr:spPr>
        <a:xfrm>
          <a:off x="8716963" y="4275930"/>
          <a:ext cx="3521075" cy="6921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b="1"/>
            <a:t>%</a:t>
          </a:r>
          <a:r>
            <a:rPr lang="en-US" sz="2000" b="1" baseline="0"/>
            <a:t> Restrictive Detail Code</a:t>
          </a:r>
          <a:endParaRPr lang="en-US" sz="2000" b="1"/>
        </a:p>
      </xdr:txBody>
    </xdr:sp>
    <xdr:clientData/>
  </xdr:twoCellAnchor>
  <xdr:twoCellAnchor>
    <xdr:from>
      <xdr:col>12</xdr:col>
      <xdr:colOff>39688</xdr:colOff>
      <xdr:row>26</xdr:row>
      <xdr:rowOff>180180</xdr:rowOff>
    </xdr:from>
    <xdr:to>
      <xdr:col>16</xdr:col>
      <xdr:colOff>150813</xdr:colOff>
      <xdr:row>30</xdr:row>
      <xdr:rowOff>95250</xdr:rowOff>
    </xdr:to>
    <xdr:sp macro="" textlink="">
      <xdr:nvSpPr>
        <xdr:cNvPr id="8" name="Rounded Rectangle 7">
          <a:hlinkClick xmlns:r="http://schemas.openxmlformats.org/officeDocument/2006/relationships" r:id="rId5"/>
        </xdr:cNvPr>
        <xdr:cNvSpPr/>
      </xdr:nvSpPr>
      <xdr:spPr>
        <a:xfrm>
          <a:off x="8716963" y="5056980"/>
          <a:ext cx="3521075" cy="67707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b="1"/>
            <a:t>%</a:t>
          </a:r>
          <a:r>
            <a:rPr lang="en-US" sz="2000" b="1" baseline="0"/>
            <a:t> 24HR &amp; FTR TOL Avail</a:t>
          </a:r>
          <a:endParaRPr lang="en-US" sz="2000" b="1"/>
        </a:p>
      </xdr:txBody>
    </xdr:sp>
    <xdr:clientData/>
  </xdr:twoCellAnchor>
  <xdr:twoCellAnchor>
    <xdr:from>
      <xdr:col>12</xdr:col>
      <xdr:colOff>9525</xdr:colOff>
      <xdr:row>10</xdr:row>
      <xdr:rowOff>123825</xdr:rowOff>
    </xdr:from>
    <xdr:to>
      <xdr:col>16</xdr:col>
      <xdr:colOff>120650</xdr:colOff>
      <xdr:row>14</xdr:row>
      <xdr:rowOff>73024</xdr:rowOff>
    </xdr:to>
    <xdr:sp macro="" textlink="">
      <xdr:nvSpPr>
        <xdr:cNvPr id="9" name="Rounded Rectangle 8">
          <a:hlinkClick xmlns:r="http://schemas.openxmlformats.org/officeDocument/2006/relationships" r:id="rId6"/>
        </xdr:cNvPr>
        <xdr:cNvSpPr/>
      </xdr:nvSpPr>
      <xdr:spPr>
        <a:xfrm>
          <a:off x="8686800" y="1990725"/>
          <a:ext cx="3521075" cy="701674"/>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b="1"/>
            <a:t>% Authorized Appt Types</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11</xdr:col>
      <xdr:colOff>857250</xdr:colOff>
      <xdr:row>10</xdr:row>
      <xdr:rowOff>104775</xdr:rowOff>
    </xdr:from>
    <xdr:to>
      <xdr:col>14</xdr:col>
      <xdr:colOff>935038</xdr:colOff>
      <xdr:row>14</xdr:row>
      <xdr:rowOff>18256</xdr:rowOff>
    </xdr:to>
    <xdr:sp macro="" textlink="">
      <xdr:nvSpPr>
        <xdr:cNvPr id="9" name="Rounded Rectangle 8">
          <a:hlinkClick xmlns:r="http://schemas.openxmlformats.org/officeDocument/2006/relationships" r:id="rId1"/>
        </xdr:cNvPr>
        <xdr:cNvSpPr/>
      </xdr:nvSpPr>
      <xdr:spPr>
        <a:xfrm>
          <a:off x="8439150" y="1981200"/>
          <a:ext cx="3497263" cy="656431"/>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b="1"/>
            <a:t>Back to Table of Contents</a:t>
          </a:r>
        </a:p>
      </xdr:txBody>
    </xdr:sp>
    <xdr:clientData/>
  </xdr:twoCellAnchor>
  <xdr:twoCellAnchor>
    <xdr:from>
      <xdr:col>11</xdr:col>
      <xdr:colOff>874713</xdr:colOff>
      <xdr:row>14</xdr:row>
      <xdr:rowOff>91281</xdr:rowOff>
    </xdr:from>
    <xdr:to>
      <xdr:col>14</xdr:col>
      <xdr:colOff>976313</xdr:colOff>
      <xdr:row>18</xdr:row>
      <xdr:rowOff>50005</xdr:rowOff>
    </xdr:to>
    <xdr:sp macro="" textlink="">
      <xdr:nvSpPr>
        <xdr:cNvPr id="10" name="Rounded Rectangle 9">
          <a:hlinkClick xmlns:r="http://schemas.openxmlformats.org/officeDocument/2006/relationships" r:id="rId2"/>
        </xdr:cNvPr>
        <xdr:cNvSpPr/>
      </xdr:nvSpPr>
      <xdr:spPr>
        <a:xfrm>
          <a:off x="8456613" y="2729706"/>
          <a:ext cx="3521075" cy="711199"/>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b="1"/>
            <a:t>%</a:t>
          </a:r>
          <a:r>
            <a:rPr lang="en-US" sz="2000" b="1" baseline="0"/>
            <a:t> Plan Appts &gt;= 1500 Hrs</a:t>
          </a:r>
          <a:endParaRPr lang="en-US" sz="2000" b="1"/>
        </a:p>
      </xdr:txBody>
    </xdr:sp>
    <xdr:clientData/>
  </xdr:twoCellAnchor>
  <xdr:twoCellAnchor>
    <xdr:from>
      <xdr:col>12</xdr:col>
      <xdr:colOff>11113</xdr:colOff>
      <xdr:row>18</xdr:row>
      <xdr:rowOff>129380</xdr:rowOff>
    </xdr:from>
    <xdr:to>
      <xdr:col>15</xdr:col>
      <xdr:colOff>7938</xdr:colOff>
      <xdr:row>22</xdr:row>
      <xdr:rowOff>18254</xdr:rowOff>
    </xdr:to>
    <xdr:sp macro="" textlink="">
      <xdr:nvSpPr>
        <xdr:cNvPr id="11" name="Rounded Rectangle 10">
          <a:hlinkClick xmlns:r="http://schemas.openxmlformats.org/officeDocument/2006/relationships" r:id="rId3"/>
        </xdr:cNvPr>
        <xdr:cNvSpPr/>
      </xdr:nvSpPr>
      <xdr:spPr>
        <a:xfrm>
          <a:off x="8469313" y="3520280"/>
          <a:ext cx="3521075" cy="641349"/>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b="1"/>
            <a:t>%</a:t>
          </a:r>
          <a:r>
            <a:rPr lang="en-US" sz="2000" b="1" baseline="0"/>
            <a:t> 24HR F2F Appts</a:t>
          </a:r>
          <a:endParaRPr lang="en-US" sz="2000" b="1"/>
        </a:p>
      </xdr:txBody>
    </xdr:sp>
    <xdr:clientData/>
  </xdr:twoCellAnchor>
  <xdr:twoCellAnchor>
    <xdr:from>
      <xdr:col>12</xdr:col>
      <xdr:colOff>11113</xdr:colOff>
      <xdr:row>22</xdr:row>
      <xdr:rowOff>113505</xdr:rowOff>
    </xdr:from>
    <xdr:to>
      <xdr:col>15</xdr:col>
      <xdr:colOff>7938</xdr:colOff>
      <xdr:row>26</xdr:row>
      <xdr:rowOff>53180</xdr:rowOff>
    </xdr:to>
    <xdr:sp macro="" textlink="">
      <xdr:nvSpPr>
        <xdr:cNvPr id="12" name="Rounded Rectangle 11">
          <a:hlinkClick xmlns:r="http://schemas.openxmlformats.org/officeDocument/2006/relationships" r:id="rId4"/>
        </xdr:cNvPr>
        <xdr:cNvSpPr/>
      </xdr:nvSpPr>
      <xdr:spPr>
        <a:xfrm>
          <a:off x="8469313" y="4256880"/>
          <a:ext cx="3521075" cy="6921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b="1"/>
            <a:t>%</a:t>
          </a:r>
          <a:r>
            <a:rPr lang="en-US" sz="2000" b="1" baseline="0"/>
            <a:t> Restrictive Detail Code</a:t>
          </a:r>
          <a:endParaRPr lang="en-US" sz="2000" b="1"/>
        </a:p>
      </xdr:txBody>
    </xdr:sp>
    <xdr:clientData/>
  </xdr:twoCellAnchor>
  <xdr:twoCellAnchor>
    <xdr:from>
      <xdr:col>12</xdr:col>
      <xdr:colOff>11113</xdr:colOff>
      <xdr:row>26</xdr:row>
      <xdr:rowOff>142080</xdr:rowOff>
    </xdr:from>
    <xdr:to>
      <xdr:col>15</xdr:col>
      <xdr:colOff>7938</xdr:colOff>
      <xdr:row>30</xdr:row>
      <xdr:rowOff>57150</xdr:rowOff>
    </xdr:to>
    <xdr:sp macro="" textlink="">
      <xdr:nvSpPr>
        <xdr:cNvPr id="13" name="Rounded Rectangle 12">
          <a:hlinkClick xmlns:r="http://schemas.openxmlformats.org/officeDocument/2006/relationships" r:id="rId5"/>
        </xdr:cNvPr>
        <xdr:cNvSpPr/>
      </xdr:nvSpPr>
      <xdr:spPr>
        <a:xfrm>
          <a:off x="8469313" y="5037930"/>
          <a:ext cx="3521075" cy="67707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b="1"/>
            <a:t>%</a:t>
          </a:r>
          <a:r>
            <a:rPr lang="en-US" sz="2000" b="1" baseline="0"/>
            <a:t> 24HR &amp; FTR TOL Avail</a:t>
          </a:r>
          <a:endParaRPr lang="en-US" sz="2000" b="1"/>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11</xdr:col>
      <xdr:colOff>657225</xdr:colOff>
      <xdr:row>10</xdr:row>
      <xdr:rowOff>85725</xdr:rowOff>
    </xdr:from>
    <xdr:to>
      <xdr:col>14</xdr:col>
      <xdr:colOff>925513</xdr:colOff>
      <xdr:row>13</xdr:row>
      <xdr:rowOff>170656</xdr:rowOff>
    </xdr:to>
    <xdr:sp macro="" textlink="">
      <xdr:nvSpPr>
        <xdr:cNvPr id="3" name="Rounded Rectangle 2">
          <a:hlinkClick xmlns:r="http://schemas.openxmlformats.org/officeDocument/2006/relationships" r:id="rId1"/>
        </xdr:cNvPr>
        <xdr:cNvSpPr/>
      </xdr:nvSpPr>
      <xdr:spPr>
        <a:xfrm>
          <a:off x="8486775" y="2114550"/>
          <a:ext cx="3497263" cy="656431"/>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b="1"/>
            <a:t>Back to Table of Contents</a:t>
          </a:r>
        </a:p>
      </xdr:txBody>
    </xdr:sp>
    <xdr:clientData/>
  </xdr:twoCellAnchor>
  <xdr:twoCellAnchor>
    <xdr:from>
      <xdr:col>11</xdr:col>
      <xdr:colOff>665163</xdr:colOff>
      <xdr:row>14</xdr:row>
      <xdr:rowOff>34131</xdr:rowOff>
    </xdr:from>
    <xdr:to>
      <xdr:col>14</xdr:col>
      <xdr:colOff>957263</xdr:colOff>
      <xdr:row>17</xdr:row>
      <xdr:rowOff>173830</xdr:rowOff>
    </xdr:to>
    <xdr:sp macro="" textlink="">
      <xdr:nvSpPr>
        <xdr:cNvPr id="4" name="Rounded Rectangle 3">
          <a:hlinkClick xmlns:r="http://schemas.openxmlformats.org/officeDocument/2006/relationships" r:id="rId2"/>
        </xdr:cNvPr>
        <xdr:cNvSpPr/>
      </xdr:nvSpPr>
      <xdr:spPr>
        <a:xfrm>
          <a:off x="8494713" y="2834481"/>
          <a:ext cx="3521075" cy="701674"/>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b="1"/>
            <a:t>%</a:t>
          </a:r>
          <a:r>
            <a:rPr lang="en-US" sz="2000" b="1" baseline="0"/>
            <a:t> Plan Appts &gt;= 1500 Hrs</a:t>
          </a:r>
          <a:endParaRPr lang="en-US" sz="2000" b="1"/>
        </a:p>
      </xdr:txBody>
    </xdr:sp>
    <xdr:clientData/>
  </xdr:twoCellAnchor>
  <xdr:twoCellAnchor>
    <xdr:from>
      <xdr:col>11</xdr:col>
      <xdr:colOff>677863</xdr:colOff>
      <xdr:row>18</xdr:row>
      <xdr:rowOff>62705</xdr:rowOff>
    </xdr:from>
    <xdr:to>
      <xdr:col>14</xdr:col>
      <xdr:colOff>969963</xdr:colOff>
      <xdr:row>21</xdr:row>
      <xdr:rowOff>142079</xdr:rowOff>
    </xdr:to>
    <xdr:sp macro="" textlink="">
      <xdr:nvSpPr>
        <xdr:cNvPr id="5" name="Rounded Rectangle 4">
          <a:hlinkClick xmlns:r="http://schemas.openxmlformats.org/officeDocument/2006/relationships" r:id="rId3"/>
        </xdr:cNvPr>
        <xdr:cNvSpPr/>
      </xdr:nvSpPr>
      <xdr:spPr>
        <a:xfrm>
          <a:off x="8507413" y="3615530"/>
          <a:ext cx="3521075" cy="631824"/>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b="1"/>
            <a:t>%</a:t>
          </a:r>
          <a:r>
            <a:rPr lang="en-US" sz="2000" b="1" baseline="0"/>
            <a:t> 24HR F2F Appts</a:t>
          </a:r>
          <a:endParaRPr lang="en-US" sz="2000" b="1"/>
        </a:p>
      </xdr:txBody>
    </xdr:sp>
    <xdr:clientData/>
  </xdr:twoCellAnchor>
  <xdr:twoCellAnchor>
    <xdr:from>
      <xdr:col>11</xdr:col>
      <xdr:colOff>677863</xdr:colOff>
      <xdr:row>22</xdr:row>
      <xdr:rowOff>46830</xdr:rowOff>
    </xdr:from>
    <xdr:to>
      <xdr:col>14</xdr:col>
      <xdr:colOff>969963</xdr:colOff>
      <xdr:row>25</xdr:row>
      <xdr:rowOff>167480</xdr:rowOff>
    </xdr:to>
    <xdr:sp macro="" textlink="">
      <xdr:nvSpPr>
        <xdr:cNvPr id="6" name="Rounded Rectangle 5">
          <a:hlinkClick xmlns:r="http://schemas.openxmlformats.org/officeDocument/2006/relationships" r:id="rId4"/>
        </xdr:cNvPr>
        <xdr:cNvSpPr/>
      </xdr:nvSpPr>
      <xdr:spPr>
        <a:xfrm>
          <a:off x="8507413" y="4342605"/>
          <a:ext cx="3521075" cy="6921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b="1"/>
            <a:t>%</a:t>
          </a:r>
          <a:r>
            <a:rPr lang="en-US" sz="2000" b="1" baseline="0"/>
            <a:t> Restrictive Detail Code</a:t>
          </a:r>
          <a:endParaRPr lang="en-US" sz="2000" b="1"/>
        </a:p>
      </xdr:txBody>
    </xdr:sp>
    <xdr:clientData/>
  </xdr:twoCellAnchor>
  <xdr:twoCellAnchor>
    <xdr:from>
      <xdr:col>11</xdr:col>
      <xdr:colOff>677863</xdr:colOff>
      <xdr:row>26</xdr:row>
      <xdr:rowOff>65880</xdr:rowOff>
    </xdr:from>
    <xdr:to>
      <xdr:col>14</xdr:col>
      <xdr:colOff>969963</xdr:colOff>
      <xdr:row>29</xdr:row>
      <xdr:rowOff>180975</xdr:rowOff>
    </xdr:to>
    <xdr:sp macro="" textlink="">
      <xdr:nvSpPr>
        <xdr:cNvPr id="7" name="Rounded Rectangle 6">
          <a:hlinkClick xmlns:r="http://schemas.openxmlformats.org/officeDocument/2006/relationships" r:id="rId5"/>
        </xdr:cNvPr>
        <xdr:cNvSpPr/>
      </xdr:nvSpPr>
      <xdr:spPr>
        <a:xfrm>
          <a:off x="8507413" y="5123655"/>
          <a:ext cx="3521075" cy="67707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b="1"/>
            <a:t>%</a:t>
          </a:r>
          <a:r>
            <a:rPr lang="en-US" sz="2000" b="1" baseline="0"/>
            <a:t> 24HR &amp; FTR TOL Avail</a:t>
          </a:r>
          <a:endParaRPr lang="en-US" sz="2000" b="1"/>
        </a:p>
      </xdr:txBody>
    </xdr:sp>
    <xdr:clientData/>
  </xdr:twoCellAnchor>
</xdr:wsDr>
</file>

<file path=xl/tables/table1.xml><?xml version="1.0" encoding="utf-8"?>
<table xmlns="http://schemas.openxmlformats.org/spreadsheetml/2006/main" id="23" name="Table23" displayName="Table23" ref="B1:B6" totalsRowShown="0">
  <autoFilter ref="B1:B6"/>
  <tableColumns count="1">
    <tableColumn id="1" name="Specialty"/>
  </tableColumns>
  <tableStyleInfo name="TableStyleLight9" showFirstColumn="0" showLastColumn="0" showRowStripes="1" showColumnStripes="0"/>
</table>
</file>

<file path=xl/tables/table2.xml><?xml version="1.0" encoding="utf-8"?>
<table xmlns="http://schemas.openxmlformats.org/spreadsheetml/2006/main" id="24" name="Table24" displayName="Table24" ref="D1:D14" totalsRowShown="0">
  <autoFilter ref="D1:D14"/>
  <tableColumns count="1">
    <tableColumn id="1" name="Family Health/Peds Roles"/>
  </tableColumns>
  <tableStyleInfo name="TableStyleLight9" showFirstColumn="0" showLastColumn="0" showRowStripes="1" showColumnStripes="0"/>
</table>
</file>

<file path=xl/tables/table3.xml><?xml version="1.0" encoding="utf-8"?>
<table xmlns="http://schemas.openxmlformats.org/spreadsheetml/2006/main" id="25" name="Table25" displayName="Table25" ref="D18:D27" totalsRowShown="0">
  <autoFilter ref="D18:D27"/>
  <tableColumns count="1">
    <tableColumn id="1" name="Internal Medicine Roles"/>
  </tableColumns>
  <tableStyleInfo name="TableStyleLight9" showFirstColumn="0" showLastColumn="0" showRowStripes="1" showColumnStripes="0"/>
</table>
</file>

<file path=xl/tables/table4.xml><?xml version="1.0" encoding="utf-8"?>
<table xmlns="http://schemas.openxmlformats.org/spreadsheetml/2006/main" id="26" name="Table26" displayName="Table26" ref="F1:F7" totalsRowShown="0">
  <autoFilter ref="F1:F7"/>
  <tableColumns count="1">
    <tableColumn id="1" name="Flight Medicine Roles"/>
  </tableColumns>
  <tableStyleInfo name="TableStyleLight9" showFirstColumn="0" showLastColumn="0" showRowStripes="1" showColumnStripes="0"/>
</table>
</file>

<file path=xl/tables/table5.xml><?xml version="1.0" encoding="utf-8"?>
<table xmlns="http://schemas.openxmlformats.org/spreadsheetml/2006/main" id="27" name="Table27" displayName="Table27" ref="F9:F11" totalsRowShown="0">
  <autoFilter ref="F9:F11"/>
  <tableColumns count="1">
    <tableColumn id="1" name="Pain Champion Roles"/>
  </tableColumns>
  <tableStyleInfo name="TableStyleLight9" showFirstColumn="0" showLastColumn="0" showRowStripes="1" showColumnStripes="0"/>
</table>
</file>

<file path=xl/tables/table6.xml><?xml version="1.0" encoding="utf-8"?>
<table xmlns="http://schemas.openxmlformats.org/spreadsheetml/2006/main" id="28" name="Table28" displayName="Table28" ref="B1:B4" totalsRowShown="0">
  <autoFilter ref="B1:B4"/>
  <tableColumns count="1">
    <tableColumn id="1" name="Type of Care"/>
  </tableColumns>
  <tableStyleInfo name="TableStyleLight9" showFirstColumn="0" showLastColumn="0" showRowStripes="1" showColumnStripes="0"/>
</table>
</file>

<file path=xl/tables/table7.xml><?xml version="1.0" encoding="utf-8"?>
<table xmlns="http://schemas.openxmlformats.org/spreadsheetml/2006/main" id="29" name="Table29" displayName="Table29" ref="D1:D3" totalsRowShown="0">
  <autoFilter ref="D1:D3"/>
  <tableColumns count="1">
    <tableColumn id="1" name="Primary Care"/>
  </tableColumns>
  <tableStyleInfo name="TableStyleLight9" showFirstColumn="0" showLastColumn="0" showRowStripes="1" showColumnStripes="0"/>
</table>
</file>

<file path=xl/tables/table8.xml><?xml version="1.0" encoding="utf-8"?>
<table xmlns="http://schemas.openxmlformats.org/spreadsheetml/2006/main" id="1" name="Table1" displayName="Table1" ref="B10:B15" totalsRowShown="0">
  <autoFilter ref="B10:B15"/>
  <tableColumns count="1">
    <tableColumn id="1" name="Approved Appt Types:"/>
  </tableColumns>
  <tableStyleInfo name="TableStyleLight9" showFirstColumn="0" showLastColumn="0" showRowStripes="1" showColumnStripes="0"/>
</table>
</file>

<file path=xl/tables/table9.xml><?xml version="1.0" encoding="utf-8"?>
<table xmlns="http://schemas.openxmlformats.org/spreadsheetml/2006/main" id="2" name="Table2" displayName="Table2" ref="F1:F7" totalsRowShown="0">
  <autoFilter ref="F1:F7"/>
  <tableColumns count="1">
    <tableColumn id="1" name="Specialty Care"/>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 Id="rId5" Type="http://schemas.openxmlformats.org/officeDocument/2006/relationships/table" Target="../tables/table5.xml"/><Relationship Id="rId4" Type="http://schemas.openxmlformats.org/officeDocument/2006/relationships/table" Target="../tables/table4.xml"/></Relationships>
</file>

<file path=xl/worksheets/_rels/sheet5.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table" Target="../tables/table7.xml"/><Relationship Id="rId1" Type="http://schemas.openxmlformats.org/officeDocument/2006/relationships/table" Target="../tables/table6.xml"/><Relationship Id="rId4" Type="http://schemas.openxmlformats.org/officeDocument/2006/relationships/table" Target="../tables/table9.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4"/>
  </sheetPr>
  <dimension ref="A1:G29"/>
  <sheetViews>
    <sheetView workbookViewId="0">
      <selection activeCell="A16" sqref="A16"/>
    </sheetView>
  </sheetViews>
  <sheetFormatPr defaultRowHeight="14.25" x14ac:dyDescent="0.2"/>
  <cols>
    <col min="1" max="1" width="25.5" customWidth="1"/>
    <col min="2" max="2" width="5.5" customWidth="1"/>
    <col min="6" max="6" width="25.75" customWidth="1"/>
    <col min="7" max="7" width="4.5" customWidth="1"/>
    <col min="11" max="11" width="49.25" customWidth="1"/>
  </cols>
  <sheetData>
    <row r="1" spans="1:7" ht="14.25" customHeight="1" x14ac:dyDescent="0.25">
      <c r="A1" s="231" t="s">
        <v>411</v>
      </c>
      <c r="B1" s="194"/>
    </row>
    <row r="2" spans="1:7" ht="14.25" customHeight="1" x14ac:dyDescent="0.25">
      <c r="A2" s="231"/>
      <c r="B2" s="194"/>
    </row>
    <row r="3" spans="1:7" ht="15" x14ac:dyDescent="0.25">
      <c r="A3" s="214" t="s">
        <v>351</v>
      </c>
    </row>
    <row r="4" spans="1:7" ht="15" x14ac:dyDescent="0.25">
      <c r="A4" s="201" t="s">
        <v>352</v>
      </c>
    </row>
    <row r="5" spans="1:7" ht="15" x14ac:dyDescent="0.25">
      <c r="A5" s="201" t="s">
        <v>353</v>
      </c>
      <c r="G5" s="80"/>
    </row>
    <row r="6" spans="1:7" ht="15" x14ac:dyDescent="0.25">
      <c r="A6" s="202" t="s">
        <v>346</v>
      </c>
      <c r="G6" s="80"/>
    </row>
    <row r="7" spans="1:7" ht="15" x14ac:dyDescent="0.25">
      <c r="A7" s="203" t="s">
        <v>355</v>
      </c>
      <c r="G7" s="80"/>
    </row>
    <row r="8" spans="1:7" ht="15" x14ac:dyDescent="0.25">
      <c r="A8" s="203" t="s">
        <v>354</v>
      </c>
      <c r="G8" s="80"/>
    </row>
    <row r="9" spans="1:7" ht="15" x14ac:dyDescent="0.25">
      <c r="A9" s="203" t="s">
        <v>356</v>
      </c>
    </row>
    <row r="10" spans="1:7" ht="15" x14ac:dyDescent="0.25">
      <c r="A10" s="203" t="s">
        <v>358</v>
      </c>
    </row>
    <row r="11" spans="1:7" ht="15" x14ac:dyDescent="0.25">
      <c r="A11" s="203" t="s">
        <v>410</v>
      </c>
    </row>
    <row r="12" spans="1:7" ht="15" x14ac:dyDescent="0.25">
      <c r="A12" s="203" t="s">
        <v>409</v>
      </c>
    </row>
    <row r="13" spans="1:7" ht="15" x14ac:dyDescent="0.25">
      <c r="A13" s="202" t="s">
        <v>345</v>
      </c>
    </row>
    <row r="15" spans="1:7" ht="15" x14ac:dyDescent="0.25">
      <c r="A15" s="215" t="s">
        <v>81</v>
      </c>
    </row>
    <row r="16" spans="1:7" ht="15" x14ac:dyDescent="0.25">
      <c r="A16" s="195" t="s">
        <v>28</v>
      </c>
    </row>
    <row r="17" spans="1:3" ht="15" x14ac:dyDescent="0.25">
      <c r="A17" s="195" t="s">
        <v>29</v>
      </c>
    </row>
    <row r="18" spans="1:3" ht="15" x14ac:dyDescent="0.25">
      <c r="A18" s="195" t="s">
        <v>30</v>
      </c>
    </row>
    <row r="19" spans="1:3" ht="15" x14ac:dyDescent="0.25">
      <c r="A19" s="195" t="s">
        <v>31</v>
      </c>
    </row>
    <row r="21" spans="1:3" ht="15" x14ac:dyDescent="0.25">
      <c r="A21" s="172" t="s">
        <v>394</v>
      </c>
    </row>
    <row r="22" spans="1:3" ht="15" x14ac:dyDescent="0.25">
      <c r="A22" s="196" t="s">
        <v>407</v>
      </c>
    </row>
    <row r="24" spans="1:3" ht="15" x14ac:dyDescent="0.25">
      <c r="A24" s="216" t="s">
        <v>395</v>
      </c>
    </row>
    <row r="25" spans="1:3" ht="15" x14ac:dyDescent="0.25">
      <c r="A25" s="196" t="s">
        <v>82</v>
      </c>
      <c r="B25" s="184">
        <f>'% Authorized Appt Types'!F62</f>
        <v>1.0033557046979866</v>
      </c>
      <c r="C25" s="200" t="s">
        <v>408</v>
      </c>
    </row>
    <row r="26" spans="1:3" ht="15" x14ac:dyDescent="0.25">
      <c r="A26" s="196" t="s">
        <v>83</v>
      </c>
      <c r="B26" s="184">
        <f>'%Plan Appts &gt;= 1500 Hrs'!F61</f>
        <v>7.7181208053691275E-2</v>
      </c>
    </row>
    <row r="27" spans="1:3" ht="15" x14ac:dyDescent="0.25">
      <c r="A27" s="196" t="s">
        <v>84</v>
      </c>
      <c r="B27" s="184">
        <f>'%24HR_F2F Appts'!F62</f>
        <v>1</v>
      </c>
    </row>
    <row r="28" spans="1:3" ht="15" x14ac:dyDescent="0.25">
      <c r="A28" s="196" t="s">
        <v>86</v>
      </c>
      <c r="B28" s="184">
        <f>'Restrictive Detail Code %'!F62</f>
        <v>6.7114093959731542E-3</v>
      </c>
    </row>
    <row r="29" spans="1:3" ht="15" x14ac:dyDescent="0.25">
      <c r="A29" s="196" t="s">
        <v>85</v>
      </c>
      <c r="B29" s="184">
        <f>'%24HR_FTR TOL Appt'!I61</f>
        <v>0.96621621621621623</v>
      </c>
    </row>
  </sheetData>
  <mergeCells count="1">
    <mergeCell ref="A1:A2"/>
  </mergeCells>
  <conditionalFormatting sqref="B25">
    <cfRule type="cellIs" dxfId="998" priority="14" operator="lessThan">
      <formula>1</formula>
    </cfRule>
    <cfRule type="cellIs" dxfId="997" priority="15" operator="equal">
      <formula>1</formula>
    </cfRule>
  </conditionalFormatting>
  <conditionalFormatting sqref="B26">
    <cfRule type="cellIs" dxfId="996" priority="10" operator="greaterThanOrEqual">
      <formula>0.2</formula>
    </cfRule>
    <cfRule type="cellIs" dxfId="995" priority="11" operator="between">
      <formula>0.15</formula>
      <formula>0.2</formula>
    </cfRule>
    <cfRule type="cellIs" dxfId="994" priority="12" operator="between">
      <formula>0.1</formula>
      <formula>0.15</formula>
    </cfRule>
    <cfRule type="cellIs" dxfId="993" priority="13" operator="lessThan">
      <formula>10</formula>
    </cfRule>
  </conditionalFormatting>
  <conditionalFormatting sqref="B27">
    <cfRule type="cellIs" dxfId="992" priority="6" operator="lessThan">
      <formula>0.4</formula>
    </cfRule>
    <cfRule type="cellIs" dxfId="991" priority="7" operator="between">
      <formula>0.4</formula>
      <formula>0.5</formula>
    </cfRule>
    <cfRule type="cellIs" dxfId="990" priority="8" operator="between">
      <formula>0.5</formula>
      <formula>0.6</formula>
    </cfRule>
    <cfRule type="cellIs" dxfId="989" priority="9" operator="greaterThanOrEqual">
      <formula>0.6</formula>
    </cfRule>
  </conditionalFormatting>
  <conditionalFormatting sqref="B28">
    <cfRule type="cellIs" dxfId="988" priority="2" operator="greaterThan">
      <formula>0.07</formula>
    </cfRule>
    <cfRule type="cellIs" dxfId="987" priority="3" operator="between">
      <formula>0.05</formula>
      <formula>0.07</formula>
    </cfRule>
    <cfRule type="cellIs" dxfId="986" priority="4" operator="between">
      <formula>0.02</formula>
      <formula>0.05</formula>
    </cfRule>
    <cfRule type="cellIs" dxfId="985" priority="5" operator="lessThan">
      <formula>0.02</formula>
    </cfRule>
  </conditionalFormatting>
  <conditionalFormatting sqref="B29">
    <cfRule type="cellIs" dxfId="984" priority="1" operator="greaterThanOrEqual">
      <formula>0.9</formula>
    </cfRule>
  </conditionalFormatting>
  <hyperlinks>
    <hyperlink ref="A16" location="Fleming_64!A1" display="Fleming"/>
    <hyperlink ref="A17" location="Hough_80!A1" display="Hough"/>
    <hyperlink ref="A18" location="Holzer_72!A1" display="Holzer"/>
    <hyperlink ref="A19" location="Brown_80!A1" display="Brown"/>
    <hyperlink ref="A22" location="'Appointment Balancing'!A1" display="Appointment Balancing"/>
    <hyperlink ref="A25" location="'% Authorized Types'!A1" display="Demand Balancing"/>
    <hyperlink ref="A26" location="'%Plan Appts &gt;= 1500 Hrs'!A1" display="% Planned Appts After 1500"/>
    <hyperlink ref="A27" location="'%24HR_F2F Appts'!A1" display="% 24HR F2F Appts"/>
    <hyperlink ref="A29" location="'%24HR_FTR TOL Appt'!A1" display="% 24HR&amp;FTR TOL Appts"/>
    <hyperlink ref="A28" location="'Restrictive Detail Code %'!A1" display="% Restrictive Detail Code"/>
    <hyperlink ref="A4" location="'Standard Adjustments'!A1" display="AF Standard Adjustments"/>
    <hyperlink ref="A5" location="'Appointment Targets'!A1" display="Appointment Targets"/>
    <hyperlink ref="A7" location="'Standard Adjustments'!OBSTETRICS_GYNECOLOGY" display="OB/GYN"/>
    <hyperlink ref="A8" location="OPTOMETRY" display="Optometry"/>
    <hyperlink ref="A9" location="'Standard Adjustments'!PHYSICAL_THERAPY" display="Physical Therapy"/>
    <hyperlink ref="A6" location="SpecialtyCare" display="Specialty Care"/>
    <hyperlink ref="A13" location="Primary_Care" display="Primary Care"/>
    <hyperlink ref="A10" location="PSYCHIATRY" display="Psychiatry"/>
    <hyperlink ref="A12" location="DIETICIAN" display="Nutrition"/>
    <hyperlink ref="A11" location="Psych_SocialWork" display="Psychology/Social Work"/>
  </hyperlinks>
  <pageMargins left="0.7" right="0.7" top="0.75" bottom="0.75" header="0.3" footer="0.3"/>
  <pageSetup orientation="portrait" horizontalDpi="4294967295" verticalDpi="4294967295"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theme="0" tint="-0.499984740745262"/>
  </sheetPr>
  <dimension ref="A1:AA118"/>
  <sheetViews>
    <sheetView topLeftCell="A73" zoomScale="80" zoomScaleNormal="80" workbookViewId="0">
      <selection activeCell="X116" sqref="X116"/>
    </sheetView>
  </sheetViews>
  <sheetFormatPr defaultRowHeight="14.25" x14ac:dyDescent="0.2"/>
  <cols>
    <col min="1" max="1" width="16.25" customWidth="1"/>
    <col min="2" max="2" width="11.75" customWidth="1"/>
    <col min="3" max="3" width="11.875" customWidth="1"/>
    <col min="4" max="4" width="15.375" customWidth="1"/>
    <col min="5" max="5" width="12.875" customWidth="1"/>
    <col min="6" max="6" width="11.75" customWidth="1"/>
    <col min="7" max="7" width="10.625" customWidth="1"/>
    <col min="8" max="8" width="6.25" customWidth="1"/>
    <col min="9" max="9" width="11.5" customWidth="1"/>
    <col min="10" max="10" width="11.875" customWidth="1"/>
    <col min="11" max="11" width="15.375" customWidth="1"/>
    <col min="12" max="12" width="12.875" customWidth="1"/>
    <col min="13" max="13" width="9.375" customWidth="1"/>
    <col min="15" max="15" width="6.25" customWidth="1"/>
    <col min="16" max="16" width="11.5" customWidth="1"/>
    <col min="17" max="17" width="11.875" customWidth="1"/>
    <col min="18" max="18" width="15.375" customWidth="1"/>
    <col min="19" max="19" width="12.875" customWidth="1"/>
    <col min="20" max="20" width="9.375" customWidth="1"/>
    <col min="22" max="22" width="6.25" customWidth="1"/>
    <col min="23" max="23" width="11.5" customWidth="1"/>
    <col min="24" max="24" width="11.875" customWidth="1"/>
    <col min="25" max="25" width="15.375" customWidth="1"/>
    <col min="26" max="26" width="12.875" customWidth="1"/>
    <col min="27" max="27" width="9.375" customWidth="1"/>
  </cols>
  <sheetData>
    <row r="1" spans="1:22" x14ac:dyDescent="0.2">
      <c r="A1" s="306" t="s">
        <v>23</v>
      </c>
      <c r="B1" s="306"/>
      <c r="C1" s="306"/>
      <c r="D1" s="306"/>
      <c r="E1" s="306"/>
      <c r="F1" s="306"/>
      <c r="G1" s="306"/>
      <c r="H1" s="306"/>
      <c r="I1" s="306"/>
      <c r="J1" s="306"/>
      <c r="K1" s="306"/>
      <c r="L1" s="306"/>
      <c r="M1" s="306"/>
      <c r="N1" s="306"/>
      <c r="Q1" s="245" t="s">
        <v>415</v>
      </c>
      <c r="R1" s="245"/>
      <c r="S1" s="245"/>
      <c r="T1" s="245"/>
      <c r="U1" s="245"/>
      <c r="V1" s="245"/>
    </row>
    <row r="2" spans="1:22" x14ac:dyDescent="0.2">
      <c r="A2" s="53" t="s">
        <v>24</v>
      </c>
      <c r="Q2" s="245"/>
      <c r="R2" s="245"/>
      <c r="S2" s="245"/>
      <c r="T2" s="245"/>
      <c r="U2" s="245"/>
      <c r="V2" s="245"/>
    </row>
    <row r="3" spans="1:22" ht="15" customHeight="1" x14ac:dyDescent="0.2">
      <c r="A3" s="308" t="s">
        <v>25</v>
      </c>
      <c r="B3" s="308"/>
      <c r="C3" s="308"/>
      <c r="D3" s="308"/>
      <c r="E3" s="308"/>
      <c r="F3" s="308"/>
      <c r="G3" s="308"/>
      <c r="H3" s="308"/>
      <c r="I3" s="308"/>
      <c r="J3" s="308"/>
      <c r="K3" s="308"/>
      <c r="L3" s="308"/>
      <c r="M3" s="308"/>
      <c r="N3" s="308"/>
      <c r="O3" s="54"/>
      <c r="P3" s="54"/>
      <c r="Q3" s="245"/>
      <c r="R3" s="245"/>
      <c r="S3" s="245"/>
      <c r="T3" s="245"/>
      <c r="U3" s="245"/>
      <c r="V3" s="245"/>
    </row>
    <row r="4" spans="1:22" x14ac:dyDescent="0.2">
      <c r="A4" s="308"/>
      <c r="B4" s="308"/>
      <c r="C4" s="308"/>
      <c r="D4" s="308"/>
      <c r="E4" s="308"/>
      <c r="F4" s="308"/>
      <c r="G4" s="308"/>
      <c r="H4" s="308"/>
      <c r="I4" s="308"/>
      <c r="J4" s="308"/>
      <c r="K4" s="308"/>
      <c r="L4" s="308"/>
      <c r="M4" s="308"/>
      <c r="N4" s="308"/>
      <c r="O4" s="54"/>
      <c r="P4" s="54"/>
      <c r="Q4" s="224"/>
      <c r="R4" s="224"/>
      <c r="S4" s="224"/>
      <c r="T4" s="224"/>
      <c r="U4" s="224"/>
    </row>
    <row r="5" spans="1:22" x14ac:dyDescent="0.2">
      <c r="A5" s="308"/>
      <c r="B5" s="308"/>
      <c r="C5" s="308"/>
      <c r="D5" s="308"/>
      <c r="E5" s="308"/>
      <c r="F5" s="308"/>
      <c r="G5" s="308"/>
      <c r="H5" s="308"/>
      <c r="I5" s="308"/>
      <c r="J5" s="308"/>
      <c r="K5" s="308"/>
      <c r="L5" s="308"/>
      <c r="M5" s="308"/>
      <c r="N5" s="308"/>
      <c r="O5" s="54"/>
      <c r="P5" s="54"/>
      <c r="Q5" s="224"/>
      <c r="R5" s="224"/>
      <c r="S5" s="224"/>
      <c r="T5" s="224"/>
      <c r="U5" s="224"/>
    </row>
    <row r="6" spans="1:22" x14ac:dyDescent="0.2">
      <c r="A6" s="308"/>
      <c r="B6" s="308"/>
      <c r="C6" s="308"/>
      <c r="D6" s="308"/>
      <c r="E6" s="308"/>
      <c r="F6" s="308"/>
      <c r="G6" s="308"/>
      <c r="H6" s="308"/>
      <c r="I6" s="308"/>
      <c r="J6" s="308"/>
      <c r="K6" s="308"/>
      <c r="L6" s="308"/>
      <c r="M6" s="308"/>
      <c r="N6" s="308"/>
      <c r="O6" s="54"/>
      <c r="P6" s="54"/>
      <c r="Q6" s="224"/>
      <c r="R6" s="224"/>
      <c r="S6" s="224"/>
      <c r="T6" s="224"/>
      <c r="U6" s="224"/>
    </row>
    <row r="7" spans="1:22" x14ac:dyDescent="0.2">
      <c r="A7" s="308"/>
      <c r="B7" s="308"/>
      <c r="C7" s="308"/>
      <c r="D7" s="308"/>
      <c r="E7" s="308"/>
      <c r="F7" s="308"/>
      <c r="G7" s="308"/>
      <c r="H7" s="308"/>
      <c r="I7" s="308"/>
      <c r="J7" s="308"/>
      <c r="K7" s="308"/>
      <c r="L7" s="308"/>
      <c r="M7" s="308"/>
      <c r="N7" s="308"/>
      <c r="O7" s="54"/>
      <c r="P7" s="54"/>
      <c r="Q7" s="224"/>
      <c r="R7" s="224"/>
      <c r="S7" s="224"/>
      <c r="T7" s="224"/>
      <c r="U7" s="224"/>
    </row>
    <row r="8" spans="1:22" x14ac:dyDescent="0.2">
      <c r="A8" s="308"/>
      <c r="B8" s="308"/>
      <c r="C8" s="308"/>
      <c r="D8" s="308"/>
      <c r="E8" s="308"/>
      <c r="F8" s="308"/>
      <c r="G8" s="308"/>
      <c r="H8" s="308"/>
      <c r="I8" s="308"/>
      <c r="J8" s="308"/>
      <c r="K8" s="308"/>
      <c r="L8" s="308"/>
      <c r="M8" s="308"/>
      <c r="N8" s="308"/>
      <c r="O8" s="54"/>
      <c r="P8" s="54"/>
      <c r="Q8" s="224"/>
      <c r="R8" s="224"/>
      <c r="S8" s="224"/>
      <c r="T8" s="224"/>
      <c r="U8" s="224"/>
    </row>
    <row r="9" spans="1:22" x14ac:dyDescent="0.2">
      <c r="A9" s="55" t="s">
        <v>26</v>
      </c>
      <c r="B9" s="54"/>
      <c r="C9" s="54"/>
      <c r="D9" s="54"/>
      <c r="E9" s="54"/>
      <c r="F9" s="54"/>
      <c r="G9" s="54"/>
      <c r="H9" s="54"/>
      <c r="I9" s="54"/>
      <c r="J9" s="54"/>
      <c r="K9" s="54"/>
      <c r="L9" s="54"/>
      <c r="M9" s="54"/>
      <c r="N9" s="54"/>
      <c r="O9" s="54"/>
      <c r="P9" s="54"/>
      <c r="Q9" s="224"/>
      <c r="R9" s="224"/>
      <c r="S9" s="224"/>
      <c r="T9" s="224"/>
      <c r="U9" s="224"/>
    </row>
    <row r="10" spans="1:22" ht="15" customHeight="1" x14ac:dyDescent="0.2">
      <c r="A10" s="308" t="s">
        <v>27</v>
      </c>
      <c r="B10" s="308"/>
      <c r="C10" s="308"/>
      <c r="D10" s="308"/>
      <c r="E10" s="308"/>
      <c r="F10" s="308"/>
      <c r="G10" s="308"/>
      <c r="H10" s="308"/>
      <c r="I10" s="308"/>
      <c r="J10" s="308"/>
      <c r="K10" s="308"/>
      <c r="L10" s="308"/>
      <c r="M10" s="308"/>
      <c r="N10" s="308"/>
      <c r="O10" s="54"/>
      <c r="P10" s="54"/>
      <c r="Q10" s="54"/>
      <c r="R10" s="54"/>
    </row>
    <row r="11" spans="1:22" x14ac:dyDescent="0.2">
      <c r="A11" s="308"/>
      <c r="B11" s="308"/>
      <c r="C11" s="308"/>
      <c r="D11" s="308"/>
      <c r="E11" s="308"/>
      <c r="F11" s="308"/>
      <c r="G11" s="308"/>
      <c r="H11" s="308"/>
      <c r="I11" s="308"/>
      <c r="J11" s="308"/>
      <c r="K11" s="308"/>
      <c r="L11" s="308"/>
      <c r="M11" s="308"/>
      <c r="N11" s="308"/>
      <c r="O11" s="54"/>
      <c r="P11" s="54"/>
      <c r="Q11" s="54"/>
      <c r="R11" s="54"/>
    </row>
    <row r="12" spans="1:22" x14ac:dyDescent="0.2">
      <c r="A12" s="308"/>
      <c r="B12" s="308"/>
      <c r="C12" s="308"/>
      <c r="D12" s="308"/>
      <c r="E12" s="308"/>
      <c r="F12" s="308"/>
      <c r="G12" s="308"/>
      <c r="H12" s="308"/>
      <c r="I12" s="308"/>
      <c r="J12" s="308"/>
      <c r="K12" s="308"/>
      <c r="L12" s="308"/>
      <c r="M12" s="308"/>
      <c r="N12" s="308"/>
      <c r="O12" s="54"/>
      <c r="P12" s="54"/>
      <c r="Q12" s="54"/>
      <c r="R12" s="54"/>
    </row>
    <row r="13" spans="1:22" x14ac:dyDescent="0.2">
      <c r="A13" s="308"/>
      <c r="B13" s="308"/>
      <c r="C13" s="308"/>
      <c r="D13" s="308"/>
      <c r="E13" s="308"/>
      <c r="F13" s="308"/>
      <c r="G13" s="308"/>
      <c r="H13" s="308"/>
      <c r="I13" s="308"/>
      <c r="J13" s="308"/>
      <c r="K13" s="308"/>
      <c r="L13" s="308"/>
      <c r="M13" s="308"/>
      <c r="N13" s="308"/>
    </row>
    <row r="14" spans="1:22" x14ac:dyDescent="0.2">
      <c r="A14" s="308"/>
      <c r="B14" s="308"/>
      <c r="C14" s="308"/>
      <c r="D14" s="308"/>
      <c r="E14" s="308"/>
      <c r="F14" s="308"/>
      <c r="G14" s="308"/>
      <c r="H14" s="308"/>
      <c r="I14" s="308"/>
      <c r="J14" s="308"/>
      <c r="K14" s="308"/>
      <c r="L14" s="308"/>
      <c r="M14" s="308"/>
      <c r="N14" s="308"/>
    </row>
    <row r="15" spans="1:22" x14ac:dyDescent="0.2">
      <c r="A15" s="308"/>
      <c r="B15" s="308"/>
      <c r="C15" s="308"/>
      <c r="D15" s="308"/>
      <c r="E15" s="308"/>
      <c r="F15" s="308"/>
      <c r="G15" s="308"/>
      <c r="H15" s="308"/>
      <c r="I15" s="308"/>
      <c r="J15" s="308"/>
      <c r="K15" s="308"/>
      <c r="L15" s="308"/>
      <c r="M15" s="308"/>
      <c r="N15" s="308"/>
    </row>
    <row r="16" spans="1:22" x14ac:dyDescent="0.2">
      <c r="A16" s="308"/>
      <c r="B16" s="308"/>
      <c r="C16" s="308"/>
      <c r="D16" s="308"/>
      <c r="E16" s="308"/>
      <c r="F16" s="308"/>
      <c r="G16" s="308"/>
      <c r="H16" s="308"/>
      <c r="I16" s="308"/>
      <c r="J16" s="308"/>
      <c r="K16" s="308"/>
      <c r="L16" s="308"/>
      <c r="M16" s="308"/>
      <c r="N16" s="308"/>
    </row>
    <row r="17" spans="1:27" x14ac:dyDescent="0.2">
      <c r="A17" s="308"/>
      <c r="B17" s="308"/>
      <c r="C17" s="308"/>
      <c r="D17" s="308"/>
      <c r="E17" s="308"/>
      <c r="F17" s="308"/>
      <c r="G17" s="308"/>
      <c r="H17" s="308"/>
      <c r="I17" s="308"/>
      <c r="J17" s="308"/>
      <c r="K17" s="308"/>
      <c r="L17" s="308"/>
      <c r="M17" s="308"/>
      <c r="N17" s="308"/>
    </row>
    <row r="18" spans="1:27" x14ac:dyDescent="0.2">
      <c r="A18" s="308"/>
      <c r="B18" s="308"/>
      <c r="C18" s="308"/>
      <c r="D18" s="308"/>
      <c r="E18" s="308"/>
      <c r="F18" s="308"/>
      <c r="G18" s="308"/>
      <c r="H18" s="308"/>
      <c r="I18" s="308"/>
      <c r="J18" s="308"/>
      <c r="K18" s="308"/>
      <c r="L18" s="308"/>
      <c r="M18" s="308"/>
      <c r="N18" s="308"/>
    </row>
    <row r="19" spans="1:27" x14ac:dyDescent="0.2">
      <c r="A19" s="56"/>
      <c r="B19" s="56"/>
      <c r="C19" s="56"/>
      <c r="D19" s="56"/>
      <c r="E19" s="56"/>
      <c r="F19" s="56"/>
      <c r="G19" s="56"/>
      <c r="H19" s="56"/>
      <c r="I19" s="56"/>
      <c r="J19" s="56"/>
      <c r="K19" s="56"/>
      <c r="L19" s="56"/>
      <c r="M19" s="56"/>
      <c r="N19" s="56"/>
    </row>
    <row r="20" spans="1:27" ht="15" x14ac:dyDescent="0.25">
      <c r="A20" s="56"/>
      <c r="B20" s="307" t="s">
        <v>28</v>
      </c>
      <c r="C20" s="307"/>
      <c r="D20" s="307"/>
      <c r="E20" s="307"/>
      <c r="F20" s="307"/>
      <c r="G20" s="307"/>
      <c r="H20" s="307"/>
      <c r="I20" s="307"/>
      <c r="J20" s="307"/>
      <c r="K20" s="307"/>
      <c r="L20" s="307"/>
      <c r="M20" s="307"/>
      <c r="N20" s="307"/>
      <c r="O20" s="307"/>
      <c r="P20" s="307"/>
      <c r="Q20" s="307"/>
      <c r="R20" s="307"/>
      <c r="S20" s="307"/>
      <c r="T20" s="307"/>
      <c r="U20" s="307"/>
      <c r="V20" s="307"/>
      <c r="W20" s="307"/>
      <c r="X20" s="307"/>
      <c r="Y20" s="307"/>
      <c r="Z20" s="307"/>
      <c r="AA20" s="307"/>
    </row>
    <row r="21" spans="1:27" ht="15" x14ac:dyDescent="0.2">
      <c r="A21" s="48"/>
      <c r="B21" s="283" t="s">
        <v>19</v>
      </c>
      <c r="C21" s="284"/>
      <c r="D21" s="284"/>
      <c r="E21" s="284"/>
      <c r="F21" s="285"/>
      <c r="G21" s="30"/>
      <c r="H21" s="31"/>
      <c r="I21" s="283" t="s">
        <v>20</v>
      </c>
      <c r="J21" s="284"/>
      <c r="K21" s="284"/>
      <c r="L21" s="284"/>
      <c r="M21" s="285"/>
      <c r="N21" s="30"/>
      <c r="P21" s="283" t="s">
        <v>21</v>
      </c>
      <c r="Q21" s="284"/>
      <c r="R21" s="284"/>
      <c r="S21" s="284"/>
      <c r="T21" s="285"/>
      <c r="U21" s="30"/>
      <c r="W21" s="283" t="s">
        <v>22</v>
      </c>
      <c r="X21" s="284"/>
      <c r="Y21" s="284"/>
      <c r="Z21" s="284"/>
      <c r="AA21" s="285"/>
    </row>
    <row r="22" spans="1:27" ht="15" x14ac:dyDescent="0.2">
      <c r="A22" s="48"/>
      <c r="B22" s="32" t="s">
        <v>2</v>
      </c>
      <c r="C22" s="33" t="s">
        <v>3</v>
      </c>
      <c r="D22" s="32" t="s">
        <v>4</v>
      </c>
      <c r="E22" s="32" t="s">
        <v>5</v>
      </c>
      <c r="F22" s="32" t="s">
        <v>6</v>
      </c>
      <c r="G22" s="30"/>
      <c r="H22" s="31"/>
      <c r="I22" s="32" t="s">
        <v>2</v>
      </c>
      <c r="J22" s="32" t="s">
        <v>3</v>
      </c>
      <c r="K22" s="32" t="s">
        <v>4</v>
      </c>
      <c r="L22" s="32" t="s">
        <v>5</v>
      </c>
      <c r="M22" s="32" t="s">
        <v>6</v>
      </c>
      <c r="N22" s="30"/>
      <c r="P22" s="32" t="s">
        <v>2</v>
      </c>
      <c r="Q22" s="32" t="s">
        <v>3</v>
      </c>
      <c r="R22" s="32" t="s">
        <v>4</v>
      </c>
      <c r="S22" s="32" t="s">
        <v>5</v>
      </c>
      <c r="T22" s="32" t="s">
        <v>6</v>
      </c>
      <c r="U22" s="30"/>
      <c r="W22" s="32" t="s">
        <v>2</v>
      </c>
      <c r="X22" s="32" t="s">
        <v>3</v>
      </c>
      <c r="Y22" s="32" t="s">
        <v>4</v>
      </c>
      <c r="Z22" s="32" t="s">
        <v>5</v>
      </c>
      <c r="AA22" s="32" t="s">
        <v>6</v>
      </c>
    </row>
    <row r="23" spans="1:27" x14ac:dyDescent="0.2">
      <c r="A23" s="34">
        <v>700</v>
      </c>
      <c r="B23" s="35" t="str">
        <f>Fleming_64!B62</f>
        <v>MET</v>
      </c>
      <c r="C23" s="35" t="str">
        <f>Fleming_64!C62</f>
        <v>MET</v>
      </c>
      <c r="D23" s="35" t="str">
        <f>Fleming_64!D62</f>
        <v>MET</v>
      </c>
      <c r="E23" s="35" t="str">
        <f>Fleming_64!E62</f>
        <v>MET</v>
      </c>
      <c r="F23" s="35" t="str">
        <f>Fleming_64!F62</f>
        <v>MET</v>
      </c>
      <c r="G23" s="30"/>
      <c r="H23" s="37">
        <v>700</v>
      </c>
      <c r="I23" s="36">
        <f>Fleming_64!I62</f>
        <v>1</v>
      </c>
      <c r="J23" s="36">
        <f>Fleming_64!J62</f>
        <v>1</v>
      </c>
      <c r="K23" s="36">
        <f>Fleming_64!K62</f>
        <v>1</v>
      </c>
      <c r="L23" s="36">
        <f>Fleming_64!L62</f>
        <v>1</v>
      </c>
      <c r="M23" s="36">
        <f>Fleming_64!M62</f>
        <v>1</v>
      </c>
      <c r="N23" s="30"/>
      <c r="O23">
        <v>700</v>
      </c>
      <c r="P23" s="39">
        <f>Fleming_64!P62</f>
        <v>0</v>
      </c>
      <c r="Q23" s="39">
        <f>Fleming_64!Q62</f>
        <v>0</v>
      </c>
      <c r="R23" s="39">
        <f>Fleming_64!R62</f>
        <v>0</v>
      </c>
      <c r="S23" s="39">
        <f>Fleming_64!S62</f>
        <v>0</v>
      </c>
      <c r="T23" s="39">
        <f>Fleming_64!T62</f>
        <v>0</v>
      </c>
      <c r="U23" s="30"/>
      <c r="V23">
        <v>700</v>
      </c>
      <c r="W23" s="39">
        <f>Fleming_64!W62</f>
        <v>1</v>
      </c>
      <c r="X23" s="39">
        <f>Fleming_64!X62</f>
        <v>1</v>
      </c>
      <c r="Y23" s="39">
        <f>Fleming_64!Y62</f>
        <v>1</v>
      </c>
      <c r="Z23" s="39">
        <f>Fleming_64!Z62</f>
        <v>1</v>
      </c>
      <c r="AA23" s="39">
        <f>Fleming_64!AA62</f>
        <v>1</v>
      </c>
    </row>
    <row r="24" spans="1:27" x14ac:dyDescent="0.2">
      <c r="A24" s="40">
        <v>800</v>
      </c>
      <c r="B24" s="35" t="str">
        <f>Fleming_64!B63</f>
        <v>MET</v>
      </c>
      <c r="C24" s="35" t="str">
        <f>Fleming_64!C63</f>
        <v>MET</v>
      </c>
      <c r="D24" s="35" t="str">
        <f>Fleming_64!D63</f>
        <v>MET</v>
      </c>
      <c r="E24" s="35" t="str">
        <f>Fleming_64!E63</f>
        <v>MET</v>
      </c>
      <c r="F24" s="35" t="str">
        <f>Fleming_64!F63</f>
        <v>MET</v>
      </c>
      <c r="G24" s="30"/>
      <c r="H24" s="41">
        <v>800</v>
      </c>
      <c r="I24" s="36">
        <f>Fleming_64!I63</f>
        <v>3</v>
      </c>
      <c r="J24" s="36">
        <f>Fleming_64!J63</f>
        <v>3</v>
      </c>
      <c r="K24" s="36">
        <f>Fleming_64!K63</f>
        <v>3</v>
      </c>
      <c r="L24" s="36">
        <f>Fleming_64!L63</f>
        <v>3</v>
      </c>
      <c r="M24" s="36">
        <f>Fleming_64!M63</f>
        <v>3</v>
      </c>
      <c r="N24" s="30"/>
      <c r="O24" s="47">
        <v>800</v>
      </c>
      <c r="P24" s="39">
        <f>Fleming_64!P63</f>
        <v>3</v>
      </c>
      <c r="Q24" s="39">
        <f>Fleming_64!Q63</f>
        <v>3</v>
      </c>
      <c r="R24" s="39">
        <f>Fleming_64!R63</f>
        <v>3</v>
      </c>
      <c r="S24" s="39">
        <f>Fleming_64!S63</f>
        <v>3</v>
      </c>
      <c r="T24" s="39">
        <f>Fleming_64!T63</f>
        <v>3</v>
      </c>
      <c r="U24" s="30"/>
      <c r="V24" s="47">
        <v>800</v>
      </c>
      <c r="W24" s="39">
        <f>Fleming_64!W63</f>
        <v>0</v>
      </c>
      <c r="X24" s="39">
        <f>Fleming_64!X63</f>
        <v>0</v>
      </c>
      <c r="Y24" s="39">
        <f>Fleming_64!Y63</f>
        <v>0</v>
      </c>
      <c r="Z24" s="39">
        <f>Fleming_64!Z63</f>
        <v>0</v>
      </c>
      <c r="AA24" s="39">
        <f>Fleming_64!AA63</f>
        <v>0</v>
      </c>
    </row>
    <row r="25" spans="1:27" x14ac:dyDescent="0.2">
      <c r="A25" s="40">
        <v>900</v>
      </c>
      <c r="B25" s="35" t="str">
        <f>Fleming_64!B64</f>
        <v>MET</v>
      </c>
      <c r="C25" s="35" t="str">
        <f>Fleming_64!C64</f>
        <v>MET</v>
      </c>
      <c r="D25" s="35" t="str">
        <f>Fleming_64!D64</f>
        <v>MET</v>
      </c>
      <c r="E25" s="35" t="str">
        <f>Fleming_64!E64</f>
        <v>MET</v>
      </c>
      <c r="F25" s="35" t="str">
        <f>Fleming_64!F64</f>
        <v>MET</v>
      </c>
      <c r="G25" s="30"/>
      <c r="H25" s="41">
        <v>900</v>
      </c>
      <c r="I25" s="36">
        <f>Fleming_64!I64</f>
        <v>2</v>
      </c>
      <c r="J25" s="36">
        <f>Fleming_64!J64</f>
        <v>2</v>
      </c>
      <c r="K25" s="36">
        <f>Fleming_64!K64</f>
        <v>2</v>
      </c>
      <c r="L25" s="36">
        <f>Fleming_64!L64</f>
        <v>3</v>
      </c>
      <c r="M25" s="36">
        <f>Fleming_64!M64</f>
        <v>2</v>
      </c>
      <c r="N25" s="30"/>
      <c r="O25" s="47">
        <v>900</v>
      </c>
      <c r="P25" s="39">
        <f>Fleming_64!P64</f>
        <v>0</v>
      </c>
      <c r="Q25" s="39">
        <f>Fleming_64!Q64</f>
        <v>0</v>
      </c>
      <c r="R25" s="39">
        <f>Fleming_64!R64</f>
        <v>0</v>
      </c>
      <c r="S25" s="39">
        <f>Fleming_64!S64</f>
        <v>0</v>
      </c>
      <c r="T25" s="39">
        <f>Fleming_64!T64</f>
        <v>0</v>
      </c>
      <c r="U25" s="30"/>
      <c r="V25" s="47">
        <v>900</v>
      </c>
      <c r="W25" s="39">
        <f>Fleming_64!W64</f>
        <v>2</v>
      </c>
      <c r="X25" s="39">
        <f>Fleming_64!X64</f>
        <v>2</v>
      </c>
      <c r="Y25" s="39">
        <f>Fleming_64!Y64</f>
        <v>2</v>
      </c>
      <c r="Z25" s="39">
        <f>Fleming_64!Z64</f>
        <v>3</v>
      </c>
      <c r="AA25" s="39">
        <f>Fleming_64!AA64</f>
        <v>2</v>
      </c>
    </row>
    <row r="26" spans="1:27" x14ac:dyDescent="0.2">
      <c r="A26" s="40">
        <v>1000</v>
      </c>
      <c r="B26" s="35" t="str">
        <f>Fleming_64!B65</f>
        <v>MET</v>
      </c>
      <c r="C26" s="35" t="str">
        <f>Fleming_64!C65</f>
        <v>MET</v>
      </c>
      <c r="D26" s="35" t="str">
        <f>Fleming_64!D65</f>
        <v>MET</v>
      </c>
      <c r="E26" s="35" t="str">
        <f>Fleming_64!E65</f>
        <v>MET</v>
      </c>
      <c r="F26" s="35" t="str">
        <f>Fleming_64!F65</f>
        <v>MET</v>
      </c>
      <c r="G26" s="30"/>
      <c r="H26" s="41">
        <v>1000</v>
      </c>
      <c r="I26" s="36">
        <f>Fleming_64!I65</f>
        <v>2</v>
      </c>
      <c r="J26" s="36">
        <f>Fleming_64!J65</f>
        <v>2</v>
      </c>
      <c r="K26" s="36">
        <f>Fleming_64!K65</f>
        <v>2</v>
      </c>
      <c r="L26" s="36">
        <f>Fleming_64!L65</f>
        <v>1</v>
      </c>
      <c r="M26" s="36">
        <f>Fleming_64!M65</f>
        <v>2</v>
      </c>
      <c r="N26" s="30"/>
      <c r="O26" s="47">
        <v>1000</v>
      </c>
      <c r="P26" s="39">
        <f>Fleming_64!P65</f>
        <v>0</v>
      </c>
      <c r="Q26" s="39">
        <f>Fleming_64!Q65</f>
        <v>0</v>
      </c>
      <c r="R26" s="39">
        <f>Fleming_64!R65</f>
        <v>0</v>
      </c>
      <c r="S26" s="39">
        <f>Fleming_64!S65</f>
        <v>0</v>
      </c>
      <c r="T26" s="39">
        <f>Fleming_64!T65</f>
        <v>0</v>
      </c>
      <c r="U26" s="30"/>
      <c r="V26" s="47">
        <v>1000</v>
      </c>
      <c r="W26" s="39">
        <f>Fleming_64!W65</f>
        <v>2</v>
      </c>
      <c r="X26" s="39">
        <f>Fleming_64!X65</f>
        <v>2</v>
      </c>
      <c r="Y26" s="39">
        <f>Fleming_64!Y65</f>
        <v>2</v>
      </c>
      <c r="Z26" s="39">
        <f>Fleming_64!Z65</f>
        <v>1</v>
      </c>
      <c r="AA26" s="39">
        <f>Fleming_64!AA65</f>
        <v>2</v>
      </c>
    </row>
    <row r="27" spans="1:27" x14ac:dyDescent="0.2">
      <c r="A27" s="40">
        <v>1100</v>
      </c>
      <c r="B27" s="35" t="str">
        <f>Fleming_64!B66</f>
        <v>MET</v>
      </c>
      <c r="C27" s="35" t="str">
        <f>Fleming_64!C66</f>
        <v>MET</v>
      </c>
      <c r="D27" s="35" t="str">
        <f>Fleming_64!D66</f>
        <v>MET</v>
      </c>
      <c r="E27" s="35" t="str">
        <f>Fleming_64!E66</f>
        <v>NOT MET</v>
      </c>
      <c r="F27" s="35" t="str">
        <f>Fleming_64!F66</f>
        <v>MET</v>
      </c>
      <c r="G27" s="30"/>
      <c r="H27" s="41">
        <v>1100</v>
      </c>
      <c r="I27" s="36">
        <f>Fleming_64!I66</f>
        <v>2</v>
      </c>
      <c r="J27" s="36">
        <f>Fleming_64!J66</f>
        <v>2</v>
      </c>
      <c r="K27" s="36">
        <f>Fleming_64!K66</f>
        <v>2</v>
      </c>
      <c r="L27" s="36">
        <f>Fleming_64!L66</f>
        <v>0</v>
      </c>
      <c r="M27" s="36">
        <f>Fleming_64!M66</f>
        <v>2</v>
      </c>
      <c r="N27" s="30"/>
      <c r="O27" s="47">
        <v>1100</v>
      </c>
      <c r="P27" s="39">
        <f>Fleming_64!P66</f>
        <v>2</v>
      </c>
      <c r="Q27" s="39">
        <f>Fleming_64!Q66</f>
        <v>2</v>
      </c>
      <c r="R27" s="39">
        <f>Fleming_64!R66</f>
        <v>2</v>
      </c>
      <c r="S27" s="39">
        <f>Fleming_64!S66</f>
        <v>0</v>
      </c>
      <c r="T27" s="39">
        <f>Fleming_64!T66</f>
        <v>2</v>
      </c>
      <c r="U27" s="30"/>
      <c r="V27" s="47">
        <v>1100</v>
      </c>
      <c r="W27" s="39">
        <f>Fleming_64!W66</f>
        <v>0</v>
      </c>
      <c r="X27" s="39">
        <f>Fleming_64!X66</f>
        <v>0</v>
      </c>
      <c r="Y27" s="39">
        <f>Fleming_64!Y66</f>
        <v>0</v>
      </c>
      <c r="Z27" s="39">
        <f>Fleming_64!Z66</f>
        <v>0</v>
      </c>
      <c r="AA27" s="39">
        <f>Fleming_64!AA66</f>
        <v>0</v>
      </c>
    </row>
    <row r="28" spans="1:27" x14ac:dyDescent="0.2">
      <c r="A28" s="40">
        <v>1200</v>
      </c>
      <c r="B28" s="35" t="str">
        <f>Fleming_64!B67</f>
        <v>NOT MET</v>
      </c>
      <c r="C28" s="35" t="str">
        <f>Fleming_64!C67</f>
        <v>NOT MET</v>
      </c>
      <c r="D28" s="35" t="str">
        <f>Fleming_64!D67</f>
        <v>NOT MET</v>
      </c>
      <c r="E28" s="35" t="str">
        <f>Fleming_64!E67</f>
        <v>NOT MET</v>
      </c>
      <c r="F28" s="35" t="str">
        <f>Fleming_64!F67</f>
        <v>NOT MET</v>
      </c>
      <c r="G28" s="30"/>
      <c r="H28" s="41">
        <v>1200</v>
      </c>
      <c r="I28" s="36">
        <f>Fleming_64!I67</f>
        <v>0</v>
      </c>
      <c r="J28" s="36">
        <f>Fleming_64!J67</f>
        <v>0</v>
      </c>
      <c r="K28" s="36">
        <f>Fleming_64!K67</f>
        <v>0</v>
      </c>
      <c r="L28" s="36">
        <f>Fleming_64!L67</f>
        <v>0</v>
      </c>
      <c r="M28" s="36">
        <f>Fleming_64!M67</f>
        <v>0</v>
      </c>
      <c r="N28" s="30"/>
      <c r="O28" s="47">
        <v>1200</v>
      </c>
      <c r="P28" s="39">
        <f>Fleming_64!P67</f>
        <v>0</v>
      </c>
      <c r="Q28" s="39">
        <f>Fleming_64!Q67</f>
        <v>0</v>
      </c>
      <c r="R28" s="39">
        <f>Fleming_64!R67</f>
        <v>0</v>
      </c>
      <c r="S28" s="39">
        <f>Fleming_64!S67</f>
        <v>0</v>
      </c>
      <c r="T28" s="39">
        <f>Fleming_64!T67</f>
        <v>0</v>
      </c>
      <c r="U28" s="30"/>
      <c r="V28" s="47">
        <v>1200</v>
      </c>
      <c r="W28" s="39">
        <f>Fleming_64!W67</f>
        <v>0</v>
      </c>
      <c r="X28" s="39">
        <f>Fleming_64!X67</f>
        <v>0</v>
      </c>
      <c r="Y28" s="39">
        <f>Fleming_64!Y67</f>
        <v>0</v>
      </c>
      <c r="Z28" s="39">
        <f>Fleming_64!Z67</f>
        <v>0</v>
      </c>
      <c r="AA28" s="39">
        <f>Fleming_64!AA67</f>
        <v>0</v>
      </c>
    </row>
    <row r="29" spans="1:27" x14ac:dyDescent="0.2">
      <c r="A29" s="40">
        <v>1300</v>
      </c>
      <c r="B29" s="35" t="str">
        <f>Fleming_64!B68</f>
        <v>MET</v>
      </c>
      <c r="C29" s="35" t="str">
        <f>Fleming_64!C68</f>
        <v>MET</v>
      </c>
      <c r="D29" s="35" t="str">
        <f>Fleming_64!D68</f>
        <v>MET</v>
      </c>
      <c r="E29" s="35" t="str">
        <f>Fleming_64!E68</f>
        <v>NOT MET</v>
      </c>
      <c r="F29" s="35" t="str">
        <f>Fleming_64!F68</f>
        <v>MET</v>
      </c>
      <c r="G29" s="30"/>
      <c r="H29" s="41">
        <v>1300</v>
      </c>
      <c r="I29" s="36">
        <f>Fleming_64!I68</f>
        <v>3</v>
      </c>
      <c r="J29" s="36">
        <f>Fleming_64!J68</f>
        <v>2</v>
      </c>
      <c r="K29" s="36">
        <f>Fleming_64!K68</f>
        <v>3</v>
      </c>
      <c r="L29" s="36">
        <f>Fleming_64!L68</f>
        <v>0</v>
      </c>
      <c r="M29" s="36">
        <f>Fleming_64!M68</f>
        <v>3</v>
      </c>
      <c r="N29" s="30"/>
      <c r="O29" s="47">
        <v>1300</v>
      </c>
      <c r="P29" s="39">
        <f>Fleming_64!P68</f>
        <v>1</v>
      </c>
      <c r="Q29" s="39">
        <f>Fleming_64!Q68</f>
        <v>0</v>
      </c>
      <c r="R29" s="39">
        <f>Fleming_64!R68</f>
        <v>1</v>
      </c>
      <c r="S29" s="39">
        <f>Fleming_64!S68</f>
        <v>0</v>
      </c>
      <c r="T29" s="39">
        <f>Fleming_64!T68</f>
        <v>1</v>
      </c>
      <c r="U29" s="30"/>
      <c r="V29" s="47">
        <v>1300</v>
      </c>
      <c r="W29" s="39">
        <f>Fleming_64!W68</f>
        <v>2</v>
      </c>
      <c r="X29" s="39">
        <f>Fleming_64!X68</f>
        <v>2</v>
      </c>
      <c r="Y29" s="39">
        <f>Fleming_64!Y68</f>
        <v>2</v>
      </c>
      <c r="Z29" s="39">
        <f>Fleming_64!Z68</f>
        <v>0</v>
      </c>
      <c r="AA29" s="39">
        <f>Fleming_64!AA68</f>
        <v>2</v>
      </c>
    </row>
    <row r="30" spans="1:27" x14ac:dyDescent="0.2">
      <c r="A30" s="40">
        <v>1400</v>
      </c>
      <c r="B30" s="35" t="str">
        <f>Fleming_64!B69</f>
        <v>MET</v>
      </c>
      <c r="C30" s="35" t="str">
        <f>Fleming_64!C69</f>
        <v>NOT MET</v>
      </c>
      <c r="D30" s="35" t="str">
        <f>Fleming_64!D69</f>
        <v>MET</v>
      </c>
      <c r="E30" s="35" t="str">
        <f>Fleming_64!E69</f>
        <v>NOT MET</v>
      </c>
      <c r="F30" s="35" t="str">
        <f>Fleming_64!F69</f>
        <v>MET</v>
      </c>
      <c r="G30" s="30"/>
      <c r="H30" s="41">
        <v>1400</v>
      </c>
      <c r="I30" s="36">
        <f>Fleming_64!I69</f>
        <v>3</v>
      </c>
      <c r="J30" s="36">
        <f>Fleming_64!J69</f>
        <v>0</v>
      </c>
      <c r="K30" s="36">
        <f>Fleming_64!K69</f>
        <v>3</v>
      </c>
      <c r="L30" s="36">
        <f>Fleming_64!L69</f>
        <v>0</v>
      </c>
      <c r="M30" s="36">
        <f>Fleming_64!M69</f>
        <v>1</v>
      </c>
      <c r="N30" s="30"/>
      <c r="O30" s="47">
        <v>1400</v>
      </c>
      <c r="P30" s="39">
        <f>Fleming_64!P69</f>
        <v>1</v>
      </c>
      <c r="Q30" s="39">
        <f>Fleming_64!Q69</f>
        <v>0</v>
      </c>
      <c r="R30" s="39">
        <f>Fleming_64!R69</f>
        <v>1</v>
      </c>
      <c r="S30" s="39">
        <f>Fleming_64!S69</f>
        <v>0</v>
      </c>
      <c r="T30" s="39">
        <f>Fleming_64!T69</f>
        <v>1</v>
      </c>
      <c r="U30" s="30"/>
      <c r="V30" s="47">
        <v>1400</v>
      </c>
      <c r="W30" s="39">
        <f>Fleming_64!W69</f>
        <v>2</v>
      </c>
      <c r="X30" s="39">
        <f>Fleming_64!X69</f>
        <v>0</v>
      </c>
      <c r="Y30" s="39">
        <f>Fleming_64!Y69</f>
        <v>2</v>
      </c>
      <c r="Z30" s="39">
        <f>Fleming_64!Z69</f>
        <v>0</v>
      </c>
      <c r="AA30" s="39">
        <f>Fleming_64!AA69</f>
        <v>0</v>
      </c>
    </row>
    <row r="31" spans="1:27" x14ac:dyDescent="0.2">
      <c r="A31" s="40">
        <v>1500</v>
      </c>
      <c r="B31" s="35" t="str">
        <f>Fleming_64!B70</f>
        <v>MET</v>
      </c>
      <c r="C31" s="35" t="str">
        <f>Fleming_64!C70</f>
        <v>NOT MET</v>
      </c>
      <c r="D31" s="35" t="str">
        <f>Fleming_64!D70</f>
        <v>MET</v>
      </c>
      <c r="E31" s="35" t="str">
        <f>Fleming_64!E70</f>
        <v>NOT MET</v>
      </c>
      <c r="F31" s="35" t="str">
        <f>Fleming_64!F70</f>
        <v>NOT MET</v>
      </c>
      <c r="G31" s="30"/>
      <c r="H31" s="41">
        <v>1500</v>
      </c>
      <c r="I31" s="36">
        <f>Fleming_64!I70</f>
        <v>1</v>
      </c>
      <c r="J31" s="36">
        <f>Fleming_64!J70</f>
        <v>0</v>
      </c>
      <c r="K31" s="36">
        <f>Fleming_64!K70</f>
        <v>1</v>
      </c>
      <c r="L31" s="36">
        <f>Fleming_64!L70</f>
        <v>0</v>
      </c>
      <c r="M31" s="36">
        <f>Fleming_64!M70</f>
        <v>0</v>
      </c>
      <c r="N31" s="30"/>
      <c r="O31" s="47">
        <v>1500</v>
      </c>
      <c r="P31" s="39">
        <f>Fleming_64!P70</f>
        <v>0</v>
      </c>
      <c r="Q31" s="39">
        <f>Fleming_64!Q70</f>
        <v>0</v>
      </c>
      <c r="R31" s="39">
        <f>Fleming_64!R70</f>
        <v>0</v>
      </c>
      <c r="S31" s="39">
        <f>Fleming_64!S70</f>
        <v>0</v>
      </c>
      <c r="T31" s="39">
        <f>Fleming_64!T70</f>
        <v>0</v>
      </c>
      <c r="U31" s="30"/>
      <c r="V31" s="47">
        <v>1500</v>
      </c>
      <c r="W31" s="39">
        <f>Fleming_64!W70</f>
        <v>1</v>
      </c>
      <c r="X31" s="39">
        <f>Fleming_64!X70</f>
        <v>0</v>
      </c>
      <c r="Y31" s="39">
        <f>Fleming_64!Y70</f>
        <v>1</v>
      </c>
      <c r="Z31" s="39">
        <f>Fleming_64!Z70</f>
        <v>0</v>
      </c>
      <c r="AA31" s="39">
        <f>Fleming_64!AA70</f>
        <v>0</v>
      </c>
    </row>
    <row r="32" spans="1:27" x14ac:dyDescent="0.2">
      <c r="A32" s="40">
        <v>1600</v>
      </c>
      <c r="B32" s="35" t="str">
        <f>Fleming_64!B71</f>
        <v>NOT MET</v>
      </c>
      <c r="C32" s="35" t="str">
        <f>Fleming_64!C71</f>
        <v>NOT MET</v>
      </c>
      <c r="D32" s="35" t="str">
        <f>Fleming_64!D71</f>
        <v>NOT MET</v>
      </c>
      <c r="E32" s="35" t="str">
        <f>Fleming_64!E71</f>
        <v>NOT MET</v>
      </c>
      <c r="F32" s="35" t="str">
        <f>Fleming_64!F71</f>
        <v>NOT MET</v>
      </c>
      <c r="G32" s="30"/>
      <c r="H32" s="41">
        <v>1600</v>
      </c>
      <c r="I32" s="36">
        <f>Fleming_64!I71</f>
        <v>0</v>
      </c>
      <c r="J32" s="36">
        <f>Fleming_64!J71</f>
        <v>0</v>
      </c>
      <c r="K32" s="36">
        <f>Fleming_64!K71</f>
        <v>0</v>
      </c>
      <c r="L32" s="36">
        <f>Fleming_64!L71</f>
        <v>0</v>
      </c>
      <c r="M32" s="36">
        <f>Fleming_64!M71</f>
        <v>0</v>
      </c>
      <c r="N32" s="30"/>
      <c r="O32" s="47">
        <v>1600</v>
      </c>
      <c r="P32" s="39">
        <f>Fleming_64!P71</f>
        <v>0</v>
      </c>
      <c r="Q32" s="39">
        <f>Fleming_64!Q71</f>
        <v>0</v>
      </c>
      <c r="R32" s="39">
        <f>Fleming_64!R71</f>
        <v>0</v>
      </c>
      <c r="S32" s="39">
        <f>Fleming_64!S71</f>
        <v>0</v>
      </c>
      <c r="T32" s="39">
        <f>Fleming_64!T71</f>
        <v>0</v>
      </c>
      <c r="U32" s="30"/>
      <c r="V32" s="47">
        <v>1600</v>
      </c>
      <c r="W32" s="39">
        <f>Fleming_64!W71</f>
        <v>0</v>
      </c>
      <c r="X32" s="39">
        <f>Fleming_64!X71</f>
        <v>0</v>
      </c>
      <c r="Y32" s="39">
        <f>Fleming_64!Y71</f>
        <v>0</v>
      </c>
      <c r="Z32" s="39">
        <f>Fleming_64!Z71</f>
        <v>0</v>
      </c>
      <c r="AA32" s="39">
        <f>Fleming_64!AA71</f>
        <v>0</v>
      </c>
    </row>
    <row r="36" spans="1:27" ht="15" x14ac:dyDescent="0.25">
      <c r="B36" s="307" t="s">
        <v>441</v>
      </c>
      <c r="C36" s="307"/>
      <c r="D36" s="307"/>
      <c r="E36" s="307"/>
      <c r="F36" s="307"/>
      <c r="G36" s="307"/>
      <c r="H36" s="307"/>
      <c r="I36" s="307"/>
      <c r="J36" s="307"/>
      <c r="K36" s="307"/>
      <c r="L36" s="307"/>
      <c r="M36" s="307"/>
      <c r="N36" s="307"/>
      <c r="O36" s="307"/>
      <c r="P36" s="307"/>
      <c r="Q36" s="307"/>
      <c r="R36" s="307"/>
      <c r="S36" s="307"/>
      <c r="T36" s="307"/>
      <c r="U36" s="307"/>
      <c r="V36" s="307"/>
      <c r="W36" s="307"/>
      <c r="X36" s="307"/>
      <c r="Y36" s="307"/>
      <c r="Z36" s="307"/>
      <c r="AA36" s="307"/>
    </row>
    <row r="37" spans="1:27" ht="15" x14ac:dyDescent="0.2">
      <c r="A37" s="48"/>
      <c r="B37" s="279" t="s">
        <v>19</v>
      </c>
      <c r="C37" s="279"/>
      <c r="D37" s="279"/>
      <c r="E37" s="279"/>
      <c r="F37" s="279"/>
      <c r="G37" s="30"/>
      <c r="H37" s="31"/>
      <c r="I37" s="279" t="s">
        <v>20</v>
      </c>
      <c r="J37" s="279"/>
      <c r="K37" s="279"/>
      <c r="L37" s="279"/>
      <c r="M37" s="279"/>
      <c r="N37" s="30"/>
      <c r="P37" s="279" t="s">
        <v>21</v>
      </c>
      <c r="Q37" s="279"/>
      <c r="R37" s="279"/>
      <c r="S37" s="279"/>
      <c r="T37" s="279"/>
      <c r="U37" s="30"/>
      <c r="W37" s="279" t="s">
        <v>22</v>
      </c>
      <c r="X37" s="279"/>
      <c r="Y37" s="279"/>
      <c r="Z37" s="279"/>
      <c r="AA37" s="279"/>
    </row>
    <row r="38" spans="1:27" ht="15" x14ac:dyDescent="0.2">
      <c r="A38" s="48"/>
      <c r="B38" s="32" t="s">
        <v>2</v>
      </c>
      <c r="C38" s="33" t="s">
        <v>3</v>
      </c>
      <c r="D38" s="32" t="s">
        <v>4</v>
      </c>
      <c r="E38" s="32" t="s">
        <v>5</v>
      </c>
      <c r="F38" s="32" t="s">
        <v>6</v>
      </c>
      <c r="G38" s="30"/>
      <c r="H38" s="31"/>
      <c r="I38" s="32" t="s">
        <v>2</v>
      </c>
      <c r="J38" s="32" t="s">
        <v>3</v>
      </c>
      <c r="K38" s="32" t="s">
        <v>4</v>
      </c>
      <c r="L38" s="32" t="s">
        <v>5</v>
      </c>
      <c r="M38" s="32" t="s">
        <v>6</v>
      </c>
      <c r="N38" s="30"/>
      <c r="P38" s="32" t="s">
        <v>2</v>
      </c>
      <c r="Q38" s="32" t="s">
        <v>3</v>
      </c>
      <c r="R38" s="32" t="s">
        <v>4</v>
      </c>
      <c r="S38" s="32" t="s">
        <v>5</v>
      </c>
      <c r="T38" s="32" t="s">
        <v>6</v>
      </c>
      <c r="U38" s="30"/>
      <c r="W38" s="32" t="s">
        <v>2</v>
      </c>
      <c r="X38" s="32" t="s">
        <v>3</v>
      </c>
      <c r="Y38" s="32" t="s">
        <v>4</v>
      </c>
      <c r="Z38" s="32" t="s">
        <v>5</v>
      </c>
      <c r="AA38" s="32" t="s">
        <v>6</v>
      </c>
    </row>
    <row r="39" spans="1:27" x14ac:dyDescent="0.2">
      <c r="A39" s="34">
        <v>700</v>
      </c>
      <c r="B39" s="35" t="str">
        <f>Williams_80!B62</f>
        <v>MET</v>
      </c>
      <c r="C39" s="35" t="str">
        <f>Williams_80!C62</f>
        <v>MET</v>
      </c>
      <c r="D39" s="35" t="str">
        <f>Williams_80!D62</f>
        <v>MET</v>
      </c>
      <c r="E39" s="35" t="str">
        <f>Williams_80!E62</f>
        <v>MET</v>
      </c>
      <c r="F39" s="35" t="str">
        <f>Williams_80!F62</f>
        <v>MET</v>
      </c>
      <c r="G39" s="30"/>
      <c r="H39" s="37">
        <v>700</v>
      </c>
      <c r="I39" s="36">
        <f>Williams_80!I62</f>
        <v>2</v>
      </c>
      <c r="J39" s="36">
        <f>Williams_80!J62</f>
        <v>2</v>
      </c>
      <c r="K39" s="36">
        <f>Williams_80!K62</f>
        <v>2</v>
      </c>
      <c r="L39" s="36">
        <f>Williams_80!L62</f>
        <v>2</v>
      </c>
      <c r="M39" s="36">
        <f>Williams_80!M62</f>
        <v>2</v>
      </c>
      <c r="N39" s="30"/>
      <c r="O39">
        <v>700</v>
      </c>
      <c r="P39" s="39">
        <f>Williams_80!P62</f>
        <v>1</v>
      </c>
      <c r="Q39" s="39">
        <f>Williams_80!Q62</f>
        <v>1</v>
      </c>
      <c r="R39" s="39">
        <f>Williams_80!R62</f>
        <v>1</v>
      </c>
      <c r="S39" s="39">
        <f>Williams_80!S62</f>
        <v>1</v>
      </c>
      <c r="T39" s="39">
        <f>Williams_80!T62</f>
        <v>1</v>
      </c>
      <c r="U39" s="30"/>
      <c r="V39">
        <v>700</v>
      </c>
      <c r="W39" s="39">
        <f>Williams_80!W62</f>
        <v>1</v>
      </c>
      <c r="X39" s="39">
        <f>Williams_80!X62</f>
        <v>1</v>
      </c>
      <c r="Y39" s="39">
        <f>Williams_80!Y62</f>
        <v>1</v>
      </c>
      <c r="Z39" s="39">
        <f>Williams_80!Z62</f>
        <v>1</v>
      </c>
      <c r="AA39" s="39">
        <f>Williams_80!AA62</f>
        <v>1</v>
      </c>
    </row>
    <row r="40" spans="1:27" x14ac:dyDescent="0.2">
      <c r="A40" s="40">
        <v>800</v>
      </c>
      <c r="B40" s="35" t="str">
        <f>Williams_80!B63</f>
        <v>MET</v>
      </c>
      <c r="C40" s="35" t="str">
        <f>Williams_80!C63</f>
        <v>MET</v>
      </c>
      <c r="D40" s="35" t="str">
        <f>Williams_80!D63</f>
        <v>MET</v>
      </c>
      <c r="E40" s="35" t="str">
        <f>Williams_80!E63</f>
        <v>MET</v>
      </c>
      <c r="F40" s="35" t="str">
        <f>Williams_80!F63</f>
        <v>MET</v>
      </c>
      <c r="G40" s="30"/>
      <c r="H40" s="41">
        <v>800</v>
      </c>
      <c r="I40" s="36">
        <f>Williams_80!I63</f>
        <v>3</v>
      </c>
      <c r="J40" s="36">
        <f>Williams_80!J63</f>
        <v>3</v>
      </c>
      <c r="K40" s="36">
        <f>Williams_80!K63</f>
        <v>3</v>
      </c>
      <c r="L40" s="36">
        <f>Williams_80!L63</f>
        <v>3</v>
      </c>
      <c r="M40" s="36">
        <f>Williams_80!M63</f>
        <v>3</v>
      </c>
      <c r="N40" s="30"/>
      <c r="O40" s="47">
        <v>800</v>
      </c>
      <c r="P40" s="39">
        <f>Williams_80!P63</f>
        <v>2</v>
      </c>
      <c r="Q40" s="39">
        <f>Williams_80!Q63</f>
        <v>2</v>
      </c>
      <c r="R40" s="39">
        <f>Williams_80!R63</f>
        <v>2</v>
      </c>
      <c r="S40" s="39">
        <f>Williams_80!S63</f>
        <v>2</v>
      </c>
      <c r="T40" s="39">
        <f>Williams_80!T63</f>
        <v>2</v>
      </c>
      <c r="U40" s="30"/>
      <c r="V40" s="47">
        <v>800</v>
      </c>
      <c r="W40" s="39">
        <f>Williams_80!W63</f>
        <v>1</v>
      </c>
      <c r="X40" s="39">
        <f>Williams_80!X63</f>
        <v>1</v>
      </c>
      <c r="Y40" s="39">
        <f>Williams_80!Y63</f>
        <v>1</v>
      </c>
      <c r="Z40" s="39">
        <f>Williams_80!Z63</f>
        <v>1</v>
      </c>
      <c r="AA40" s="39">
        <f>Williams_80!AA63</f>
        <v>1</v>
      </c>
    </row>
    <row r="41" spans="1:27" x14ac:dyDescent="0.2">
      <c r="A41" s="40">
        <v>900</v>
      </c>
      <c r="B41" s="35" t="str">
        <f>Williams_80!B64</f>
        <v>MET</v>
      </c>
      <c r="C41" s="35" t="str">
        <f>Williams_80!C64</f>
        <v>MET</v>
      </c>
      <c r="D41" s="35" t="str">
        <f>Williams_80!D64</f>
        <v>MET</v>
      </c>
      <c r="E41" s="35" t="str">
        <f>Williams_80!E64</f>
        <v>MET</v>
      </c>
      <c r="F41" s="35" t="str">
        <f>Williams_80!F64</f>
        <v>MET</v>
      </c>
      <c r="G41" s="30"/>
      <c r="H41" s="41">
        <v>900</v>
      </c>
      <c r="I41" s="36">
        <f>Williams_80!I64</f>
        <v>3</v>
      </c>
      <c r="J41" s="36">
        <f>Williams_80!J64</f>
        <v>3</v>
      </c>
      <c r="K41" s="36">
        <f>Williams_80!K64</f>
        <v>3</v>
      </c>
      <c r="L41" s="36">
        <f>Williams_80!L64</f>
        <v>3</v>
      </c>
      <c r="M41" s="36">
        <f>Williams_80!M64</f>
        <v>3</v>
      </c>
      <c r="N41" s="30"/>
      <c r="O41" s="47">
        <v>900</v>
      </c>
      <c r="P41" s="39">
        <f>Williams_80!P64</f>
        <v>0</v>
      </c>
      <c r="Q41" s="39">
        <f>Williams_80!Q64</f>
        <v>0</v>
      </c>
      <c r="R41" s="39">
        <f>Williams_80!R64</f>
        <v>0</v>
      </c>
      <c r="S41" s="39">
        <f>Williams_80!S64</f>
        <v>0</v>
      </c>
      <c r="T41" s="39">
        <f>Williams_80!T64</f>
        <v>0</v>
      </c>
      <c r="U41" s="30"/>
      <c r="V41" s="47">
        <v>900</v>
      </c>
      <c r="W41" s="39">
        <f>Williams_80!W64</f>
        <v>3</v>
      </c>
      <c r="X41" s="39">
        <f>Williams_80!X64</f>
        <v>3</v>
      </c>
      <c r="Y41" s="39">
        <f>Williams_80!Y64</f>
        <v>3</v>
      </c>
      <c r="Z41" s="39">
        <f>Williams_80!Z64</f>
        <v>3</v>
      </c>
      <c r="AA41" s="39">
        <f>Williams_80!AA64</f>
        <v>3</v>
      </c>
    </row>
    <row r="42" spans="1:27" x14ac:dyDescent="0.2">
      <c r="A42" s="40">
        <v>1000</v>
      </c>
      <c r="B42" s="35" t="str">
        <f>Williams_80!B65</f>
        <v>MET</v>
      </c>
      <c r="C42" s="35" t="str">
        <f>Williams_80!C65</f>
        <v>MET</v>
      </c>
      <c r="D42" s="35" t="str">
        <f>Williams_80!D65</f>
        <v>MET</v>
      </c>
      <c r="E42" s="35" t="str">
        <f>Williams_80!E65</f>
        <v>MET</v>
      </c>
      <c r="F42" s="35" t="str">
        <f>Williams_80!F65</f>
        <v>MET</v>
      </c>
      <c r="G42" s="30"/>
      <c r="H42" s="41">
        <v>1000</v>
      </c>
      <c r="I42" s="36">
        <f>Williams_80!I65</f>
        <v>1</v>
      </c>
      <c r="J42" s="36">
        <f>Williams_80!J65</f>
        <v>1</v>
      </c>
      <c r="K42" s="36">
        <f>Williams_80!K65</f>
        <v>1</v>
      </c>
      <c r="L42" s="36">
        <f>Williams_80!L65</f>
        <v>3</v>
      </c>
      <c r="M42" s="36">
        <f>Williams_80!M65</f>
        <v>3</v>
      </c>
      <c r="N42" s="30"/>
      <c r="O42" s="47">
        <v>1000</v>
      </c>
      <c r="P42" s="39">
        <f>Williams_80!P65</f>
        <v>0</v>
      </c>
      <c r="Q42" s="39">
        <f>Williams_80!Q65</f>
        <v>0</v>
      </c>
      <c r="R42" s="39">
        <f>Williams_80!R65</f>
        <v>0</v>
      </c>
      <c r="S42" s="39">
        <f>Williams_80!S65</f>
        <v>1</v>
      </c>
      <c r="T42" s="39">
        <f>Williams_80!T65</f>
        <v>1</v>
      </c>
      <c r="U42" s="30"/>
      <c r="V42" s="47">
        <v>1000</v>
      </c>
      <c r="W42" s="39">
        <f>Williams_80!W65</f>
        <v>1</v>
      </c>
      <c r="X42" s="39">
        <f>Williams_80!X65</f>
        <v>1</v>
      </c>
      <c r="Y42" s="39">
        <f>Williams_80!Y65</f>
        <v>1</v>
      </c>
      <c r="Z42" s="39">
        <f>Williams_80!Z65</f>
        <v>1</v>
      </c>
      <c r="AA42" s="39">
        <f>Williams_80!AA65</f>
        <v>1</v>
      </c>
    </row>
    <row r="43" spans="1:27" x14ac:dyDescent="0.2">
      <c r="A43" s="40">
        <v>1100</v>
      </c>
      <c r="B43" s="35" t="str">
        <f>Williams_80!B66</f>
        <v>NOT MET</v>
      </c>
      <c r="C43" s="35" t="str">
        <f>Williams_80!C66</f>
        <v>NOT MET</v>
      </c>
      <c r="D43" s="35" t="str">
        <f>Williams_80!D66</f>
        <v>NOT MET</v>
      </c>
      <c r="E43" s="35" t="str">
        <f>Williams_80!E66</f>
        <v>MET</v>
      </c>
      <c r="F43" s="35" t="str">
        <f>Williams_80!F66</f>
        <v>MET</v>
      </c>
      <c r="G43" s="30"/>
      <c r="H43" s="41">
        <v>1100</v>
      </c>
      <c r="I43" s="36">
        <f>Williams_80!I66</f>
        <v>0</v>
      </c>
      <c r="J43" s="36">
        <f>Williams_80!J66</f>
        <v>0</v>
      </c>
      <c r="K43" s="36">
        <f>Williams_80!K66</f>
        <v>0</v>
      </c>
      <c r="L43" s="36">
        <f>Williams_80!L66</f>
        <v>1</v>
      </c>
      <c r="M43" s="36">
        <f>Williams_80!M66</f>
        <v>1</v>
      </c>
      <c r="N43" s="30"/>
      <c r="O43" s="47">
        <v>1100</v>
      </c>
      <c r="P43" s="39">
        <f>Williams_80!P66</f>
        <v>0</v>
      </c>
      <c r="Q43" s="39">
        <f>Williams_80!Q66</f>
        <v>0</v>
      </c>
      <c r="R43" s="39">
        <f>Williams_80!R66</f>
        <v>0</v>
      </c>
      <c r="S43" s="39">
        <f>Williams_80!S66</f>
        <v>0</v>
      </c>
      <c r="T43" s="39">
        <f>Williams_80!T66</f>
        <v>0</v>
      </c>
      <c r="U43" s="30"/>
      <c r="V43" s="47">
        <v>1100</v>
      </c>
      <c r="W43" s="39">
        <f>Williams_80!W66</f>
        <v>0</v>
      </c>
      <c r="X43" s="39">
        <f>Williams_80!X66</f>
        <v>0</v>
      </c>
      <c r="Y43" s="39">
        <f>Williams_80!Y66</f>
        <v>0</v>
      </c>
      <c r="Z43" s="39">
        <f>Williams_80!Z66</f>
        <v>0</v>
      </c>
      <c r="AA43" s="39">
        <f>Williams_80!AA66</f>
        <v>0</v>
      </c>
    </row>
    <row r="44" spans="1:27" x14ac:dyDescent="0.2">
      <c r="A44" s="40">
        <v>1200</v>
      </c>
      <c r="B44" s="35" t="str">
        <f>Williams_80!B67</f>
        <v>MET</v>
      </c>
      <c r="C44" s="35" t="str">
        <f>Williams_80!C67</f>
        <v>MET</v>
      </c>
      <c r="D44" s="35" t="str">
        <f>Williams_80!D67</f>
        <v>MET</v>
      </c>
      <c r="E44" s="35" t="str">
        <f>Williams_80!E67</f>
        <v>NOT MET</v>
      </c>
      <c r="F44" s="35" t="str">
        <f>Williams_80!F67</f>
        <v>NOT MET</v>
      </c>
      <c r="G44" s="30"/>
      <c r="H44" s="41">
        <v>1200</v>
      </c>
      <c r="I44" s="36">
        <f>Williams_80!I67</f>
        <v>1</v>
      </c>
      <c r="J44" s="36">
        <f>Williams_80!J67</f>
        <v>1</v>
      </c>
      <c r="K44" s="36">
        <f>Williams_80!K67</f>
        <v>1</v>
      </c>
      <c r="L44" s="36">
        <f>Williams_80!L67</f>
        <v>0</v>
      </c>
      <c r="M44" s="36">
        <f>Williams_80!M67</f>
        <v>0</v>
      </c>
      <c r="N44" s="30"/>
      <c r="O44" s="47">
        <v>1200</v>
      </c>
      <c r="P44" s="39">
        <f>Williams_80!P67</f>
        <v>0</v>
      </c>
      <c r="Q44" s="39">
        <f>Williams_80!Q67</f>
        <v>0</v>
      </c>
      <c r="R44" s="39">
        <f>Williams_80!R67</f>
        <v>0</v>
      </c>
      <c r="S44" s="39">
        <f>Williams_80!S67</f>
        <v>0</v>
      </c>
      <c r="T44" s="39">
        <f>Williams_80!T67</f>
        <v>0</v>
      </c>
      <c r="U44" s="30"/>
      <c r="V44" s="47">
        <v>1200</v>
      </c>
      <c r="W44" s="39">
        <f>Williams_80!W67</f>
        <v>0</v>
      </c>
      <c r="X44" s="39">
        <f>Williams_80!X67</f>
        <v>0</v>
      </c>
      <c r="Y44" s="39">
        <f>Williams_80!Y67</f>
        <v>0</v>
      </c>
      <c r="Z44" s="39">
        <f>Williams_80!Z67</f>
        <v>0</v>
      </c>
      <c r="AA44" s="39">
        <f>Williams_80!AA67</f>
        <v>0</v>
      </c>
    </row>
    <row r="45" spans="1:27" x14ac:dyDescent="0.2">
      <c r="A45" s="40">
        <v>1300</v>
      </c>
      <c r="B45" s="35" t="str">
        <f>Williams_80!B68</f>
        <v>MET</v>
      </c>
      <c r="C45" s="35" t="str">
        <f>Williams_80!C68</f>
        <v>MET</v>
      </c>
      <c r="D45" s="35" t="str">
        <f>Williams_80!D68</f>
        <v>MET</v>
      </c>
      <c r="E45" s="35" t="str">
        <f>Williams_80!E68</f>
        <v>NOT MET</v>
      </c>
      <c r="F45" s="35" t="str">
        <f>Williams_80!F68</f>
        <v>MET</v>
      </c>
      <c r="G45" s="30"/>
      <c r="H45" s="41">
        <v>1300</v>
      </c>
      <c r="I45" s="36">
        <f>Williams_80!I68</f>
        <v>3</v>
      </c>
      <c r="J45" s="36">
        <f>Williams_80!J68</f>
        <v>3</v>
      </c>
      <c r="K45" s="36">
        <f>Williams_80!K68</f>
        <v>3</v>
      </c>
      <c r="L45" s="36">
        <f>Williams_80!L68</f>
        <v>0</v>
      </c>
      <c r="M45" s="36">
        <f>Williams_80!M68</f>
        <v>1</v>
      </c>
      <c r="N45" s="30"/>
      <c r="O45" s="47">
        <v>1300</v>
      </c>
      <c r="P45" s="39">
        <f>Williams_80!P68</f>
        <v>1</v>
      </c>
      <c r="Q45" s="39">
        <f>Williams_80!Q68</f>
        <v>1</v>
      </c>
      <c r="R45" s="39">
        <f>Williams_80!R68</f>
        <v>1</v>
      </c>
      <c r="S45" s="39">
        <f>Williams_80!S68</f>
        <v>0</v>
      </c>
      <c r="T45" s="39">
        <f>Williams_80!T68</f>
        <v>0</v>
      </c>
      <c r="U45" s="30"/>
      <c r="V45" s="47">
        <v>1300</v>
      </c>
      <c r="W45" s="39">
        <f>Williams_80!W68</f>
        <v>1</v>
      </c>
      <c r="X45" s="39">
        <f>Williams_80!X68</f>
        <v>1</v>
      </c>
      <c r="Y45" s="39">
        <f>Williams_80!Y68</f>
        <v>1</v>
      </c>
      <c r="Z45" s="39">
        <f>Williams_80!Z68</f>
        <v>0</v>
      </c>
      <c r="AA45" s="39">
        <f>Williams_80!AA68</f>
        <v>0</v>
      </c>
    </row>
    <row r="46" spans="1:27" x14ac:dyDescent="0.2">
      <c r="A46" s="40">
        <v>1400</v>
      </c>
      <c r="B46" s="35" t="str">
        <f>Williams_80!B69</f>
        <v>MET</v>
      </c>
      <c r="C46" s="35" t="str">
        <f>Williams_80!C69</f>
        <v>MET</v>
      </c>
      <c r="D46" s="35" t="str">
        <f>Williams_80!D69</f>
        <v>MET</v>
      </c>
      <c r="E46" s="35" t="str">
        <f>Williams_80!E69</f>
        <v>NOT MET</v>
      </c>
      <c r="F46" s="35" t="str">
        <f>Williams_80!F69</f>
        <v>MET</v>
      </c>
      <c r="G46" s="30"/>
      <c r="H46" s="41">
        <v>1400</v>
      </c>
      <c r="I46" s="36">
        <f>Williams_80!I69</f>
        <v>3</v>
      </c>
      <c r="J46" s="36">
        <f>Williams_80!J69</f>
        <v>3</v>
      </c>
      <c r="K46" s="36">
        <f>Williams_80!K69</f>
        <v>3</v>
      </c>
      <c r="L46" s="36">
        <f>Williams_80!L69</f>
        <v>0</v>
      </c>
      <c r="M46" s="36">
        <f>Williams_80!M69</f>
        <v>1</v>
      </c>
      <c r="N46" s="30"/>
      <c r="O46" s="47">
        <v>1400</v>
      </c>
      <c r="P46" s="39">
        <f>Williams_80!P69</f>
        <v>1</v>
      </c>
      <c r="Q46" s="39">
        <f>Williams_80!Q69</f>
        <v>1</v>
      </c>
      <c r="R46" s="39">
        <f>Williams_80!R69</f>
        <v>1</v>
      </c>
      <c r="S46" s="39">
        <f>Williams_80!S69</f>
        <v>0</v>
      </c>
      <c r="T46" s="39">
        <f>Williams_80!T69</f>
        <v>0</v>
      </c>
      <c r="U46" s="30"/>
      <c r="V46" s="47">
        <v>1400</v>
      </c>
      <c r="W46" s="39">
        <f>Williams_80!W69</f>
        <v>2</v>
      </c>
      <c r="X46" s="39">
        <f>Williams_80!X69</f>
        <v>2</v>
      </c>
      <c r="Y46" s="39">
        <f>Williams_80!Y69</f>
        <v>2</v>
      </c>
      <c r="Z46" s="39">
        <f>Williams_80!Z69</f>
        <v>0</v>
      </c>
      <c r="AA46" s="39">
        <f>Williams_80!AA69</f>
        <v>0</v>
      </c>
    </row>
    <row r="47" spans="1:27" x14ac:dyDescent="0.2">
      <c r="A47" s="40">
        <v>1500</v>
      </c>
      <c r="B47" s="35" t="str">
        <f>Williams_80!B70</f>
        <v>MET</v>
      </c>
      <c r="C47" s="35" t="str">
        <f>Williams_80!C70</f>
        <v>MET</v>
      </c>
      <c r="D47" s="35" t="str">
        <f>Williams_80!D70</f>
        <v>MET</v>
      </c>
      <c r="E47" s="35" t="str">
        <f>Williams_80!E70</f>
        <v>NOT MET</v>
      </c>
      <c r="F47" s="35" t="str">
        <f>Williams_80!F70</f>
        <v>NOT MET</v>
      </c>
      <c r="G47" s="30"/>
      <c r="H47" s="41">
        <v>1500</v>
      </c>
      <c r="I47" s="36">
        <f>Williams_80!I70</f>
        <v>2</v>
      </c>
      <c r="J47" s="36">
        <f>Williams_80!J70</f>
        <v>2</v>
      </c>
      <c r="K47" s="36">
        <f>Williams_80!K70</f>
        <v>2</v>
      </c>
      <c r="L47" s="36">
        <f>Williams_80!L70</f>
        <v>0</v>
      </c>
      <c r="M47" s="36">
        <f>Williams_80!M70</f>
        <v>0</v>
      </c>
      <c r="N47" s="30"/>
      <c r="O47" s="47">
        <v>1500</v>
      </c>
      <c r="P47" s="39">
        <f>Williams_80!P70</f>
        <v>1</v>
      </c>
      <c r="Q47" s="39">
        <f>Williams_80!Q70</f>
        <v>1</v>
      </c>
      <c r="R47" s="39">
        <f>Williams_80!R70</f>
        <v>1</v>
      </c>
      <c r="S47" s="39">
        <f>Williams_80!S70</f>
        <v>0</v>
      </c>
      <c r="T47" s="39">
        <f>Williams_80!T70</f>
        <v>0</v>
      </c>
      <c r="U47" s="30"/>
      <c r="V47" s="47">
        <v>1500</v>
      </c>
      <c r="W47" s="39">
        <f>Williams_80!W70</f>
        <v>1</v>
      </c>
      <c r="X47" s="39">
        <f>Williams_80!X70</f>
        <v>1</v>
      </c>
      <c r="Y47" s="39">
        <f>Williams_80!Y70</f>
        <v>1</v>
      </c>
      <c r="Z47" s="39">
        <f>Williams_80!Z70</f>
        <v>0</v>
      </c>
      <c r="AA47" s="39">
        <f>Williams_80!AA70</f>
        <v>0</v>
      </c>
    </row>
    <row r="48" spans="1:27" x14ac:dyDescent="0.2">
      <c r="A48" s="40">
        <v>1600</v>
      </c>
      <c r="B48" s="35" t="str">
        <f>Williams_80!B71</f>
        <v>NOT MET</v>
      </c>
      <c r="C48" s="35" t="str">
        <f>Williams_80!C71</f>
        <v>NOT MET</v>
      </c>
      <c r="D48" s="35" t="str">
        <f>Williams_80!D71</f>
        <v>NOT MET</v>
      </c>
      <c r="E48" s="35" t="str">
        <f>Williams_80!E71</f>
        <v>NOT MET</v>
      </c>
      <c r="F48" s="35" t="str">
        <f>Williams_80!F71</f>
        <v>NOT MET</v>
      </c>
      <c r="G48" s="30"/>
      <c r="H48" s="41">
        <v>1600</v>
      </c>
      <c r="I48" s="36">
        <f>Williams_80!I71</f>
        <v>0</v>
      </c>
      <c r="J48" s="36">
        <f>Williams_80!J71</f>
        <v>0</v>
      </c>
      <c r="K48" s="36">
        <f>Williams_80!K71</f>
        <v>0</v>
      </c>
      <c r="L48" s="36">
        <f>Williams_80!L71</f>
        <v>0</v>
      </c>
      <c r="M48" s="36">
        <f>Williams_80!M71</f>
        <v>0</v>
      </c>
      <c r="N48" s="30"/>
      <c r="O48" s="47">
        <v>1600</v>
      </c>
      <c r="P48" s="39">
        <f>Williams_80!P71</f>
        <v>0</v>
      </c>
      <c r="Q48" s="39">
        <f>Williams_80!Q71</f>
        <v>0</v>
      </c>
      <c r="R48" s="39">
        <f>Williams_80!R71</f>
        <v>0</v>
      </c>
      <c r="S48" s="39">
        <f>Williams_80!S71</f>
        <v>0</v>
      </c>
      <c r="T48" s="39">
        <f>Williams_80!T71</f>
        <v>0</v>
      </c>
      <c r="U48" s="30"/>
      <c r="V48" s="47">
        <v>1600</v>
      </c>
      <c r="W48" s="39">
        <f>Williams_80!W71</f>
        <v>0</v>
      </c>
      <c r="X48" s="39">
        <f>Williams_80!X71</f>
        <v>0</v>
      </c>
      <c r="Y48" s="39">
        <f>Williams_80!Y71</f>
        <v>0</v>
      </c>
      <c r="Z48" s="39">
        <f>Williams_80!Z71</f>
        <v>0</v>
      </c>
      <c r="AA48" s="39">
        <f>Williams_80!AA71</f>
        <v>0</v>
      </c>
    </row>
    <row r="52" spans="1:27" ht="15" x14ac:dyDescent="0.25">
      <c r="B52" s="307" t="s">
        <v>30</v>
      </c>
      <c r="C52" s="307"/>
      <c r="D52" s="307"/>
      <c r="E52" s="307"/>
      <c r="F52" s="307"/>
      <c r="G52" s="307"/>
      <c r="H52" s="307"/>
      <c r="I52" s="307"/>
      <c r="J52" s="307"/>
      <c r="K52" s="307"/>
      <c r="L52" s="307"/>
      <c r="M52" s="307"/>
      <c r="N52" s="307"/>
      <c r="O52" s="307"/>
      <c r="P52" s="307"/>
      <c r="Q52" s="307"/>
      <c r="R52" s="307"/>
      <c r="S52" s="307"/>
      <c r="T52" s="307"/>
      <c r="U52" s="307"/>
      <c r="V52" s="307"/>
      <c r="W52" s="307"/>
      <c r="X52" s="307"/>
      <c r="Y52" s="307"/>
      <c r="Z52" s="307"/>
      <c r="AA52" s="307"/>
    </row>
    <row r="53" spans="1:27" ht="15" x14ac:dyDescent="0.2">
      <c r="A53" s="48"/>
      <c r="B53" s="279" t="s">
        <v>19</v>
      </c>
      <c r="C53" s="279"/>
      <c r="D53" s="279"/>
      <c r="E53" s="279"/>
      <c r="F53" s="279"/>
      <c r="G53" s="30"/>
      <c r="H53" s="31"/>
      <c r="I53" s="279" t="s">
        <v>20</v>
      </c>
      <c r="J53" s="279"/>
      <c r="K53" s="279"/>
      <c r="L53" s="279"/>
      <c r="M53" s="279"/>
      <c r="N53" s="30"/>
      <c r="P53" s="279" t="s">
        <v>21</v>
      </c>
      <c r="Q53" s="279"/>
      <c r="R53" s="279"/>
      <c r="S53" s="279"/>
      <c r="T53" s="279"/>
      <c r="U53" s="30"/>
      <c r="W53" s="279" t="s">
        <v>22</v>
      </c>
      <c r="X53" s="279"/>
      <c r="Y53" s="279"/>
      <c r="Z53" s="279"/>
      <c r="AA53" s="279"/>
    </row>
    <row r="54" spans="1:27" ht="15" x14ac:dyDescent="0.2">
      <c r="A54" s="48"/>
      <c r="B54" s="32" t="s">
        <v>2</v>
      </c>
      <c r="C54" s="33" t="s">
        <v>3</v>
      </c>
      <c r="D54" s="32" t="s">
        <v>4</v>
      </c>
      <c r="E54" s="32" t="s">
        <v>5</v>
      </c>
      <c r="F54" s="32" t="s">
        <v>6</v>
      </c>
      <c r="G54" s="30"/>
      <c r="H54" s="31"/>
      <c r="I54" s="32" t="s">
        <v>2</v>
      </c>
      <c r="J54" s="32" t="s">
        <v>3</v>
      </c>
      <c r="K54" s="32" t="s">
        <v>4</v>
      </c>
      <c r="L54" s="32" t="s">
        <v>5</v>
      </c>
      <c r="M54" s="32" t="s">
        <v>6</v>
      </c>
      <c r="N54" s="30"/>
      <c r="P54" s="32" t="s">
        <v>2</v>
      </c>
      <c r="Q54" s="32" t="s">
        <v>3</v>
      </c>
      <c r="R54" s="32" t="s">
        <v>4</v>
      </c>
      <c r="S54" s="32" t="s">
        <v>5</v>
      </c>
      <c r="T54" s="32" t="s">
        <v>6</v>
      </c>
      <c r="U54" s="30"/>
      <c r="W54" s="32" t="s">
        <v>2</v>
      </c>
      <c r="X54" s="32" t="s">
        <v>3</v>
      </c>
      <c r="Y54" s="32" t="s">
        <v>4</v>
      </c>
      <c r="Z54" s="32" t="s">
        <v>5</v>
      </c>
      <c r="AA54" s="32" t="s">
        <v>6</v>
      </c>
    </row>
    <row r="55" spans="1:27" x14ac:dyDescent="0.2">
      <c r="A55" s="34">
        <v>700</v>
      </c>
      <c r="B55" s="35" t="str">
        <f>Holzer_72!B62</f>
        <v>NOT MET</v>
      </c>
      <c r="C55" s="35" t="str">
        <f>Holzer_72!C62</f>
        <v>NOT MET</v>
      </c>
      <c r="D55" s="35" t="str">
        <f>Holzer_72!D62</f>
        <v>NOT MET</v>
      </c>
      <c r="E55" s="35" t="str">
        <f>Holzer_72!E62</f>
        <v>NOT MET</v>
      </c>
      <c r="F55" s="35" t="str">
        <f>Holzer_72!F62</f>
        <v>NOT MET</v>
      </c>
      <c r="G55" s="30"/>
      <c r="H55" s="37">
        <v>700</v>
      </c>
      <c r="I55" s="36">
        <f>Holzer_72!I62</f>
        <v>0</v>
      </c>
      <c r="J55" s="36">
        <f>Holzer_72!J62</f>
        <v>0</v>
      </c>
      <c r="K55" s="36">
        <f>Holzer_72!K62</f>
        <v>0</v>
      </c>
      <c r="L55" s="36">
        <f>Holzer_72!L62</f>
        <v>0</v>
      </c>
      <c r="M55" s="36">
        <f>Holzer_72!M62</f>
        <v>0</v>
      </c>
      <c r="N55" s="30"/>
      <c r="O55">
        <v>700</v>
      </c>
      <c r="P55" s="39">
        <f>Holzer_72!P62</f>
        <v>0</v>
      </c>
      <c r="Q55" s="39">
        <f>Holzer_72!Q62</f>
        <v>0</v>
      </c>
      <c r="R55" s="39">
        <f>Holzer_72!R62</f>
        <v>0</v>
      </c>
      <c r="S55" s="39">
        <f>Holzer_72!S62</f>
        <v>0</v>
      </c>
      <c r="T55" s="39">
        <f>Holzer_72!T62</f>
        <v>0</v>
      </c>
      <c r="U55" s="30"/>
      <c r="V55">
        <v>700</v>
      </c>
      <c r="W55" s="39">
        <f>Holzer_72!W62</f>
        <v>0</v>
      </c>
      <c r="X55" s="39">
        <f>Holzer_72!X62</f>
        <v>0</v>
      </c>
      <c r="Y55" s="39">
        <f>Holzer_72!Y62</f>
        <v>0</v>
      </c>
      <c r="Z55" s="39">
        <f>Holzer_72!Z62</f>
        <v>0</v>
      </c>
      <c r="AA55" s="39">
        <f>Holzer_72!AA62</f>
        <v>0</v>
      </c>
    </row>
    <row r="56" spans="1:27" x14ac:dyDescent="0.2">
      <c r="A56" s="40">
        <v>800</v>
      </c>
      <c r="B56" s="35" t="str">
        <f>Holzer_72!B63</f>
        <v>MET</v>
      </c>
      <c r="C56" s="35" t="str">
        <f>Holzer_72!C63</f>
        <v>MET</v>
      </c>
      <c r="D56" s="35" t="str">
        <f>Holzer_72!D63</f>
        <v>MET</v>
      </c>
      <c r="E56" s="35" t="str">
        <f>Holzer_72!E63</f>
        <v>MET</v>
      </c>
      <c r="F56" s="35" t="str">
        <f>Holzer_72!F63</f>
        <v>MET</v>
      </c>
      <c r="G56" s="30"/>
      <c r="H56" s="41">
        <v>800</v>
      </c>
      <c r="I56" s="36">
        <f>Holzer_72!I63</f>
        <v>3</v>
      </c>
      <c r="J56" s="36">
        <f>Holzer_72!J63</f>
        <v>3</v>
      </c>
      <c r="K56" s="36">
        <f>Holzer_72!K63</f>
        <v>3</v>
      </c>
      <c r="L56" s="36">
        <f>Holzer_72!L63</f>
        <v>3</v>
      </c>
      <c r="M56" s="36">
        <f>Holzer_72!M63</f>
        <v>3</v>
      </c>
      <c r="N56" s="30"/>
      <c r="O56" s="47">
        <v>800</v>
      </c>
      <c r="P56" s="39">
        <f>Holzer_72!P63</f>
        <v>3</v>
      </c>
      <c r="Q56" s="39">
        <f>Holzer_72!Q63</f>
        <v>3</v>
      </c>
      <c r="R56" s="39">
        <f>Holzer_72!R63</f>
        <v>3</v>
      </c>
      <c r="S56" s="39">
        <f>Holzer_72!S63</f>
        <v>3</v>
      </c>
      <c r="T56" s="39">
        <f>Holzer_72!T63</f>
        <v>3</v>
      </c>
      <c r="U56" s="30"/>
      <c r="V56" s="47">
        <v>800</v>
      </c>
      <c r="W56" s="39">
        <f>Holzer_72!W63</f>
        <v>0</v>
      </c>
      <c r="X56" s="39">
        <f>Holzer_72!X63</f>
        <v>0</v>
      </c>
      <c r="Y56" s="39">
        <f>Holzer_72!Y63</f>
        <v>0</v>
      </c>
      <c r="Z56" s="39">
        <f>Holzer_72!Z63</f>
        <v>0</v>
      </c>
      <c r="AA56" s="39">
        <f>Holzer_72!AA63</f>
        <v>0</v>
      </c>
    </row>
    <row r="57" spans="1:27" x14ac:dyDescent="0.2">
      <c r="A57" s="40">
        <v>900</v>
      </c>
      <c r="B57" s="35" t="str">
        <f>Holzer_72!B64</f>
        <v>MET</v>
      </c>
      <c r="C57" s="35" t="str">
        <f>Holzer_72!C64</f>
        <v>MET</v>
      </c>
      <c r="D57" s="35" t="str">
        <f>Holzer_72!D64</f>
        <v>MET</v>
      </c>
      <c r="E57" s="35" t="str">
        <f>Holzer_72!E64</f>
        <v>MET</v>
      </c>
      <c r="F57" s="35" t="str">
        <f>Holzer_72!F64</f>
        <v>MET</v>
      </c>
      <c r="G57" s="30"/>
      <c r="H57" s="41">
        <v>900</v>
      </c>
      <c r="I57" s="36">
        <f>Holzer_72!I64</f>
        <v>2</v>
      </c>
      <c r="J57" s="36">
        <f>Holzer_72!J64</f>
        <v>2</v>
      </c>
      <c r="K57" s="36">
        <f>Holzer_72!K64</f>
        <v>2</v>
      </c>
      <c r="L57" s="36">
        <f>Holzer_72!L64</f>
        <v>2</v>
      </c>
      <c r="M57" s="36">
        <f>Holzer_72!M64</f>
        <v>2</v>
      </c>
      <c r="N57" s="30"/>
      <c r="O57" s="47">
        <v>900</v>
      </c>
      <c r="P57" s="39">
        <f>Holzer_72!P64</f>
        <v>0</v>
      </c>
      <c r="Q57" s="39">
        <f>Holzer_72!Q64</f>
        <v>0</v>
      </c>
      <c r="R57" s="39">
        <f>Holzer_72!R64</f>
        <v>0</v>
      </c>
      <c r="S57" s="39">
        <f>Holzer_72!S64</f>
        <v>0</v>
      </c>
      <c r="T57" s="39">
        <f>Holzer_72!T64</f>
        <v>0</v>
      </c>
      <c r="U57" s="30"/>
      <c r="V57" s="47">
        <v>900</v>
      </c>
      <c r="W57" s="39">
        <f>Holzer_72!W64</f>
        <v>2</v>
      </c>
      <c r="X57" s="39">
        <f>Holzer_72!X64</f>
        <v>2</v>
      </c>
      <c r="Y57" s="39">
        <f>Holzer_72!Y64</f>
        <v>2</v>
      </c>
      <c r="Z57" s="39">
        <f>Holzer_72!Z64</f>
        <v>2</v>
      </c>
      <c r="AA57" s="39">
        <f>Holzer_72!AA64</f>
        <v>2</v>
      </c>
    </row>
    <row r="58" spans="1:27" x14ac:dyDescent="0.2">
      <c r="A58" s="40">
        <v>1000</v>
      </c>
      <c r="B58" s="35" t="str">
        <f>Holzer_72!B65</f>
        <v>MET</v>
      </c>
      <c r="C58" s="35" t="str">
        <f>Holzer_72!C65</f>
        <v>MET</v>
      </c>
      <c r="D58" s="35" t="str">
        <f>Holzer_72!D65</f>
        <v>MET</v>
      </c>
      <c r="E58" s="35" t="str">
        <f>Holzer_72!E65</f>
        <v>MET</v>
      </c>
      <c r="F58" s="35" t="str">
        <f>Holzer_72!F65</f>
        <v>MET</v>
      </c>
      <c r="G58" s="30"/>
      <c r="H58" s="41">
        <v>1000</v>
      </c>
      <c r="I58" s="36">
        <f>Holzer_72!I65</f>
        <v>3</v>
      </c>
      <c r="J58" s="36">
        <f>Holzer_72!J65</f>
        <v>3</v>
      </c>
      <c r="K58" s="36">
        <f>Holzer_72!K65</f>
        <v>3</v>
      </c>
      <c r="L58" s="36">
        <f>Holzer_72!L65</f>
        <v>4</v>
      </c>
      <c r="M58" s="36">
        <f>Holzer_72!M65</f>
        <v>3</v>
      </c>
      <c r="N58" s="30"/>
      <c r="O58" s="47">
        <v>1000</v>
      </c>
      <c r="P58" s="39">
        <f>Holzer_72!P65</f>
        <v>0</v>
      </c>
      <c r="Q58" s="39">
        <f>Holzer_72!Q65</f>
        <v>0</v>
      </c>
      <c r="R58" s="39">
        <f>Holzer_72!R65</f>
        <v>0</v>
      </c>
      <c r="S58" s="39">
        <f>Holzer_72!S65</f>
        <v>0</v>
      </c>
      <c r="T58" s="39">
        <f>Holzer_72!T65</f>
        <v>0</v>
      </c>
      <c r="U58" s="30"/>
      <c r="V58" s="47">
        <v>1000</v>
      </c>
      <c r="W58" s="39">
        <f>Holzer_72!W65</f>
        <v>3</v>
      </c>
      <c r="X58" s="39">
        <f>Holzer_72!X65</f>
        <v>3</v>
      </c>
      <c r="Y58" s="39">
        <f>Holzer_72!Y65</f>
        <v>3</v>
      </c>
      <c r="Z58" s="39">
        <f>Holzer_72!Z65</f>
        <v>3</v>
      </c>
      <c r="AA58" s="39">
        <f>Holzer_72!AA65</f>
        <v>3</v>
      </c>
    </row>
    <row r="59" spans="1:27" x14ac:dyDescent="0.2">
      <c r="A59" s="40">
        <v>1100</v>
      </c>
      <c r="B59" s="35" t="str">
        <f>Holzer_72!B66</f>
        <v>MET</v>
      </c>
      <c r="C59" s="35" t="str">
        <f>Holzer_72!C66</f>
        <v>MET</v>
      </c>
      <c r="D59" s="35" t="str">
        <f>Holzer_72!D66</f>
        <v>MET</v>
      </c>
      <c r="E59" s="35" t="str">
        <f>Holzer_72!E66</f>
        <v>MET</v>
      </c>
      <c r="F59" s="35" t="str">
        <f>Holzer_72!F66</f>
        <v>MET</v>
      </c>
      <c r="G59" s="30"/>
      <c r="H59" s="41">
        <v>1100</v>
      </c>
      <c r="I59" s="36">
        <f>Holzer_72!I66</f>
        <v>2</v>
      </c>
      <c r="J59" s="36">
        <f>Holzer_72!J66</f>
        <v>2</v>
      </c>
      <c r="K59" s="36">
        <f>Holzer_72!K66</f>
        <v>2</v>
      </c>
      <c r="L59" s="36">
        <f>Holzer_72!L66</f>
        <v>1</v>
      </c>
      <c r="M59" s="36">
        <f>Holzer_72!M66</f>
        <v>3</v>
      </c>
      <c r="N59" s="30"/>
      <c r="O59" s="47">
        <v>1100</v>
      </c>
      <c r="P59" s="39">
        <f>Holzer_72!P66</f>
        <v>2</v>
      </c>
      <c r="Q59" s="39">
        <f>Holzer_72!Q66</f>
        <v>2</v>
      </c>
      <c r="R59" s="39">
        <f>Holzer_72!R66</f>
        <v>2</v>
      </c>
      <c r="S59" s="39">
        <f>Holzer_72!S66</f>
        <v>1</v>
      </c>
      <c r="T59" s="39">
        <f>Holzer_72!T66</f>
        <v>3</v>
      </c>
      <c r="U59" s="30"/>
      <c r="V59" s="47">
        <v>1100</v>
      </c>
      <c r="W59" s="39">
        <f>Holzer_72!W66</f>
        <v>0</v>
      </c>
      <c r="X59" s="39">
        <f>Holzer_72!X66</f>
        <v>0</v>
      </c>
      <c r="Y59" s="39">
        <f>Holzer_72!Y66</f>
        <v>0</v>
      </c>
      <c r="Z59" s="39">
        <f>Holzer_72!Z66</f>
        <v>0</v>
      </c>
      <c r="AA59" s="39">
        <f>Holzer_72!AA66</f>
        <v>0</v>
      </c>
    </row>
    <row r="60" spans="1:27" x14ac:dyDescent="0.2">
      <c r="A60" s="40">
        <v>1200</v>
      </c>
      <c r="B60" s="35" t="str">
        <f>Holzer_72!B67</f>
        <v>NOT MET</v>
      </c>
      <c r="C60" s="35" t="str">
        <f>Holzer_72!C67</f>
        <v>NOT MET</v>
      </c>
      <c r="D60" s="35" t="str">
        <f>Holzer_72!D67</f>
        <v>NOT MET</v>
      </c>
      <c r="E60" s="35" t="str">
        <f>Holzer_72!E67</f>
        <v>NOT MET</v>
      </c>
      <c r="F60" s="35" t="str">
        <f>Holzer_72!F67</f>
        <v>NOT MET</v>
      </c>
      <c r="G60" s="30"/>
      <c r="H60" s="41">
        <v>1200</v>
      </c>
      <c r="I60" s="36">
        <f>Holzer_72!I67</f>
        <v>0</v>
      </c>
      <c r="J60" s="36">
        <f>Holzer_72!J67</f>
        <v>0</v>
      </c>
      <c r="K60" s="36">
        <f>Holzer_72!K67</f>
        <v>0</v>
      </c>
      <c r="L60" s="36">
        <f>Holzer_72!L67</f>
        <v>0</v>
      </c>
      <c r="M60" s="36">
        <f>Holzer_72!M67</f>
        <v>0</v>
      </c>
      <c r="N60" s="30"/>
      <c r="O60" s="47">
        <v>1200</v>
      </c>
      <c r="P60" s="39">
        <f>Holzer_72!P67</f>
        <v>0</v>
      </c>
      <c r="Q60" s="39">
        <f>Holzer_72!Q67</f>
        <v>0</v>
      </c>
      <c r="R60" s="39">
        <f>Holzer_72!R67</f>
        <v>0</v>
      </c>
      <c r="S60" s="39">
        <f>Holzer_72!S67</f>
        <v>0</v>
      </c>
      <c r="T60" s="39">
        <f>Holzer_72!T67</f>
        <v>0</v>
      </c>
      <c r="U60" s="30"/>
      <c r="V60" s="47">
        <v>1200</v>
      </c>
      <c r="W60" s="39">
        <f>Holzer_72!W67</f>
        <v>0</v>
      </c>
      <c r="X60" s="39">
        <f>Holzer_72!X67</f>
        <v>0</v>
      </c>
      <c r="Y60" s="39">
        <f>Holzer_72!Y67</f>
        <v>0</v>
      </c>
      <c r="Z60" s="39">
        <f>Holzer_72!Z67</f>
        <v>0</v>
      </c>
      <c r="AA60" s="39">
        <f>Holzer_72!AA67</f>
        <v>0</v>
      </c>
    </row>
    <row r="61" spans="1:27" x14ac:dyDescent="0.2">
      <c r="A61" s="40">
        <v>1300</v>
      </c>
      <c r="B61" s="35" t="str">
        <f>Holzer_72!B68</f>
        <v>MET</v>
      </c>
      <c r="C61" s="35" t="str">
        <f>Holzer_72!C68</f>
        <v>MET</v>
      </c>
      <c r="D61" s="35" t="str">
        <f>Holzer_72!D68</f>
        <v>MET</v>
      </c>
      <c r="E61" s="35" t="str">
        <f>Holzer_72!E68</f>
        <v>NOT MET</v>
      </c>
      <c r="F61" s="35" t="str">
        <f>Holzer_72!F68</f>
        <v>MET</v>
      </c>
      <c r="G61" s="30"/>
      <c r="H61" s="41">
        <v>1300</v>
      </c>
      <c r="I61" s="36">
        <f>Holzer_72!I68</f>
        <v>3</v>
      </c>
      <c r="J61" s="36">
        <f>Holzer_72!J68</f>
        <v>3</v>
      </c>
      <c r="K61" s="36">
        <f>Holzer_72!K68</f>
        <v>3</v>
      </c>
      <c r="L61" s="36">
        <f>Holzer_72!L68</f>
        <v>0</v>
      </c>
      <c r="M61" s="36">
        <f>Holzer_72!M68</f>
        <v>3</v>
      </c>
      <c r="N61" s="30"/>
      <c r="O61" s="47">
        <v>1300</v>
      </c>
      <c r="P61" s="39">
        <f>Holzer_72!P68</f>
        <v>1</v>
      </c>
      <c r="Q61" s="39">
        <f>Holzer_72!Q68</f>
        <v>1</v>
      </c>
      <c r="R61" s="39">
        <f>Holzer_72!R68</f>
        <v>1</v>
      </c>
      <c r="S61" s="39">
        <f>Holzer_72!S68</f>
        <v>0</v>
      </c>
      <c r="T61" s="39">
        <f>Holzer_72!T68</f>
        <v>0</v>
      </c>
      <c r="U61" s="30"/>
      <c r="V61" s="47">
        <v>1300</v>
      </c>
      <c r="W61" s="39">
        <f>Holzer_72!W68</f>
        <v>2</v>
      </c>
      <c r="X61" s="39">
        <f>Holzer_72!X68</f>
        <v>2</v>
      </c>
      <c r="Y61" s="39">
        <f>Holzer_72!Y68</f>
        <v>2</v>
      </c>
      <c r="Z61" s="39">
        <f>Holzer_72!Z68</f>
        <v>0</v>
      </c>
      <c r="AA61" s="39">
        <f>Holzer_72!AA68</f>
        <v>3</v>
      </c>
    </row>
    <row r="62" spans="1:27" x14ac:dyDescent="0.2">
      <c r="A62" s="40">
        <v>1400</v>
      </c>
      <c r="B62" s="35" t="str">
        <f>Holzer_72!B69</f>
        <v>MET</v>
      </c>
      <c r="C62" s="35" t="str">
        <f>Holzer_72!C69</f>
        <v>MET</v>
      </c>
      <c r="D62" s="35" t="str">
        <f>Holzer_72!D69</f>
        <v>MET</v>
      </c>
      <c r="E62" s="35" t="str">
        <f>Holzer_72!E69</f>
        <v>NOT MET</v>
      </c>
      <c r="F62" s="35" t="str">
        <f>Holzer_72!F69</f>
        <v>NOT MET</v>
      </c>
      <c r="G62" s="30"/>
      <c r="H62" s="41">
        <v>1400</v>
      </c>
      <c r="I62" s="36">
        <f>Holzer_72!I69</f>
        <v>3</v>
      </c>
      <c r="J62" s="36">
        <f>Holzer_72!J69</f>
        <v>3</v>
      </c>
      <c r="K62" s="36">
        <f>Holzer_72!K69</f>
        <v>3</v>
      </c>
      <c r="L62" s="36">
        <f>Holzer_72!L69</f>
        <v>0</v>
      </c>
      <c r="M62" s="36">
        <f>Holzer_72!M69</f>
        <v>0</v>
      </c>
      <c r="N62" s="30"/>
      <c r="O62" s="47">
        <v>1400</v>
      </c>
      <c r="P62" s="39">
        <f>Holzer_72!P69</f>
        <v>1</v>
      </c>
      <c r="Q62" s="39">
        <f>Holzer_72!Q69</f>
        <v>0</v>
      </c>
      <c r="R62" s="39">
        <f>Holzer_72!R69</f>
        <v>0</v>
      </c>
      <c r="S62" s="39">
        <f>Holzer_72!S69</f>
        <v>0</v>
      </c>
      <c r="T62" s="39">
        <f>Holzer_72!T69</f>
        <v>0</v>
      </c>
      <c r="U62" s="30"/>
      <c r="V62" s="47">
        <v>1400</v>
      </c>
      <c r="W62" s="39">
        <f>Holzer_72!W69</f>
        <v>2</v>
      </c>
      <c r="X62" s="39">
        <f>Holzer_72!X69</f>
        <v>3</v>
      </c>
      <c r="Y62" s="39">
        <f>Holzer_72!Y69</f>
        <v>3</v>
      </c>
      <c r="Z62" s="39">
        <f>Holzer_72!Z69</f>
        <v>0</v>
      </c>
      <c r="AA62" s="39">
        <f>Holzer_72!AA69</f>
        <v>0</v>
      </c>
    </row>
    <row r="63" spans="1:27" x14ac:dyDescent="0.2">
      <c r="A63" s="40">
        <v>1500</v>
      </c>
      <c r="B63" s="35" t="str">
        <f>Holzer_72!B70</f>
        <v>NOT MET</v>
      </c>
      <c r="C63" s="35" t="str">
        <f>Holzer_72!C70</f>
        <v>NOT MET</v>
      </c>
      <c r="D63" s="35" t="str">
        <f>Holzer_72!D70</f>
        <v>NOT MET</v>
      </c>
      <c r="E63" s="35" t="str">
        <f>Holzer_72!E70</f>
        <v>NOT MET</v>
      </c>
      <c r="F63" s="35" t="str">
        <f>Holzer_72!F70</f>
        <v>NOT MET</v>
      </c>
      <c r="G63" s="30"/>
      <c r="H63" s="41">
        <v>1500</v>
      </c>
      <c r="I63" s="36">
        <f>Holzer_72!I70</f>
        <v>0</v>
      </c>
      <c r="J63" s="36">
        <f>Holzer_72!J70</f>
        <v>0</v>
      </c>
      <c r="K63" s="36">
        <f>Holzer_72!K70</f>
        <v>0</v>
      </c>
      <c r="L63" s="36">
        <f>Holzer_72!L70</f>
        <v>0</v>
      </c>
      <c r="M63" s="36">
        <f>Holzer_72!M70</f>
        <v>0</v>
      </c>
      <c r="N63" s="30"/>
      <c r="O63" s="47">
        <v>1500</v>
      </c>
      <c r="P63" s="39">
        <f>Holzer_72!P70</f>
        <v>0</v>
      </c>
      <c r="Q63" s="39">
        <f>Holzer_72!Q70</f>
        <v>0</v>
      </c>
      <c r="R63" s="39">
        <f>Holzer_72!R70</f>
        <v>0</v>
      </c>
      <c r="S63" s="39">
        <f>Holzer_72!S70</f>
        <v>0</v>
      </c>
      <c r="T63" s="39">
        <f>Holzer_72!T70</f>
        <v>0</v>
      </c>
      <c r="U63" s="30"/>
      <c r="V63" s="47">
        <v>1500</v>
      </c>
      <c r="W63" s="39">
        <f>Holzer_72!W70</f>
        <v>0</v>
      </c>
      <c r="X63" s="39">
        <f>Holzer_72!X70</f>
        <v>0</v>
      </c>
      <c r="Y63" s="39">
        <f>Holzer_72!Y70</f>
        <v>0</v>
      </c>
      <c r="Z63" s="39">
        <f>Holzer_72!Z70</f>
        <v>0</v>
      </c>
      <c r="AA63" s="39">
        <f>Holzer_72!AA70</f>
        <v>0</v>
      </c>
    </row>
    <row r="64" spans="1:27" x14ac:dyDescent="0.2">
      <c r="A64" s="40">
        <v>1600</v>
      </c>
      <c r="B64" s="35" t="str">
        <f>Holzer_72!B71</f>
        <v>NOT MET</v>
      </c>
      <c r="C64" s="35" t="str">
        <f>Holzer_72!C71</f>
        <v>NOT MET</v>
      </c>
      <c r="D64" s="35" t="str">
        <f>Holzer_72!D71</f>
        <v>NOT MET</v>
      </c>
      <c r="E64" s="35" t="str">
        <f>Holzer_72!E71</f>
        <v>NOT MET</v>
      </c>
      <c r="F64" s="35" t="str">
        <f>Holzer_72!F71</f>
        <v>NOT MET</v>
      </c>
      <c r="G64" s="30"/>
      <c r="H64" s="41">
        <v>1600</v>
      </c>
      <c r="I64" s="36">
        <f>Holzer_72!I71</f>
        <v>0</v>
      </c>
      <c r="J64" s="36">
        <f>Holzer_72!J71</f>
        <v>0</v>
      </c>
      <c r="K64" s="36">
        <f>Holzer_72!K71</f>
        <v>0</v>
      </c>
      <c r="L64" s="36">
        <f>Holzer_72!L71</f>
        <v>0</v>
      </c>
      <c r="M64" s="36">
        <f>Holzer_72!M71</f>
        <v>0</v>
      </c>
      <c r="N64" s="30"/>
      <c r="O64" s="47">
        <v>1600</v>
      </c>
      <c r="P64" s="39">
        <f>Holzer_72!P71</f>
        <v>0</v>
      </c>
      <c r="Q64" s="39">
        <f>Holzer_72!Q71</f>
        <v>0</v>
      </c>
      <c r="R64" s="39">
        <f>Holzer_72!R71</f>
        <v>0</v>
      </c>
      <c r="S64" s="39">
        <f>Holzer_72!S71</f>
        <v>0</v>
      </c>
      <c r="T64" s="39">
        <f>Holzer_72!T71</f>
        <v>0</v>
      </c>
      <c r="U64" s="30"/>
      <c r="V64" s="47">
        <v>1600</v>
      </c>
      <c r="W64" s="39">
        <f>Holzer_72!W71</f>
        <v>0</v>
      </c>
      <c r="X64" s="39">
        <f>Holzer_72!X71</f>
        <v>0</v>
      </c>
      <c r="Y64" s="39">
        <f>Holzer_72!Y71</f>
        <v>0</v>
      </c>
      <c r="Z64" s="39">
        <f>Holzer_72!Z71</f>
        <v>0</v>
      </c>
      <c r="AA64" s="39">
        <f>Holzer_72!AA71</f>
        <v>0</v>
      </c>
    </row>
    <row r="68" spans="1:27" ht="15" x14ac:dyDescent="0.25">
      <c r="B68" s="307" t="s">
        <v>31</v>
      </c>
      <c r="C68" s="307"/>
      <c r="D68" s="307"/>
      <c r="E68" s="307"/>
      <c r="F68" s="307"/>
      <c r="G68" s="307"/>
      <c r="H68" s="307"/>
      <c r="I68" s="307"/>
      <c r="J68" s="307"/>
      <c r="K68" s="307"/>
      <c r="L68" s="307"/>
      <c r="M68" s="307"/>
      <c r="N68" s="307"/>
      <c r="O68" s="307"/>
      <c r="P68" s="307"/>
      <c r="Q68" s="307"/>
      <c r="R68" s="307"/>
      <c r="S68" s="307"/>
      <c r="T68" s="307"/>
      <c r="U68" s="307"/>
      <c r="V68" s="307"/>
      <c r="W68" s="307"/>
      <c r="X68" s="307"/>
      <c r="Y68" s="307"/>
      <c r="Z68" s="307"/>
      <c r="AA68" s="307"/>
    </row>
    <row r="69" spans="1:27" ht="15" x14ac:dyDescent="0.2">
      <c r="A69" s="48"/>
      <c r="B69" s="279" t="s">
        <v>19</v>
      </c>
      <c r="C69" s="279"/>
      <c r="D69" s="279"/>
      <c r="E69" s="279"/>
      <c r="F69" s="279"/>
      <c r="G69" s="30"/>
      <c r="H69" s="31"/>
      <c r="I69" s="279" t="s">
        <v>20</v>
      </c>
      <c r="J69" s="279"/>
      <c r="K69" s="279"/>
      <c r="L69" s="279"/>
      <c r="M69" s="279"/>
      <c r="N69" s="30"/>
      <c r="P69" s="279" t="s">
        <v>21</v>
      </c>
      <c r="Q69" s="279"/>
      <c r="R69" s="279"/>
      <c r="S69" s="279"/>
      <c r="T69" s="279"/>
      <c r="U69" s="30"/>
      <c r="W69" s="279" t="s">
        <v>22</v>
      </c>
      <c r="X69" s="279"/>
      <c r="Y69" s="279"/>
      <c r="Z69" s="279"/>
      <c r="AA69" s="279"/>
    </row>
    <row r="70" spans="1:27" ht="15" x14ac:dyDescent="0.2">
      <c r="A70" s="48"/>
      <c r="B70" s="32" t="s">
        <v>2</v>
      </c>
      <c r="C70" s="33" t="s">
        <v>3</v>
      </c>
      <c r="D70" s="32" t="s">
        <v>4</v>
      </c>
      <c r="E70" s="32" t="s">
        <v>5</v>
      </c>
      <c r="F70" s="32" t="s">
        <v>6</v>
      </c>
      <c r="G70" s="30"/>
      <c r="H70" s="31"/>
      <c r="I70" s="32" t="s">
        <v>2</v>
      </c>
      <c r="J70" s="32" t="s">
        <v>3</v>
      </c>
      <c r="K70" s="32" t="s">
        <v>4</v>
      </c>
      <c r="L70" s="32" t="s">
        <v>5</v>
      </c>
      <c r="M70" s="32" t="s">
        <v>6</v>
      </c>
      <c r="N70" s="30"/>
      <c r="P70" s="32" t="s">
        <v>2</v>
      </c>
      <c r="Q70" s="32" t="s">
        <v>3</v>
      </c>
      <c r="R70" s="32" t="s">
        <v>4</v>
      </c>
      <c r="S70" s="32" t="s">
        <v>5</v>
      </c>
      <c r="T70" s="32" t="s">
        <v>6</v>
      </c>
      <c r="U70" s="30"/>
      <c r="W70" s="32" t="s">
        <v>2</v>
      </c>
      <c r="X70" s="32" t="s">
        <v>3</v>
      </c>
      <c r="Y70" s="32" t="s">
        <v>4</v>
      </c>
      <c r="Z70" s="32" t="s">
        <v>5</v>
      </c>
      <c r="AA70" s="32" t="s">
        <v>6</v>
      </c>
    </row>
    <row r="71" spans="1:27" x14ac:dyDescent="0.2">
      <c r="A71" s="34">
        <v>700</v>
      </c>
      <c r="B71" s="35" t="str">
        <f>Brown_80!B62</f>
        <v>NOT MET</v>
      </c>
      <c r="C71" s="35" t="str">
        <f>Brown_80!C62</f>
        <v>NOT MET</v>
      </c>
      <c r="D71" s="35" t="str">
        <f>Brown_80!D62</f>
        <v>NOT MET</v>
      </c>
      <c r="E71" s="35" t="str">
        <f>Brown_80!E62</f>
        <v>NOT MET</v>
      </c>
      <c r="F71" s="35" t="str">
        <f>Brown_80!F62</f>
        <v>NOT MET</v>
      </c>
      <c r="G71" s="30"/>
      <c r="H71" s="37">
        <v>700</v>
      </c>
      <c r="I71" s="36">
        <f>Brown_80!I62</f>
        <v>0</v>
      </c>
      <c r="J71" s="36">
        <f>Brown_80!J62</f>
        <v>0</v>
      </c>
      <c r="K71" s="36">
        <f>Brown_80!K62</f>
        <v>0</v>
      </c>
      <c r="L71" s="36">
        <f>Brown_80!L62</f>
        <v>0</v>
      </c>
      <c r="M71" s="36">
        <f>Brown_80!M62</f>
        <v>0</v>
      </c>
      <c r="N71" s="30"/>
      <c r="O71">
        <v>700</v>
      </c>
      <c r="P71" s="39">
        <f>Brown_80!P62</f>
        <v>0</v>
      </c>
      <c r="Q71" s="39">
        <f>Brown_80!Q62</f>
        <v>0</v>
      </c>
      <c r="R71" s="39">
        <f>Brown_80!R62</f>
        <v>0</v>
      </c>
      <c r="S71" s="39">
        <f>Brown_80!S62</f>
        <v>0</v>
      </c>
      <c r="T71" s="39">
        <f>Brown_80!T62</f>
        <v>0</v>
      </c>
      <c r="U71" s="30"/>
      <c r="V71">
        <v>700</v>
      </c>
      <c r="W71" s="39">
        <f>Brown_80!W62</f>
        <v>0</v>
      </c>
      <c r="X71" s="39">
        <f>Brown_80!X62</f>
        <v>0</v>
      </c>
      <c r="Y71" s="39">
        <f>Brown_80!Y62</f>
        <v>0</v>
      </c>
      <c r="Z71" s="39">
        <f>Brown_80!Z62</f>
        <v>0</v>
      </c>
      <c r="AA71" s="39">
        <f>Brown_80!AA62</f>
        <v>0</v>
      </c>
    </row>
    <row r="72" spans="1:27" x14ac:dyDescent="0.2">
      <c r="A72" s="40">
        <v>800</v>
      </c>
      <c r="B72" s="35" t="str">
        <f>Brown_80!B63</f>
        <v>NOT MET</v>
      </c>
      <c r="C72" s="35" t="str">
        <f>Brown_80!C63</f>
        <v>NOT MET</v>
      </c>
      <c r="D72" s="35" t="str">
        <f>Brown_80!D63</f>
        <v>NOT MET</v>
      </c>
      <c r="E72" s="35" t="str">
        <f>Brown_80!E63</f>
        <v>NOT MET</v>
      </c>
      <c r="F72" s="35" t="str">
        <f>Brown_80!F63</f>
        <v>NOT MET</v>
      </c>
      <c r="G72" s="30"/>
      <c r="H72" s="41">
        <v>800</v>
      </c>
      <c r="I72" s="36">
        <f>Brown_80!I63</f>
        <v>0</v>
      </c>
      <c r="J72" s="36">
        <f>Brown_80!J63</f>
        <v>0</v>
      </c>
      <c r="K72" s="36">
        <f>Brown_80!K63</f>
        <v>0</v>
      </c>
      <c r="L72" s="36">
        <f>Brown_80!L63</f>
        <v>0</v>
      </c>
      <c r="M72" s="36">
        <f>Brown_80!M63</f>
        <v>0</v>
      </c>
      <c r="N72" s="30"/>
      <c r="O72" s="47">
        <v>800</v>
      </c>
      <c r="P72" s="39">
        <f>Brown_80!P63</f>
        <v>0</v>
      </c>
      <c r="Q72" s="39">
        <f>Brown_80!Q63</f>
        <v>0</v>
      </c>
      <c r="R72" s="39">
        <f>Brown_80!R63</f>
        <v>0</v>
      </c>
      <c r="S72" s="39">
        <f>Brown_80!S63</f>
        <v>0</v>
      </c>
      <c r="T72" s="39">
        <f>Brown_80!T63</f>
        <v>0</v>
      </c>
      <c r="U72" s="30"/>
      <c r="V72" s="47">
        <v>800</v>
      </c>
      <c r="W72" s="39">
        <f>Brown_80!W63</f>
        <v>0</v>
      </c>
      <c r="X72" s="39">
        <f>Brown_80!X63</f>
        <v>0</v>
      </c>
      <c r="Y72" s="39">
        <f>Brown_80!Y63</f>
        <v>0</v>
      </c>
      <c r="Z72" s="39">
        <f>Brown_80!Z63</f>
        <v>0</v>
      </c>
      <c r="AA72" s="39">
        <f>Brown_80!AA63</f>
        <v>0</v>
      </c>
    </row>
    <row r="73" spans="1:27" x14ac:dyDescent="0.2">
      <c r="A73" s="40">
        <v>900</v>
      </c>
      <c r="B73" s="35" t="str">
        <f>Brown_80!B64</f>
        <v>MET</v>
      </c>
      <c r="C73" s="35" t="str">
        <f>Brown_80!C64</f>
        <v>MET</v>
      </c>
      <c r="D73" s="35" t="str">
        <f>Brown_80!D64</f>
        <v>MET</v>
      </c>
      <c r="E73" s="35" t="str">
        <f>Brown_80!E64</f>
        <v>MET</v>
      </c>
      <c r="F73" s="35" t="str">
        <f>Brown_80!F64</f>
        <v>MET</v>
      </c>
      <c r="G73" s="30"/>
      <c r="H73" s="41">
        <v>900</v>
      </c>
      <c r="I73" s="36">
        <f>Brown_80!I64</f>
        <v>3</v>
      </c>
      <c r="J73" s="36">
        <f>Brown_80!J64</f>
        <v>3</v>
      </c>
      <c r="K73" s="36">
        <f>Brown_80!K64</f>
        <v>3</v>
      </c>
      <c r="L73" s="36">
        <f>Brown_80!L64</f>
        <v>3</v>
      </c>
      <c r="M73" s="36">
        <f>Brown_80!M64</f>
        <v>3</v>
      </c>
      <c r="N73" s="30"/>
      <c r="O73" s="47">
        <v>900</v>
      </c>
      <c r="P73" s="39">
        <f>Brown_80!P64</f>
        <v>3</v>
      </c>
      <c r="Q73" s="39">
        <f>Brown_80!Q64</f>
        <v>3</v>
      </c>
      <c r="R73" s="39">
        <f>Brown_80!R64</f>
        <v>3</v>
      </c>
      <c r="S73" s="39">
        <f>Brown_80!S64</f>
        <v>3</v>
      </c>
      <c r="T73" s="39">
        <f>Brown_80!T64</f>
        <v>3</v>
      </c>
      <c r="U73" s="30"/>
      <c r="V73" s="47">
        <v>900</v>
      </c>
      <c r="W73" s="39">
        <f>Brown_80!W64</f>
        <v>0</v>
      </c>
      <c r="X73" s="39">
        <f>Brown_80!X64</f>
        <v>0</v>
      </c>
      <c r="Y73" s="39">
        <f>Brown_80!Y64</f>
        <v>0</v>
      </c>
      <c r="Z73" s="39">
        <f>Brown_80!Z64</f>
        <v>0</v>
      </c>
      <c r="AA73" s="39">
        <f>Brown_80!AA64</f>
        <v>0</v>
      </c>
    </row>
    <row r="74" spans="1:27" x14ac:dyDescent="0.2">
      <c r="A74" s="40">
        <v>1000</v>
      </c>
      <c r="B74" s="35" t="str">
        <f>Brown_80!B65</f>
        <v>MET</v>
      </c>
      <c r="C74" s="35" t="str">
        <f>Brown_80!C65</f>
        <v>MET</v>
      </c>
      <c r="D74" s="35" t="str">
        <f>Brown_80!D65</f>
        <v>MET</v>
      </c>
      <c r="E74" s="35" t="str">
        <f>Brown_80!E65</f>
        <v>MET</v>
      </c>
      <c r="F74" s="35" t="str">
        <f>Brown_80!F65</f>
        <v>MET</v>
      </c>
      <c r="G74" s="30"/>
      <c r="H74" s="41">
        <v>1000</v>
      </c>
      <c r="I74" s="36">
        <f>Brown_80!I65</f>
        <v>3</v>
      </c>
      <c r="J74" s="36">
        <f>Brown_80!J65</f>
        <v>3</v>
      </c>
      <c r="K74" s="36">
        <f>Brown_80!K65</f>
        <v>3</v>
      </c>
      <c r="L74" s="36">
        <f>Brown_80!L65</f>
        <v>3</v>
      </c>
      <c r="M74" s="36">
        <f>Brown_80!M65</f>
        <v>3</v>
      </c>
      <c r="N74" s="30"/>
      <c r="O74" s="47">
        <v>1000</v>
      </c>
      <c r="P74" s="39">
        <f>Brown_80!P65</f>
        <v>3</v>
      </c>
      <c r="Q74" s="39">
        <f>Brown_80!Q65</f>
        <v>3</v>
      </c>
      <c r="R74" s="39">
        <f>Brown_80!R65</f>
        <v>3</v>
      </c>
      <c r="S74" s="39">
        <f>Brown_80!S65</f>
        <v>3</v>
      </c>
      <c r="T74" s="39">
        <f>Brown_80!T65</f>
        <v>3</v>
      </c>
      <c r="U74" s="30"/>
      <c r="V74" s="47">
        <v>1000</v>
      </c>
      <c r="W74" s="39">
        <f>Brown_80!W65</f>
        <v>0</v>
      </c>
      <c r="X74" s="39">
        <f>Brown_80!X65</f>
        <v>0</v>
      </c>
      <c r="Y74" s="39">
        <f>Brown_80!Y65</f>
        <v>0</v>
      </c>
      <c r="Z74" s="39">
        <f>Brown_80!Z65</f>
        <v>0</v>
      </c>
      <c r="AA74" s="39">
        <f>Brown_80!AA65</f>
        <v>0</v>
      </c>
    </row>
    <row r="75" spans="1:27" x14ac:dyDescent="0.2">
      <c r="A75" s="40">
        <v>1100</v>
      </c>
      <c r="B75" s="35" t="str">
        <f>Brown_80!B66</f>
        <v>NOT MET</v>
      </c>
      <c r="C75" s="35" t="str">
        <f>Brown_80!C66</f>
        <v>NOT MET</v>
      </c>
      <c r="D75" s="35" t="str">
        <f>Brown_80!D66</f>
        <v>NOT MET</v>
      </c>
      <c r="E75" s="35" t="str">
        <f>Brown_80!E66</f>
        <v>NOT MET</v>
      </c>
      <c r="F75" s="35" t="str">
        <f>Brown_80!F66</f>
        <v>NOT MET</v>
      </c>
      <c r="G75" s="30"/>
      <c r="H75" s="41">
        <v>1100</v>
      </c>
      <c r="I75" s="36">
        <f>Brown_80!I66</f>
        <v>0</v>
      </c>
      <c r="J75" s="36">
        <f>Brown_80!J66</f>
        <v>0</v>
      </c>
      <c r="K75" s="36">
        <f>Brown_80!K66</f>
        <v>0</v>
      </c>
      <c r="L75" s="36">
        <f>Brown_80!L66</f>
        <v>0</v>
      </c>
      <c r="M75" s="36">
        <f>Brown_80!M66</f>
        <v>0</v>
      </c>
      <c r="N75" s="30"/>
      <c r="O75" s="47">
        <v>1100</v>
      </c>
      <c r="P75" s="39">
        <f>Brown_80!P66</f>
        <v>0</v>
      </c>
      <c r="Q75" s="39">
        <f>Brown_80!Q66</f>
        <v>0</v>
      </c>
      <c r="R75" s="39">
        <f>Brown_80!R66</f>
        <v>0</v>
      </c>
      <c r="S75" s="39">
        <f>Brown_80!S66</f>
        <v>0</v>
      </c>
      <c r="T75" s="39">
        <f>Brown_80!T66</f>
        <v>0</v>
      </c>
      <c r="U75" s="30"/>
      <c r="V75" s="47">
        <v>1100</v>
      </c>
      <c r="W75" s="39">
        <f>Brown_80!W66</f>
        <v>0</v>
      </c>
      <c r="X75" s="39">
        <f>Brown_80!X66</f>
        <v>0</v>
      </c>
      <c r="Y75" s="39">
        <f>Brown_80!Y66</f>
        <v>0</v>
      </c>
      <c r="Z75" s="39">
        <f>Brown_80!Z66</f>
        <v>0</v>
      </c>
      <c r="AA75" s="39">
        <f>Brown_80!AA66</f>
        <v>0</v>
      </c>
    </row>
    <row r="76" spans="1:27" x14ac:dyDescent="0.2">
      <c r="A76" s="40">
        <v>1200</v>
      </c>
      <c r="B76" s="35" t="str">
        <f>Brown_80!B67</f>
        <v>NOT MET</v>
      </c>
      <c r="C76" s="35" t="str">
        <f>Brown_80!C67</f>
        <v>NOT MET</v>
      </c>
      <c r="D76" s="35" t="str">
        <f>Brown_80!D67</f>
        <v>NOT MET</v>
      </c>
      <c r="E76" s="35" t="str">
        <f>Brown_80!E67</f>
        <v>NOT MET</v>
      </c>
      <c r="F76" s="35" t="str">
        <f>Brown_80!F67</f>
        <v>NOT MET</v>
      </c>
      <c r="G76" s="30"/>
      <c r="H76" s="41">
        <v>1200</v>
      </c>
      <c r="I76" s="36">
        <f>Brown_80!I67</f>
        <v>0</v>
      </c>
      <c r="J76" s="36">
        <f>Brown_80!J67</f>
        <v>0</v>
      </c>
      <c r="K76" s="36">
        <f>Brown_80!K67</f>
        <v>0</v>
      </c>
      <c r="L76" s="36">
        <f>Brown_80!L67</f>
        <v>0</v>
      </c>
      <c r="M76" s="36">
        <f>Brown_80!M67</f>
        <v>0</v>
      </c>
      <c r="N76" s="30"/>
      <c r="O76" s="47">
        <v>1200</v>
      </c>
      <c r="P76" s="39">
        <f>Brown_80!P67</f>
        <v>0</v>
      </c>
      <c r="Q76" s="39">
        <f>Brown_80!Q67</f>
        <v>0</v>
      </c>
      <c r="R76" s="39">
        <f>Brown_80!R67</f>
        <v>0</v>
      </c>
      <c r="S76" s="39">
        <f>Brown_80!S67</f>
        <v>0</v>
      </c>
      <c r="T76" s="39">
        <f>Brown_80!T67</f>
        <v>0</v>
      </c>
      <c r="U76" s="30"/>
      <c r="V76" s="47">
        <v>1200</v>
      </c>
      <c r="W76" s="39">
        <f>Brown_80!W67</f>
        <v>0</v>
      </c>
      <c r="X76" s="39">
        <f>Brown_80!X67</f>
        <v>0</v>
      </c>
      <c r="Y76" s="39">
        <f>Brown_80!Y67</f>
        <v>0</v>
      </c>
      <c r="Z76" s="39">
        <f>Brown_80!Z67</f>
        <v>0</v>
      </c>
      <c r="AA76" s="39">
        <f>Brown_80!AA67</f>
        <v>0</v>
      </c>
    </row>
    <row r="77" spans="1:27" x14ac:dyDescent="0.2">
      <c r="A77" s="40">
        <v>1300</v>
      </c>
      <c r="B77" s="35" t="str">
        <f>Brown_80!B68</f>
        <v>MET</v>
      </c>
      <c r="C77" s="35" t="str">
        <f>Brown_80!C68</f>
        <v>MET</v>
      </c>
      <c r="D77" s="35" t="str">
        <f>Brown_80!D68</f>
        <v>MET</v>
      </c>
      <c r="E77" s="35" t="str">
        <f>Brown_80!E68</f>
        <v>MET</v>
      </c>
      <c r="F77" s="35" t="str">
        <f>Brown_80!F68</f>
        <v>MET</v>
      </c>
      <c r="G77" s="30"/>
      <c r="H77" s="41">
        <v>1300</v>
      </c>
      <c r="I77" s="36">
        <f>Brown_80!I68</f>
        <v>3</v>
      </c>
      <c r="J77" s="36">
        <f>Brown_80!J68</f>
        <v>3</v>
      </c>
      <c r="K77" s="36">
        <f>Brown_80!K68</f>
        <v>3</v>
      </c>
      <c r="L77" s="36">
        <f>Brown_80!L68</f>
        <v>3</v>
      </c>
      <c r="M77" s="36">
        <f>Brown_80!M68</f>
        <v>3</v>
      </c>
      <c r="N77" s="30"/>
      <c r="O77" s="47">
        <v>1300</v>
      </c>
      <c r="P77" s="39">
        <f>Brown_80!P68</f>
        <v>3</v>
      </c>
      <c r="Q77" s="39">
        <f>Brown_80!Q68</f>
        <v>3</v>
      </c>
      <c r="R77" s="39">
        <f>Brown_80!R68</f>
        <v>3</v>
      </c>
      <c r="S77" s="39">
        <f>Brown_80!S68</f>
        <v>3</v>
      </c>
      <c r="T77" s="39">
        <f>Brown_80!T68</f>
        <v>3</v>
      </c>
      <c r="U77" s="30"/>
      <c r="V77" s="47">
        <v>1300</v>
      </c>
      <c r="W77" s="39">
        <f>Brown_80!W68</f>
        <v>0</v>
      </c>
      <c r="X77" s="39">
        <f>Brown_80!X68</f>
        <v>0</v>
      </c>
      <c r="Y77" s="39">
        <f>Brown_80!Y68</f>
        <v>0</v>
      </c>
      <c r="Z77" s="39">
        <f>Brown_80!Z68</f>
        <v>0</v>
      </c>
      <c r="AA77" s="39">
        <f>Brown_80!AA68</f>
        <v>0</v>
      </c>
    </row>
    <row r="78" spans="1:27" x14ac:dyDescent="0.2">
      <c r="A78" s="40">
        <v>1400</v>
      </c>
      <c r="B78" s="35" t="str">
        <f>Brown_80!B69</f>
        <v>MET</v>
      </c>
      <c r="C78" s="35" t="str">
        <f>Brown_80!C69</f>
        <v>MET</v>
      </c>
      <c r="D78" s="35" t="str">
        <f>Brown_80!D69</f>
        <v>MET</v>
      </c>
      <c r="E78" s="35" t="str">
        <f>Brown_80!E69</f>
        <v>MET</v>
      </c>
      <c r="F78" s="35" t="str">
        <f>Brown_80!F69</f>
        <v>MET</v>
      </c>
      <c r="G78" s="30"/>
      <c r="H78" s="41">
        <v>1400</v>
      </c>
      <c r="I78" s="36">
        <f>Brown_80!I69</f>
        <v>3</v>
      </c>
      <c r="J78" s="36">
        <f>Brown_80!J69</f>
        <v>3</v>
      </c>
      <c r="K78" s="36">
        <f>Brown_80!K69</f>
        <v>3</v>
      </c>
      <c r="L78" s="36">
        <f>Brown_80!L69</f>
        <v>3</v>
      </c>
      <c r="M78" s="36">
        <f>Brown_80!M69</f>
        <v>3</v>
      </c>
      <c r="N78" s="30"/>
      <c r="O78" s="47">
        <v>1400</v>
      </c>
      <c r="P78" s="39">
        <f>Brown_80!P69</f>
        <v>3</v>
      </c>
      <c r="Q78" s="39">
        <f>Brown_80!Q69</f>
        <v>3</v>
      </c>
      <c r="R78" s="39">
        <f>Brown_80!R69</f>
        <v>3</v>
      </c>
      <c r="S78" s="39">
        <f>Brown_80!S69</f>
        <v>3</v>
      </c>
      <c r="T78" s="39">
        <f>Brown_80!T69</f>
        <v>3</v>
      </c>
      <c r="U78" s="30"/>
      <c r="V78" s="47">
        <v>1400</v>
      </c>
      <c r="W78" s="39">
        <f>Brown_80!W69</f>
        <v>0</v>
      </c>
      <c r="X78" s="39">
        <f>Brown_80!X69</f>
        <v>0</v>
      </c>
      <c r="Y78" s="39">
        <f>Brown_80!Y69</f>
        <v>0</v>
      </c>
      <c r="Z78" s="39">
        <f>Brown_80!Z69</f>
        <v>0</v>
      </c>
      <c r="AA78" s="39">
        <f>Brown_80!AA69</f>
        <v>0</v>
      </c>
    </row>
    <row r="79" spans="1:27" x14ac:dyDescent="0.2">
      <c r="A79" s="40">
        <v>1500</v>
      </c>
      <c r="B79" s="35" t="str">
        <f>Brown_80!B70</f>
        <v>MET</v>
      </c>
      <c r="C79" s="35" t="str">
        <f>Brown_80!C70</f>
        <v>MET</v>
      </c>
      <c r="D79" s="35" t="str">
        <f>Brown_80!D70</f>
        <v>MET</v>
      </c>
      <c r="E79" s="35" t="str">
        <f>Brown_80!E70</f>
        <v>MET</v>
      </c>
      <c r="F79" s="35" t="str">
        <f>Brown_80!F70</f>
        <v>MET</v>
      </c>
      <c r="G79" s="30"/>
      <c r="H79" s="41">
        <v>1500</v>
      </c>
      <c r="I79" s="36">
        <f>Brown_80!I70</f>
        <v>3</v>
      </c>
      <c r="J79" s="36">
        <f>Brown_80!J70</f>
        <v>3</v>
      </c>
      <c r="K79" s="36">
        <f>Brown_80!K70</f>
        <v>3</v>
      </c>
      <c r="L79" s="36">
        <f>Brown_80!L70</f>
        <v>3</v>
      </c>
      <c r="M79" s="36">
        <f>Brown_80!M70</f>
        <v>3</v>
      </c>
      <c r="N79" s="30"/>
      <c r="O79" s="47">
        <v>1500</v>
      </c>
      <c r="P79" s="39">
        <f>Brown_80!P70</f>
        <v>3</v>
      </c>
      <c r="Q79" s="39">
        <f>Brown_80!Q70</f>
        <v>3</v>
      </c>
      <c r="R79" s="39">
        <f>Brown_80!R70</f>
        <v>3</v>
      </c>
      <c r="S79" s="39">
        <f>Brown_80!S70</f>
        <v>3</v>
      </c>
      <c r="T79" s="39">
        <f>Brown_80!T70</f>
        <v>3</v>
      </c>
      <c r="U79" s="30"/>
      <c r="V79" s="47">
        <v>1500</v>
      </c>
      <c r="W79" s="39">
        <f>Brown_80!W70</f>
        <v>0</v>
      </c>
      <c r="X79" s="39">
        <f>Brown_80!X70</f>
        <v>0</v>
      </c>
      <c r="Y79" s="39">
        <f>Brown_80!Y70</f>
        <v>0</v>
      </c>
      <c r="Z79" s="39">
        <f>Brown_80!Z70</f>
        <v>0</v>
      </c>
      <c r="AA79" s="39">
        <f>Brown_80!AA70</f>
        <v>0</v>
      </c>
    </row>
    <row r="80" spans="1:27" x14ac:dyDescent="0.2">
      <c r="A80" s="40">
        <v>1600</v>
      </c>
      <c r="B80" s="35" t="str">
        <f>Brown_80!B71</f>
        <v>NOT MET</v>
      </c>
      <c r="C80" s="35" t="str">
        <f>Brown_80!C71</f>
        <v>NOT MET</v>
      </c>
      <c r="D80" s="35" t="str">
        <f>Brown_80!D71</f>
        <v>NOT MET</v>
      </c>
      <c r="E80" s="35" t="str">
        <f>Brown_80!E71</f>
        <v>NOT MET</v>
      </c>
      <c r="F80" s="35" t="str">
        <f>Brown_80!F71</f>
        <v>NOT MET</v>
      </c>
      <c r="G80" s="30"/>
      <c r="H80" s="41">
        <v>1600</v>
      </c>
      <c r="I80" s="36">
        <f>Brown_80!I71</f>
        <v>0</v>
      </c>
      <c r="J80" s="36">
        <f>Brown_80!J71</f>
        <v>0</v>
      </c>
      <c r="K80" s="36">
        <f>Brown_80!K71</f>
        <v>0</v>
      </c>
      <c r="L80" s="36">
        <f>Brown_80!L71</f>
        <v>0</v>
      </c>
      <c r="M80" s="36">
        <f>Brown_80!M71</f>
        <v>0</v>
      </c>
      <c r="N80" s="30"/>
      <c r="O80" s="47">
        <v>1600</v>
      </c>
      <c r="P80" s="39">
        <f>Brown_80!P71</f>
        <v>0</v>
      </c>
      <c r="Q80" s="39">
        <f>Brown_80!Q71</f>
        <v>0</v>
      </c>
      <c r="R80" s="39">
        <f>Brown_80!R71</f>
        <v>0</v>
      </c>
      <c r="S80" s="39">
        <f>Brown_80!S71</f>
        <v>0</v>
      </c>
      <c r="T80" s="39">
        <f>Brown_80!T71</f>
        <v>0</v>
      </c>
      <c r="U80" s="30"/>
      <c r="V80" s="47">
        <v>1600</v>
      </c>
      <c r="W80" s="39">
        <f>Brown_80!W71</f>
        <v>0</v>
      </c>
      <c r="X80" s="39">
        <f>Brown_80!X71</f>
        <v>0</v>
      </c>
      <c r="Y80" s="39">
        <f>Brown_80!Y71</f>
        <v>0</v>
      </c>
      <c r="Z80" s="39">
        <f>Brown_80!Z71</f>
        <v>0</v>
      </c>
      <c r="AA80" s="39">
        <f>Brown_80!AA71</f>
        <v>0</v>
      </c>
    </row>
    <row r="84" spans="1:27" ht="15" x14ac:dyDescent="0.25">
      <c r="B84" s="307" t="s">
        <v>1</v>
      </c>
      <c r="C84" s="307"/>
      <c r="D84" s="307"/>
      <c r="E84" s="307"/>
      <c r="F84" s="307"/>
      <c r="G84" s="307"/>
      <c r="H84" s="307"/>
      <c r="I84" s="307"/>
      <c r="J84" s="307"/>
      <c r="K84" s="307"/>
      <c r="L84" s="307"/>
      <c r="M84" s="307"/>
      <c r="N84" s="307"/>
      <c r="O84" s="307"/>
      <c r="P84" s="307"/>
      <c r="Q84" s="307"/>
      <c r="R84" s="307"/>
      <c r="S84" s="307"/>
      <c r="T84" s="307"/>
      <c r="U84" s="307"/>
      <c r="V84" s="307"/>
      <c r="W84" s="307"/>
      <c r="X84" s="307"/>
      <c r="Y84" s="307"/>
      <c r="Z84" s="307"/>
      <c r="AA84" s="307"/>
    </row>
    <row r="85" spans="1:27" ht="15" x14ac:dyDescent="0.2">
      <c r="A85" s="48"/>
      <c r="B85" s="283" t="s">
        <v>19</v>
      </c>
      <c r="C85" s="284"/>
      <c r="D85" s="284"/>
      <c r="E85" s="284"/>
      <c r="F85" s="285"/>
      <c r="G85" s="30"/>
      <c r="H85" s="31"/>
      <c r="I85" s="283" t="s">
        <v>20</v>
      </c>
      <c r="J85" s="284"/>
      <c r="K85" s="284"/>
      <c r="L85" s="284"/>
      <c r="M85" s="285"/>
      <c r="N85" s="30"/>
      <c r="P85" s="283" t="s">
        <v>21</v>
      </c>
      <c r="Q85" s="284"/>
      <c r="R85" s="284"/>
      <c r="S85" s="284"/>
      <c r="T85" s="285"/>
      <c r="U85" s="30"/>
      <c r="W85" s="283" t="s">
        <v>22</v>
      </c>
      <c r="X85" s="284"/>
      <c r="Y85" s="284"/>
      <c r="Z85" s="284"/>
      <c r="AA85" s="285"/>
    </row>
    <row r="86" spans="1:27" ht="15" x14ac:dyDescent="0.2">
      <c r="A86" s="48"/>
      <c r="B86" s="32" t="s">
        <v>2</v>
      </c>
      <c r="C86" s="33" t="s">
        <v>3</v>
      </c>
      <c r="D86" s="32" t="s">
        <v>4</v>
      </c>
      <c r="E86" s="32" t="s">
        <v>5</v>
      </c>
      <c r="F86" s="32" t="s">
        <v>6</v>
      </c>
      <c r="G86" s="30"/>
      <c r="H86" s="31"/>
      <c r="I86" s="32" t="s">
        <v>2</v>
      </c>
      <c r="J86" s="32" t="s">
        <v>3</v>
      </c>
      <c r="K86" s="32" t="s">
        <v>4</v>
      </c>
      <c r="L86" s="32" t="s">
        <v>5</v>
      </c>
      <c r="M86" s="32" t="s">
        <v>6</v>
      </c>
      <c r="N86" s="30"/>
      <c r="P86" s="32" t="s">
        <v>2</v>
      </c>
      <c r="Q86" s="32" t="s">
        <v>3</v>
      </c>
      <c r="R86" s="32" t="s">
        <v>4</v>
      </c>
      <c r="S86" s="32" t="s">
        <v>5</v>
      </c>
      <c r="T86" s="32" t="s">
        <v>6</v>
      </c>
      <c r="U86" s="30"/>
      <c r="W86" s="32" t="s">
        <v>2</v>
      </c>
      <c r="X86" s="32" t="s">
        <v>3</v>
      </c>
      <c r="Y86" s="32" t="s">
        <v>4</v>
      </c>
      <c r="Z86" s="32" t="s">
        <v>5</v>
      </c>
      <c r="AA86" s="32" t="s">
        <v>6</v>
      </c>
    </row>
    <row r="87" spans="1:27" x14ac:dyDescent="0.2">
      <c r="A87" s="34">
        <v>700</v>
      </c>
      <c r="B87" s="35" t="str">
        <f>IF((AND(B23="NOT MET",B39="NOT MET",B55="NOT MET",B71="NOT MET")),"NOT MET","MET")</f>
        <v>MET</v>
      </c>
      <c r="C87" s="35" t="str">
        <f>IF((AND(C23="NOT MET",C39="NOT MET",C55="NOT MET",C71="NOT MET")),"NOT MET","MET")</f>
        <v>MET</v>
      </c>
      <c r="D87" s="35" t="str">
        <f>IF((AND(D23="NOT MET",D39="NOT MET",D55="NOT MET",D71="NOT MET")),"NOT MET","MET")</f>
        <v>MET</v>
      </c>
      <c r="E87" s="35" t="str">
        <f>IF((AND(E23="NOT MET",E39="NOT MET",E55="NOT MET",E71="NOT MET")),"NOT MET","MET")</f>
        <v>MET</v>
      </c>
      <c r="F87" s="35" t="str">
        <f>IF((AND(F23="NOT MET",F39="NOT MET",F55="NOT MET",F71="NOT MET")),"NOT MET","MET")</f>
        <v>MET</v>
      </c>
      <c r="G87" s="30"/>
      <c r="H87" s="37">
        <v>700</v>
      </c>
      <c r="I87" s="36">
        <f>SUM(I23,I39,I55,I71)</f>
        <v>3</v>
      </c>
      <c r="J87" s="36">
        <f>SUM(J23,J39,J55,J71)</f>
        <v>3</v>
      </c>
      <c r="K87" s="36">
        <f>SUM(K23,K39,K55,K71)</f>
        <v>3</v>
      </c>
      <c r="L87" s="36">
        <f>SUM(L23,L39,L55,L71)</f>
        <v>3</v>
      </c>
      <c r="M87" s="36">
        <f>SUM(M23,M39,M55,M71)</f>
        <v>3</v>
      </c>
      <c r="N87" s="30"/>
      <c r="O87">
        <v>700</v>
      </c>
      <c r="P87" s="36">
        <f>SUM(P23,P39,P55,P71)</f>
        <v>1</v>
      </c>
      <c r="Q87" s="36">
        <f>SUM(Q23,Q39,Q55,Q71)</f>
        <v>1</v>
      </c>
      <c r="R87" s="36">
        <f>SUM(R23,R39,R55,R71)</f>
        <v>1</v>
      </c>
      <c r="S87" s="36">
        <f>SUM(S23,S39,S55,S71)</f>
        <v>1</v>
      </c>
      <c r="T87" s="36">
        <f>SUM(T23,T39,T55,T71)</f>
        <v>1</v>
      </c>
      <c r="U87" s="30"/>
      <c r="V87">
        <v>700</v>
      </c>
      <c r="W87" s="36">
        <f>SUM(W23,W39,W55,W71)</f>
        <v>2</v>
      </c>
      <c r="X87" s="36">
        <f>SUM(X23,X39,X55,X71)</f>
        <v>2</v>
      </c>
      <c r="Y87" s="36">
        <f>SUM(Y23,Y39,Y55,Y71)</f>
        <v>2</v>
      </c>
      <c r="Z87" s="36">
        <f>SUM(Z23,Z39,Z55,Z71)</f>
        <v>2</v>
      </c>
      <c r="AA87" s="36">
        <f>SUM(AA23,AA39,AA55,AA71)</f>
        <v>2</v>
      </c>
    </row>
    <row r="88" spans="1:27" x14ac:dyDescent="0.2">
      <c r="A88" s="40">
        <v>800</v>
      </c>
      <c r="B88" s="35" t="str">
        <f t="shared" ref="B88:F96" si="0">IF((AND(B24="NOT MET",B40="NOT MET",B56="NOT MET",B72="NOT MET")),"NOT MET","MET")</f>
        <v>MET</v>
      </c>
      <c r="C88" s="35" t="str">
        <f t="shared" si="0"/>
        <v>MET</v>
      </c>
      <c r="D88" s="35" t="str">
        <f t="shared" si="0"/>
        <v>MET</v>
      </c>
      <c r="E88" s="35" t="str">
        <f t="shared" si="0"/>
        <v>MET</v>
      </c>
      <c r="F88" s="35" t="str">
        <f t="shared" si="0"/>
        <v>MET</v>
      </c>
      <c r="G88" s="30"/>
      <c r="H88" s="41">
        <v>800</v>
      </c>
      <c r="I88" s="36">
        <f>SUM(I24,I40,I56,I72)</f>
        <v>9</v>
      </c>
      <c r="J88" s="36">
        <f t="shared" ref="I88:M96" si="1">SUM(J24,J40,J56,J72)</f>
        <v>9</v>
      </c>
      <c r="K88" s="36">
        <f t="shared" si="1"/>
        <v>9</v>
      </c>
      <c r="L88" s="36">
        <f t="shared" si="1"/>
        <v>9</v>
      </c>
      <c r="M88" s="36">
        <f t="shared" si="1"/>
        <v>9</v>
      </c>
      <c r="N88" s="30"/>
      <c r="O88" s="47">
        <v>800</v>
      </c>
      <c r="P88" s="36">
        <f t="shared" ref="P88:T96" si="2">SUM(P24,P40,P56,P72)</f>
        <v>8</v>
      </c>
      <c r="Q88" s="36">
        <f t="shared" si="2"/>
        <v>8</v>
      </c>
      <c r="R88" s="36">
        <f t="shared" si="2"/>
        <v>8</v>
      </c>
      <c r="S88" s="36">
        <f t="shared" si="2"/>
        <v>8</v>
      </c>
      <c r="T88" s="36">
        <f t="shared" si="2"/>
        <v>8</v>
      </c>
      <c r="U88" s="30"/>
      <c r="V88" s="47">
        <v>800</v>
      </c>
      <c r="W88" s="36">
        <f t="shared" ref="W88:AA96" si="3">SUM(W24,W40,W56,W72)</f>
        <v>1</v>
      </c>
      <c r="X88" s="36">
        <f t="shared" si="3"/>
        <v>1</v>
      </c>
      <c r="Y88" s="36">
        <f t="shared" si="3"/>
        <v>1</v>
      </c>
      <c r="Z88" s="36">
        <f t="shared" si="3"/>
        <v>1</v>
      </c>
      <c r="AA88" s="36">
        <f t="shared" si="3"/>
        <v>1</v>
      </c>
    </row>
    <row r="89" spans="1:27" x14ac:dyDescent="0.2">
      <c r="A89" s="40">
        <v>900</v>
      </c>
      <c r="B89" s="35" t="str">
        <f t="shared" si="0"/>
        <v>MET</v>
      </c>
      <c r="C89" s="35" t="str">
        <f t="shared" si="0"/>
        <v>MET</v>
      </c>
      <c r="D89" s="35" t="str">
        <f t="shared" si="0"/>
        <v>MET</v>
      </c>
      <c r="E89" s="35" t="str">
        <f t="shared" si="0"/>
        <v>MET</v>
      </c>
      <c r="F89" s="35" t="str">
        <f t="shared" si="0"/>
        <v>MET</v>
      </c>
      <c r="G89" s="30"/>
      <c r="H89" s="41">
        <v>900</v>
      </c>
      <c r="I89" s="36">
        <f>SUM(I25,I41,I57,I73)</f>
        <v>10</v>
      </c>
      <c r="J89" s="36">
        <f t="shared" si="1"/>
        <v>10</v>
      </c>
      <c r="K89" s="36">
        <f t="shared" si="1"/>
        <v>10</v>
      </c>
      <c r="L89" s="36">
        <f t="shared" si="1"/>
        <v>11</v>
      </c>
      <c r="M89" s="36">
        <f t="shared" si="1"/>
        <v>10</v>
      </c>
      <c r="N89" s="30"/>
      <c r="O89" s="47">
        <v>900</v>
      </c>
      <c r="P89" s="36">
        <f t="shared" si="2"/>
        <v>3</v>
      </c>
      <c r="Q89" s="36">
        <f t="shared" si="2"/>
        <v>3</v>
      </c>
      <c r="R89" s="36">
        <f t="shared" si="2"/>
        <v>3</v>
      </c>
      <c r="S89" s="36">
        <f t="shared" si="2"/>
        <v>3</v>
      </c>
      <c r="T89" s="36">
        <f t="shared" si="2"/>
        <v>3</v>
      </c>
      <c r="U89" s="30"/>
      <c r="V89" s="47">
        <v>900</v>
      </c>
      <c r="W89" s="36">
        <f t="shared" si="3"/>
        <v>7</v>
      </c>
      <c r="X89" s="36">
        <f t="shared" si="3"/>
        <v>7</v>
      </c>
      <c r="Y89" s="36">
        <f t="shared" si="3"/>
        <v>7</v>
      </c>
      <c r="Z89" s="36">
        <f t="shared" si="3"/>
        <v>8</v>
      </c>
      <c r="AA89" s="36">
        <f t="shared" si="3"/>
        <v>7</v>
      </c>
    </row>
    <row r="90" spans="1:27" x14ac:dyDescent="0.2">
      <c r="A90" s="40">
        <v>1000</v>
      </c>
      <c r="B90" s="35" t="str">
        <f t="shared" si="0"/>
        <v>MET</v>
      </c>
      <c r="C90" s="35" t="str">
        <f t="shared" si="0"/>
        <v>MET</v>
      </c>
      <c r="D90" s="35" t="str">
        <f t="shared" si="0"/>
        <v>MET</v>
      </c>
      <c r="E90" s="35" t="str">
        <f t="shared" si="0"/>
        <v>MET</v>
      </c>
      <c r="F90" s="35" t="str">
        <f t="shared" si="0"/>
        <v>MET</v>
      </c>
      <c r="G90" s="30"/>
      <c r="H90" s="41">
        <v>1000</v>
      </c>
      <c r="I90" s="36">
        <f>SUM(I26,I42,I58,I74)</f>
        <v>9</v>
      </c>
      <c r="J90" s="36">
        <f t="shared" si="1"/>
        <v>9</v>
      </c>
      <c r="K90" s="36">
        <f t="shared" si="1"/>
        <v>9</v>
      </c>
      <c r="L90" s="36">
        <f t="shared" si="1"/>
        <v>11</v>
      </c>
      <c r="M90" s="36">
        <f t="shared" si="1"/>
        <v>11</v>
      </c>
      <c r="N90" s="30"/>
      <c r="O90" s="47">
        <v>1000</v>
      </c>
      <c r="P90" s="36">
        <f t="shared" si="2"/>
        <v>3</v>
      </c>
      <c r="Q90" s="36">
        <f t="shared" si="2"/>
        <v>3</v>
      </c>
      <c r="R90" s="36">
        <f t="shared" si="2"/>
        <v>3</v>
      </c>
      <c r="S90" s="36">
        <f t="shared" si="2"/>
        <v>4</v>
      </c>
      <c r="T90" s="36">
        <f t="shared" si="2"/>
        <v>4</v>
      </c>
      <c r="U90" s="30"/>
      <c r="V90" s="47">
        <v>1000</v>
      </c>
      <c r="W90" s="36">
        <f t="shared" si="3"/>
        <v>6</v>
      </c>
      <c r="X90" s="36">
        <f t="shared" si="3"/>
        <v>6</v>
      </c>
      <c r="Y90" s="36">
        <f t="shared" si="3"/>
        <v>6</v>
      </c>
      <c r="Z90" s="36">
        <f t="shared" si="3"/>
        <v>5</v>
      </c>
      <c r="AA90" s="36">
        <f t="shared" si="3"/>
        <v>6</v>
      </c>
    </row>
    <row r="91" spans="1:27" x14ac:dyDescent="0.2">
      <c r="A91" s="40">
        <v>1100</v>
      </c>
      <c r="B91" s="35" t="str">
        <f t="shared" si="0"/>
        <v>MET</v>
      </c>
      <c r="C91" s="35" t="str">
        <f t="shared" si="0"/>
        <v>MET</v>
      </c>
      <c r="D91" s="35" t="str">
        <f t="shared" si="0"/>
        <v>MET</v>
      </c>
      <c r="E91" s="35" t="str">
        <f t="shared" si="0"/>
        <v>MET</v>
      </c>
      <c r="F91" s="35" t="str">
        <f t="shared" si="0"/>
        <v>MET</v>
      </c>
      <c r="G91" s="30"/>
      <c r="H91" s="41">
        <v>1100</v>
      </c>
      <c r="I91" s="36">
        <f>SUM(I27,I43,I59,I75)</f>
        <v>4</v>
      </c>
      <c r="J91" s="36">
        <f t="shared" si="1"/>
        <v>4</v>
      </c>
      <c r="K91" s="36">
        <f t="shared" si="1"/>
        <v>4</v>
      </c>
      <c r="L91" s="36">
        <f t="shared" si="1"/>
        <v>2</v>
      </c>
      <c r="M91" s="36">
        <f t="shared" si="1"/>
        <v>6</v>
      </c>
      <c r="N91" s="30"/>
      <c r="O91" s="47">
        <v>1100</v>
      </c>
      <c r="P91" s="36">
        <f t="shared" si="2"/>
        <v>4</v>
      </c>
      <c r="Q91" s="36">
        <f t="shared" si="2"/>
        <v>4</v>
      </c>
      <c r="R91" s="36">
        <f t="shared" si="2"/>
        <v>4</v>
      </c>
      <c r="S91" s="36">
        <f t="shared" si="2"/>
        <v>1</v>
      </c>
      <c r="T91" s="36">
        <f t="shared" si="2"/>
        <v>5</v>
      </c>
      <c r="U91" s="30"/>
      <c r="V91" s="47">
        <v>1100</v>
      </c>
      <c r="W91" s="36">
        <f t="shared" si="3"/>
        <v>0</v>
      </c>
      <c r="X91" s="36">
        <f t="shared" si="3"/>
        <v>0</v>
      </c>
      <c r="Y91" s="36">
        <f t="shared" si="3"/>
        <v>0</v>
      </c>
      <c r="Z91" s="36">
        <f t="shared" si="3"/>
        <v>0</v>
      </c>
      <c r="AA91" s="36">
        <f t="shared" si="3"/>
        <v>0</v>
      </c>
    </row>
    <row r="92" spans="1:27" x14ac:dyDescent="0.2">
      <c r="A92" s="40">
        <v>1200</v>
      </c>
      <c r="B92" s="35" t="str">
        <f t="shared" si="0"/>
        <v>MET</v>
      </c>
      <c r="C92" s="35" t="str">
        <f t="shared" si="0"/>
        <v>MET</v>
      </c>
      <c r="D92" s="35" t="str">
        <f t="shared" si="0"/>
        <v>MET</v>
      </c>
      <c r="E92" s="35" t="str">
        <f t="shared" si="0"/>
        <v>NOT MET</v>
      </c>
      <c r="F92" s="35" t="str">
        <f t="shared" si="0"/>
        <v>NOT MET</v>
      </c>
      <c r="G92" s="30"/>
      <c r="H92" s="41">
        <v>1200</v>
      </c>
      <c r="I92" s="36">
        <f t="shared" si="1"/>
        <v>1</v>
      </c>
      <c r="J92" s="36">
        <f t="shared" si="1"/>
        <v>1</v>
      </c>
      <c r="K92" s="36">
        <f t="shared" si="1"/>
        <v>1</v>
      </c>
      <c r="L92" s="36">
        <f t="shared" si="1"/>
        <v>0</v>
      </c>
      <c r="M92" s="36">
        <f t="shared" si="1"/>
        <v>0</v>
      </c>
      <c r="N92" s="30"/>
      <c r="O92" s="47">
        <v>1200</v>
      </c>
      <c r="P92" s="36">
        <f t="shared" si="2"/>
        <v>0</v>
      </c>
      <c r="Q92" s="36">
        <f t="shared" si="2"/>
        <v>0</v>
      </c>
      <c r="R92" s="36">
        <f t="shared" si="2"/>
        <v>0</v>
      </c>
      <c r="S92" s="36">
        <f t="shared" si="2"/>
        <v>0</v>
      </c>
      <c r="T92" s="36">
        <f t="shared" si="2"/>
        <v>0</v>
      </c>
      <c r="U92" s="30"/>
      <c r="V92" s="47">
        <v>1200</v>
      </c>
      <c r="W92" s="36">
        <f t="shared" si="3"/>
        <v>0</v>
      </c>
      <c r="X92" s="36">
        <f t="shared" si="3"/>
        <v>0</v>
      </c>
      <c r="Y92" s="36">
        <f t="shared" si="3"/>
        <v>0</v>
      </c>
      <c r="Z92" s="36">
        <f t="shared" si="3"/>
        <v>0</v>
      </c>
      <c r="AA92" s="36">
        <f t="shared" si="3"/>
        <v>0</v>
      </c>
    </row>
    <row r="93" spans="1:27" x14ac:dyDescent="0.2">
      <c r="A93" s="40">
        <v>1300</v>
      </c>
      <c r="B93" s="35" t="str">
        <f t="shared" si="0"/>
        <v>MET</v>
      </c>
      <c r="C93" s="35" t="str">
        <f t="shared" si="0"/>
        <v>MET</v>
      </c>
      <c r="D93" s="35" t="str">
        <f t="shared" si="0"/>
        <v>MET</v>
      </c>
      <c r="E93" s="35" t="str">
        <f t="shared" si="0"/>
        <v>MET</v>
      </c>
      <c r="F93" s="35" t="str">
        <f t="shared" si="0"/>
        <v>MET</v>
      </c>
      <c r="G93" s="30"/>
      <c r="H93" s="41">
        <v>1300</v>
      </c>
      <c r="I93" s="36">
        <f t="shared" si="1"/>
        <v>12</v>
      </c>
      <c r="J93" s="36">
        <f t="shared" si="1"/>
        <v>11</v>
      </c>
      <c r="K93" s="36">
        <f t="shared" si="1"/>
        <v>12</v>
      </c>
      <c r="L93" s="36">
        <f t="shared" si="1"/>
        <v>3</v>
      </c>
      <c r="M93" s="36">
        <f t="shared" si="1"/>
        <v>10</v>
      </c>
      <c r="N93" s="30"/>
      <c r="O93" s="47">
        <v>1300</v>
      </c>
      <c r="P93" s="36">
        <f t="shared" si="2"/>
        <v>6</v>
      </c>
      <c r="Q93" s="36">
        <f t="shared" si="2"/>
        <v>5</v>
      </c>
      <c r="R93" s="36">
        <f t="shared" si="2"/>
        <v>6</v>
      </c>
      <c r="S93" s="36">
        <f t="shared" si="2"/>
        <v>3</v>
      </c>
      <c r="T93" s="36">
        <f t="shared" si="2"/>
        <v>4</v>
      </c>
      <c r="U93" s="30"/>
      <c r="V93" s="47">
        <v>1300</v>
      </c>
      <c r="W93" s="36">
        <f t="shared" si="3"/>
        <v>5</v>
      </c>
      <c r="X93" s="36">
        <f t="shared" si="3"/>
        <v>5</v>
      </c>
      <c r="Y93" s="36">
        <f t="shared" si="3"/>
        <v>5</v>
      </c>
      <c r="Z93" s="36">
        <f t="shared" si="3"/>
        <v>0</v>
      </c>
      <c r="AA93" s="36">
        <f t="shared" si="3"/>
        <v>5</v>
      </c>
    </row>
    <row r="94" spans="1:27" x14ac:dyDescent="0.2">
      <c r="A94" s="40">
        <v>1400</v>
      </c>
      <c r="B94" s="35" t="str">
        <f t="shared" si="0"/>
        <v>MET</v>
      </c>
      <c r="C94" s="35" t="str">
        <f t="shared" si="0"/>
        <v>MET</v>
      </c>
      <c r="D94" s="35" t="str">
        <f t="shared" si="0"/>
        <v>MET</v>
      </c>
      <c r="E94" s="35" t="str">
        <f t="shared" si="0"/>
        <v>MET</v>
      </c>
      <c r="F94" s="35" t="str">
        <f t="shared" si="0"/>
        <v>MET</v>
      </c>
      <c r="G94" s="30"/>
      <c r="H94" s="41">
        <v>1400</v>
      </c>
      <c r="I94" s="36">
        <f t="shared" si="1"/>
        <v>12</v>
      </c>
      <c r="J94" s="36">
        <f t="shared" si="1"/>
        <v>9</v>
      </c>
      <c r="K94" s="36">
        <f t="shared" si="1"/>
        <v>12</v>
      </c>
      <c r="L94" s="36">
        <f t="shared" si="1"/>
        <v>3</v>
      </c>
      <c r="M94" s="36">
        <f t="shared" si="1"/>
        <v>5</v>
      </c>
      <c r="N94" s="30"/>
      <c r="O94" s="47">
        <v>1400</v>
      </c>
      <c r="P94" s="36">
        <f t="shared" si="2"/>
        <v>6</v>
      </c>
      <c r="Q94" s="36">
        <f t="shared" si="2"/>
        <v>4</v>
      </c>
      <c r="R94" s="36">
        <f t="shared" si="2"/>
        <v>5</v>
      </c>
      <c r="S94" s="36">
        <f t="shared" si="2"/>
        <v>3</v>
      </c>
      <c r="T94" s="36">
        <f t="shared" si="2"/>
        <v>4</v>
      </c>
      <c r="U94" s="30"/>
      <c r="V94" s="47">
        <v>1400</v>
      </c>
      <c r="W94" s="36">
        <f t="shared" si="3"/>
        <v>6</v>
      </c>
      <c r="X94" s="36">
        <f t="shared" si="3"/>
        <v>5</v>
      </c>
      <c r="Y94" s="36">
        <f t="shared" si="3"/>
        <v>7</v>
      </c>
      <c r="Z94" s="36">
        <f t="shared" si="3"/>
        <v>0</v>
      </c>
      <c r="AA94" s="36">
        <f t="shared" si="3"/>
        <v>0</v>
      </c>
    </row>
    <row r="95" spans="1:27" x14ac:dyDescent="0.2">
      <c r="A95" s="40">
        <v>1500</v>
      </c>
      <c r="B95" s="35" t="str">
        <f t="shared" si="0"/>
        <v>MET</v>
      </c>
      <c r="C95" s="35" t="str">
        <f t="shared" si="0"/>
        <v>MET</v>
      </c>
      <c r="D95" s="35" t="str">
        <f t="shared" si="0"/>
        <v>MET</v>
      </c>
      <c r="E95" s="35" t="str">
        <f t="shared" si="0"/>
        <v>MET</v>
      </c>
      <c r="F95" s="35" t="str">
        <f t="shared" si="0"/>
        <v>MET</v>
      </c>
      <c r="G95" s="30"/>
      <c r="H95" s="41">
        <v>1500</v>
      </c>
      <c r="I95" s="36">
        <f t="shared" si="1"/>
        <v>6</v>
      </c>
      <c r="J95" s="36">
        <f t="shared" si="1"/>
        <v>5</v>
      </c>
      <c r="K95" s="36">
        <f t="shared" si="1"/>
        <v>6</v>
      </c>
      <c r="L95" s="36">
        <f t="shared" si="1"/>
        <v>3</v>
      </c>
      <c r="M95" s="36">
        <f t="shared" si="1"/>
        <v>3</v>
      </c>
      <c r="N95" s="30"/>
      <c r="O95" s="47">
        <v>1500</v>
      </c>
      <c r="P95" s="36">
        <f t="shared" si="2"/>
        <v>4</v>
      </c>
      <c r="Q95" s="36">
        <f t="shared" si="2"/>
        <v>4</v>
      </c>
      <c r="R95" s="36">
        <f t="shared" si="2"/>
        <v>4</v>
      </c>
      <c r="S95" s="36">
        <f t="shared" si="2"/>
        <v>3</v>
      </c>
      <c r="T95" s="36">
        <f t="shared" si="2"/>
        <v>3</v>
      </c>
      <c r="U95" s="30"/>
      <c r="V95" s="47">
        <v>1500</v>
      </c>
      <c r="W95" s="36">
        <f t="shared" si="3"/>
        <v>2</v>
      </c>
      <c r="X95" s="36">
        <f t="shared" si="3"/>
        <v>1</v>
      </c>
      <c r="Y95" s="36">
        <f t="shared" si="3"/>
        <v>2</v>
      </c>
      <c r="Z95" s="36">
        <f t="shared" si="3"/>
        <v>0</v>
      </c>
      <c r="AA95" s="36">
        <f t="shared" si="3"/>
        <v>0</v>
      </c>
    </row>
    <row r="96" spans="1:27" x14ac:dyDescent="0.2">
      <c r="A96" s="57">
        <v>1600</v>
      </c>
      <c r="B96" s="35" t="str">
        <f t="shared" si="0"/>
        <v>NOT MET</v>
      </c>
      <c r="C96" s="35" t="str">
        <f t="shared" si="0"/>
        <v>NOT MET</v>
      </c>
      <c r="D96" s="35" t="str">
        <f t="shared" si="0"/>
        <v>NOT MET</v>
      </c>
      <c r="E96" s="35" t="str">
        <f t="shared" si="0"/>
        <v>NOT MET</v>
      </c>
      <c r="F96" s="35" t="str">
        <f t="shared" si="0"/>
        <v>NOT MET</v>
      </c>
      <c r="G96" s="58"/>
      <c r="H96" s="59">
        <v>1600</v>
      </c>
      <c r="I96" s="36">
        <f t="shared" si="1"/>
        <v>0</v>
      </c>
      <c r="J96" s="36">
        <f t="shared" si="1"/>
        <v>0</v>
      </c>
      <c r="K96" s="36">
        <f t="shared" si="1"/>
        <v>0</v>
      </c>
      <c r="L96" s="36">
        <f t="shared" si="1"/>
        <v>0</v>
      </c>
      <c r="M96" s="36">
        <f t="shared" si="1"/>
        <v>0</v>
      </c>
      <c r="N96" s="58"/>
      <c r="O96" s="60">
        <v>1600</v>
      </c>
      <c r="P96" s="36">
        <f t="shared" si="2"/>
        <v>0</v>
      </c>
      <c r="Q96" s="36">
        <f t="shared" si="2"/>
        <v>0</v>
      </c>
      <c r="R96" s="36">
        <f t="shared" si="2"/>
        <v>0</v>
      </c>
      <c r="S96" s="36">
        <f t="shared" si="2"/>
        <v>0</v>
      </c>
      <c r="T96" s="36">
        <f t="shared" si="2"/>
        <v>0</v>
      </c>
      <c r="U96" s="58"/>
      <c r="V96" s="60">
        <v>1600</v>
      </c>
      <c r="W96" s="36">
        <f t="shared" si="3"/>
        <v>0</v>
      </c>
      <c r="X96" s="36">
        <f t="shared" si="3"/>
        <v>0</v>
      </c>
      <c r="Y96" s="36">
        <f t="shared" si="3"/>
        <v>0</v>
      </c>
      <c r="Z96" s="36">
        <f t="shared" si="3"/>
        <v>0</v>
      </c>
      <c r="AA96" s="36">
        <f t="shared" si="3"/>
        <v>0</v>
      </c>
    </row>
    <row r="98" spans="1:23" x14ac:dyDescent="0.2">
      <c r="A98" s="309" t="s">
        <v>32</v>
      </c>
      <c r="B98" s="309"/>
      <c r="C98" s="309"/>
      <c r="D98" s="309"/>
      <c r="E98" s="309"/>
      <c r="F98" s="309"/>
      <c r="G98" s="309"/>
      <c r="H98" s="309"/>
      <c r="I98" s="309"/>
      <c r="J98" s="309"/>
      <c r="K98" s="309"/>
      <c r="L98" s="309"/>
      <c r="M98" s="309"/>
      <c r="N98" s="309"/>
      <c r="O98" s="309"/>
      <c r="P98" s="309"/>
      <c r="Q98" s="309"/>
      <c r="R98" s="309"/>
      <c r="S98" s="309"/>
      <c r="T98" s="309"/>
      <c r="U98" s="309"/>
      <c r="V98" s="309"/>
      <c r="W98" s="309"/>
    </row>
    <row r="99" spans="1:23" ht="15" thickBot="1" x14ac:dyDescent="0.25">
      <c r="A99" s="309"/>
      <c r="B99" s="309"/>
      <c r="C99" s="309"/>
      <c r="D99" s="309"/>
      <c r="E99" s="309"/>
      <c r="F99" s="309"/>
      <c r="G99" s="309"/>
      <c r="H99" s="309"/>
      <c r="I99" s="309"/>
      <c r="J99" s="309"/>
      <c r="K99" s="309"/>
      <c r="L99" s="309"/>
      <c r="M99" s="309"/>
      <c r="N99" s="309"/>
      <c r="O99" s="309"/>
      <c r="P99" s="309"/>
      <c r="Q99" s="309"/>
      <c r="R99" s="309"/>
      <c r="S99" s="309"/>
      <c r="T99" s="309"/>
      <c r="U99" s="309"/>
      <c r="V99" s="309"/>
      <c r="W99" s="309"/>
    </row>
    <row r="100" spans="1:23" ht="15.75" thickBot="1" x14ac:dyDescent="0.3">
      <c r="A100" s="272" t="s">
        <v>2</v>
      </c>
      <c r="B100" s="273"/>
      <c r="C100" s="273"/>
      <c r="D100" s="273"/>
      <c r="E100" s="272" t="s">
        <v>3</v>
      </c>
      <c r="F100" s="273"/>
      <c r="G100" s="273"/>
      <c r="H100" s="273"/>
      <c r="I100" s="272" t="s">
        <v>4</v>
      </c>
      <c r="J100" s="273"/>
      <c r="K100" s="273"/>
      <c r="L100" s="273"/>
      <c r="M100" s="272" t="s">
        <v>5</v>
      </c>
      <c r="N100" s="273"/>
      <c r="O100" s="273"/>
      <c r="P100" s="273"/>
      <c r="Q100" s="272" t="s">
        <v>6</v>
      </c>
      <c r="R100" s="273"/>
      <c r="S100" s="273"/>
      <c r="T100" s="273"/>
      <c r="U100" s="272" t="s">
        <v>15</v>
      </c>
      <c r="V100" s="273"/>
      <c r="W100" s="274"/>
    </row>
    <row r="101" spans="1:23" ht="15.75" thickBot="1" x14ac:dyDescent="0.3">
      <c r="A101" s="10" t="s">
        <v>8</v>
      </c>
      <c r="B101" s="268" t="s">
        <v>16</v>
      </c>
      <c r="C101" s="269"/>
      <c r="D101" s="10" t="s">
        <v>17</v>
      </c>
      <c r="E101" s="10" t="s">
        <v>8</v>
      </c>
      <c r="F101" s="261" t="s">
        <v>16</v>
      </c>
      <c r="G101" s="262"/>
      <c r="H101" s="61" t="s">
        <v>17</v>
      </c>
      <c r="I101" s="10" t="s">
        <v>8</v>
      </c>
      <c r="J101" s="261" t="s">
        <v>16</v>
      </c>
      <c r="K101" s="262"/>
      <c r="L101" s="61" t="s">
        <v>17</v>
      </c>
      <c r="M101" s="10" t="s">
        <v>8</v>
      </c>
      <c r="N101" s="261" t="s">
        <v>16</v>
      </c>
      <c r="O101" s="262"/>
      <c r="P101" s="61" t="s">
        <v>17</v>
      </c>
      <c r="Q101" s="10" t="s">
        <v>8</v>
      </c>
      <c r="R101" s="261" t="s">
        <v>16</v>
      </c>
      <c r="S101" s="262"/>
      <c r="T101" s="61" t="s">
        <v>17</v>
      </c>
      <c r="U101" s="10" t="s">
        <v>8</v>
      </c>
      <c r="V101" s="10" t="s">
        <v>16</v>
      </c>
      <c r="W101" s="10" t="s">
        <v>17</v>
      </c>
    </row>
    <row r="102" spans="1:23" x14ac:dyDescent="0.2">
      <c r="A102" s="15" t="s">
        <v>13</v>
      </c>
      <c r="B102" s="270">
        <f>SUM(Fleming_64!B34,Williams_80!B34,Holzer_72!B34,Brown_80!B34)</f>
        <v>35</v>
      </c>
      <c r="C102" s="271"/>
      <c r="D102" s="16">
        <f>B102/B107</f>
        <v>0.52238805970149249</v>
      </c>
      <c r="E102" s="15" t="s">
        <v>13</v>
      </c>
      <c r="F102" s="270">
        <f>SUM(Fleming_64!F34,Williams_80!F34,Holzer_72!F34,Brown_80!F34)</f>
        <v>32</v>
      </c>
      <c r="G102" s="271"/>
      <c r="H102" s="16">
        <f>F102/F107</f>
        <v>0.5161290322580645</v>
      </c>
      <c r="I102" s="15" t="s">
        <v>13</v>
      </c>
      <c r="J102" s="270">
        <f>SUM(Fleming_64!J34,Williams_80!J34,Holzer_72!J34,Brown_80!J34)</f>
        <v>34</v>
      </c>
      <c r="K102" s="271"/>
      <c r="L102" s="16">
        <f>J102/J107</f>
        <v>0.5074626865671642</v>
      </c>
      <c r="M102" s="15" t="s">
        <v>13</v>
      </c>
      <c r="N102" s="270">
        <f>SUM(Fleming_64!N34,Williams_80!N34,Holzer_72!N34,Brown_80!N34)</f>
        <v>26</v>
      </c>
      <c r="O102" s="271"/>
      <c r="P102" s="16">
        <f>N102/N107</f>
        <v>0.59090909090909094</v>
      </c>
      <c r="Q102" s="15" t="s">
        <v>13</v>
      </c>
      <c r="R102" s="270">
        <f>SUM(Fleming_64!R34,Williams_80!R34,Holzer_72!R34,Brown_80!R34)</f>
        <v>32</v>
      </c>
      <c r="S102" s="271"/>
      <c r="T102" s="16">
        <f>R102/R107</f>
        <v>0.5714285714285714</v>
      </c>
      <c r="U102" s="15" t="s">
        <v>13</v>
      </c>
      <c r="V102" s="15">
        <f>SUM(B102,F102,J102,N102,R102)</f>
        <v>159</v>
      </c>
      <c r="W102" s="16">
        <f>V102/V107</f>
        <v>0.53716216216216217</v>
      </c>
    </row>
    <row r="103" spans="1:23" x14ac:dyDescent="0.2">
      <c r="A103" s="11" t="s">
        <v>14</v>
      </c>
      <c r="B103" s="263">
        <f>SUM(Fleming_64!B35,Williams_80!B35,Holzer_72!B35,Brown_80!B35)</f>
        <v>30</v>
      </c>
      <c r="C103" s="264"/>
      <c r="D103" s="13">
        <f>B103/B107</f>
        <v>0.44776119402985076</v>
      </c>
      <c r="E103" s="11" t="s">
        <v>14</v>
      </c>
      <c r="F103" s="263">
        <f>SUM(Fleming_64!F35,Williams_80!F35,Holzer_72!F35,Brown_80!F35)</f>
        <v>28</v>
      </c>
      <c r="G103" s="264"/>
      <c r="H103" s="13">
        <f>F103/F107</f>
        <v>0.45161290322580644</v>
      </c>
      <c r="I103" s="11" t="s">
        <v>14</v>
      </c>
      <c r="J103" s="263">
        <f>SUM(Fleming_64!J35,Williams_80!J35,Holzer_72!J35,Brown_80!J35)</f>
        <v>31</v>
      </c>
      <c r="K103" s="264"/>
      <c r="L103" s="13">
        <f>J103/J107</f>
        <v>0.46268656716417911</v>
      </c>
      <c r="M103" s="11" t="s">
        <v>14</v>
      </c>
      <c r="N103" s="263">
        <f>SUM(Fleming_64!N35,Williams_80!N35,Holzer_72!N35,Brown_80!N35)</f>
        <v>16</v>
      </c>
      <c r="O103" s="264"/>
      <c r="P103" s="13">
        <f>N103/N107</f>
        <v>0.36363636363636365</v>
      </c>
      <c r="Q103" s="11" t="s">
        <v>14</v>
      </c>
      <c r="R103" s="263">
        <f>SUM(Fleming_64!R35,Williams_80!R35,Holzer_72!R35,Brown_80!R35)</f>
        <v>22</v>
      </c>
      <c r="S103" s="264"/>
      <c r="T103" s="13">
        <f>R103/R107</f>
        <v>0.39285714285714285</v>
      </c>
      <c r="U103" s="11" t="s">
        <v>14</v>
      </c>
      <c r="V103" s="11">
        <f>SUM(B103,F103,J103,N103,R103)</f>
        <v>127</v>
      </c>
      <c r="W103" s="13">
        <f>V103/V107</f>
        <v>0.42905405405405406</v>
      </c>
    </row>
    <row r="104" spans="1:23" x14ac:dyDescent="0.2">
      <c r="A104" s="11" t="s">
        <v>12</v>
      </c>
      <c r="B104" s="263">
        <f>SUM(Fleming_64!B36,Williams_80!B36,Holzer_72!B36,Brown_80!B36)</f>
        <v>2</v>
      </c>
      <c r="C104" s="264"/>
      <c r="D104" s="13">
        <f>B104/B107</f>
        <v>2.9850746268656716E-2</v>
      </c>
      <c r="E104" s="11" t="s">
        <v>12</v>
      </c>
      <c r="F104" s="263">
        <f>SUM(Fleming_64!F36,Williams_80!F36,Holzer_72!F36,Brown_80!F36)</f>
        <v>2</v>
      </c>
      <c r="G104" s="264"/>
      <c r="H104" s="13">
        <f>F104/F107</f>
        <v>3.2258064516129031E-2</v>
      </c>
      <c r="I104" s="11" t="s">
        <v>12</v>
      </c>
      <c r="J104" s="263">
        <f>SUM(Fleming_64!J36,Williams_80!J36,Holzer_72!J36,Brown_80!J36)</f>
        <v>2</v>
      </c>
      <c r="K104" s="264"/>
      <c r="L104" s="13">
        <f>J104/J107</f>
        <v>2.9850746268656716E-2</v>
      </c>
      <c r="M104" s="11" t="s">
        <v>12</v>
      </c>
      <c r="N104" s="263">
        <f>SUM(Fleming_64!N36,Williams_80!N36,Holzer_72!N36,Brown_80!N36)</f>
        <v>2</v>
      </c>
      <c r="O104" s="264"/>
      <c r="P104" s="13">
        <f>N104/N107</f>
        <v>4.5454545454545456E-2</v>
      </c>
      <c r="Q104" s="11" t="s">
        <v>12</v>
      </c>
      <c r="R104" s="263">
        <f>SUM(Fleming_64!R36,Williams_80!R36,Holzer_72!R36,Brown_80!R36)</f>
        <v>2</v>
      </c>
      <c r="S104" s="264"/>
      <c r="T104" s="13">
        <f>R104/R107</f>
        <v>3.5714285714285712E-2</v>
      </c>
      <c r="U104" s="11" t="s">
        <v>12</v>
      </c>
      <c r="V104" s="11">
        <f>SUM(B104,F104,J104,N104,R104)</f>
        <v>10</v>
      </c>
      <c r="W104" s="13">
        <f>V104/V107</f>
        <v>3.3783783783783786E-2</v>
      </c>
    </row>
    <row r="105" spans="1:23" x14ac:dyDescent="0.2">
      <c r="A105" s="468" t="s">
        <v>403</v>
      </c>
      <c r="B105" s="263">
        <f>SUM(Fleming_64!B37,Williams_80!B37,Holzer_72!B37,Brown_80!B37)</f>
        <v>0</v>
      </c>
      <c r="C105" s="264"/>
      <c r="D105" s="13">
        <f>B105/B107</f>
        <v>0</v>
      </c>
      <c r="E105" s="468" t="s">
        <v>403</v>
      </c>
      <c r="F105" s="263">
        <f>SUM(Fleming_64!F37,Williams_80!F37,Holzer_72!F37,Brown_80!F37)</f>
        <v>0</v>
      </c>
      <c r="G105" s="264"/>
      <c r="H105" s="13">
        <f>F105/F107</f>
        <v>0</v>
      </c>
      <c r="I105" s="468" t="s">
        <v>403</v>
      </c>
      <c r="J105" s="263">
        <f>SUM(Fleming_64!J37,Williams_80!J37,Holzer_72!J37,Brown_80!J37)</f>
        <v>0</v>
      </c>
      <c r="K105" s="264"/>
      <c r="L105" s="13">
        <f>J105/J107</f>
        <v>0</v>
      </c>
      <c r="M105" s="468" t="s">
        <v>403</v>
      </c>
      <c r="N105" s="263">
        <f>SUM(Fleming_64!N37,Williams_80!N37,Holzer_72!N37,Brown_80!N37)</f>
        <v>0</v>
      </c>
      <c r="O105" s="264"/>
      <c r="P105" s="13">
        <f>N105/N107</f>
        <v>0</v>
      </c>
      <c r="Q105" s="468" t="s">
        <v>403</v>
      </c>
      <c r="R105" s="263">
        <f>SUM(Fleming_64!R37,Williams_80!R37,Holzer_72!R37,Brown_80!R37)</f>
        <v>2</v>
      </c>
      <c r="S105" s="264"/>
      <c r="T105" s="13">
        <f>R105/R107</f>
        <v>3.5714285714285712E-2</v>
      </c>
      <c r="U105" s="468" t="s">
        <v>403</v>
      </c>
      <c r="V105" s="11">
        <f>SUM(B105,F105,J105,N105,R105)</f>
        <v>2</v>
      </c>
      <c r="W105" s="13">
        <f>V105/V107</f>
        <v>6.7567567567567571E-3</v>
      </c>
    </row>
    <row r="106" spans="1:23" ht="15" thickBot="1" x14ac:dyDescent="0.25">
      <c r="A106" s="46" t="s">
        <v>404</v>
      </c>
      <c r="B106" s="310">
        <f>SUM(Fleming_64!B38,Williams_80!B38,Holzer_72!B38,Brown_80!B38)</f>
        <v>0</v>
      </c>
      <c r="C106" s="311"/>
      <c r="D106" s="45">
        <f>B106/B107</f>
        <v>0</v>
      </c>
      <c r="E106" s="46" t="s">
        <v>404</v>
      </c>
      <c r="F106" s="310">
        <f>SUM(Fleming_64!F38,Williams_80!F38,Holzer_72!F38,Brown_80!F38)</f>
        <v>0</v>
      </c>
      <c r="G106" s="311"/>
      <c r="H106" s="45">
        <f>F106/F107</f>
        <v>0</v>
      </c>
      <c r="I106" s="46" t="s">
        <v>404</v>
      </c>
      <c r="J106" s="310">
        <f>SUM(Fleming_64!J38,Williams_80!J38,Holzer_72!J38,Brown_80!J38)</f>
        <v>0</v>
      </c>
      <c r="K106" s="311"/>
      <c r="L106" s="45">
        <f>J106/J107</f>
        <v>0</v>
      </c>
      <c r="M106" s="46" t="s">
        <v>404</v>
      </c>
      <c r="N106" s="310">
        <f>SUM(Fleming_64!N38,Williams_80!N38,Holzer_72!N38,Brown_80!N38)</f>
        <v>0</v>
      </c>
      <c r="O106" s="311"/>
      <c r="P106" s="45">
        <f>N106/N107</f>
        <v>0</v>
      </c>
      <c r="Q106" s="46" t="s">
        <v>404</v>
      </c>
      <c r="R106" s="310">
        <f>SUM(Fleming_64!R38,Williams_80!R38,Holzer_72!R38,Brown_80!R38)</f>
        <v>0</v>
      </c>
      <c r="S106" s="311"/>
      <c r="T106" s="45">
        <f>R106/R107</f>
        <v>0</v>
      </c>
      <c r="U106" s="46" t="s">
        <v>404</v>
      </c>
      <c r="V106" s="46">
        <f>SUM(B106,F106,J106,N106,R106)</f>
        <v>0</v>
      </c>
      <c r="W106" s="45">
        <f>V106/V107</f>
        <v>0</v>
      </c>
    </row>
    <row r="107" spans="1:23" ht="15" thickBot="1" x14ac:dyDescent="0.25">
      <c r="A107" s="44" t="s">
        <v>18</v>
      </c>
      <c r="B107" s="312">
        <f>SUM(B102:C104)</f>
        <v>67</v>
      </c>
      <c r="C107" s="312"/>
      <c r="D107" s="43">
        <f>SUM(D102:D104)</f>
        <v>0.99999999999999989</v>
      </c>
      <c r="E107" s="44" t="s">
        <v>18</v>
      </c>
      <c r="F107" s="312">
        <f>SUM(F102:G104)</f>
        <v>62</v>
      </c>
      <c r="G107" s="312"/>
      <c r="H107" s="66">
        <f>SUM(H102:H104)</f>
        <v>1</v>
      </c>
      <c r="I107" s="44" t="s">
        <v>18</v>
      </c>
      <c r="J107" s="312">
        <f>SUM(J102:K104)</f>
        <v>67</v>
      </c>
      <c r="K107" s="312"/>
      <c r="L107" s="43">
        <f>SUM(L102:L104)</f>
        <v>1</v>
      </c>
      <c r="M107" s="44" t="s">
        <v>18</v>
      </c>
      <c r="N107" s="312">
        <f>SUM(N102:O104)</f>
        <v>44</v>
      </c>
      <c r="O107" s="312"/>
      <c r="P107" s="66">
        <f>SUM(P102:P104)</f>
        <v>1</v>
      </c>
      <c r="Q107" s="44" t="s">
        <v>18</v>
      </c>
      <c r="R107" s="312">
        <f>SUM(R102:S104)</f>
        <v>56</v>
      </c>
      <c r="S107" s="312"/>
      <c r="T107" s="43">
        <f>SUM(T102:T104)</f>
        <v>0.99999999999999989</v>
      </c>
      <c r="U107" s="44" t="s">
        <v>18</v>
      </c>
      <c r="V107" s="62">
        <f>SUM(V102:V104)</f>
        <v>296</v>
      </c>
      <c r="W107" s="43">
        <f>SUM(W102:W104)</f>
        <v>1</v>
      </c>
    </row>
    <row r="108" spans="1:23" ht="15.75" thickBot="1" x14ac:dyDescent="0.3">
      <c r="A108" s="272" t="s">
        <v>365</v>
      </c>
      <c r="B108" s="273"/>
      <c r="C108" s="273"/>
      <c r="D108" s="274"/>
      <c r="E108" s="272" t="s">
        <v>366</v>
      </c>
      <c r="F108" s="273"/>
      <c r="G108" s="273"/>
      <c r="H108" s="274"/>
    </row>
    <row r="109" spans="1:23" ht="15.75" thickBot="1" x14ac:dyDescent="0.3">
      <c r="A109" s="26" t="s">
        <v>8</v>
      </c>
      <c r="B109" s="261" t="s">
        <v>16</v>
      </c>
      <c r="C109" s="262"/>
      <c r="D109" s="27" t="s">
        <v>17</v>
      </c>
      <c r="E109" s="26" t="s">
        <v>8</v>
      </c>
      <c r="F109" s="261" t="s">
        <v>16</v>
      </c>
      <c r="G109" s="262"/>
      <c r="H109" s="27" t="s">
        <v>17</v>
      </c>
    </row>
    <row r="110" spans="1:23" ht="15" thickBot="1" x14ac:dyDescent="0.25">
      <c r="A110" s="28" t="s">
        <v>362</v>
      </c>
      <c r="B110" s="263">
        <f>SUM(Fleming_64!B42,Williams_80!B42,Holzer_72!B42,Brown_80!B42)</f>
        <v>0</v>
      </c>
      <c r="C110" s="264"/>
      <c r="D110" s="13">
        <f>B110/B112</f>
        <v>0</v>
      </c>
      <c r="E110" s="141" t="s">
        <v>363</v>
      </c>
      <c r="F110" s="286">
        <f>SUM(Fleming_64!F42,Williams_80!F42,Holzer_72!F42,Brown_80!F42)</f>
        <v>2</v>
      </c>
      <c r="G110" s="287"/>
      <c r="H110" s="142">
        <f>F110/B112</f>
        <v>6.993006993006993E-3</v>
      </c>
    </row>
    <row r="111" spans="1:23" ht="15" thickBot="1" x14ac:dyDescent="0.25">
      <c r="A111" s="132" t="s">
        <v>364</v>
      </c>
      <c r="B111" s="263">
        <f>SUM(Fleming_64!B43,Williams_80!B43,Holzer_72!B43,Brown_80!B43)</f>
        <v>286</v>
      </c>
      <c r="C111" s="264"/>
      <c r="D111" s="13">
        <f>B111/B112</f>
        <v>1</v>
      </c>
    </row>
    <row r="112" spans="1:23" ht="15" thickBot="1" x14ac:dyDescent="0.25">
      <c r="A112" s="29" t="s">
        <v>18</v>
      </c>
      <c r="B112" s="265">
        <f>SUM(B110:C111)</f>
        <v>286</v>
      </c>
      <c r="C112" s="265"/>
      <c r="D112" s="67">
        <f>SUM(D110:D111)</f>
        <v>1</v>
      </c>
    </row>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sheetData>
  <mergeCells count="79">
    <mergeCell ref="N105:O105"/>
    <mergeCell ref="N106:O106"/>
    <mergeCell ref="R105:S105"/>
    <mergeCell ref="R106:S106"/>
    <mergeCell ref="B105:C105"/>
    <mergeCell ref="B106:C106"/>
    <mergeCell ref="F105:G105"/>
    <mergeCell ref="F106:G106"/>
    <mergeCell ref="J105:K105"/>
    <mergeCell ref="J106:K106"/>
    <mergeCell ref="Q1:V3"/>
    <mergeCell ref="B111:C111"/>
    <mergeCell ref="B112:C112"/>
    <mergeCell ref="A108:D108"/>
    <mergeCell ref="E108:H108"/>
    <mergeCell ref="B109:C109"/>
    <mergeCell ref="F109:G109"/>
    <mergeCell ref="B110:C110"/>
    <mergeCell ref="F110:G110"/>
    <mergeCell ref="B107:C107"/>
    <mergeCell ref="F107:G107"/>
    <mergeCell ref="J107:K107"/>
    <mergeCell ref="N107:O107"/>
    <mergeCell ref="R107:S107"/>
    <mergeCell ref="B104:C104"/>
    <mergeCell ref="F104:G104"/>
    <mergeCell ref="J104:K104"/>
    <mergeCell ref="N104:O104"/>
    <mergeCell ref="R104:S104"/>
    <mergeCell ref="B103:C103"/>
    <mergeCell ref="F103:G103"/>
    <mergeCell ref="J103:K103"/>
    <mergeCell ref="N103:O103"/>
    <mergeCell ref="R103:S103"/>
    <mergeCell ref="B102:C102"/>
    <mergeCell ref="F102:G102"/>
    <mergeCell ref="J102:K102"/>
    <mergeCell ref="N102:O102"/>
    <mergeCell ref="R102:S102"/>
    <mergeCell ref="B101:C101"/>
    <mergeCell ref="F101:G101"/>
    <mergeCell ref="J101:K101"/>
    <mergeCell ref="N101:O101"/>
    <mergeCell ref="R101:S101"/>
    <mergeCell ref="A98:W99"/>
    <mergeCell ref="A100:D100"/>
    <mergeCell ref="E100:H100"/>
    <mergeCell ref="I100:L100"/>
    <mergeCell ref="M100:P100"/>
    <mergeCell ref="Q100:T100"/>
    <mergeCell ref="U100:W100"/>
    <mergeCell ref="P21:T21"/>
    <mergeCell ref="W21:AA21"/>
    <mergeCell ref="B85:F85"/>
    <mergeCell ref="I85:M85"/>
    <mergeCell ref="P85:T85"/>
    <mergeCell ref="W85:AA85"/>
    <mergeCell ref="B53:F53"/>
    <mergeCell ref="I53:M53"/>
    <mergeCell ref="P53:T53"/>
    <mergeCell ref="W53:AA53"/>
    <mergeCell ref="B84:AA84"/>
    <mergeCell ref="B68:AA68"/>
    <mergeCell ref="A1:N1"/>
    <mergeCell ref="B69:F69"/>
    <mergeCell ref="I69:M69"/>
    <mergeCell ref="P69:T69"/>
    <mergeCell ref="W69:AA69"/>
    <mergeCell ref="B36:AA36"/>
    <mergeCell ref="B37:F37"/>
    <mergeCell ref="I37:M37"/>
    <mergeCell ref="P37:T37"/>
    <mergeCell ref="W37:AA37"/>
    <mergeCell ref="B52:AA52"/>
    <mergeCell ref="A3:N8"/>
    <mergeCell ref="A10:N18"/>
    <mergeCell ref="B20:AA20"/>
    <mergeCell ref="B21:F21"/>
    <mergeCell ref="I21:M21"/>
  </mergeCells>
  <conditionalFormatting sqref="B23:F32">
    <cfRule type="containsText" dxfId="235" priority="346" operator="containsText" text="NOT MET">
      <formula>NOT(ISERROR(SEARCH("NOT MET",B23)))</formula>
    </cfRule>
    <cfRule type="containsText" dxfId="234" priority="347" operator="containsText" text="MET">
      <formula>NOT(ISERROR(SEARCH("MET",B23)))</formula>
    </cfRule>
  </conditionalFormatting>
  <conditionalFormatting sqref="A24:A32 L102:M104 P102:Q104 T102:W104 D102:F104 H102:J104 H107">
    <cfRule type="containsText" dxfId="233" priority="358" operator="containsText" text="ftr">
      <formula>NOT(ISERROR(SEARCH("ftr",A24)))</formula>
    </cfRule>
    <cfRule type="containsText" dxfId="232" priority="359" operator="containsText" text="24hr">
      <formula>NOT(ISERROR(SEARCH("24hr",A24)))</formula>
    </cfRule>
  </conditionalFormatting>
  <conditionalFormatting sqref="A24:A32 A101:W104 A107:W107 A105 E104:E105 I104:I105 M104:M105 Q104:Q105 U104:U105">
    <cfRule type="containsText" dxfId="231" priority="357" operator="containsText" text="PROC">
      <formula>NOT(ISERROR(SEARCH("PROC",A24)))</formula>
    </cfRule>
  </conditionalFormatting>
  <conditionalFormatting sqref="H24:H32">
    <cfRule type="containsText" dxfId="230" priority="355" operator="containsText" text="ftr">
      <formula>NOT(ISERROR(SEARCH("ftr",H24)))</formula>
    </cfRule>
    <cfRule type="containsText" dxfId="229" priority="356" operator="containsText" text="24hr">
      <formula>NOT(ISERROR(SEARCH("24hr",H24)))</formula>
    </cfRule>
  </conditionalFormatting>
  <conditionalFormatting sqref="H24:H32">
    <cfRule type="containsText" dxfId="228" priority="354" operator="containsText" text="PROC">
      <formula>NOT(ISERROR(SEARCH("PROC",H24)))</formula>
    </cfRule>
  </conditionalFormatting>
  <conditionalFormatting sqref="O24:O32">
    <cfRule type="containsText" dxfId="227" priority="352" operator="containsText" text="ftr">
      <formula>NOT(ISERROR(SEARCH("ftr",O24)))</formula>
    </cfRule>
    <cfRule type="containsText" dxfId="226" priority="353" operator="containsText" text="24hr">
      <formula>NOT(ISERROR(SEARCH("24hr",O24)))</formula>
    </cfRule>
  </conditionalFormatting>
  <conditionalFormatting sqref="O24:O32">
    <cfRule type="containsText" dxfId="225" priority="351" operator="containsText" text="PROC">
      <formula>NOT(ISERROR(SEARCH("PROC",O24)))</formula>
    </cfRule>
  </conditionalFormatting>
  <conditionalFormatting sqref="V24:V32">
    <cfRule type="containsText" dxfId="224" priority="349" operator="containsText" text="ftr">
      <formula>NOT(ISERROR(SEARCH("ftr",V24)))</formula>
    </cfRule>
    <cfRule type="containsText" dxfId="223" priority="350" operator="containsText" text="24hr">
      <formula>NOT(ISERROR(SEARCH("24hr",V24)))</formula>
    </cfRule>
  </conditionalFormatting>
  <conditionalFormatting sqref="V24:V32">
    <cfRule type="containsText" dxfId="222" priority="348" operator="containsText" text="PROC">
      <formula>NOT(ISERROR(SEARCH("PROC",V24)))</formula>
    </cfRule>
  </conditionalFormatting>
  <conditionalFormatting sqref="A40:A48">
    <cfRule type="containsText" dxfId="221" priority="344" operator="containsText" text="ftr">
      <formula>NOT(ISERROR(SEARCH("ftr",A40)))</formula>
    </cfRule>
    <cfRule type="containsText" dxfId="220" priority="345" operator="containsText" text="24hr">
      <formula>NOT(ISERROR(SEARCH("24hr",A40)))</formula>
    </cfRule>
  </conditionalFormatting>
  <conditionalFormatting sqref="A40:A48">
    <cfRule type="containsText" dxfId="219" priority="343" operator="containsText" text="PROC">
      <formula>NOT(ISERROR(SEARCH("PROC",A40)))</formula>
    </cfRule>
  </conditionalFormatting>
  <conditionalFormatting sqref="H40:H48">
    <cfRule type="containsText" dxfId="218" priority="341" operator="containsText" text="ftr">
      <formula>NOT(ISERROR(SEARCH("ftr",H40)))</formula>
    </cfRule>
    <cfRule type="containsText" dxfId="217" priority="342" operator="containsText" text="24hr">
      <formula>NOT(ISERROR(SEARCH("24hr",H40)))</formula>
    </cfRule>
  </conditionalFormatting>
  <conditionalFormatting sqref="H40:H48">
    <cfRule type="containsText" dxfId="216" priority="340" operator="containsText" text="PROC">
      <formula>NOT(ISERROR(SEARCH("PROC",H40)))</formula>
    </cfRule>
  </conditionalFormatting>
  <conditionalFormatting sqref="O40:O48">
    <cfRule type="containsText" dxfId="215" priority="338" operator="containsText" text="ftr">
      <formula>NOT(ISERROR(SEARCH("ftr",O40)))</formula>
    </cfRule>
    <cfRule type="containsText" dxfId="214" priority="339" operator="containsText" text="24hr">
      <formula>NOT(ISERROR(SEARCH("24hr",O40)))</formula>
    </cfRule>
  </conditionalFormatting>
  <conditionalFormatting sqref="O40:O48">
    <cfRule type="containsText" dxfId="213" priority="337" operator="containsText" text="PROC">
      <formula>NOT(ISERROR(SEARCH("PROC",O40)))</formula>
    </cfRule>
  </conditionalFormatting>
  <conditionalFormatting sqref="V40:V48">
    <cfRule type="containsText" dxfId="212" priority="335" operator="containsText" text="ftr">
      <formula>NOT(ISERROR(SEARCH("ftr",V40)))</formula>
    </cfRule>
    <cfRule type="containsText" dxfId="211" priority="336" operator="containsText" text="24hr">
      <formula>NOT(ISERROR(SEARCH("24hr",V40)))</formula>
    </cfRule>
  </conditionalFormatting>
  <conditionalFormatting sqref="V40:V48">
    <cfRule type="containsText" dxfId="210" priority="334" operator="containsText" text="PROC">
      <formula>NOT(ISERROR(SEARCH("PROC",V40)))</formula>
    </cfRule>
  </conditionalFormatting>
  <conditionalFormatting sqref="B39:F48">
    <cfRule type="containsText" dxfId="209" priority="332" operator="containsText" text="NOT MET">
      <formula>NOT(ISERROR(SEARCH("NOT MET",B39)))</formula>
    </cfRule>
    <cfRule type="containsText" dxfId="208" priority="333" operator="containsText" text="MET">
      <formula>NOT(ISERROR(SEARCH("MET",B39)))</formula>
    </cfRule>
  </conditionalFormatting>
  <conditionalFormatting sqref="A56:A64">
    <cfRule type="containsText" dxfId="207" priority="330" operator="containsText" text="ftr">
      <formula>NOT(ISERROR(SEARCH("ftr",A56)))</formula>
    </cfRule>
    <cfRule type="containsText" dxfId="206" priority="331" operator="containsText" text="24hr">
      <formula>NOT(ISERROR(SEARCH("24hr",A56)))</formula>
    </cfRule>
  </conditionalFormatting>
  <conditionalFormatting sqref="A56:A64">
    <cfRule type="containsText" dxfId="205" priority="329" operator="containsText" text="PROC">
      <formula>NOT(ISERROR(SEARCH("PROC",A56)))</formula>
    </cfRule>
  </conditionalFormatting>
  <conditionalFormatting sqref="H56:H64">
    <cfRule type="containsText" dxfId="204" priority="327" operator="containsText" text="ftr">
      <formula>NOT(ISERROR(SEARCH("ftr",H56)))</formula>
    </cfRule>
    <cfRule type="containsText" dxfId="203" priority="328" operator="containsText" text="24hr">
      <formula>NOT(ISERROR(SEARCH("24hr",H56)))</formula>
    </cfRule>
  </conditionalFormatting>
  <conditionalFormatting sqref="H56:H64">
    <cfRule type="containsText" dxfId="202" priority="326" operator="containsText" text="PROC">
      <formula>NOT(ISERROR(SEARCH("PROC",H56)))</formula>
    </cfRule>
  </conditionalFormatting>
  <conditionalFormatting sqref="O56:O64">
    <cfRule type="containsText" dxfId="201" priority="324" operator="containsText" text="ftr">
      <formula>NOT(ISERROR(SEARCH("ftr",O56)))</formula>
    </cfRule>
    <cfRule type="containsText" dxfId="200" priority="325" operator="containsText" text="24hr">
      <formula>NOT(ISERROR(SEARCH("24hr",O56)))</formula>
    </cfRule>
  </conditionalFormatting>
  <conditionalFormatting sqref="O56:O64">
    <cfRule type="containsText" dxfId="199" priority="323" operator="containsText" text="PROC">
      <formula>NOT(ISERROR(SEARCH("PROC",O56)))</formula>
    </cfRule>
  </conditionalFormatting>
  <conditionalFormatting sqref="V56:V64">
    <cfRule type="containsText" dxfId="198" priority="321" operator="containsText" text="ftr">
      <formula>NOT(ISERROR(SEARCH("ftr",V56)))</formula>
    </cfRule>
    <cfRule type="containsText" dxfId="197" priority="322" operator="containsText" text="24hr">
      <formula>NOT(ISERROR(SEARCH("24hr",V56)))</formula>
    </cfRule>
  </conditionalFormatting>
  <conditionalFormatting sqref="V56:V64">
    <cfRule type="containsText" dxfId="196" priority="320" operator="containsText" text="PROC">
      <formula>NOT(ISERROR(SEARCH("PROC",V56)))</formula>
    </cfRule>
  </conditionalFormatting>
  <conditionalFormatting sqref="B55:F64">
    <cfRule type="containsText" dxfId="195" priority="318" operator="containsText" text="NOT MET">
      <formula>NOT(ISERROR(SEARCH("NOT MET",B55)))</formula>
    </cfRule>
    <cfRule type="containsText" dxfId="194" priority="319" operator="containsText" text="MET">
      <formula>NOT(ISERROR(SEARCH("MET",B55)))</formula>
    </cfRule>
  </conditionalFormatting>
  <conditionalFormatting sqref="A88:A96">
    <cfRule type="containsText" dxfId="193" priority="316" operator="containsText" text="ftr">
      <formula>NOT(ISERROR(SEARCH("ftr",A88)))</formula>
    </cfRule>
    <cfRule type="containsText" dxfId="192" priority="317" operator="containsText" text="24hr">
      <formula>NOT(ISERROR(SEARCH("24hr",A88)))</formula>
    </cfRule>
  </conditionalFormatting>
  <conditionalFormatting sqref="A88:A96">
    <cfRule type="containsText" dxfId="191" priority="315" operator="containsText" text="PROC">
      <formula>NOT(ISERROR(SEARCH("PROC",A88)))</formula>
    </cfRule>
  </conditionalFormatting>
  <conditionalFormatting sqref="H88:H96">
    <cfRule type="containsText" dxfId="190" priority="313" operator="containsText" text="ftr">
      <formula>NOT(ISERROR(SEARCH("ftr",H88)))</formula>
    </cfRule>
    <cfRule type="containsText" dxfId="189" priority="314" operator="containsText" text="24hr">
      <formula>NOT(ISERROR(SEARCH("24hr",H88)))</formula>
    </cfRule>
  </conditionalFormatting>
  <conditionalFormatting sqref="H88:H96">
    <cfRule type="containsText" dxfId="188" priority="312" operator="containsText" text="PROC">
      <formula>NOT(ISERROR(SEARCH("PROC",H88)))</formula>
    </cfRule>
  </conditionalFormatting>
  <conditionalFormatting sqref="B87:F96">
    <cfRule type="containsText" dxfId="187" priority="304" operator="containsText" text="NOT MET">
      <formula>NOT(ISERROR(SEARCH("NOT MET",B87)))</formula>
    </cfRule>
    <cfRule type="containsText" dxfId="186" priority="305" operator="containsText" text="MET">
      <formula>NOT(ISERROR(SEARCH("MET",B87)))</formula>
    </cfRule>
  </conditionalFormatting>
  <conditionalFormatting sqref="A72:A80">
    <cfRule type="containsText" dxfId="185" priority="290" operator="containsText" text="ftr">
      <formula>NOT(ISERROR(SEARCH("ftr",A72)))</formula>
    </cfRule>
    <cfRule type="containsText" dxfId="184" priority="291" operator="containsText" text="24hr">
      <formula>NOT(ISERROR(SEARCH("24hr",A72)))</formula>
    </cfRule>
  </conditionalFormatting>
  <conditionalFormatting sqref="A72:A80">
    <cfRule type="containsText" dxfId="183" priority="289" operator="containsText" text="PROC">
      <formula>NOT(ISERROR(SEARCH("PROC",A72)))</formula>
    </cfRule>
  </conditionalFormatting>
  <conditionalFormatting sqref="H72:H80">
    <cfRule type="containsText" dxfId="182" priority="287" operator="containsText" text="ftr">
      <formula>NOT(ISERROR(SEARCH("ftr",H72)))</formula>
    </cfRule>
    <cfRule type="containsText" dxfId="181" priority="288" operator="containsText" text="24hr">
      <formula>NOT(ISERROR(SEARCH("24hr",H72)))</formula>
    </cfRule>
  </conditionalFormatting>
  <conditionalFormatting sqref="H72:H80">
    <cfRule type="containsText" dxfId="180" priority="286" operator="containsText" text="PROC">
      <formula>NOT(ISERROR(SEARCH("PROC",H72)))</formula>
    </cfRule>
  </conditionalFormatting>
  <conditionalFormatting sqref="O72:O80">
    <cfRule type="containsText" dxfId="179" priority="284" operator="containsText" text="ftr">
      <formula>NOT(ISERROR(SEARCH("ftr",O72)))</formula>
    </cfRule>
    <cfRule type="containsText" dxfId="178" priority="285" operator="containsText" text="24hr">
      <formula>NOT(ISERROR(SEARCH("24hr",O72)))</formula>
    </cfRule>
  </conditionalFormatting>
  <conditionalFormatting sqref="O72:O80">
    <cfRule type="containsText" dxfId="177" priority="283" operator="containsText" text="PROC">
      <formula>NOT(ISERROR(SEARCH("PROC",O72)))</formula>
    </cfRule>
  </conditionalFormatting>
  <conditionalFormatting sqref="V72:V80">
    <cfRule type="containsText" dxfId="176" priority="281" operator="containsText" text="ftr">
      <formula>NOT(ISERROR(SEARCH("ftr",V72)))</formula>
    </cfRule>
    <cfRule type="containsText" dxfId="175" priority="282" operator="containsText" text="24hr">
      <formula>NOT(ISERROR(SEARCH("24hr",V72)))</formula>
    </cfRule>
  </conditionalFormatting>
  <conditionalFormatting sqref="V72:V80">
    <cfRule type="containsText" dxfId="174" priority="280" operator="containsText" text="PROC">
      <formula>NOT(ISERROR(SEARCH("PROC",V72)))</formula>
    </cfRule>
  </conditionalFormatting>
  <conditionalFormatting sqref="B71:F80">
    <cfRule type="containsText" dxfId="173" priority="278" operator="containsText" text="NOT MET">
      <formula>NOT(ISERROR(SEARCH("NOT MET",B71)))</formula>
    </cfRule>
    <cfRule type="containsText" dxfId="172" priority="279" operator="containsText" text="MET">
      <formula>NOT(ISERROR(SEARCH("MET",B71)))</formula>
    </cfRule>
  </conditionalFormatting>
  <conditionalFormatting sqref="A102:B103 A104:A105">
    <cfRule type="containsText" dxfId="171" priority="276" operator="containsText" text="ftr">
      <formula>NOT(ISERROR(SEARCH("ftr",A102)))</formula>
    </cfRule>
    <cfRule type="containsText" dxfId="170" priority="277" operator="containsText" text="24hr">
      <formula>NOT(ISERROR(SEARCH("24hr",A102)))</formula>
    </cfRule>
  </conditionalFormatting>
  <conditionalFormatting sqref="A101:B101 D101 H101 L101 P101 T101 F101 J101 N101 R101 V101:W101">
    <cfRule type="containsText" dxfId="169" priority="272" operator="containsText" text="24HR">
      <formula>NOT(ISERROR(SEARCH("24HR",A101)))</formula>
    </cfRule>
  </conditionalFormatting>
  <conditionalFormatting sqref="A107:B107 D107 V107">
    <cfRule type="containsText" dxfId="168" priority="268" operator="containsText" text="24HR">
      <formula>NOT(ISERROR(SEARCH("24HR",A107)))</formula>
    </cfRule>
  </conditionalFormatting>
  <conditionalFormatting sqref="A100:W100">
    <cfRule type="containsText" dxfId="167" priority="266" operator="containsText" text="24hr">
      <formula>NOT(ISERROR(SEARCH("24hr",A100)))</formula>
    </cfRule>
    <cfRule type="containsText" dxfId="166" priority="267" operator="containsText" text="ftr">
      <formula>NOT(ISERROR(SEARCH("ftr",A100)))</formula>
    </cfRule>
  </conditionalFormatting>
  <conditionalFormatting sqref="A100:W100">
    <cfRule type="containsText" dxfId="165" priority="265" operator="containsText" text="24HR">
      <formula>NOT(ISERROR(SEARCH("24HR",A100)))</formula>
    </cfRule>
  </conditionalFormatting>
  <conditionalFormatting sqref="A100:W100">
    <cfRule type="containsText" dxfId="164" priority="263" operator="containsText" text="FTR">
      <formula>NOT(ISERROR(SEARCH("FTR",A100)))</formula>
    </cfRule>
    <cfRule type="containsText" dxfId="163" priority="264" operator="containsText" text="24HR">
      <formula>NOT(ISERROR(SEARCH("24HR",A100)))</formula>
    </cfRule>
  </conditionalFormatting>
  <conditionalFormatting sqref="E101">
    <cfRule type="containsText" dxfId="162" priority="257" operator="containsText" text="24HR">
      <formula>NOT(ISERROR(SEARCH("24HR",E101)))</formula>
    </cfRule>
  </conditionalFormatting>
  <conditionalFormatting sqref="E107">
    <cfRule type="containsText" dxfId="161" priority="253" operator="containsText" text="24HR">
      <formula>NOT(ISERROR(SEARCH("24HR",E107)))</formula>
    </cfRule>
  </conditionalFormatting>
  <conditionalFormatting sqref="I101">
    <cfRule type="containsText" dxfId="160" priority="247" operator="containsText" text="24HR">
      <formula>NOT(ISERROR(SEARCH("24HR",I101)))</formula>
    </cfRule>
  </conditionalFormatting>
  <conditionalFormatting sqref="I107">
    <cfRule type="containsText" dxfId="159" priority="243" operator="containsText" text="24HR">
      <formula>NOT(ISERROR(SEARCH("24HR",I107)))</formula>
    </cfRule>
  </conditionalFormatting>
  <conditionalFormatting sqref="M101">
    <cfRule type="containsText" dxfId="158" priority="237" operator="containsText" text="24HR">
      <formula>NOT(ISERROR(SEARCH("24HR",M101)))</formula>
    </cfRule>
  </conditionalFormatting>
  <conditionalFormatting sqref="M107">
    <cfRule type="containsText" dxfId="157" priority="233" operator="containsText" text="24HR">
      <formula>NOT(ISERROR(SEARCH("24HR",M107)))</formula>
    </cfRule>
  </conditionalFormatting>
  <conditionalFormatting sqref="Q101">
    <cfRule type="containsText" dxfId="156" priority="227" operator="containsText" text="24HR">
      <formula>NOT(ISERROR(SEARCH("24HR",Q101)))</formula>
    </cfRule>
  </conditionalFormatting>
  <conditionalFormatting sqref="Q107">
    <cfRule type="containsText" dxfId="155" priority="223" operator="containsText" text="24HR">
      <formula>NOT(ISERROR(SEARCH("24HR",Q107)))</formula>
    </cfRule>
  </conditionalFormatting>
  <conditionalFormatting sqref="U101">
    <cfRule type="containsText" dxfId="154" priority="217" operator="containsText" text="24HR">
      <formula>NOT(ISERROR(SEARCH("24HR",U101)))</formula>
    </cfRule>
  </conditionalFormatting>
  <conditionalFormatting sqref="U107">
    <cfRule type="containsText" dxfId="153" priority="213" operator="containsText" text="24HR">
      <formula>NOT(ISERROR(SEARCH("24HR",U107)))</formula>
    </cfRule>
  </conditionalFormatting>
  <conditionalFormatting sqref="J104">
    <cfRule type="containsText" dxfId="152" priority="207" operator="containsText" text="ftr">
      <formula>NOT(ISERROR(SEARCH("ftr",J104)))</formula>
    </cfRule>
    <cfRule type="containsText" dxfId="151" priority="208" operator="containsText" text="24hr">
      <formula>NOT(ISERROR(SEARCH("24hr",J104)))</formula>
    </cfRule>
  </conditionalFormatting>
  <conditionalFormatting sqref="N102:N104">
    <cfRule type="containsText" dxfId="150" priority="205" operator="containsText" text="ftr">
      <formula>NOT(ISERROR(SEARCH("ftr",N102)))</formula>
    </cfRule>
    <cfRule type="containsText" dxfId="149" priority="206" operator="containsText" text="24hr">
      <formula>NOT(ISERROR(SEARCH("24hr",N102)))</formula>
    </cfRule>
  </conditionalFormatting>
  <conditionalFormatting sqref="R102:R104">
    <cfRule type="containsText" dxfId="148" priority="203" operator="containsText" text="ftr">
      <formula>NOT(ISERROR(SEARCH("ftr",R102)))</formula>
    </cfRule>
    <cfRule type="containsText" dxfId="147" priority="204" operator="containsText" text="24hr">
      <formula>NOT(ISERROR(SEARCH("24hr",R102)))</formula>
    </cfRule>
  </conditionalFormatting>
  <conditionalFormatting sqref="F104">
    <cfRule type="containsText" dxfId="146" priority="201" operator="containsText" text="ftr">
      <formula>NOT(ISERROR(SEARCH("ftr",F104)))</formula>
    </cfRule>
    <cfRule type="containsText" dxfId="145" priority="202" operator="containsText" text="24hr">
      <formula>NOT(ISERROR(SEARCH("24hr",F104)))</formula>
    </cfRule>
  </conditionalFormatting>
  <conditionalFormatting sqref="B104">
    <cfRule type="containsText" dxfId="144" priority="199" operator="containsText" text="ftr">
      <formula>NOT(ISERROR(SEARCH("ftr",B104)))</formula>
    </cfRule>
    <cfRule type="containsText" dxfId="143" priority="200" operator="containsText" text="24hr">
      <formula>NOT(ISERROR(SEARCH("24hr",B104)))</formula>
    </cfRule>
  </conditionalFormatting>
  <conditionalFormatting sqref="N104">
    <cfRule type="containsText" dxfId="142" priority="197" operator="containsText" text="ftr">
      <formula>NOT(ISERROR(SEARCH("ftr",N104)))</formula>
    </cfRule>
    <cfRule type="containsText" dxfId="141" priority="198" operator="containsText" text="24hr">
      <formula>NOT(ISERROR(SEARCH("24hr",N104)))</formula>
    </cfRule>
  </conditionalFormatting>
  <conditionalFormatting sqref="R104">
    <cfRule type="containsText" dxfId="140" priority="195" operator="containsText" text="ftr">
      <formula>NOT(ISERROR(SEARCH("ftr",R104)))</formula>
    </cfRule>
    <cfRule type="containsText" dxfId="139" priority="196" operator="containsText" text="24hr">
      <formula>NOT(ISERROR(SEARCH("24hr",R104)))</formula>
    </cfRule>
  </conditionalFormatting>
  <conditionalFormatting sqref="H107">
    <cfRule type="containsText" dxfId="138" priority="189" operator="containsText" text="24HR">
      <formula>NOT(ISERROR(SEARCH("24HR",H107)))</formula>
    </cfRule>
  </conditionalFormatting>
  <conditionalFormatting sqref="L107">
    <cfRule type="containsText" dxfId="137" priority="183" operator="containsText" text="24HR">
      <formula>NOT(ISERROR(SEARCH("24HR",L107)))</formula>
    </cfRule>
  </conditionalFormatting>
  <conditionalFormatting sqref="P107">
    <cfRule type="containsText" dxfId="136" priority="181" operator="containsText" text="ftr">
      <formula>NOT(ISERROR(SEARCH("ftr",P107)))</formula>
    </cfRule>
    <cfRule type="containsText" dxfId="135" priority="182" operator="containsText" text="24hr">
      <formula>NOT(ISERROR(SEARCH("24hr",P107)))</formula>
    </cfRule>
  </conditionalFormatting>
  <conditionalFormatting sqref="T107">
    <cfRule type="containsText" dxfId="134" priority="175" operator="containsText" text="24HR">
      <formula>NOT(ISERROR(SEARCH("24HR",T107)))</formula>
    </cfRule>
  </conditionalFormatting>
  <conditionalFormatting sqref="W107">
    <cfRule type="containsText" dxfId="133" priority="169" operator="containsText" text="24HR">
      <formula>NOT(ISERROR(SEARCH("24HR",W107)))</formula>
    </cfRule>
  </conditionalFormatting>
  <conditionalFormatting sqref="F107">
    <cfRule type="containsText" dxfId="132" priority="165" operator="containsText" text="24HR">
      <formula>NOT(ISERROR(SEARCH("24HR",F107)))</formula>
    </cfRule>
  </conditionalFormatting>
  <conditionalFormatting sqref="J107">
    <cfRule type="containsText" dxfId="131" priority="161" operator="containsText" text="24HR">
      <formula>NOT(ISERROR(SEARCH("24HR",J107)))</formula>
    </cfRule>
  </conditionalFormatting>
  <conditionalFormatting sqref="N107">
    <cfRule type="containsText" dxfId="130" priority="157" operator="containsText" text="24HR">
      <formula>NOT(ISERROR(SEARCH("24HR",N107)))</formula>
    </cfRule>
  </conditionalFormatting>
  <conditionalFormatting sqref="R107">
    <cfRule type="containsText" dxfId="129" priority="153" operator="containsText" text="24HR">
      <formula>NOT(ISERROR(SEARCH("24HR",R107)))</formula>
    </cfRule>
  </conditionalFormatting>
  <conditionalFormatting sqref="U101:W104 A100:T104 A107:W107 A105 E104:E105 I104:I105 M104:M105 Q104:Q105 U104:U105">
    <cfRule type="containsText" dxfId="128" priority="152" operator="containsText" text="SPEC">
      <formula>NOT(ISERROR(SEARCH("SPEC",A100)))</formula>
    </cfRule>
  </conditionalFormatting>
  <conditionalFormatting sqref="A101:W104 A107:W107 A105 E104:E105 I104:I105 M104:M105 Q104:Q105 U104:U105">
    <cfRule type="containsText" dxfId="127" priority="150" operator="containsText" text="Rec Rvw">
      <formula>NOT(ISERROR(SEARCH("Rec Rvw",A101)))</formula>
    </cfRule>
  </conditionalFormatting>
  <conditionalFormatting sqref="I87:M96">
    <cfRule type="cellIs" dxfId="126" priority="84" operator="equal">
      <formula>0</formula>
    </cfRule>
  </conditionalFormatting>
  <conditionalFormatting sqref="P87:T96">
    <cfRule type="cellIs" dxfId="125" priority="83" operator="equal">
      <formula>0</formula>
    </cfRule>
  </conditionalFormatting>
  <conditionalFormatting sqref="W87:AA96">
    <cfRule type="containsText" dxfId="124" priority="82" operator="containsText" text="0">
      <formula>NOT(ISERROR(SEARCH("0",W87)))</formula>
    </cfRule>
  </conditionalFormatting>
  <conditionalFormatting sqref="I23:M32">
    <cfRule type="cellIs" dxfId="123" priority="81" operator="equal">
      <formula>0</formula>
    </cfRule>
  </conditionalFormatting>
  <conditionalFormatting sqref="P23:T32">
    <cfRule type="cellIs" dxfId="122" priority="80" operator="equal">
      <formula>0</formula>
    </cfRule>
  </conditionalFormatting>
  <conditionalFormatting sqref="W23:AA32">
    <cfRule type="cellIs" dxfId="121" priority="79" operator="equal">
      <formula>0</formula>
    </cfRule>
  </conditionalFormatting>
  <conditionalFormatting sqref="I39:M48 P39:T48 W39:AA48 I55:M64 P55:T64 W55:AA64 I71:M80 P71:T80 W71:AA80">
    <cfRule type="containsText" dxfId="120" priority="78" operator="containsText" text="0">
      <formula>NOT(ISERROR(SEARCH("0",I39)))</formula>
    </cfRule>
  </conditionalFormatting>
  <conditionalFormatting sqref="N104">
    <cfRule type="containsText" dxfId="119" priority="71" operator="containsText" text="ftr">
      <formula>NOT(ISERROR(SEARCH("ftr",N104)))</formula>
    </cfRule>
    <cfRule type="containsText" dxfId="118" priority="72" operator="containsText" text="24hr">
      <formula>NOT(ISERROR(SEARCH("24hr",N104)))</formula>
    </cfRule>
  </conditionalFormatting>
  <conditionalFormatting sqref="R104">
    <cfRule type="containsText" dxfId="117" priority="69" operator="containsText" text="ftr">
      <formula>NOT(ISERROR(SEARCH("ftr",R104)))</formula>
    </cfRule>
    <cfRule type="containsText" dxfId="116" priority="70" operator="containsText" text="24hr">
      <formula>NOT(ISERROR(SEARCH("24hr",R104)))</formula>
    </cfRule>
  </conditionalFormatting>
  <conditionalFormatting sqref="N102:N104">
    <cfRule type="containsText" dxfId="115" priority="67" operator="containsText" text="ftr">
      <formula>NOT(ISERROR(SEARCH("ftr",N102)))</formula>
    </cfRule>
    <cfRule type="containsText" dxfId="114" priority="68" operator="containsText" text="24hr">
      <formula>NOT(ISERROR(SEARCH("24hr",N102)))</formula>
    </cfRule>
  </conditionalFormatting>
  <conditionalFormatting sqref="N104">
    <cfRule type="containsText" dxfId="113" priority="65" operator="containsText" text="ftr">
      <formula>NOT(ISERROR(SEARCH("ftr",N104)))</formula>
    </cfRule>
    <cfRule type="containsText" dxfId="112" priority="66" operator="containsText" text="24hr">
      <formula>NOT(ISERROR(SEARCH("24hr",N104)))</formula>
    </cfRule>
  </conditionalFormatting>
  <conditionalFormatting sqref="R102:R104">
    <cfRule type="containsText" dxfId="111" priority="63" operator="containsText" text="ftr">
      <formula>NOT(ISERROR(SEARCH("ftr",R102)))</formula>
    </cfRule>
    <cfRule type="containsText" dxfId="110" priority="64" operator="containsText" text="24hr">
      <formula>NOT(ISERROR(SEARCH("24hr",R102)))</formula>
    </cfRule>
  </conditionalFormatting>
  <conditionalFormatting sqref="R104">
    <cfRule type="containsText" dxfId="109" priority="61" operator="containsText" text="ftr">
      <formula>NOT(ISERROR(SEARCH("ftr",R104)))</formula>
    </cfRule>
    <cfRule type="containsText" dxfId="108" priority="62" operator="containsText" text="24hr">
      <formula>NOT(ISERROR(SEARCH("24hr",R104)))</formula>
    </cfRule>
  </conditionalFormatting>
  <conditionalFormatting sqref="R104">
    <cfRule type="containsText" dxfId="107" priority="59" operator="containsText" text="ftr">
      <formula>NOT(ISERROR(SEARCH("ftr",R104)))</formula>
    </cfRule>
    <cfRule type="containsText" dxfId="106" priority="60" operator="containsText" text="24hr">
      <formula>NOT(ISERROR(SEARCH("24hr",R104)))</formula>
    </cfRule>
  </conditionalFormatting>
  <conditionalFormatting sqref="R102:R104">
    <cfRule type="containsText" dxfId="105" priority="57" operator="containsText" text="ftr">
      <formula>NOT(ISERROR(SEARCH("ftr",R102)))</formula>
    </cfRule>
    <cfRule type="containsText" dxfId="104" priority="58" operator="containsText" text="24hr">
      <formula>NOT(ISERROR(SEARCH("24hr",R102)))</formula>
    </cfRule>
  </conditionalFormatting>
  <conditionalFormatting sqref="R104">
    <cfRule type="containsText" dxfId="103" priority="55" operator="containsText" text="ftr">
      <formula>NOT(ISERROR(SEARCH("ftr",R104)))</formula>
    </cfRule>
    <cfRule type="containsText" dxfId="102" priority="56" operator="containsText" text="24hr">
      <formula>NOT(ISERROR(SEARCH("24hr",R104)))</formula>
    </cfRule>
  </conditionalFormatting>
  <conditionalFormatting sqref="B109 D109">
    <cfRule type="containsText" dxfId="101" priority="54" operator="containsText" text="24HR">
      <formula>NOT(ISERROR(SEARCH("24HR",B109)))</formula>
    </cfRule>
  </conditionalFormatting>
  <conditionalFormatting sqref="A111:B111 A110:D110 D111">
    <cfRule type="containsText" dxfId="100" priority="51" operator="containsText" text="SPEC">
      <formula>NOT(ISERROR(SEARCH("SPEC",A110)))</formula>
    </cfRule>
    <cfRule type="containsText" dxfId="99" priority="52" operator="containsText" text="ftr">
      <formula>NOT(ISERROR(SEARCH("ftr",A110)))</formula>
    </cfRule>
    <cfRule type="containsText" dxfId="98" priority="53" operator="containsText" text="24HR">
      <formula>NOT(ISERROR(SEARCH("24HR",A110)))</formula>
    </cfRule>
  </conditionalFormatting>
  <conditionalFormatting sqref="A108:D108">
    <cfRule type="containsText" dxfId="97" priority="49" operator="containsText" text="24hr">
      <formula>NOT(ISERROR(SEARCH("24hr",A108)))</formula>
    </cfRule>
    <cfRule type="containsText" dxfId="96" priority="50" operator="containsText" text="ftr">
      <formula>NOT(ISERROR(SEARCH("ftr",A108)))</formula>
    </cfRule>
  </conditionalFormatting>
  <conditionalFormatting sqref="A108:D108">
    <cfRule type="containsText" dxfId="95" priority="48" operator="containsText" text="24HR">
      <formula>NOT(ISERROR(SEARCH("24HR",A108)))</formula>
    </cfRule>
  </conditionalFormatting>
  <conditionalFormatting sqref="A108:D108">
    <cfRule type="containsText" dxfId="94" priority="46" operator="containsText" text="FTR">
      <formula>NOT(ISERROR(SEARCH("FTR",A108)))</formula>
    </cfRule>
    <cfRule type="containsText" dxfId="93" priority="47" operator="containsText" text="24HR">
      <formula>NOT(ISERROR(SEARCH("24HR",A108)))</formula>
    </cfRule>
  </conditionalFormatting>
  <conditionalFormatting sqref="A108:D108">
    <cfRule type="containsText" dxfId="92" priority="45" operator="containsText" text="SPEC">
      <formula>NOT(ISERROR(SEARCH("SPEC",A108)))</formula>
    </cfRule>
  </conditionalFormatting>
  <conditionalFormatting sqref="A112:D112">
    <cfRule type="containsText" dxfId="91" priority="42" operator="containsText" text="SPEC">
      <formula>NOT(ISERROR(SEARCH("SPEC",A112)))</formula>
    </cfRule>
    <cfRule type="containsText" dxfId="90" priority="43" operator="containsText" text="ftr">
      <formula>NOT(ISERROR(SEARCH("ftr",A112)))</formula>
    </cfRule>
    <cfRule type="containsText" dxfId="89" priority="44" operator="containsText" text="24HR">
      <formula>NOT(ISERROR(SEARCH("24HR",A112)))</formula>
    </cfRule>
  </conditionalFormatting>
  <conditionalFormatting sqref="H110">
    <cfRule type="cellIs" dxfId="88" priority="31" operator="greaterThan">
      <formula>0.05</formula>
    </cfRule>
  </conditionalFormatting>
  <conditionalFormatting sqref="F109 H109">
    <cfRule type="containsText" dxfId="87" priority="41" operator="containsText" text="24HR">
      <formula>NOT(ISERROR(SEARCH("24HR",F109)))</formula>
    </cfRule>
  </conditionalFormatting>
  <conditionalFormatting sqref="E110:H110">
    <cfRule type="containsText" dxfId="86" priority="38" operator="containsText" text="SPEC">
      <formula>NOT(ISERROR(SEARCH("SPEC",E110)))</formula>
    </cfRule>
    <cfRule type="containsText" dxfId="85" priority="39" operator="containsText" text="ftr">
      <formula>NOT(ISERROR(SEARCH("ftr",E110)))</formula>
    </cfRule>
    <cfRule type="containsText" dxfId="84" priority="40" operator="containsText" text="24HR">
      <formula>NOT(ISERROR(SEARCH("24HR",E110)))</formula>
    </cfRule>
  </conditionalFormatting>
  <conditionalFormatting sqref="E108:H108">
    <cfRule type="containsText" dxfId="83" priority="36" operator="containsText" text="24hr">
      <formula>NOT(ISERROR(SEARCH("24hr",E108)))</formula>
    </cfRule>
    <cfRule type="containsText" dxfId="82" priority="37" operator="containsText" text="ftr">
      <formula>NOT(ISERROR(SEARCH("ftr",E108)))</formula>
    </cfRule>
  </conditionalFormatting>
  <conditionalFormatting sqref="E108:H108">
    <cfRule type="containsText" dxfId="81" priority="35" operator="containsText" text="24HR">
      <formula>NOT(ISERROR(SEARCH("24HR",E108)))</formula>
    </cfRule>
  </conditionalFormatting>
  <conditionalFormatting sqref="E108:H108">
    <cfRule type="containsText" dxfId="80" priority="33" operator="containsText" text="FTR">
      <formula>NOT(ISERROR(SEARCH("FTR",E108)))</formula>
    </cfRule>
    <cfRule type="containsText" dxfId="79" priority="34" operator="containsText" text="24HR">
      <formula>NOT(ISERROR(SEARCH("24HR",E108)))</formula>
    </cfRule>
  </conditionalFormatting>
  <conditionalFormatting sqref="E108:H108">
    <cfRule type="containsText" dxfId="78" priority="32" operator="containsText" text="SPEC">
      <formula>NOT(ISERROR(SEARCH("SPEC",E108)))</formula>
    </cfRule>
  </conditionalFormatting>
  <conditionalFormatting sqref="A1:XFD104 A105:B105 A106 H105:I106 L105:M106 P105:Q106 T105:XFD106 A107:XFD1048576 D105:E106">
    <cfRule type="containsText" dxfId="77" priority="30" operator="containsText" text="GRP">
      <formula>NOT(ISERROR(SEARCH("GRP",A1)))</formula>
    </cfRule>
  </conditionalFormatting>
  <conditionalFormatting sqref="E104:E105">
    <cfRule type="containsText" dxfId="76" priority="28" operator="containsText" text="ftr">
      <formula>NOT(ISERROR(SEARCH("ftr",E104)))</formula>
    </cfRule>
    <cfRule type="containsText" dxfId="75" priority="29" operator="containsText" text="24hr">
      <formula>NOT(ISERROR(SEARCH("24hr",E104)))</formula>
    </cfRule>
  </conditionalFormatting>
  <conditionalFormatting sqref="I104:I105">
    <cfRule type="containsText" dxfId="74" priority="26" operator="containsText" text="ftr">
      <formula>NOT(ISERROR(SEARCH("ftr",I104)))</formula>
    </cfRule>
    <cfRule type="containsText" dxfId="73" priority="27" operator="containsText" text="24hr">
      <formula>NOT(ISERROR(SEARCH("24hr",I104)))</formula>
    </cfRule>
  </conditionalFormatting>
  <conditionalFormatting sqref="M104:M105">
    <cfRule type="containsText" dxfId="72" priority="24" operator="containsText" text="ftr">
      <formula>NOT(ISERROR(SEARCH("ftr",M104)))</formula>
    </cfRule>
    <cfRule type="containsText" dxfId="71" priority="25" operator="containsText" text="24hr">
      <formula>NOT(ISERROR(SEARCH("24hr",M104)))</formula>
    </cfRule>
  </conditionalFormatting>
  <conditionalFormatting sqref="Q104:Q105">
    <cfRule type="containsText" dxfId="70" priority="22" operator="containsText" text="ftr">
      <formula>NOT(ISERROR(SEARCH("ftr",Q104)))</formula>
    </cfRule>
    <cfRule type="containsText" dxfId="69" priority="23" operator="containsText" text="24hr">
      <formula>NOT(ISERROR(SEARCH("24hr",Q104)))</formula>
    </cfRule>
  </conditionalFormatting>
  <conditionalFormatting sqref="U104:U105">
    <cfRule type="containsText" dxfId="68" priority="20" operator="containsText" text="ftr">
      <formula>NOT(ISERROR(SEARCH("ftr",U104)))</formula>
    </cfRule>
    <cfRule type="containsText" dxfId="67" priority="21" operator="containsText" text="24hr">
      <formula>NOT(ISERROR(SEARCH("24hr",U104)))</formula>
    </cfRule>
  </conditionalFormatting>
  <conditionalFormatting sqref="B106">
    <cfRule type="containsText" dxfId="66" priority="19" operator="containsText" text="GRP">
      <formula>NOT(ISERROR(SEARCH("GRP",B106)))</formula>
    </cfRule>
  </conditionalFormatting>
  <conditionalFormatting sqref="F105">
    <cfRule type="containsText" dxfId="65" priority="18" operator="containsText" text="GRP">
      <formula>NOT(ISERROR(SEARCH("GRP",F105)))</formula>
    </cfRule>
  </conditionalFormatting>
  <conditionalFormatting sqref="F106">
    <cfRule type="containsText" dxfId="64" priority="17" operator="containsText" text="GRP">
      <formula>NOT(ISERROR(SEARCH("GRP",F106)))</formula>
    </cfRule>
  </conditionalFormatting>
  <conditionalFormatting sqref="J105">
    <cfRule type="containsText" dxfId="63" priority="16" operator="containsText" text="GRP">
      <formula>NOT(ISERROR(SEARCH("GRP",J105)))</formula>
    </cfRule>
  </conditionalFormatting>
  <conditionalFormatting sqref="J106">
    <cfRule type="containsText" dxfId="62" priority="15" operator="containsText" text="GRP">
      <formula>NOT(ISERROR(SEARCH("GRP",J106)))</formula>
    </cfRule>
  </conditionalFormatting>
  <conditionalFormatting sqref="N105">
    <cfRule type="containsText" dxfId="61" priority="14" operator="containsText" text="GRP">
      <formula>NOT(ISERROR(SEARCH("GRP",N105)))</formula>
    </cfRule>
  </conditionalFormatting>
  <conditionalFormatting sqref="N106">
    <cfRule type="containsText" dxfId="60" priority="13" operator="containsText" text="GRP">
      <formula>NOT(ISERROR(SEARCH("GRP",N106)))</formula>
    </cfRule>
  </conditionalFormatting>
  <conditionalFormatting sqref="R105">
    <cfRule type="containsText" dxfId="59" priority="12" operator="containsText" text="GRP">
      <formula>NOT(ISERROR(SEARCH("GRP",R105)))</formula>
    </cfRule>
  </conditionalFormatting>
  <conditionalFormatting sqref="R106">
    <cfRule type="containsText" dxfId="58" priority="11" operator="containsText" text="GRP">
      <formula>NOT(ISERROR(SEARCH("GRP",R106)))</formula>
    </cfRule>
  </conditionalFormatting>
  <conditionalFormatting sqref="V105">
    <cfRule type="containsText" dxfId="57" priority="9" operator="containsText" text="ftr">
      <formula>NOT(ISERROR(SEARCH("ftr",V105)))</formula>
    </cfRule>
    <cfRule type="containsText" dxfId="56" priority="10" operator="containsText" text="24hr">
      <formula>NOT(ISERROR(SEARCH("24hr",V105)))</formula>
    </cfRule>
  </conditionalFormatting>
  <conditionalFormatting sqref="V105">
    <cfRule type="containsText" dxfId="55" priority="8" operator="containsText" text="PROC">
      <formula>NOT(ISERROR(SEARCH("PROC",V105)))</formula>
    </cfRule>
  </conditionalFormatting>
  <conditionalFormatting sqref="V105">
    <cfRule type="containsText" dxfId="54" priority="7" operator="containsText" text="SPEC">
      <formula>NOT(ISERROR(SEARCH("SPEC",V105)))</formula>
    </cfRule>
  </conditionalFormatting>
  <conditionalFormatting sqref="V105">
    <cfRule type="containsText" dxfId="53" priority="6" operator="containsText" text="Rec Rvw">
      <formula>NOT(ISERROR(SEARCH("Rec Rvw",V105)))</formula>
    </cfRule>
  </conditionalFormatting>
  <conditionalFormatting sqref="V106">
    <cfRule type="containsText" dxfId="52" priority="4" operator="containsText" text="ftr">
      <formula>NOT(ISERROR(SEARCH("ftr",V106)))</formula>
    </cfRule>
    <cfRule type="containsText" dxfId="51" priority="5" operator="containsText" text="24hr">
      <formula>NOT(ISERROR(SEARCH("24hr",V106)))</formula>
    </cfRule>
  </conditionalFormatting>
  <conditionalFormatting sqref="V106">
    <cfRule type="containsText" dxfId="50" priority="3" operator="containsText" text="PROC">
      <formula>NOT(ISERROR(SEARCH("PROC",V106)))</formula>
    </cfRule>
  </conditionalFormatting>
  <conditionalFormatting sqref="V106">
    <cfRule type="containsText" dxfId="49" priority="2" operator="containsText" text="SPEC">
      <formula>NOT(ISERROR(SEARCH("SPEC",V106)))</formula>
    </cfRule>
  </conditionalFormatting>
  <conditionalFormatting sqref="V106">
    <cfRule type="containsText" dxfId="48" priority="1" operator="containsText" text="Rec Rvw">
      <formula>NOT(ISERROR(SEARCH("Rec Rvw",V106)))</formula>
    </cfRule>
  </conditionalFormatting>
  <hyperlinks>
    <hyperlink ref="Q1:V3" location="'Table of Contents'!A1" display="Click here to return to table of contents."/>
  </hyperlinks>
  <pageMargins left="0.7" right="0.7" top="0.75" bottom="0.75" header="0.3" footer="0.3"/>
  <pageSetup orientation="portrait" horizontalDpi="1200" verticalDpi="12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rgb="FF00B050"/>
  </sheetPr>
  <dimension ref="A1:AB127"/>
  <sheetViews>
    <sheetView workbookViewId="0">
      <selection sqref="A1:B1"/>
    </sheetView>
  </sheetViews>
  <sheetFormatPr defaultRowHeight="14.25" x14ac:dyDescent="0.2"/>
  <cols>
    <col min="1" max="1" width="7.75" customWidth="1"/>
    <col min="2" max="2" width="8.375" customWidth="1"/>
    <col min="3" max="3" width="11" customWidth="1"/>
    <col min="4" max="4" width="9.625" customWidth="1"/>
    <col min="5" max="5" width="8.375" customWidth="1"/>
    <col min="6" max="6" width="11" customWidth="1"/>
    <col min="7" max="7" width="9.625" customWidth="1"/>
    <col min="8" max="8" width="8.375" customWidth="1"/>
    <col min="9" max="9" width="11" customWidth="1"/>
    <col min="10" max="10" width="9.625" customWidth="1"/>
    <col min="11" max="11" width="6.25" customWidth="1"/>
    <col min="12" max="12" width="12.875" customWidth="1"/>
    <col min="13" max="13" width="18" customWidth="1"/>
    <col min="15" max="15" width="6.25" customWidth="1"/>
    <col min="16" max="16" width="11.5" customWidth="1"/>
    <col min="17" max="17" width="20.75" customWidth="1"/>
    <col min="18" max="18" width="15.375" customWidth="1"/>
    <col min="19" max="19" width="12.875" customWidth="1"/>
    <col min="20" max="20" width="9.375" customWidth="1"/>
    <col min="22" max="22" width="6.25" customWidth="1"/>
    <col min="23" max="23" width="11.5" customWidth="1"/>
    <col min="24" max="24" width="11.875" customWidth="1"/>
    <col min="25" max="25" width="15.375" customWidth="1"/>
    <col min="26" max="26" width="12.875" customWidth="1"/>
    <col min="27" max="27" width="9.375" customWidth="1"/>
  </cols>
  <sheetData>
    <row r="1" spans="1:17" ht="15" customHeight="1" x14ac:dyDescent="0.25">
      <c r="A1" s="347" t="s">
        <v>59</v>
      </c>
      <c r="B1" s="347"/>
      <c r="C1" s="347" t="s">
        <v>396</v>
      </c>
      <c r="D1" s="347"/>
      <c r="E1" s="347"/>
      <c r="F1" s="347"/>
      <c r="H1" s="345" t="s">
        <v>361</v>
      </c>
      <c r="I1" s="345"/>
      <c r="J1" s="345"/>
      <c r="K1" s="345"/>
      <c r="M1" s="348" t="s">
        <v>61</v>
      </c>
      <c r="N1" s="349"/>
      <c r="O1" s="349"/>
      <c r="P1" s="349"/>
      <c r="Q1" s="350"/>
    </row>
    <row r="2" spans="1:17" ht="15" customHeight="1" x14ac:dyDescent="0.25">
      <c r="A2" s="347" t="s">
        <v>60</v>
      </c>
      <c r="B2" s="347"/>
      <c r="C2" s="347" t="s">
        <v>397</v>
      </c>
      <c r="D2" s="347"/>
      <c r="E2" s="347"/>
      <c r="F2" s="347"/>
      <c r="H2" s="345"/>
      <c r="I2" s="345"/>
      <c r="J2" s="345"/>
      <c r="K2" s="345"/>
      <c r="M2" s="351"/>
      <c r="N2" s="352"/>
      <c r="O2" s="352"/>
      <c r="P2" s="352"/>
      <c r="Q2" s="353"/>
    </row>
    <row r="3" spans="1:17" ht="15" customHeight="1" x14ac:dyDescent="0.2">
      <c r="A3" s="346" t="s">
        <v>405</v>
      </c>
      <c r="B3" s="346"/>
      <c r="C3" s="346"/>
      <c r="D3" s="346"/>
      <c r="E3" s="346"/>
      <c r="F3" s="346"/>
      <c r="H3" s="192"/>
      <c r="I3" s="192"/>
      <c r="J3" s="192"/>
      <c r="M3" s="354" t="s">
        <v>67</v>
      </c>
      <c r="N3" s="336">
        <v>1</v>
      </c>
      <c r="O3" s="337"/>
      <c r="P3" s="337"/>
      <c r="Q3" s="338"/>
    </row>
    <row r="4" spans="1:17" ht="14.25" customHeight="1" x14ac:dyDescent="0.2">
      <c r="M4" s="354"/>
      <c r="N4" s="337"/>
      <c r="O4" s="337"/>
      <c r="P4" s="337"/>
      <c r="Q4" s="338"/>
    </row>
    <row r="5" spans="1:17" ht="14.25" customHeight="1" x14ac:dyDescent="0.25">
      <c r="A5" s="317" t="str">
        <f>Fleming_64!$A$1</f>
        <v>NP FLEMING, JEN</v>
      </c>
      <c r="B5" s="317"/>
      <c r="C5" s="317"/>
      <c r="D5" s="317"/>
      <c r="E5" s="317"/>
      <c r="F5" s="317"/>
      <c r="G5" s="317"/>
      <c r="H5" s="317"/>
      <c r="I5" s="317"/>
      <c r="J5" s="317"/>
      <c r="K5" s="317"/>
      <c r="M5" s="339" t="s">
        <v>69</v>
      </c>
      <c r="N5" s="341" t="s">
        <v>402</v>
      </c>
      <c r="O5" s="341"/>
      <c r="P5" s="341"/>
      <c r="Q5" s="342"/>
    </row>
    <row r="6" spans="1:17" ht="15" customHeight="1" thickBot="1" x14ac:dyDescent="0.3">
      <c r="A6" s="318" t="s">
        <v>400</v>
      </c>
      <c r="B6" s="319"/>
      <c r="C6" s="319"/>
      <c r="D6" s="319"/>
      <c r="E6" s="320"/>
      <c r="G6" s="325" t="s">
        <v>399</v>
      </c>
      <c r="H6" s="326"/>
      <c r="I6" s="326"/>
      <c r="J6" s="326"/>
      <c r="K6" s="327"/>
      <c r="M6" s="340"/>
      <c r="N6" s="343"/>
      <c r="O6" s="343"/>
      <c r="P6" s="343"/>
      <c r="Q6" s="344"/>
    </row>
    <row r="7" spans="1:17" ht="15" x14ac:dyDescent="0.25">
      <c r="A7" s="172" t="s">
        <v>2</v>
      </c>
      <c r="B7" s="173" t="s">
        <v>3</v>
      </c>
      <c r="C7" s="193" t="s">
        <v>4</v>
      </c>
      <c r="D7" s="175" t="s">
        <v>398</v>
      </c>
      <c r="E7" s="176" t="s">
        <v>6</v>
      </c>
      <c r="G7" s="181" t="s">
        <v>2</v>
      </c>
      <c r="H7" s="182" t="s">
        <v>3</v>
      </c>
      <c r="I7" s="182" t="s">
        <v>4</v>
      </c>
      <c r="J7" s="183" t="s">
        <v>398</v>
      </c>
      <c r="K7" s="183" t="s">
        <v>6</v>
      </c>
      <c r="L7" s="170"/>
    </row>
    <row r="8" spans="1:17" x14ac:dyDescent="0.2">
      <c r="A8" s="177">
        <f>COUNTIF(Fleming_64!B5:B31,"24HR")+COUNTIF(Fleming_64!B5:B31,"FTR")+COUNTIF(Fleming_64!B5:B31,"SPEC")+COUNTIF(Fleming_64!B5:B31,"PROC")+COUNTIF(Fleming_64!B5:B31,"GRP")</f>
        <v>18</v>
      </c>
      <c r="B8" s="144">
        <f>COUNTIF(Fleming_64!F5:F31,"24HR")+COUNTIF(Fleming_64!F5:F31,"FTR")+COUNTIF(Fleming_64!F5:F31,"SPEC")+COUNTIF(Fleming_64!F5:F31,"PROC")+COUNTIF(Fleming_64!F5:F31,"GRP")</f>
        <v>13</v>
      </c>
      <c r="C8" s="144">
        <f>COUNTIF(Fleming_64!J5:J31,"24HR")+COUNTIF(Fleming_64!J5:J31,"FTR")+COUNTIF(Fleming_64!J5:J31,"SPEC")+COUNTIF(Fleming_64!J5:J31,"PROC")+COUNTIF(Fleming_64!J5:J31,"GRP")</f>
        <v>18</v>
      </c>
      <c r="D8" s="145">
        <f>COUNTIF(Fleming_64!N5:N31,"24HR")+COUNTIF(Fleming_64!N5:N31,"FTR")+COUNTIF(Fleming_64!N5:N31,"SPEC")+COUNTIF(Fleming_64!N5:N31,"PROC")+COUNTIF(Fleming_64!N5:N31,"GRP")</f>
        <v>8</v>
      </c>
      <c r="E8" s="144">
        <f>COUNTIF(Fleming_64!R5:R31,"24HR")+COUNTIF(Fleming_64!R5:R31,"FTR")+COUNTIF(Fleming_64!R5:R31,"SPEC")+COUNTIF(Fleming_64!R5:R31,"PROC")+COUNTIF(Fleming_64!R5:R31,"GRP")</f>
        <v>15</v>
      </c>
      <c r="G8" s="144">
        <f>Fleming_64!B39</f>
        <v>18</v>
      </c>
      <c r="H8" s="178">
        <f>Fleming_64!F39</f>
        <v>13</v>
      </c>
      <c r="I8" s="179">
        <f>Fleming_64!J39</f>
        <v>18</v>
      </c>
      <c r="J8" s="144">
        <f>Fleming_64!N39</f>
        <v>8</v>
      </c>
      <c r="K8" s="180">
        <f>Fleming_64!R39</f>
        <v>15</v>
      </c>
    </row>
    <row r="9" spans="1:17" x14ac:dyDescent="0.2">
      <c r="A9" s="321" t="s">
        <v>77</v>
      </c>
      <c r="B9" s="322"/>
      <c r="C9" s="321">
        <f>SUM(A8:E8)</f>
        <v>72</v>
      </c>
      <c r="D9" s="323"/>
      <c r="E9" s="324"/>
      <c r="G9" s="328" t="s">
        <v>77</v>
      </c>
      <c r="H9" s="329"/>
      <c r="I9" s="328">
        <f>SUM(G8:K8)</f>
        <v>72</v>
      </c>
      <c r="J9" s="330"/>
      <c r="K9" s="331"/>
    </row>
    <row r="10" spans="1:17" ht="15" customHeight="1" thickBot="1" x14ac:dyDescent="0.25">
      <c r="H10" s="171"/>
      <c r="I10" s="171"/>
      <c r="J10" s="171"/>
      <c r="K10" s="171"/>
      <c r="L10" s="4"/>
    </row>
    <row r="11" spans="1:17" ht="15" thickTop="1" x14ac:dyDescent="0.2">
      <c r="D11" s="332" t="s">
        <v>401</v>
      </c>
      <c r="E11" s="333"/>
      <c r="F11" s="333"/>
      <c r="G11" s="333"/>
      <c r="H11" s="334"/>
      <c r="I11" s="4"/>
      <c r="J11" s="4"/>
      <c r="K11" s="4"/>
    </row>
    <row r="12" spans="1:17" ht="15" x14ac:dyDescent="0.25">
      <c r="D12" s="186" t="s">
        <v>2</v>
      </c>
      <c r="E12" s="172" t="s">
        <v>3</v>
      </c>
      <c r="F12" s="172" t="s">
        <v>4</v>
      </c>
      <c r="G12" s="172" t="s">
        <v>398</v>
      </c>
      <c r="H12" s="187" t="s">
        <v>6</v>
      </c>
    </row>
    <row r="13" spans="1:17" x14ac:dyDescent="0.2">
      <c r="D13" s="188">
        <f>A8/G8</f>
        <v>1</v>
      </c>
      <c r="E13" s="185">
        <f t="shared" ref="E13:H13" si="0">B8/H8</f>
        <v>1</v>
      </c>
      <c r="F13" s="185">
        <f t="shared" si="0"/>
        <v>1</v>
      </c>
      <c r="G13" s="185">
        <f t="shared" si="0"/>
        <v>1</v>
      </c>
      <c r="H13" s="189">
        <f t="shared" si="0"/>
        <v>1</v>
      </c>
    </row>
    <row r="14" spans="1:17" ht="15" thickBot="1" x14ac:dyDescent="0.25">
      <c r="D14" s="313" t="s">
        <v>77</v>
      </c>
      <c r="E14" s="314"/>
      <c r="F14" s="315">
        <f>C9/I9</f>
        <v>1</v>
      </c>
      <c r="G14" s="315"/>
      <c r="H14" s="316"/>
    </row>
    <row r="15" spans="1:17" ht="15" thickTop="1" x14ac:dyDescent="0.2"/>
    <row r="17" spans="1:28" ht="15" x14ac:dyDescent="0.25">
      <c r="A17" s="317" t="str">
        <f>Williams_80!A1</f>
        <v>PA HOUGH, CRISTINA</v>
      </c>
      <c r="B17" s="317"/>
      <c r="C17" s="317"/>
      <c r="D17" s="317"/>
      <c r="E17" s="317"/>
      <c r="F17" s="317"/>
      <c r="G17" s="317"/>
      <c r="H17" s="317"/>
      <c r="I17" s="317"/>
      <c r="J17" s="317"/>
      <c r="K17" s="317"/>
    </row>
    <row r="18" spans="1:28" ht="15" x14ac:dyDescent="0.25">
      <c r="A18" s="318" t="s">
        <v>400</v>
      </c>
      <c r="B18" s="319"/>
      <c r="C18" s="319"/>
      <c r="D18" s="319"/>
      <c r="E18" s="320"/>
      <c r="G18" s="325" t="s">
        <v>399</v>
      </c>
      <c r="H18" s="326"/>
      <c r="I18" s="326"/>
      <c r="J18" s="326"/>
      <c r="K18" s="327"/>
    </row>
    <row r="19" spans="1:28" ht="15" x14ac:dyDescent="0.25">
      <c r="A19" s="172" t="s">
        <v>2</v>
      </c>
      <c r="B19" s="173" t="s">
        <v>3</v>
      </c>
      <c r="C19" s="174" t="s">
        <v>4</v>
      </c>
      <c r="D19" s="175" t="s">
        <v>398</v>
      </c>
      <c r="E19" s="176" t="s">
        <v>6</v>
      </c>
      <c r="G19" s="181" t="s">
        <v>2</v>
      </c>
      <c r="H19" s="182" t="s">
        <v>3</v>
      </c>
      <c r="I19" s="182" t="s">
        <v>4</v>
      </c>
      <c r="J19" s="183" t="s">
        <v>398</v>
      </c>
      <c r="K19" s="183" t="s">
        <v>6</v>
      </c>
    </row>
    <row r="20" spans="1:28" x14ac:dyDescent="0.2">
      <c r="A20" s="177">
        <f>COUNTIF(Williams_80!B5:B31,"24HR")+COUNTIF(Williams_80!B5:B31,"FTR")+COUNTIF(Williams_80!B5:B31,"SPEC")+COUNTIF(Williams_80!B5:B31,"PROC")+COUNTIF(Williams_80!B5:B31,"GRP")</f>
        <v>18</v>
      </c>
      <c r="B20" s="177">
        <f>COUNTIF(Williams_80!F5:F31,"24HR")+COUNTIF(Williams_80!F5:F31,"FTR")+COUNTIF(Williams_80!F5:F31,"SPEC")+COUNTIF(Williams_80!F5:F31,"PROC")+COUNTIF(Williams_80!F5:F31,"GRP")</f>
        <v>18</v>
      </c>
      <c r="C20" s="177">
        <f>COUNTIF(Williams_80!J5:J31,"24HR")+COUNTIF(Williams_80!J5:J31,"FTR")+COUNTIF(Williams_80!J5:J31,"SPEC")+COUNTIF(Williams_80!J5:J31,"PROC")+COUNTIF(Williams_80!J5:J31,"GRP")</f>
        <v>18</v>
      </c>
      <c r="D20" s="177">
        <f>COUNTIF(Williams_80!N5:N31,"24HR")+COUNTIF(Williams_80!N5:N31,"FTR")+COUNTIF(Williams_80!N5:N31,"SPEC")+COUNTIF(Williams_80!N5:N31,"PROC")+COUNTIF(Williams_80!N5:N31,"GRP")</f>
        <v>12</v>
      </c>
      <c r="E20" s="144">
        <f>COUNTIF(Williams_80!R5:R31,"24HR")+COUNTIF(Williams_80!R5:R31,"FTR")+COUNTIF(Williams_80!R5:R31,"SPEC")+COUNTIF(Williams_80!R5:R31,"PROC")+COUNTIF(Williams_80!R5:R31,"GRP")</f>
        <v>14</v>
      </c>
      <c r="G20" s="144">
        <f>Williams_80!B39</f>
        <v>18</v>
      </c>
      <c r="H20" s="178">
        <f>Williams_80!F39</f>
        <v>18</v>
      </c>
      <c r="I20" s="179">
        <f>Williams_80!J39</f>
        <v>18</v>
      </c>
      <c r="J20" s="144">
        <f>Williams_80!N39</f>
        <v>12</v>
      </c>
      <c r="K20" s="180">
        <f>Williams_80!R39</f>
        <v>14</v>
      </c>
    </row>
    <row r="21" spans="1:28" x14ac:dyDescent="0.2">
      <c r="A21" s="321" t="s">
        <v>77</v>
      </c>
      <c r="B21" s="322"/>
      <c r="C21" s="321">
        <f>SUM(A20:E20)</f>
        <v>80</v>
      </c>
      <c r="D21" s="323"/>
      <c r="E21" s="324"/>
      <c r="G21" s="328" t="s">
        <v>77</v>
      </c>
      <c r="H21" s="329"/>
      <c r="I21" s="328">
        <f>SUM(G20:K20)</f>
        <v>80</v>
      </c>
      <c r="J21" s="330"/>
      <c r="K21" s="331"/>
      <c r="X21" s="25"/>
      <c r="Y21" s="25"/>
      <c r="Z21" s="25"/>
      <c r="AA21" s="25"/>
      <c r="AB21" s="25"/>
    </row>
    <row r="22" spans="1:28" ht="15" thickBot="1" x14ac:dyDescent="0.25">
      <c r="X22" s="25"/>
      <c r="Y22" s="25"/>
      <c r="Z22" s="25"/>
      <c r="AA22" s="25"/>
      <c r="AB22" s="25"/>
    </row>
    <row r="23" spans="1:28" ht="15" customHeight="1" thickTop="1" x14ac:dyDescent="0.25">
      <c r="D23" s="332" t="s">
        <v>401</v>
      </c>
      <c r="E23" s="333"/>
      <c r="F23" s="333"/>
      <c r="G23" s="333"/>
      <c r="H23" s="334"/>
      <c r="X23" s="72"/>
      <c r="Y23" s="72"/>
      <c r="Z23" s="72"/>
      <c r="AA23" s="72"/>
      <c r="AB23" s="25"/>
    </row>
    <row r="24" spans="1:28" ht="15" customHeight="1" x14ac:dyDescent="0.25">
      <c r="D24" s="186" t="s">
        <v>2</v>
      </c>
      <c r="E24" s="172" t="s">
        <v>3</v>
      </c>
      <c r="F24" s="172" t="s">
        <v>4</v>
      </c>
      <c r="G24" s="172" t="s">
        <v>398</v>
      </c>
      <c r="H24" s="187" t="s">
        <v>6</v>
      </c>
      <c r="X24" s="25"/>
      <c r="Y24" s="25"/>
      <c r="Z24" s="25"/>
      <c r="AA24" s="25"/>
      <c r="AB24" s="25"/>
    </row>
    <row r="25" spans="1:28" ht="15" customHeight="1" x14ac:dyDescent="0.2">
      <c r="D25" s="188">
        <f>A20/G20</f>
        <v>1</v>
      </c>
      <c r="E25" s="185">
        <f t="shared" ref="E25" si="1">B20/H20</f>
        <v>1</v>
      </c>
      <c r="F25" s="185">
        <f t="shared" ref="F25" si="2">C20/I20</f>
        <v>1</v>
      </c>
      <c r="G25" s="185">
        <f t="shared" ref="G25" si="3">D20/J20</f>
        <v>1</v>
      </c>
      <c r="H25" s="189">
        <f t="shared" ref="H25" si="4">E20/K20</f>
        <v>1</v>
      </c>
      <c r="X25" s="25"/>
      <c r="Y25" s="25"/>
      <c r="Z25" s="25"/>
      <c r="AA25" s="25"/>
      <c r="AB25" s="25"/>
    </row>
    <row r="26" spans="1:28" ht="15" customHeight="1" thickBot="1" x14ac:dyDescent="0.25">
      <c r="D26" s="313" t="s">
        <v>77</v>
      </c>
      <c r="E26" s="314"/>
      <c r="F26" s="315">
        <f>C21/I21</f>
        <v>1</v>
      </c>
      <c r="G26" s="315"/>
      <c r="H26" s="316"/>
      <c r="X26" s="25"/>
      <c r="Y26" s="25"/>
      <c r="Z26" s="25"/>
      <c r="AA26" s="25"/>
      <c r="AB26" s="25"/>
    </row>
    <row r="27" spans="1:28" ht="15" customHeight="1" thickTop="1" x14ac:dyDescent="0.2">
      <c r="X27" s="25"/>
      <c r="Y27" s="25"/>
      <c r="Z27" s="25"/>
      <c r="AA27" s="25"/>
      <c r="AB27" s="25"/>
    </row>
    <row r="28" spans="1:28" ht="15" customHeight="1" x14ac:dyDescent="0.2"/>
    <row r="29" spans="1:28" ht="15" customHeight="1" x14ac:dyDescent="0.25">
      <c r="A29" s="317" t="str">
        <f>Holzer_72!A1</f>
        <v>DR HOLZER, ROBIN</v>
      </c>
      <c r="B29" s="317"/>
      <c r="C29" s="317"/>
      <c r="D29" s="317"/>
      <c r="E29" s="317"/>
      <c r="F29" s="317"/>
      <c r="G29" s="317"/>
      <c r="H29" s="317"/>
      <c r="I29" s="317"/>
      <c r="J29" s="317"/>
      <c r="K29" s="317"/>
    </row>
    <row r="30" spans="1:28" ht="15" customHeight="1" x14ac:dyDescent="0.25">
      <c r="A30" s="318" t="s">
        <v>400</v>
      </c>
      <c r="B30" s="319"/>
      <c r="C30" s="319"/>
      <c r="D30" s="319"/>
      <c r="E30" s="320"/>
      <c r="G30" s="325" t="s">
        <v>399</v>
      </c>
      <c r="H30" s="326"/>
      <c r="I30" s="326"/>
      <c r="J30" s="326"/>
      <c r="K30" s="327"/>
    </row>
    <row r="31" spans="1:28" ht="15" customHeight="1" x14ac:dyDescent="0.25">
      <c r="A31" s="172" t="s">
        <v>2</v>
      </c>
      <c r="B31" s="173" t="s">
        <v>3</v>
      </c>
      <c r="C31" s="174" t="s">
        <v>4</v>
      </c>
      <c r="D31" s="175" t="s">
        <v>398</v>
      </c>
      <c r="E31" s="176" t="s">
        <v>6</v>
      </c>
      <c r="G31" s="181" t="s">
        <v>2</v>
      </c>
      <c r="H31" s="182" t="s">
        <v>3</v>
      </c>
      <c r="I31" s="182" t="s">
        <v>4</v>
      </c>
      <c r="J31" s="183" t="s">
        <v>398</v>
      </c>
      <c r="K31" s="183" t="s">
        <v>6</v>
      </c>
    </row>
    <row r="32" spans="1:28" ht="15" customHeight="1" x14ac:dyDescent="0.2">
      <c r="A32" s="177">
        <f>COUNTIF(Holzer_72!B5:B31,"24HR")+COUNTIF(Holzer_72!F5:F31,"FTR")+COUNTIF(Holzer_72!J5:J31,"SPEC")+COUNTIF(Holzer_72!N5:N31,"PROC")+COUNTIF(Holzer_72!R5:R31,"GRP")</f>
        <v>17</v>
      </c>
      <c r="B32" s="177">
        <f>COUNTIF(Holzer_72!F5:F31,"24HR")+COUNTIF(Holzer_72!F5:F31,"FTR")+COUNTIF(Holzer_72!F5:F31,"SPEC")+COUNTIF(Holzer_72!F5:F31,"PROC")+COUNTIF(Holzer_72!F5:F31,"GRP")</f>
        <v>16</v>
      </c>
      <c r="C32" s="177">
        <f>COUNTIF(Holzer_72!J5:J31,"24HR")+COUNTIF(Holzer_72!J5:J31,"FTR")+COUNTIF(Holzer_72!J5:J31,"SPEC")+COUNTIF(Holzer_72!J5:J31,"PROC")+COUNTIF(Holzer_72!J5:J31,"GRP")</f>
        <v>16</v>
      </c>
      <c r="D32" s="177">
        <f>COUNTIF(Holzer_72!N5:N31,"24HR")+COUNTIF(Holzer_72!N5:N31,"FTR")+COUNTIF(Holzer_72!N5:N31,"SPEC")+COUNTIF(Holzer_72!N5:N31,"PROC")+COUNTIF(Holzer_72!N5:N31,"GRP")</f>
        <v>9</v>
      </c>
      <c r="E32" s="144">
        <f>COUNTIF(Holzer_72!R5:R31,"24HR")+COUNTIF(Holzer_72!R5:R31,"FTR")+COUNTIF(Holzer_72!R5:R31,"SPEC")+COUNTIF(Holzer_72!R5:R31,"PROC")+COUNTIF(Holzer_72!R5:R31,"GRP")</f>
        <v>14</v>
      </c>
      <c r="G32" s="144">
        <f>Holzer_72!B39</f>
        <v>16</v>
      </c>
      <c r="H32" s="178">
        <f>Holzer_72!F39</f>
        <v>16</v>
      </c>
      <c r="I32" s="179">
        <f>Holzer_72!J39</f>
        <v>16</v>
      </c>
      <c r="J32" s="144">
        <f>Holzer_72!N39</f>
        <v>9</v>
      </c>
      <c r="K32" s="180">
        <f>Holzer_72!R39</f>
        <v>14</v>
      </c>
    </row>
    <row r="33" spans="1:11" x14ac:dyDescent="0.2">
      <c r="A33" s="321" t="s">
        <v>77</v>
      </c>
      <c r="B33" s="322"/>
      <c r="C33" s="321">
        <f>SUM(A32:E32)</f>
        <v>72</v>
      </c>
      <c r="D33" s="323"/>
      <c r="E33" s="324"/>
      <c r="G33" s="328" t="s">
        <v>77</v>
      </c>
      <c r="H33" s="329"/>
      <c r="I33" s="328">
        <f>SUM(G32:K32)</f>
        <v>71</v>
      </c>
      <c r="J33" s="330"/>
      <c r="K33" s="331"/>
    </row>
    <row r="34" spans="1:11" ht="15" thickBot="1" x14ac:dyDescent="0.25"/>
    <row r="35" spans="1:11" ht="15" thickTop="1" x14ac:dyDescent="0.2">
      <c r="D35" s="332" t="s">
        <v>401</v>
      </c>
      <c r="E35" s="333"/>
      <c r="F35" s="333"/>
      <c r="G35" s="333"/>
      <c r="H35" s="334"/>
    </row>
    <row r="36" spans="1:11" ht="15" x14ac:dyDescent="0.25">
      <c r="D36" s="186" t="s">
        <v>2</v>
      </c>
      <c r="E36" s="172" t="s">
        <v>3</v>
      </c>
      <c r="F36" s="172" t="s">
        <v>4</v>
      </c>
      <c r="G36" s="172" t="s">
        <v>398</v>
      </c>
      <c r="H36" s="187" t="s">
        <v>6</v>
      </c>
    </row>
    <row r="37" spans="1:11" x14ac:dyDescent="0.2">
      <c r="D37" s="188">
        <f>A32/G32</f>
        <v>1.0625</v>
      </c>
      <c r="E37" s="185">
        <f t="shared" ref="E37" si="5">B32/H32</f>
        <v>1</v>
      </c>
      <c r="F37" s="185">
        <f t="shared" ref="F37" si="6">C32/I32</f>
        <v>1</v>
      </c>
      <c r="G37" s="185">
        <f t="shared" ref="G37" si="7">D32/J32</f>
        <v>1</v>
      </c>
      <c r="H37" s="189">
        <f t="shared" ref="H37" si="8">E32/K32</f>
        <v>1</v>
      </c>
    </row>
    <row r="38" spans="1:11" ht="15" thickBot="1" x14ac:dyDescent="0.25">
      <c r="D38" s="313" t="s">
        <v>77</v>
      </c>
      <c r="E38" s="314"/>
      <c r="F38" s="315">
        <f>C33/I33</f>
        <v>1.0140845070422535</v>
      </c>
      <c r="G38" s="315"/>
      <c r="H38" s="316"/>
    </row>
    <row r="39" spans="1:11" ht="15" customHeight="1" thickTop="1" x14ac:dyDescent="0.2"/>
    <row r="40" spans="1:11" ht="15" customHeight="1" x14ac:dyDescent="0.2"/>
    <row r="41" spans="1:11" ht="15" customHeight="1" x14ac:dyDescent="0.25">
      <c r="A41" s="317" t="str">
        <f>Brown_80!A1</f>
        <v>PA BROWN, THOMAS</v>
      </c>
      <c r="B41" s="317"/>
      <c r="C41" s="317"/>
      <c r="D41" s="317"/>
      <c r="E41" s="317"/>
      <c r="F41" s="317"/>
      <c r="G41" s="317"/>
      <c r="H41" s="317"/>
      <c r="I41" s="317"/>
      <c r="J41" s="317"/>
      <c r="K41" s="317"/>
    </row>
    <row r="42" spans="1:11" ht="15" customHeight="1" x14ac:dyDescent="0.25">
      <c r="A42" s="318" t="s">
        <v>400</v>
      </c>
      <c r="B42" s="319"/>
      <c r="C42" s="319"/>
      <c r="D42" s="319"/>
      <c r="E42" s="320"/>
      <c r="G42" s="325" t="s">
        <v>399</v>
      </c>
      <c r="H42" s="326"/>
      <c r="I42" s="326"/>
      <c r="J42" s="326"/>
      <c r="K42" s="327"/>
    </row>
    <row r="43" spans="1:11" ht="15.75" customHeight="1" x14ac:dyDescent="0.25">
      <c r="A43" s="172" t="s">
        <v>2</v>
      </c>
      <c r="B43" s="172" t="s">
        <v>3</v>
      </c>
      <c r="C43" s="172" t="s">
        <v>4</v>
      </c>
      <c r="D43" s="172" t="s">
        <v>398</v>
      </c>
      <c r="E43" s="172" t="s">
        <v>6</v>
      </c>
      <c r="G43" s="181" t="s">
        <v>2</v>
      </c>
      <c r="H43" s="182" t="s">
        <v>3</v>
      </c>
      <c r="I43" s="182" t="s">
        <v>4</v>
      </c>
      <c r="J43" s="183" t="s">
        <v>398</v>
      </c>
      <c r="K43" s="183" t="s">
        <v>6</v>
      </c>
    </row>
    <row r="44" spans="1:11" x14ac:dyDescent="0.2">
      <c r="A44" s="144">
        <f>COUNTIF(Brown_80!B5:B31,"24HR")+COUNTIF(Brown_80!B5:B31,"FTR")+COUNTIF(Brown_80!B5:B31,"SPEC")+COUNTIF(Brown_80!B5:B31,"PROC")+COUNTIF(Brown_80!B5:B31,"GRP")</f>
        <v>15</v>
      </c>
      <c r="B44" s="144">
        <f>COUNTIF(Brown_80!F5:F31,"24HR")+COUNTIF(Brown_80!F5:F31,"FTR")+COUNTIF(Brown_80!F5:F31,"SPEC")+COUNTIF(Brown_80!F5:F31,"PROC")+COUNTIF(Brown_80!F5:F31,"GRP")</f>
        <v>15</v>
      </c>
      <c r="C44" s="144">
        <f>COUNTIF(Brown_80!J5:J31,"24HR")+COUNTIF(Brown_80!J5:J31,"FTR")+COUNTIF(Brown_80!J5:J31,"SPEC")+COUNTIF(Brown_80!J5:J31,"PROC")+COUNTIF(Brown_80!J5:J31,"GRP")</f>
        <v>15</v>
      </c>
      <c r="D44" s="144">
        <f>COUNTIF(Brown_80!N5:N31,"24HR")+COUNTIF(Brown_80!N5:N31,"FTR")+COUNTIF(Brown_80!N5:N31,"SPEC")+COUNTIF(Brown_80!N5:N31,"PROC")+COUNTIF(Brown_80!N5:N31,"GRP")</f>
        <v>15</v>
      </c>
      <c r="E44" s="144">
        <f>COUNTIF(Brown_80!R5:R31,"24HR")+COUNTIF(Brown_80!R5:R31,"FTR")+COUNTIF(Brown_80!R5:R31,"SPEC")+COUNTIF(Brown_80!R5:R31,"PROC")+COUNTIF(Brown_80!R5:R31,"GRP")</f>
        <v>15</v>
      </c>
      <c r="G44" s="144">
        <f>Brown_80!B39</f>
        <v>15</v>
      </c>
      <c r="H44" s="144">
        <f>Brown_80!F39</f>
        <v>15</v>
      </c>
      <c r="I44" s="144">
        <f>Brown_80!J39</f>
        <v>15</v>
      </c>
      <c r="J44" s="144">
        <f>Brown_80!N39</f>
        <v>15</v>
      </c>
      <c r="K44" s="144">
        <f>Brown_80!R39</f>
        <v>15</v>
      </c>
    </row>
    <row r="45" spans="1:11" ht="15" customHeight="1" x14ac:dyDescent="0.2">
      <c r="A45" s="251" t="s">
        <v>77</v>
      </c>
      <c r="B45" s="251"/>
      <c r="C45" s="251">
        <f>SUM(A44:E44)</f>
        <v>75</v>
      </c>
      <c r="D45" s="251"/>
      <c r="E45" s="251"/>
      <c r="G45" s="328" t="s">
        <v>77</v>
      </c>
      <c r="H45" s="329"/>
      <c r="I45" s="328">
        <f>SUM(G44:K44)</f>
        <v>75</v>
      </c>
      <c r="J45" s="330"/>
      <c r="K45" s="331"/>
    </row>
    <row r="46" spans="1:11" ht="15" customHeight="1" thickBot="1" x14ac:dyDescent="0.25"/>
    <row r="47" spans="1:11" ht="15" customHeight="1" thickTop="1" x14ac:dyDescent="0.2">
      <c r="D47" s="332" t="s">
        <v>401</v>
      </c>
      <c r="E47" s="333"/>
      <c r="F47" s="333"/>
      <c r="G47" s="333"/>
      <c r="H47" s="334"/>
    </row>
    <row r="48" spans="1:11" ht="15.75" customHeight="1" x14ac:dyDescent="0.25">
      <c r="D48" s="186" t="s">
        <v>2</v>
      </c>
      <c r="E48" s="172" t="s">
        <v>3</v>
      </c>
      <c r="F48" s="172" t="s">
        <v>4</v>
      </c>
      <c r="G48" s="172" t="s">
        <v>398</v>
      </c>
      <c r="H48" s="187" t="s">
        <v>6</v>
      </c>
    </row>
    <row r="49" spans="1:11" x14ac:dyDescent="0.2">
      <c r="D49" s="188">
        <f>A44/G44</f>
        <v>1</v>
      </c>
      <c r="E49" s="185">
        <f t="shared" ref="E49" si="9">B44/H44</f>
        <v>1</v>
      </c>
      <c r="F49" s="185">
        <f t="shared" ref="F49" si="10">C44/I44</f>
        <v>1</v>
      </c>
      <c r="G49" s="185">
        <f t="shared" ref="G49" si="11">D44/J44</f>
        <v>1</v>
      </c>
      <c r="H49" s="189">
        <f t="shared" ref="H49" si="12">E44/K44</f>
        <v>1</v>
      </c>
    </row>
    <row r="50" spans="1:11" ht="15.75" customHeight="1" thickBot="1" x14ac:dyDescent="0.25">
      <c r="D50" s="313" t="s">
        <v>77</v>
      </c>
      <c r="E50" s="314"/>
      <c r="F50" s="315">
        <f>C45/I45</f>
        <v>1</v>
      </c>
      <c r="G50" s="315"/>
      <c r="H50" s="316"/>
    </row>
    <row r="51" spans="1:11" ht="15" customHeight="1" thickTop="1" x14ac:dyDescent="0.2"/>
    <row r="52" spans="1:11" ht="15.75" customHeight="1" x14ac:dyDescent="0.2"/>
    <row r="53" spans="1:11" ht="15" x14ac:dyDescent="0.25">
      <c r="A53" s="335" t="s">
        <v>1</v>
      </c>
      <c r="B53" s="335"/>
      <c r="C53" s="335"/>
      <c r="D53" s="335"/>
      <c r="E53" s="335"/>
      <c r="F53" s="335"/>
      <c r="G53" s="335"/>
      <c r="H53" s="335"/>
      <c r="I53" s="335"/>
      <c r="J53" s="335"/>
      <c r="K53" s="335"/>
    </row>
    <row r="54" spans="1:11" ht="15" x14ac:dyDescent="0.25">
      <c r="A54" s="318" t="s">
        <v>400</v>
      </c>
      <c r="B54" s="319"/>
      <c r="C54" s="319"/>
      <c r="D54" s="319"/>
      <c r="E54" s="320"/>
      <c r="G54" s="325" t="s">
        <v>399</v>
      </c>
      <c r="H54" s="326"/>
      <c r="I54" s="326"/>
      <c r="J54" s="326"/>
      <c r="K54" s="327"/>
    </row>
    <row r="55" spans="1:11" ht="15" x14ac:dyDescent="0.25">
      <c r="A55" s="172" t="s">
        <v>2</v>
      </c>
      <c r="B55" s="172" t="s">
        <v>3</v>
      </c>
      <c r="C55" s="172" t="s">
        <v>4</v>
      </c>
      <c r="D55" s="172" t="s">
        <v>398</v>
      </c>
      <c r="E55" s="172" t="s">
        <v>6</v>
      </c>
      <c r="G55" s="181" t="s">
        <v>2</v>
      </c>
      <c r="H55" s="182" t="s">
        <v>3</v>
      </c>
      <c r="I55" s="182" t="s">
        <v>4</v>
      </c>
      <c r="J55" s="183" t="s">
        <v>398</v>
      </c>
      <c r="K55" s="183" t="s">
        <v>6</v>
      </c>
    </row>
    <row r="56" spans="1:11" x14ac:dyDescent="0.2">
      <c r="A56" s="144">
        <f>SUM(A44,A32,A20,A8)</f>
        <v>68</v>
      </c>
      <c r="B56" s="144">
        <f t="shared" ref="B56:E56" si="13">SUM(B44,B32,B20,B8)</f>
        <v>62</v>
      </c>
      <c r="C56" s="144">
        <f t="shared" si="13"/>
        <v>67</v>
      </c>
      <c r="D56" s="144">
        <f t="shared" si="13"/>
        <v>44</v>
      </c>
      <c r="E56" s="144">
        <f t="shared" si="13"/>
        <v>58</v>
      </c>
      <c r="G56" s="144">
        <f>SUM(G44,G32,G20,G8)</f>
        <v>67</v>
      </c>
      <c r="H56" s="144">
        <f t="shared" ref="H56:K56" si="14">SUM(H44,H32,H20,H8)</f>
        <v>62</v>
      </c>
      <c r="I56" s="144">
        <f t="shared" si="14"/>
        <v>67</v>
      </c>
      <c r="J56" s="144">
        <f t="shared" si="14"/>
        <v>44</v>
      </c>
      <c r="K56" s="144">
        <f t="shared" si="14"/>
        <v>58</v>
      </c>
    </row>
    <row r="57" spans="1:11" x14ac:dyDescent="0.2">
      <c r="A57" s="251" t="s">
        <v>77</v>
      </c>
      <c r="B57" s="251"/>
      <c r="C57" s="251">
        <f>SUM(A56:E56)</f>
        <v>299</v>
      </c>
      <c r="D57" s="251"/>
      <c r="E57" s="251"/>
      <c r="G57" s="328" t="s">
        <v>77</v>
      </c>
      <c r="H57" s="329"/>
      <c r="I57" s="328">
        <f>SUM(G56:K56)</f>
        <v>298</v>
      </c>
      <c r="J57" s="330"/>
      <c r="K57" s="331"/>
    </row>
    <row r="58" spans="1:11" ht="15" thickBot="1" x14ac:dyDescent="0.25"/>
    <row r="59" spans="1:11" ht="15" thickTop="1" x14ac:dyDescent="0.2">
      <c r="D59" s="332" t="s">
        <v>401</v>
      </c>
      <c r="E59" s="333"/>
      <c r="F59" s="333"/>
      <c r="G59" s="333"/>
      <c r="H59" s="334"/>
    </row>
    <row r="60" spans="1:11" ht="15" x14ac:dyDescent="0.25">
      <c r="D60" s="186" t="s">
        <v>2</v>
      </c>
      <c r="E60" s="172" t="s">
        <v>3</v>
      </c>
      <c r="F60" s="172" t="s">
        <v>4</v>
      </c>
      <c r="G60" s="172" t="s">
        <v>398</v>
      </c>
      <c r="H60" s="187" t="s">
        <v>6</v>
      </c>
    </row>
    <row r="61" spans="1:11" x14ac:dyDescent="0.2">
      <c r="D61" s="188">
        <f>A56/G56</f>
        <v>1.0149253731343284</v>
      </c>
      <c r="E61" s="185">
        <f t="shared" ref="E61" si="15">B56/H56</f>
        <v>1</v>
      </c>
      <c r="F61" s="185">
        <f t="shared" ref="F61" si="16">C56/I56</f>
        <v>1</v>
      </c>
      <c r="G61" s="185">
        <f t="shared" ref="G61" si="17">D56/J56</f>
        <v>1</v>
      </c>
      <c r="H61" s="189">
        <f t="shared" ref="H61" si="18">E56/K56</f>
        <v>1</v>
      </c>
    </row>
    <row r="62" spans="1:11" ht="15" thickBot="1" x14ac:dyDescent="0.25">
      <c r="D62" s="313" t="s">
        <v>77</v>
      </c>
      <c r="E62" s="314"/>
      <c r="F62" s="315">
        <f>C57/I57</f>
        <v>1.0033557046979866</v>
      </c>
      <c r="G62" s="315"/>
      <c r="H62" s="316"/>
    </row>
    <row r="63" spans="1:11" ht="15" thickTop="1" x14ac:dyDescent="0.2"/>
    <row r="89" ht="1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sheetData>
  <mergeCells count="61">
    <mergeCell ref="N3:Q4"/>
    <mergeCell ref="M5:M6"/>
    <mergeCell ref="N5:Q6"/>
    <mergeCell ref="H1:K2"/>
    <mergeCell ref="A3:F3"/>
    <mergeCell ref="A5:K5"/>
    <mergeCell ref="A6:E6"/>
    <mergeCell ref="G6:K6"/>
    <mergeCell ref="A1:B1"/>
    <mergeCell ref="A2:B2"/>
    <mergeCell ref="C1:F1"/>
    <mergeCell ref="C2:F2"/>
    <mergeCell ref="M1:Q2"/>
    <mergeCell ref="M3:M4"/>
    <mergeCell ref="D23:H23"/>
    <mergeCell ref="D26:E26"/>
    <mergeCell ref="F26:H26"/>
    <mergeCell ref="A29:K29"/>
    <mergeCell ref="A30:E30"/>
    <mergeCell ref="G30:K30"/>
    <mergeCell ref="A33:B33"/>
    <mergeCell ref="C33:E33"/>
    <mergeCell ref="G33:H33"/>
    <mergeCell ref="I33:K33"/>
    <mergeCell ref="D62:E62"/>
    <mergeCell ref="F62:H62"/>
    <mergeCell ref="A45:B45"/>
    <mergeCell ref="C45:E45"/>
    <mergeCell ref="G45:H45"/>
    <mergeCell ref="I45:K45"/>
    <mergeCell ref="D47:H47"/>
    <mergeCell ref="D50:E50"/>
    <mergeCell ref="F50:H50"/>
    <mergeCell ref="A53:K53"/>
    <mergeCell ref="A57:B57"/>
    <mergeCell ref="C57:E57"/>
    <mergeCell ref="G57:H57"/>
    <mergeCell ref="I57:K57"/>
    <mergeCell ref="D59:H59"/>
    <mergeCell ref="A54:E54"/>
    <mergeCell ref="G54:K54"/>
    <mergeCell ref="D35:H35"/>
    <mergeCell ref="D38:E38"/>
    <mergeCell ref="F38:H38"/>
    <mergeCell ref="A41:K41"/>
    <mergeCell ref="A42:E42"/>
    <mergeCell ref="G42:K42"/>
    <mergeCell ref="A9:B9"/>
    <mergeCell ref="C9:E9"/>
    <mergeCell ref="G9:H9"/>
    <mergeCell ref="I9:K9"/>
    <mergeCell ref="D11:H11"/>
    <mergeCell ref="D14:E14"/>
    <mergeCell ref="F14:H14"/>
    <mergeCell ref="A17:K17"/>
    <mergeCell ref="A18:E18"/>
    <mergeCell ref="A21:B21"/>
    <mergeCell ref="C21:E21"/>
    <mergeCell ref="G18:K18"/>
    <mergeCell ref="G21:H21"/>
    <mergeCell ref="I21:K21"/>
  </mergeCells>
  <conditionalFormatting sqref="D13:H13 F14:H14 D25:H25 F26:H26 D37:H37 F38:H38 D49:H49 F50:H50 D61:H61 F62:H62">
    <cfRule type="cellIs" dxfId="47" priority="32" operator="lessThan">
      <formula>1</formula>
    </cfRule>
    <cfRule type="cellIs" dxfId="46" priority="33" operator="equal">
      <formula>1</formula>
    </cfRule>
  </conditionalFormatting>
  <conditionalFormatting sqref="A56">
    <cfRule type="expression" dxfId="45" priority="7">
      <formula>"OR(Fleming_64!$B$39&gt;0,Hough_80!$B$39&gt;0,Holzer_72!$B$39&gt;0,Brown_80!$B$39&gt;0)"</formula>
    </cfRule>
  </conditionalFormatting>
  <dataValidations count="2">
    <dataValidation type="list" allowBlank="1" showDropDown="1" showInputMessage="1" showErrorMessage="1" sqref="P14">
      <formula1>$R$14:$R$16</formula1>
    </dataValidation>
    <dataValidation type="list" allowBlank="1" showDropDown="1" showInputMessage="1" showErrorMessage="1" sqref="N11:N14 N20:N26">
      <formula1>$Q$14:$Q$16</formula1>
    </dataValidation>
  </dataValidations>
  <hyperlinks>
    <hyperlink ref="A5:K5" location="Fleming_64!A1" display="Fleming_64!A1"/>
    <hyperlink ref="A17:K17" location="Hough_80!A1" display="Hough_80!A1"/>
    <hyperlink ref="A29:K29" location="Holzer_72!A1" display="Holzer_72!A1"/>
    <hyperlink ref="A41:K41" location="Brown_80!A1" display="Brown_80!A1"/>
  </hyperlinks>
  <pageMargins left="0.7" right="0.7" top="0.75" bottom="0.75" header="0.3" footer="0.3"/>
  <pageSetup orientation="portrait" horizontalDpi="1200" verticalDpi="1200" r:id="rId1"/>
  <drawing r:id="rId2"/>
  <extLst>
    <ext xmlns:x14="http://schemas.microsoft.com/office/spreadsheetml/2009/9/main" uri="{78C0D931-6437-407d-A8EE-F0AAD7539E65}">
      <x14:conditionalFormattings>
        <x14:conditionalFormatting xmlns:xm="http://schemas.microsoft.com/office/excel/2006/main">
          <x14:cfRule type="expression" priority="918" id="{4BD32346-EBC9-4C6C-B9E3-5B849E22DEDA}">
            <xm:f>Brown_80!#REF!&gt;0</xm:f>
            <x14:dxf>
              <font>
                <b/>
                <i val="0"/>
                <color rgb="FFFF0000"/>
              </font>
            </x14:dxf>
          </x14:cfRule>
          <xm:sqref>A44</xm:sqref>
        </x14:conditionalFormatting>
        <x14:conditionalFormatting xmlns:xm="http://schemas.microsoft.com/office/excel/2006/main">
          <x14:cfRule type="expression" priority="919" id="{D81D5E94-5D22-4C2A-A065-951399EC1683}">
            <xm:f>Brown_80!#REF!&gt;0</xm:f>
            <x14:dxf>
              <font>
                <b/>
                <i val="0"/>
                <color rgb="FFFF0000"/>
              </font>
            </x14:dxf>
          </x14:cfRule>
          <xm:sqref>B44</xm:sqref>
        </x14:conditionalFormatting>
        <x14:conditionalFormatting xmlns:xm="http://schemas.microsoft.com/office/excel/2006/main">
          <x14:cfRule type="expression" priority="920" id="{7D5C30A1-6DEE-4E46-9EE9-CF7DB6161D46}">
            <xm:f>Brown_80!#REF!&gt;0</xm:f>
            <x14:dxf>
              <font>
                <b/>
                <i val="0"/>
                <color rgb="FFFF0000"/>
              </font>
            </x14:dxf>
          </x14:cfRule>
          <xm:sqref>C44</xm:sqref>
        </x14:conditionalFormatting>
        <x14:conditionalFormatting xmlns:xm="http://schemas.microsoft.com/office/excel/2006/main">
          <x14:cfRule type="expression" priority="921" id="{0F504075-5923-49CD-89B1-037F620B9C88}">
            <xm:f>Brown_80!#REF!&gt;0</xm:f>
            <x14:dxf>
              <font>
                <b/>
                <i val="0"/>
                <color rgb="FFFF0000"/>
              </font>
            </x14:dxf>
          </x14:cfRule>
          <xm:sqref>D44</xm:sqref>
        </x14:conditionalFormatting>
        <x14:conditionalFormatting xmlns:xm="http://schemas.microsoft.com/office/excel/2006/main">
          <x14:cfRule type="expression" priority="922" id="{97F9B11E-576F-4C9F-A236-DDEA9FFD6D51}">
            <xm:f>Brown_80!#REF!&gt;0</xm:f>
            <x14:dxf>
              <font>
                <b/>
                <i val="0"/>
                <color rgb="FFFF0000"/>
              </font>
            </x14:dxf>
          </x14:cfRule>
          <xm:sqref>E44</xm:sqref>
        </x14:conditionalFormatting>
        <x14:conditionalFormatting xmlns:xm="http://schemas.microsoft.com/office/excel/2006/main">
          <x14:cfRule type="expression" priority="936" id="{32551D6E-6591-43F2-9A14-CE52CDDF9B45}">
            <xm:f>Fleming_64!#REF!&gt;0</xm:f>
            <x14:dxf>
              <font>
                <b/>
                <i val="0"/>
                <color rgb="FFFF0000"/>
              </font>
            </x14:dxf>
          </x14:cfRule>
          <xm:sqref>A8</xm:sqref>
        </x14:conditionalFormatting>
        <x14:conditionalFormatting xmlns:xm="http://schemas.microsoft.com/office/excel/2006/main">
          <x14:cfRule type="expression" priority="937" id="{7240FE34-C0F7-4061-B407-37E6161CFC3D}">
            <xm:f>Fleming_64!#REF!&gt;0</xm:f>
            <x14:dxf>
              <font>
                <b/>
                <i val="0"/>
                <color rgb="FFFF0000"/>
              </font>
            </x14:dxf>
          </x14:cfRule>
          <xm:sqref>B8</xm:sqref>
        </x14:conditionalFormatting>
        <x14:conditionalFormatting xmlns:xm="http://schemas.microsoft.com/office/excel/2006/main">
          <x14:cfRule type="expression" priority="938" id="{8271CB08-663C-45CA-8C6B-DD16EA45F510}">
            <xm:f>Fleming_64!#REF!&gt;0</xm:f>
            <x14:dxf>
              <font>
                <b/>
                <i val="0"/>
                <color rgb="FFFF0000"/>
              </font>
            </x14:dxf>
          </x14:cfRule>
          <xm:sqref>C8</xm:sqref>
        </x14:conditionalFormatting>
        <x14:conditionalFormatting xmlns:xm="http://schemas.microsoft.com/office/excel/2006/main">
          <x14:cfRule type="expression" priority="939" id="{7B0ABC6D-E1B9-40BF-8EE9-86CDD7271FF4}">
            <xm:f>Fleming_64!#REF!&gt;0</xm:f>
            <x14:dxf>
              <font>
                <b/>
                <i val="0"/>
                <color rgb="FFFF0000"/>
              </font>
            </x14:dxf>
          </x14:cfRule>
          <xm:sqref>D8</xm:sqref>
        </x14:conditionalFormatting>
        <x14:conditionalFormatting xmlns:xm="http://schemas.microsoft.com/office/excel/2006/main">
          <x14:cfRule type="expression" priority="940" id="{F4BEA9E4-59D6-469A-AE35-40F02D728144}">
            <xm:f>Fleming_64!#REF!&gt;0</xm:f>
            <x14:dxf>
              <font>
                <b/>
                <i val="0"/>
                <color rgb="FFFF0000"/>
              </font>
            </x14:dxf>
          </x14:cfRule>
          <xm:sqref>E8</xm:sqref>
        </x14:conditionalFormatting>
        <x14:conditionalFormatting xmlns:xm="http://schemas.microsoft.com/office/excel/2006/main">
          <x14:cfRule type="expression" priority="954" id="{DF9A626B-44EC-4CB8-A835-D41665C6385A}">
            <xm:f>Williams_80!#REF!&gt;0</xm:f>
            <x14:dxf>
              <font>
                <b/>
                <i val="0"/>
                <color rgb="FFFF0000"/>
              </font>
            </x14:dxf>
          </x14:cfRule>
          <xm:sqref>A20</xm:sqref>
        </x14:conditionalFormatting>
        <x14:conditionalFormatting xmlns:xm="http://schemas.microsoft.com/office/excel/2006/main">
          <x14:cfRule type="expression" priority="955" id="{58489BC4-E8C7-4194-9E4C-CB131A1E040F}">
            <xm:f>Williams_80!#REF!&gt;0</xm:f>
            <x14:dxf>
              <font>
                <b/>
                <i val="0"/>
                <color rgb="FFFF0000"/>
              </font>
            </x14:dxf>
          </x14:cfRule>
          <xm:sqref>B20</xm:sqref>
        </x14:conditionalFormatting>
        <x14:conditionalFormatting xmlns:xm="http://schemas.microsoft.com/office/excel/2006/main">
          <x14:cfRule type="expression" priority="956" id="{7EEA99FE-9138-4E46-AA79-D5F3CF364CFC}">
            <xm:f>Williams_80!#REF!&gt;0</xm:f>
            <x14:dxf>
              <font>
                <b/>
                <i val="0"/>
                <color rgb="FFFF0000"/>
              </font>
            </x14:dxf>
          </x14:cfRule>
          <xm:sqref>C20</xm:sqref>
        </x14:conditionalFormatting>
        <x14:conditionalFormatting xmlns:xm="http://schemas.microsoft.com/office/excel/2006/main">
          <x14:cfRule type="expression" priority="957" id="{B747A3D0-9FFB-4075-80FB-71C380938C0C}">
            <xm:f>Williams_80!#REF!&gt;0</xm:f>
            <x14:dxf>
              <font>
                <b/>
                <i val="0"/>
                <color rgb="FFFF0000"/>
              </font>
            </x14:dxf>
          </x14:cfRule>
          <xm:sqref>D20</xm:sqref>
        </x14:conditionalFormatting>
        <x14:conditionalFormatting xmlns:xm="http://schemas.microsoft.com/office/excel/2006/main">
          <x14:cfRule type="expression" priority="958" id="{7FDEAA49-D188-49DE-9E8E-D6BBBE0D4ECA}">
            <xm:f>Williams_80!#REF!&gt;0</xm:f>
            <x14:dxf>
              <font>
                <b/>
                <i val="0"/>
                <color rgb="FFFF0000"/>
              </font>
            </x14:dxf>
          </x14:cfRule>
          <xm:sqref>E20</xm:sqref>
        </x14:conditionalFormatting>
        <x14:conditionalFormatting xmlns:xm="http://schemas.microsoft.com/office/excel/2006/main">
          <x14:cfRule type="expression" priority="972" id="{FBC51F30-3A59-4F14-B67D-3017B82DDD2E}">
            <xm:f>Holzer_72!#REF!&gt;0</xm:f>
            <x14:dxf>
              <font>
                <b/>
                <i val="0"/>
                <color rgb="FFFF0000"/>
              </font>
            </x14:dxf>
          </x14:cfRule>
          <xm:sqref>A32</xm:sqref>
        </x14:conditionalFormatting>
        <x14:conditionalFormatting xmlns:xm="http://schemas.microsoft.com/office/excel/2006/main">
          <x14:cfRule type="expression" priority="973" id="{8002FFF5-110E-4A12-AB93-346772A23A4F}">
            <xm:f>Holzer_72!#REF!&gt;0</xm:f>
            <x14:dxf>
              <font>
                <b/>
                <i val="0"/>
                <color rgb="FFFF0000"/>
              </font>
            </x14:dxf>
          </x14:cfRule>
          <xm:sqref>B32</xm:sqref>
        </x14:conditionalFormatting>
        <x14:conditionalFormatting xmlns:xm="http://schemas.microsoft.com/office/excel/2006/main">
          <x14:cfRule type="expression" priority="974" id="{02ACF07C-738C-4DA4-9246-9EA7EF23BE99}">
            <xm:f>Holzer_72!#REF!&gt;0</xm:f>
            <x14:dxf>
              <font>
                <b/>
                <i val="0"/>
                <color rgb="FFFF0000"/>
              </font>
            </x14:dxf>
          </x14:cfRule>
          <xm:sqref>C32</xm:sqref>
        </x14:conditionalFormatting>
        <x14:conditionalFormatting xmlns:xm="http://schemas.microsoft.com/office/excel/2006/main">
          <x14:cfRule type="expression" priority="975" id="{90738A7B-5098-4B7E-B7A7-9AF75B490737}">
            <xm:f>Holzer_72!#REF!&gt;0</xm:f>
            <x14:dxf>
              <font>
                <b/>
                <i val="0"/>
                <color rgb="FFFF0000"/>
              </font>
            </x14:dxf>
          </x14:cfRule>
          <xm:sqref>D32</xm:sqref>
        </x14:conditionalFormatting>
        <x14:conditionalFormatting xmlns:xm="http://schemas.microsoft.com/office/excel/2006/main">
          <x14:cfRule type="expression" priority="976" id="{C5E58B67-0C65-4D4C-9A41-0C0D2E6F6D52}">
            <xm:f>Holzer_72!#REF!&gt;0</xm:f>
            <x14:dxf>
              <font>
                <b/>
                <i val="0"/>
                <color rgb="FFFF0000"/>
              </font>
            </x14:dxf>
          </x14:cfRule>
          <xm:sqref>E32</xm:sqref>
        </x14:conditionalFormatting>
        <x14:conditionalFormatting xmlns:xm="http://schemas.microsoft.com/office/excel/2006/main">
          <x14:cfRule type="expression" priority="977" id="{79B30B9D-E876-4AE3-8260-B9F66146C3C2}">
            <xm:f>OR(Fleming_64!#REF!&gt;0,Williams_80!#REF!&gt;0,Holzer_72!#REF!&gt;0,Brown_80!#REF!&gt;0)</xm:f>
            <x14:dxf>
              <font>
                <b/>
                <i val="0"/>
                <color rgb="FFFF0000"/>
              </font>
            </x14:dxf>
          </x14:cfRule>
          <xm:sqref>A56</xm:sqref>
        </x14:conditionalFormatting>
        <x14:conditionalFormatting xmlns:xm="http://schemas.microsoft.com/office/excel/2006/main">
          <x14:cfRule type="expression" priority="978" id="{F59D6BD8-33ED-4DA1-87E2-7E56CED10181}">
            <xm:f>OR(Fleming_64!#REF!&gt;0,Williams_80!#REF!&gt;0,Holzer_72!#REF!&gt;0,Brown_80!#REF!&gt;0)</xm:f>
            <x14:dxf>
              <font>
                <b/>
                <i val="0"/>
                <color rgb="FFFF0000"/>
              </font>
            </x14:dxf>
          </x14:cfRule>
          <xm:sqref>B56</xm:sqref>
        </x14:conditionalFormatting>
        <x14:conditionalFormatting xmlns:xm="http://schemas.microsoft.com/office/excel/2006/main">
          <x14:cfRule type="expression" priority="979" id="{E5499F2A-9374-4CAF-B6B1-BA9F2D4F2541}">
            <xm:f>OR(Fleming_64!#REF!&gt;0,Williams_80!#REF!&gt;0,Holzer_72!#REF!&gt;0,Brown_80!#REF!&gt;0)</xm:f>
            <x14:dxf>
              <font>
                <b/>
                <i val="0"/>
                <color rgb="FFFF0000"/>
              </font>
            </x14:dxf>
          </x14:cfRule>
          <xm:sqref>C56</xm:sqref>
        </x14:conditionalFormatting>
        <x14:conditionalFormatting xmlns:xm="http://schemas.microsoft.com/office/excel/2006/main">
          <x14:cfRule type="expression" priority="980" id="{A1BDD546-F7A7-4AD5-AEDE-5E2FE685E58A}">
            <xm:f>OR(Fleming_64!#REF!&gt;0,Williams_80!#REF!&gt;0,Holzer_72!#REF!&gt;0,Brown_80!#REF!&gt;0)</xm:f>
            <x14:dxf>
              <font>
                <b/>
                <i val="0"/>
                <color rgb="FFFF0000"/>
              </font>
            </x14:dxf>
          </x14:cfRule>
          <xm:sqref>D56</xm:sqref>
        </x14:conditionalFormatting>
        <x14:conditionalFormatting xmlns:xm="http://schemas.microsoft.com/office/excel/2006/main">
          <x14:cfRule type="expression" priority="981" id="{96216140-C38E-4B25-9EE4-A6555FEDADA2}">
            <xm:f>OR(Fleming_64!#REF!&gt;0,Williams_80!#REF!&gt;0,Holzer_72!#REF!&gt;0,Brown_80!#REF!&gt;0)</xm:f>
            <x14:dxf>
              <font>
                <b/>
                <i val="0"/>
                <color rgb="FFFF0000"/>
              </font>
            </x14:dxf>
          </x14:cfRule>
          <xm:sqref>E56</xm:sqref>
        </x14:conditionalFormatting>
      </x14:conditionalFormatting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rgb="FF00B050"/>
  </sheetPr>
  <dimension ref="A1:X129"/>
  <sheetViews>
    <sheetView workbookViewId="0">
      <selection activeCell="N49" sqref="N49"/>
    </sheetView>
  </sheetViews>
  <sheetFormatPr defaultRowHeight="14.25" x14ac:dyDescent="0.2"/>
  <cols>
    <col min="1" max="1" width="7.75" style="122" customWidth="1"/>
    <col min="2" max="2" width="8.375" style="122" customWidth="1"/>
    <col min="3" max="3" width="11" style="122" customWidth="1"/>
    <col min="4" max="4" width="9.25" style="122" customWidth="1"/>
    <col min="5" max="5" width="8.375" style="122" customWidth="1"/>
    <col min="6" max="6" width="11" style="122" customWidth="1"/>
    <col min="7" max="7" width="9.25" style="122" customWidth="1"/>
    <col min="8" max="8" width="8.375" style="122" customWidth="1"/>
    <col min="9" max="9" width="11" style="122" customWidth="1"/>
    <col min="10" max="10" width="9.25" style="122" customWidth="1"/>
    <col min="11" max="11" width="6.25" style="122" customWidth="1"/>
    <col min="12" max="12" width="11.5" style="122" customWidth="1"/>
    <col min="13" max="13" width="18" style="122" customWidth="1"/>
    <col min="14" max="14" width="15.375" style="122" customWidth="1"/>
    <col min="15" max="15" width="12.875" style="122" customWidth="1"/>
    <col min="16" max="16" width="9.375" style="122" customWidth="1"/>
    <col min="17" max="17" width="9" style="122"/>
    <col min="18" max="18" width="6.25" style="122" customWidth="1"/>
    <col min="19" max="19" width="11.5" style="122" customWidth="1"/>
    <col min="20" max="20" width="11.875" style="122" customWidth="1"/>
    <col min="21" max="21" width="15.375" style="122" customWidth="1"/>
    <col min="22" max="22" width="12.875" style="122" customWidth="1"/>
    <col min="23" max="23" width="9.375" style="122" customWidth="1"/>
    <col min="24" max="16384" width="9" style="122"/>
  </cols>
  <sheetData>
    <row r="1" spans="1:17" ht="15" x14ac:dyDescent="0.25">
      <c r="A1" s="121" t="s">
        <v>59</v>
      </c>
      <c r="B1" s="368" t="s">
        <v>104</v>
      </c>
      <c r="C1" s="368"/>
      <c r="D1" s="368"/>
      <c r="F1" s="376" t="s">
        <v>361</v>
      </c>
      <c r="G1" s="376"/>
      <c r="H1" s="376"/>
      <c r="I1" s="376"/>
      <c r="J1" s="376"/>
      <c r="K1" s="376"/>
      <c r="M1" s="348" t="s">
        <v>61</v>
      </c>
      <c r="N1" s="349"/>
      <c r="O1" s="349"/>
      <c r="P1" s="349"/>
      <c r="Q1" s="350"/>
    </row>
    <row r="2" spans="1:17" ht="15" x14ac:dyDescent="0.25">
      <c r="A2" s="121" t="s">
        <v>60</v>
      </c>
      <c r="B2" s="368" t="s">
        <v>103</v>
      </c>
      <c r="C2" s="368"/>
      <c r="D2" s="368"/>
      <c r="F2" s="376"/>
      <c r="G2" s="376"/>
      <c r="H2" s="376"/>
      <c r="I2" s="376"/>
      <c r="J2" s="376"/>
      <c r="K2" s="376"/>
      <c r="M2" s="351"/>
      <c r="N2" s="352"/>
      <c r="O2" s="352"/>
      <c r="P2" s="352"/>
      <c r="Q2" s="353"/>
    </row>
    <row r="3" spans="1:17" ht="15" customHeight="1" x14ac:dyDescent="0.2">
      <c r="A3" s="123"/>
      <c r="B3" s="123"/>
      <c r="C3" s="123"/>
      <c r="D3" s="123"/>
      <c r="E3" s="123"/>
      <c r="F3" s="123"/>
      <c r="G3" s="123"/>
      <c r="H3" s="123"/>
      <c r="I3" s="123"/>
      <c r="J3" s="123"/>
      <c r="K3" s="123"/>
      <c r="L3" s="124"/>
      <c r="M3" s="357" t="s">
        <v>62</v>
      </c>
      <c r="N3" s="358" t="s">
        <v>66</v>
      </c>
      <c r="O3" s="358"/>
      <c r="P3" s="358"/>
      <c r="Q3" s="359"/>
    </row>
    <row r="4" spans="1:17" ht="15" x14ac:dyDescent="0.25">
      <c r="A4" s="369" t="str">
        <f>Fleming_64!A1</f>
        <v>NP FLEMING, JEN</v>
      </c>
      <c r="B4" s="369"/>
      <c r="C4" s="369"/>
      <c r="D4" s="369"/>
      <c r="E4" s="369"/>
      <c r="F4" s="369"/>
      <c r="G4" s="369"/>
      <c r="H4" s="369"/>
      <c r="I4" s="369"/>
      <c r="J4" s="369"/>
      <c r="K4" s="369"/>
      <c r="L4" s="124"/>
      <c r="M4" s="357"/>
      <c r="N4" s="358"/>
      <c r="O4" s="358"/>
      <c r="P4" s="358"/>
      <c r="Q4" s="359"/>
    </row>
    <row r="5" spans="1:17" ht="15" x14ac:dyDescent="0.2">
      <c r="A5" s="371" t="s">
        <v>100</v>
      </c>
      <c r="B5" s="371"/>
      <c r="C5" s="371"/>
      <c r="D5" s="371"/>
      <c r="E5" s="371"/>
      <c r="G5" s="371" t="s">
        <v>101</v>
      </c>
      <c r="H5" s="371"/>
      <c r="I5" s="371"/>
      <c r="J5" s="371"/>
      <c r="K5" s="371"/>
      <c r="L5" s="124"/>
      <c r="M5" s="360" t="s">
        <v>67</v>
      </c>
      <c r="N5" s="337" t="s">
        <v>63</v>
      </c>
      <c r="O5" s="337"/>
      <c r="P5" s="337"/>
      <c r="Q5" s="338"/>
    </row>
    <row r="6" spans="1:17" ht="15" x14ac:dyDescent="0.2">
      <c r="A6" s="125" t="s">
        <v>2</v>
      </c>
      <c r="B6" s="125" t="s">
        <v>3</v>
      </c>
      <c r="C6" s="125" t="s">
        <v>4</v>
      </c>
      <c r="D6" s="125" t="s">
        <v>5</v>
      </c>
      <c r="E6" s="125" t="s">
        <v>6</v>
      </c>
      <c r="G6" s="125" t="s">
        <v>2</v>
      </c>
      <c r="H6" s="125" t="s">
        <v>3</v>
      </c>
      <c r="I6" s="125" t="s">
        <v>4</v>
      </c>
      <c r="J6" s="125" t="s">
        <v>5</v>
      </c>
      <c r="K6" s="125" t="s">
        <v>6</v>
      </c>
      <c r="L6" s="124"/>
      <c r="M6" s="360"/>
      <c r="N6" s="337"/>
      <c r="O6" s="337"/>
      <c r="P6" s="337"/>
      <c r="Q6" s="338"/>
    </row>
    <row r="7" spans="1:17" x14ac:dyDescent="0.2">
      <c r="A7" s="126">
        <f>SUM(Fleming_64!I70:I71)</f>
        <v>1</v>
      </c>
      <c r="B7" s="126">
        <f>SUM(Fleming_64!J70:J71)</f>
        <v>0</v>
      </c>
      <c r="C7" s="126">
        <f>SUM(Fleming_64!K70:K71)</f>
        <v>1</v>
      </c>
      <c r="D7" s="126">
        <f>SUM(Fleming_64!L70:L71)</f>
        <v>0</v>
      </c>
      <c r="E7" s="126">
        <f>SUM(Fleming_64!M70:M71)</f>
        <v>0</v>
      </c>
      <c r="G7" s="126">
        <f>Fleming_64!B39</f>
        <v>18</v>
      </c>
      <c r="H7" s="126">
        <f>Fleming_64!F39</f>
        <v>13</v>
      </c>
      <c r="I7" s="126">
        <f>Fleming_64!J39</f>
        <v>18</v>
      </c>
      <c r="J7" s="126">
        <f>Fleming_64!N39</f>
        <v>8</v>
      </c>
      <c r="K7" s="126">
        <f>Fleming_64!R39</f>
        <v>15</v>
      </c>
      <c r="L7" s="124"/>
      <c r="M7" s="361" t="s">
        <v>68</v>
      </c>
      <c r="N7" s="362" t="s">
        <v>64</v>
      </c>
      <c r="O7" s="362"/>
      <c r="P7" s="362"/>
      <c r="Q7" s="363"/>
    </row>
    <row r="8" spans="1:17" x14ac:dyDescent="0.2">
      <c r="A8" s="370" t="s">
        <v>77</v>
      </c>
      <c r="B8" s="370"/>
      <c r="C8" s="370">
        <f>SUM(A7:E7)</f>
        <v>2</v>
      </c>
      <c r="D8" s="370"/>
      <c r="E8" s="370"/>
      <c r="G8" s="370" t="s">
        <v>77</v>
      </c>
      <c r="H8" s="370"/>
      <c r="I8" s="370">
        <f>SUM(G7:K7)</f>
        <v>72</v>
      </c>
      <c r="J8" s="370"/>
      <c r="K8" s="370"/>
      <c r="L8" s="124"/>
      <c r="M8" s="361"/>
      <c r="N8" s="362"/>
      <c r="O8" s="362"/>
      <c r="P8" s="362"/>
      <c r="Q8" s="363"/>
    </row>
    <row r="9" spans="1:17" ht="15" thickBot="1" x14ac:dyDescent="0.25">
      <c r="L9" s="124"/>
      <c r="M9" s="355" t="s">
        <v>69</v>
      </c>
      <c r="N9" s="341" t="s">
        <v>65</v>
      </c>
      <c r="O9" s="341"/>
      <c r="P9" s="341"/>
      <c r="Q9" s="342"/>
    </row>
    <row r="10" spans="1:17" ht="15" customHeight="1" thickTop="1" thickBot="1" x14ac:dyDescent="0.25">
      <c r="D10" s="372" t="s">
        <v>102</v>
      </c>
      <c r="E10" s="373"/>
      <c r="F10" s="373"/>
      <c r="G10" s="373"/>
      <c r="H10" s="374"/>
      <c r="L10" s="124"/>
      <c r="M10" s="356"/>
      <c r="N10" s="343"/>
      <c r="O10" s="343"/>
      <c r="P10" s="343"/>
      <c r="Q10" s="344"/>
    </row>
    <row r="11" spans="1:17" ht="15" x14ac:dyDescent="0.2">
      <c r="D11" s="204" t="s">
        <v>2</v>
      </c>
      <c r="E11" s="125" t="s">
        <v>3</v>
      </c>
      <c r="F11" s="125" t="s">
        <v>4</v>
      </c>
      <c r="G11" s="125" t="s">
        <v>5</v>
      </c>
      <c r="H11" s="205" t="s">
        <v>6</v>
      </c>
      <c r="L11" s="124"/>
    </row>
    <row r="12" spans="1:17" x14ac:dyDescent="0.2">
      <c r="D12" s="206">
        <f>A7/G7</f>
        <v>5.5555555555555552E-2</v>
      </c>
      <c r="E12" s="128">
        <f>B7/H7</f>
        <v>0</v>
      </c>
      <c r="F12" s="128">
        <f>C7/I7</f>
        <v>5.5555555555555552E-2</v>
      </c>
      <c r="G12" s="128">
        <f>D7/J7</f>
        <v>0</v>
      </c>
      <c r="H12" s="207">
        <f>E7/K7</f>
        <v>0</v>
      </c>
      <c r="L12" s="124"/>
    </row>
    <row r="13" spans="1:17" ht="15" thickBot="1" x14ac:dyDescent="0.25">
      <c r="D13" s="364" t="s">
        <v>77</v>
      </c>
      <c r="E13" s="365"/>
      <c r="F13" s="366">
        <f>C8/I8</f>
        <v>2.7777777777777776E-2</v>
      </c>
      <c r="G13" s="366"/>
      <c r="H13" s="367"/>
      <c r="L13" s="124"/>
    </row>
    <row r="14" spans="1:17" ht="15" thickTop="1" x14ac:dyDescent="0.2">
      <c r="L14" s="124"/>
    </row>
    <row r="15" spans="1:17" x14ac:dyDescent="0.2">
      <c r="L15" s="124"/>
    </row>
    <row r="16" spans="1:17" ht="15" x14ac:dyDescent="0.25">
      <c r="A16" s="375" t="str">
        <f>Williams_80!A1:T1</f>
        <v>PA HOUGH, CRISTINA</v>
      </c>
      <c r="B16" s="375"/>
      <c r="C16" s="375"/>
      <c r="D16" s="375"/>
      <c r="E16" s="375"/>
      <c r="F16" s="375"/>
      <c r="G16" s="375"/>
      <c r="H16" s="375"/>
      <c r="I16" s="375"/>
      <c r="J16" s="375"/>
      <c r="K16" s="375"/>
      <c r="L16" s="124"/>
    </row>
    <row r="17" spans="1:24" ht="15" x14ac:dyDescent="0.2">
      <c r="A17" s="371" t="s">
        <v>100</v>
      </c>
      <c r="B17" s="371"/>
      <c r="C17" s="371"/>
      <c r="D17" s="371"/>
      <c r="E17" s="371"/>
      <c r="G17" s="371" t="s">
        <v>101</v>
      </c>
      <c r="H17" s="371"/>
      <c r="I17" s="371"/>
      <c r="J17" s="371"/>
      <c r="K17" s="371"/>
    </row>
    <row r="18" spans="1:24" ht="15" x14ac:dyDescent="0.2">
      <c r="A18" s="125" t="s">
        <v>2</v>
      </c>
      <c r="B18" s="125" t="s">
        <v>3</v>
      </c>
      <c r="C18" s="125" t="s">
        <v>4</v>
      </c>
      <c r="D18" s="125" t="s">
        <v>5</v>
      </c>
      <c r="E18" s="125" t="s">
        <v>6</v>
      </c>
      <c r="G18" s="125" t="s">
        <v>2</v>
      </c>
      <c r="H18" s="125" t="s">
        <v>3</v>
      </c>
      <c r="I18" s="125" t="s">
        <v>4</v>
      </c>
      <c r="J18" s="125" t="s">
        <v>5</v>
      </c>
      <c r="K18" s="125" t="s">
        <v>6</v>
      </c>
    </row>
    <row r="19" spans="1:24" x14ac:dyDescent="0.2">
      <c r="A19" s="126">
        <f>SUM(Williams_80!I70:I71)</f>
        <v>2</v>
      </c>
      <c r="B19" s="127">
        <f>SUM(Williams_80!J70:J71)</f>
        <v>2</v>
      </c>
      <c r="C19" s="127">
        <f>SUM(Williams_80!K70:K71)</f>
        <v>2</v>
      </c>
      <c r="D19" s="127">
        <f>SUM(Williams_80!L70:L71)</f>
        <v>0</v>
      </c>
      <c r="E19" s="127">
        <f>SUM(Williams_80!M70:M71)</f>
        <v>0</v>
      </c>
      <c r="G19" s="126">
        <f>Williams_80!B39</f>
        <v>18</v>
      </c>
      <c r="H19" s="127">
        <f>Williams_80!F39</f>
        <v>18</v>
      </c>
      <c r="I19" s="127">
        <f>Williams_80!J39</f>
        <v>18</v>
      </c>
      <c r="J19" s="127">
        <f>Williams_80!N39</f>
        <v>12</v>
      </c>
      <c r="K19" s="127">
        <f>Williams_80!R39</f>
        <v>14</v>
      </c>
    </row>
    <row r="20" spans="1:24" x14ac:dyDescent="0.2">
      <c r="A20" s="370" t="s">
        <v>77</v>
      </c>
      <c r="B20" s="370"/>
      <c r="C20" s="370">
        <f>SUM(A19:E19)</f>
        <v>6</v>
      </c>
      <c r="D20" s="370"/>
      <c r="E20" s="370"/>
      <c r="G20" s="370" t="s">
        <v>77</v>
      </c>
      <c r="H20" s="370"/>
      <c r="I20" s="370">
        <f>SUM(G19:K19)</f>
        <v>80</v>
      </c>
      <c r="J20" s="370"/>
      <c r="K20" s="370"/>
    </row>
    <row r="21" spans="1:24" ht="15" thickBot="1" x14ac:dyDescent="0.25"/>
    <row r="22" spans="1:24" ht="15.75" thickTop="1" x14ac:dyDescent="0.2">
      <c r="D22" s="372" t="s">
        <v>102</v>
      </c>
      <c r="E22" s="373"/>
      <c r="F22" s="373"/>
      <c r="G22" s="373"/>
      <c r="H22" s="374"/>
    </row>
    <row r="23" spans="1:24" ht="15" x14ac:dyDescent="0.2">
      <c r="D23" s="204" t="s">
        <v>2</v>
      </c>
      <c r="E23" s="125" t="s">
        <v>3</v>
      </c>
      <c r="F23" s="125" t="s">
        <v>4</v>
      </c>
      <c r="G23" s="125" t="s">
        <v>5</v>
      </c>
      <c r="H23" s="205" t="s">
        <v>6</v>
      </c>
    </row>
    <row r="24" spans="1:24" x14ac:dyDescent="0.2">
      <c r="D24" s="206">
        <f>IFERROR(A19/G19,0)</f>
        <v>0.1111111111111111</v>
      </c>
      <c r="E24" s="230">
        <f>IFERROR(B19/H19,0)</f>
        <v>0.1111111111111111</v>
      </c>
      <c r="F24" s="128">
        <f>IFERROR(C19/I19,0)</f>
        <v>0.1111111111111111</v>
      </c>
      <c r="G24" s="128">
        <f>IFERROR(D19/J19,0)</f>
        <v>0</v>
      </c>
      <c r="H24" s="207">
        <f>IFERROR(E19/K19,0)</f>
        <v>0</v>
      </c>
    </row>
    <row r="25" spans="1:24" ht="15" thickBot="1" x14ac:dyDescent="0.25">
      <c r="D25" s="364" t="s">
        <v>77</v>
      </c>
      <c r="E25" s="365"/>
      <c r="F25" s="366">
        <f>C20/I20</f>
        <v>7.4999999999999997E-2</v>
      </c>
      <c r="G25" s="366"/>
      <c r="H25" s="367"/>
      <c r="L25" s="129"/>
      <c r="M25" s="129"/>
      <c r="N25" s="129"/>
      <c r="O25" s="129"/>
      <c r="P25" s="129"/>
      <c r="Q25" s="129"/>
      <c r="R25" s="129"/>
      <c r="S25" s="129"/>
      <c r="T25" s="129"/>
      <c r="U25" s="129"/>
      <c r="V25" s="129"/>
      <c r="W25" s="129"/>
      <c r="X25" s="129"/>
    </row>
    <row r="26" spans="1:24" ht="15" thickTop="1" x14ac:dyDescent="0.2">
      <c r="L26" s="129"/>
      <c r="S26" s="129"/>
      <c r="T26" s="129"/>
      <c r="U26" s="129"/>
      <c r="V26" s="129"/>
      <c r="W26" s="129"/>
      <c r="X26" s="129"/>
    </row>
    <row r="27" spans="1:24" ht="15" customHeight="1" x14ac:dyDescent="0.25">
      <c r="L27" s="130"/>
      <c r="S27" s="130"/>
      <c r="T27" s="130"/>
      <c r="U27" s="130"/>
      <c r="V27" s="130"/>
      <c r="W27" s="130"/>
      <c r="X27" s="129"/>
    </row>
    <row r="28" spans="1:24" ht="15" customHeight="1" x14ac:dyDescent="0.25">
      <c r="A28" s="375" t="str">
        <f>Holzer_72!A1</f>
        <v>DR HOLZER, ROBIN</v>
      </c>
      <c r="B28" s="375"/>
      <c r="C28" s="375"/>
      <c r="D28" s="375"/>
      <c r="E28" s="375"/>
      <c r="F28" s="375"/>
      <c r="G28" s="375"/>
      <c r="H28" s="375"/>
      <c r="I28" s="375"/>
      <c r="J28" s="375"/>
      <c r="K28" s="375"/>
      <c r="L28" s="129"/>
      <c r="S28" s="129"/>
      <c r="T28" s="129"/>
      <c r="U28" s="129"/>
      <c r="V28" s="129"/>
      <c r="W28" s="129"/>
      <c r="X28" s="129"/>
    </row>
    <row r="29" spans="1:24" ht="15" customHeight="1" x14ac:dyDescent="0.2">
      <c r="A29" s="371" t="s">
        <v>100</v>
      </c>
      <c r="B29" s="371"/>
      <c r="C29" s="371"/>
      <c r="D29" s="371"/>
      <c r="E29" s="371"/>
      <c r="G29" s="371" t="s">
        <v>101</v>
      </c>
      <c r="H29" s="371"/>
      <c r="I29" s="371"/>
      <c r="J29" s="371"/>
      <c r="K29" s="371"/>
      <c r="L29" s="129"/>
      <c r="S29" s="129"/>
      <c r="T29" s="129"/>
      <c r="U29" s="129"/>
      <c r="V29" s="129"/>
      <c r="W29" s="129"/>
      <c r="X29" s="129"/>
    </row>
    <row r="30" spans="1:24" ht="15" customHeight="1" x14ac:dyDescent="0.2">
      <c r="A30" s="125" t="s">
        <v>2</v>
      </c>
      <c r="B30" s="125" t="s">
        <v>3</v>
      </c>
      <c r="C30" s="125" t="s">
        <v>4</v>
      </c>
      <c r="D30" s="125" t="s">
        <v>5</v>
      </c>
      <c r="E30" s="125" t="s">
        <v>6</v>
      </c>
      <c r="G30" s="125" t="s">
        <v>2</v>
      </c>
      <c r="H30" s="125" t="s">
        <v>3</v>
      </c>
      <c r="I30" s="125" t="s">
        <v>4</v>
      </c>
      <c r="J30" s="125" t="s">
        <v>5</v>
      </c>
      <c r="K30" s="125" t="s">
        <v>6</v>
      </c>
      <c r="L30" s="129"/>
      <c r="S30" s="129"/>
      <c r="T30" s="129"/>
      <c r="U30" s="129"/>
      <c r="V30" s="129"/>
      <c r="W30" s="129"/>
      <c r="X30" s="129"/>
    </row>
    <row r="31" spans="1:24" ht="15" customHeight="1" x14ac:dyDescent="0.2">
      <c r="A31" s="126">
        <f>SUM(Holzer_72!I70:I71)</f>
        <v>0</v>
      </c>
      <c r="B31" s="127">
        <f>SUM(Holzer_72!J70:J71)</f>
        <v>0</v>
      </c>
      <c r="C31" s="127">
        <f>SUM(Holzer_72!K70:K71)</f>
        <v>0</v>
      </c>
      <c r="D31" s="127">
        <f>SUM(Holzer_72!L70:L71)</f>
        <v>0</v>
      </c>
      <c r="E31" s="127">
        <f>SUM(Holzer_72!M70:M71)</f>
        <v>0</v>
      </c>
      <c r="G31" s="126">
        <f>Holzer_72!B39</f>
        <v>16</v>
      </c>
      <c r="H31" s="126">
        <f>Holzer_72!F39</f>
        <v>16</v>
      </c>
      <c r="I31" s="126">
        <f>Holzer_72!J39</f>
        <v>16</v>
      </c>
      <c r="J31" s="126">
        <f>Holzer_72!N39</f>
        <v>9</v>
      </c>
      <c r="K31" s="126">
        <f>Holzer_72!R39</f>
        <v>14</v>
      </c>
      <c r="L31" s="129"/>
      <c r="Q31" s="129"/>
      <c r="R31" s="129"/>
      <c r="S31" s="129"/>
      <c r="T31" s="129"/>
      <c r="U31" s="129"/>
      <c r="V31" s="129"/>
      <c r="W31" s="129"/>
      <c r="X31" s="129"/>
    </row>
    <row r="32" spans="1:24" ht="15" customHeight="1" x14ac:dyDescent="0.2">
      <c r="A32" s="370" t="s">
        <v>77</v>
      </c>
      <c r="B32" s="370"/>
      <c r="C32" s="370">
        <f>SUM(A31:E31)</f>
        <v>0</v>
      </c>
      <c r="D32" s="370"/>
      <c r="E32" s="370"/>
      <c r="G32" s="370" t="s">
        <v>77</v>
      </c>
      <c r="H32" s="370"/>
      <c r="I32" s="370">
        <f>SUM(G31:K31)</f>
        <v>71</v>
      </c>
      <c r="J32" s="370"/>
      <c r="K32" s="370"/>
    </row>
    <row r="33" spans="1:16" ht="15" customHeight="1" thickBot="1" x14ac:dyDescent="0.25"/>
    <row r="34" spans="1:16" ht="15" customHeight="1" thickTop="1" x14ac:dyDescent="0.2">
      <c r="D34" s="372" t="s">
        <v>102</v>
      </c>
      <c r="E34" s="373"/>
      <c r="F34" s="373"/>
      <c r="G34" s="373"/>
      <c r="H34" s="374"/>
    </row>
    <row r="35" spans="1:16" ht="15" customHeight="1" x14ac:dyDescent="0.2">
      <c r="D35" s="204" t="s">
        <v>2</v>
      </c>
      <c r="E35" s="125" t="s">
        <v>3</v>
      </c>
      <c r="F35" s="125" t="s">
        <v>4</v>
      </c>
      <c r="G35" s="125" t="s">
        <v>5</v>
      </c>
      <c r="H35" s="205" t="s">
        <v>6</v>
      </c>
    </row>
    <row r="36" spans="1:16" ht="15" customHeight="1" x14ac:dyDescent="0.2">
      <c r="D36" s="206">
        <f>A31/G31</f>
        <v>0</v>
      </c>
      <c r="E36" s="128">
        <f>B31/H31</f>
        <v>0</v>
      </c>
      <c r="F36" s="128">
        <f>C31/I31</f>
        <v>0</v>
      </c>
      <c r="G36" s="128">
        <f>D31/J31</f>
        <v>0</v>
      </c>
      <c r="H36" s="207">
        <f>E31/K31</f>
        <v>0</v>
      </c>
      <c r="M36" s="131"/>
      <c r="N36" s="131"/>
      <c r="O36" s="131"/>
      <c r="P36" s="131"/>
    </row>
    <row r="37" spans="1:16" ht="16.5" customHeight="1" thickBot="1" x14ac:dyDescent="0.25">
      <c r="D37" s="364" t="s">
        <v>77</v>
      </c>
      <c r="E37" s="365"/>
      <c r="F37" s="366">
        <f>C32/I32</f>
        <v>0</v>
      </c>
      <c r="G37" s="366"/>
      <c r="H37" s="367"/>
    </row>
    <row r="38" spans="1:16" ht="15" customHeight="1" thickTop="1" x14ac:dyDescent="0.2"/>
    <row r="39" spans="1:16" ht="15.75" customHeight="1" x14ac:dyDescent="0.2"/>
    <row r="40" spans="1:16" ht="15" x14ac:dyDescent="0.25">
      <c r="A40" s="375" t="str">
        <f>Brown_80!A1:T1</f>
        <v>PA BROWN, THOMAS</v>
      </c>
      <c r="B40" s="375"/>
      <c r="C40" s="375"/>
      <c r="D40" s="375"/>
      <c r="E40" s="375"/>
      <c r="F40" s="375"/>
      <c r="G40" s="375"/>
      <c r="H40" s="375"/>
      <c r="I40" s="375"/>
      <c r="J40" s="375"/>
      <c r="K40" s="375"/>
    </row>
    <row r="41" spans="1:16" ht="15" x14ac:dyDescent="0.2">
      <c r="A41" s="371" t="s">
        <v>100</v>
      </c>
      <c r="B41" s="371"/>
      <c r="C41" s="371"/>
      <c r="D41" s="371"/>
      <c r="E41" s="371"/>
      <c r="G41" s="371" t="s">
        <v>101</v>
      </c>
      <c r="H41" s="371"/>
      <c r="I41" s="371"/>
      <c r="J41" s="371"/>
      <c r="K41" s="371"/>
    </row>
    <row r="42" spans="1:16" ht="15" x14ac:dyDescent="0.2">
      <c r="A42" s="125" t="s">
        <v>2</v>
      </c>
      <c r="B42" s="125" t="s">
        <v>3</v>
      </c>
      <c r="C42" s="125" t="s">
        <v>4</v>
      </c>
      <c r="D42" s="125" t="s">
        <v>5</v>
      </c>
      <c r="E42" s="125" t="s">
        <v>6</v>
      </c>
      <c r="G42" s="125" t="s">
        <v>2</v>
      </c>
      <c r="H42" s="125" t="s">
        <v>3</v>
      </c>
      <c r="I42" s="125" t="s">
        <v>4</v>
      </c>
      <c r="J42" s="125" t="s">
        <v>5</v>
      </c>
      <c r="K42" s="125" t="s">
        <v>6</v>
      </c>
    </row>
    <row r="43" spans="1:16" ht="15" customHeight="1" x14ac:dyDescent="0.2">
      <c r="A43" s="126">
        <f>SUM(Brown_80!I70:I71)</f>
        <v>3</v>
      </c>
      <c r="B43" s="127">
        <f>SUM(Brown_80!J70:J71)</f>
        <v>3</v>
      </c>
      <c r="C43" s="127">
        <f>SUM(Brown_80!K70:K71)</f>
        <v>3</v>
      </c>
      <c r="D43" s="127">
        <f>SUM(Brown_80!L70:L71)</f>
        <v>3</v>
      </c>
      <c r="E43" s="127">
        <f>SUM(Brown_80!M70:M71)</f>
        <v>3</v>
      </c>
      <c r="G43" s="126">
        <f>Brown_80!B39</f>
        <v>15</v>
      </c>
      <c r="H43" s="126">
        <f>Brown_80!F39</f>
        <v>15</v>
      </c>
      <c r="I43" s="126">
        <f>Brown_80!J39</f>
        <v>15</v>
      </c>
      <c r="J43" s="126">
        <f>Brown_80!N39</f>
        <v>15</v>
      </c>
      <c r="K43" s="126">
        <f>Brown_80!R39</f>
        <v>15</v>
      </c>
    </row>
    <row r="44" spans="1:16" ht="15" customHeight="1" x14ac:dyDescent="0.2">
      <c r="A44" s="370" t="s">
        <v>77</v>
      </c>
      <c r="B44" s="370"/>
      <c r="C44" s="370">
        <f>SUM(A43:E43)</f>
        <v>15</v>
      </c>
      <c r="D44" s="370"/>
      <c r="E44" s="370"/>
      <c r="G44" s="370" t="s">
        <v>77</v>
      </c>
      <c r="H44" s="370"/>
      <c r="I44" s="370">
        <f>SUM(G43:K43)</f>
        <v>75</v>
      </c>
      <c r="J44" s="370"/>
      <c r="K44" s="370"/>
    </row>
    <row r="45" spans="1:16" ht="15" customHeight="1" thickBot="1" x14ac:dyDescent="0.25"/>
    <row r="46" spans="1:16" ht="15.75" customHeight="1" thickTop="1" x14ac:dyDescent="0.2">
      <c r="D46" s="372" t="s">
        <v>102</v>
      </c>
      <c r="E46" s="373"/>
      <c r="F46" s="373"/>
      <c r="G46" s="373"/>
      <c r="H46" s="374"/>
    </row>
    <row r="47" spans="1:16" ht="15" x14ac:dyDescent="0.2">
      <c r="D47" s="204" t="s">
        <v>2</v>
      </c>
      <c r="E47" s="125" t="s">
        <v>3</v>
      </c>
      <c r="F47" s="125" t="s">
        <v>4</v>
      </c>
      <c r="G47" s="125" t="s">
        <v>5</v>
      </c>
      <c r="H47" s="205" t="s">
        <v>6</v>
      </c>
    </row>
    <row r="48" spans="1:16" ht="15" customHeight="1" x14ac:dyDescent="0.2">
      <c r="D48" s="206">
        <f>A43/G43</f>
        <v>0.2</v>
      </c>
      <c r="E48" s="128">
        <f>B43/H43</f>
        <v>0.2</v>
      </c>
      <c r="F48" s="128">
        <f>C43/I43</f>
        <v>0.2</v>
      </c>
      <c r="G48" s="128">
        <f>D43/J43</f>
        <v>0.2</v>
      </c>
      <c r="H48" s="207">
        <f>E43/K43</f>
        <v>0.2</v>
      </c>
    </row>
    <row r="49" spans="1:11" ht="15" customHeight="1" thickBot="1" x14ac:dyDescent="0.25">
      <c r="D49" s="364" t="s">
        <v>77</v>
      </c>
      <c r="E49" s="365"/>
      <c r="F49" s="366">
        <f>C44/I44</f>
        <v>0.2</v>
      </c>
      <c r="G49" s="366"/>
      <c r="H49" s="367"/>
    </row>
    <row r="50" spans="1:11" ht="15" customHeight="1" thickTop="1" x14ac:dyDescent="0.2"/>
    <row r="51" spans="1:11" ht="15.75" customHeight="1" x14ac:dyDescent="0.2"/>
    <row r="52" spans="1:11" ht="15" x14ac:dyDescent="0.25">
      <c r="A52" s="377" t="s">
        <v>1</v>
      </c>
      <c r="B52" s="377"/>
      <c r="C52" s="377"/>
      <c r="D52" s="377"/>
      <c r="E52" s="377"/>
      <c r="F52" s="377"/>
      <c r="G52" s="377"/>
      <c r="H52" s="377"/>
      <c r="I52" s="377"/>
      <c r="J52" s="377"/>
      <c r="K52" s="377"/>
    </row>
    <row r="53" spans="1:11" ht="15.75" customHeight="1" x14ac:dyDescent="0.2">
      <c r="A53" s="371" t="s">
        <v>100</v>
      </c>
      <c r="B53" s="371"/>
      <c r="C53" s="371"/>
      <c r="D53" s="371"/>
      <c r="E53" s="371"/>
      <c r="G53" s="371" t="s">
        <v>101</v>
      </c>
      <c r="H53" s="371"/>
      <c r="I53" s="371"/>
      <c r="J53" s="371"/>
      <c r="K53" s="371"/>
    </row>
    <row r="54" spans="1:11" ht="15" customHeight="1" x14ac:dyDescent="0.2">
      <c r="A54" s="125" t="s">
        <v>2</v>
      </c>
      <c r="B54" s="125" t="s">
        <v>3</v>
      </c>
      <c r="C54" s="125" t="s">
        <v>4</v>
      </c>
      <c r="D54" s="125" t="s">
        <v>5</v>
      </c>
      <c r="E54" s="125" t="s">
        <v>6</v>
      </c>
      <c r="G54" s="125" t="s">
        <v>2</v>
      </c>
      <c r="H54" s="125" t="s">
        <v>3</v>
      </c>
      <c r="I54" s="125" t="s">
        <v>4</v>
      </c>
      <c r="J54" s="125" t="s">
        <v>5</v>
      </c>
      <c r="K54" s="125" t="s">
        <v>6</v>
      </c>
    </row>
    <row r="55" spans="1:11" ht="15.75" customHeight="1" x14ac:dyDescent="0.2">
      <c r="A55" s="126">
        <f>SUM(A43,A31,A19,A7)</f>
        <v>6</v>
      </c>
      <c r="B55" s="226">
        <f>SUM(B43,B31,B19,B7)</f>
        <v>5</v>
      </c>
      <c r="C55" s="226">
        <f>SUM(C43,C31,C19,C7)</f>
        <v>6</v>
      </c>
      <c r="D55" s="226">
        <f>SUM(D43,D31,D19,D7)</f>
        <v>3</v>
      </c>
      <c r="E55" s="226">
        <f>SUM(E43,E31,E19,E7)</f>
        <v>3</v>
      </c>
      <c r="G55" s="126">
        <f>SUM(G43,G31,G19,G7)</f>
        <v>67</v>
      </c>
      <c r="H55" s="226">
        <f>SUM(H43,H31,H19,H7)</f>
        <v>62</v>
      </c>
      <c r="I55" s="226">
        <f>SUM(I43,I31,I19,I7)</f>
        <v>67</v>
      </c>
      <c r="J55" s="226">
        <f>SUM(J43,J31,J19,J7)</f>
        <v>44</v>
      </c>
      <c r="K55" s="226">
        <f>SUM(K43,K31,K19,K7)</f>
        <v>58</v>
      </c>
    </row>
    <row r="56" spans="1:11" x14ac:dyDescent="0.2">
      <c r="A56" s="370" t="s">
        <v>77</v>
      </c>
      <c r="B56" s="370"/>
      <c r="C56" s="370">
        <f>SUM(A55:E55)</f>
        <v>23</v>
      </c>
      <c r="D56" s="370"/>
      <c r="E56" s="370"/>
      <c r="G56" s="370" t="s">
        <v>77</v>
      </c>
      <c r="H56" s="370"/>
      <c r="I56" s="370">
        <f>SUM(G55:K55)</f>
        <v>298</v>
      </c>
      <c r="J56" s="370"/>
      <c r="K56" s="370"/>
    </row>
    <row r="57" spans="1:11" ht="15" thickBot="1" x14ac:dyDescent="0.25"/>
    <row r="58" spans="1:11" ht="15.75" thickTop="1" x14ac:dyDescent="0.2">
      <c r="D58" s="372" t="s">
        <v>102</v>
      </c>
      <c r="E58" s="373"/>
      <c r="F58" s="373"/>
      <c r="G58" s="373"/>
      <c r="H58" s="374"/>
    </row>
    <row r="59" spans="1:11" ht="15" customHeight="1" x14ac:dyDescent="0.2">
      <c r="D59" s="204" t="s">
        <v>2</v>
      </c>
      <c r="E59" s="125" t="s">
        <v>3</v>
      </c>
      <c r="F59" s="125" t="s">
        <v>4</v>
      </c>
      <c r="G59" s="125" t="s">
        <v>5</v>
      </c>
      <c r="H59" s="205" t="s">
        <v>6</v>
      </c>
    </row>
    <row r="60" spans="1:11" x14ac:dyDescent="0.2">
      <c r="D60" s="206">
        <f>A55/G55</f>
        <v>8.9552238805970144E-2</v>
      </c>
      <c r="E60" s="128">
        <f>B55/H55</f>
        <v>8.0645161290322578E-2</v>
      </c>
      <c r="F60" s="128">
        <f>C55/I55</f>
        <v>8.9552238805970144E-2</v>
      </c>
      <c r="G60" s="128">
        <f>D55/J55</f>
        <v>6.8181818181818177E-2</v>
      </c>
      <c r="H60" s="207">
        <f>E55/K55</f>
        <v>5.1724137931034482E-2</v>
      </c>
    </row>
    <row r="61" spans="1:11" ht="15" thickBot="1" x14ac:dyDescent="0.25">
      <c r="D61" s="364" t="s">
        <v>77</v>
      </c>
      <c r="E61" s="365"/>
      <c r="F61" s="366">
        <f>C56/I56</f>
        <v>7.7181208053691275E-2</v>
      </c>
      <c r="G61" s="366"/>
      <c r="H61" s="367"/>
    </row>
    <row r="62" spans="1:11" ht="15" thickTop="1" x14ac:dyDescent="0.2"/>
    <row r="91" ht="15" customHeight="1" x14ac:dyDescent="0.2"/>
    <row r="105" ht="15" customHeight="1" x14ac:dyDescent="0.2"/>
    <row r="106"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sheetData>
  <mergeCells count="62">
    <mergeCell ref="D61:E61"/>
    <mergeCell ref="F61:H61"/>
    <mergeCell ref="F1:K2"/>
    <mergeCell ref="A56:B56"/>
    <mergeCell ref="C56:E56"/>
    <mergeCell ref="G56:H56"/>
    <mergeCell ref="I56:K56"/>
    <mergeCell ref="D58:H58"/>
    <mergeCell ref="D49:E49"/>
    <mergeCell ref="F49:H49"/>
    <mergeCell ref="A52:K52"/>
    <mergeCell ref="A53:E53"/>
    <mergeCell ref="G53:K53"/>
    <mergeCell ref="A44:B44"/>
    <mergeCell ref="C44:E44"/>
    <mergeCell ref="G44:H44"/>
    <mergeCell ref="I44:K44"/>
    <mergeCell ref="D46:H46"/>
    <mergeCell ref="D37:E37"/>
    <mergeCell ref="F37:H37"/>
    <mergeCell ref="A40:K40"/>
    <mergeCell ref="A41:E41"/>
    <mergeCell ref="G41:K41"/>
    <mergeCell ref="A32:B32"/>
    <mergeCell ref="C32:E32"/>
    <mergeCell ref="G32:H32"/>
    <mergeCell ref="I32:K32"/>
    <mergeCell ref="D34:H34"/>
    <mergeCell ref="D22:H22"/>
    <mergeCell ref="D25:E25"/>
    <mergeCell ref="F25:H25"/>
    <mergeCell ref="A28:K28"/>
    <mergeCell ref="A29:E29"/>
    <mergeCell ref="G29:K29"/>
    <mergeCell ref="A16:K16"/>
    <mergeCell ref="A17:E17"/>
    <mergeCell ref="G17:K17"/>
    <mergeCell ref="A20:B20"/>
    <mergeCell ref="C20:E20"/>
    <mergeCell ref="G20:H20"/>
    <mergeCell ref="I20:K20"/>
    <mergeCell ref="D13:E13"/>
    <mergeCell ref="F13:H13"/>
    <mergeCell ref="B1:D1"/>
    <mergeCell ref="B2:D2"/>
    <mergeCell ref="A4:K4"/>
    <mergeCell ref="A8:B8"/>
    <mergeCell ref="C8:E8"/>
    <mergeCell ref="A5:E5"/>
    <mergeCell ref="G5:K5"/>
    <mergeCell ref="G8:H8"/>
    <mergeCell ref="I8:K8"/>
    <mergeCell ref="D10:H10"/>
    <mergeCell ref="M9:M10"/>
    <mergeCell ref="N9:Q10"/>
    <mergeCell ref="M1:Q2"/>
    <mergeCell ref="M3:M4"/>
    <mergeCell ref="N3:Q4"/>
    <mergeCell ref="M5:M6"/>
    <mergeCell ref="N5:Q6"/>
    <mergeCell ref="M7:M8"/>
    <mergeCell ref="N7:Q8"/>
  </mergeCells>
  <conditionalFormatting sqref="D12:H12 D36:H36 D48:H48 F49:H49 F37:H37 F25:H25 F13:H13 D24:H24">
    <cfRule type="cellIs" dxfId="19" priority="5" operator="greaterThanOrEqual">
      <formula>0.2</formula>
    </cfRule>
    <cfRule type="cellIs" dxfId="18" priority="6" operator="between">
      <formula>0.15</formula>
      <formula>0.2</formula>
    </cfRule>
    <cfRule type="cellIs" dxfId="17" priority="7" operator="between">
      <formula>0.1</formula>
      <formula>0.15</formula>
    </cfRule>
    <cfRule type="cellIs" dxfId="16" priority="8" operator="lessThan">
      <formula>0.1</formula>
    </cfRule>
  </conditionalFormatting>
  <conditionalFormatting sqref="D60:H60 F61:H61">
    <cfRule type="cellIs" dxfId="15" priority="1" operator="greaterThanOrEqual">
      <formula>0.2</formula>
    </cfRule>
    <cfRule type="cellIs" dxfId="14" priority="2" operator="between">
      <formula>0.15</formula>
      <formula>0.2</formula>
    </cfRule>
    <cfRule type="cellIs" dxfId="13" priority="3" operator="between">
      <formula>0.1</formula>
      <formula>0.15</formula>
    </cfRule>
    <cfRule type="cellIs" dxfId="12" priority="4" operator="lessThan">
      <formula>0.1</formula>
    </cfRule>
  </conditionalFormatting>
  <hyperlinks>
    <hyperlink ref="A4:K4" location="Fleming_64!A1" display="Fleming_64!A1"/>
    <hyperlink ref="A16:K16" location="Hough_80!A1" display="Hough_80!A1"/>
    <hyperlink ref="A28:K28" location="Holzer_72!A1" display="Holzer_72!A1"/>
    <hyperlink ref="A40:K40" location="Brown_80!A1" display="Brown_80!A1"/>
  </hyperlinks>
  <pageMargins left="0.7" right="0.7" top="0.75" bottom="0.75" header="0.3" footer="0.3"/>
  <pageSetup orientation="portrait" horizontalDpi="1200" verticalDpi="1200"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00B050"/>
  </sheetPr>
  <dimension ref="A1:U63"/>
  <sheetViews>
    <sheetView topLeftCell="A31" workbookViewId="0">
      <selection activeCell="F26" sqref="F26:H26"/>
    </sheetView>
  </sheetViews>
  <sheetFormatPr defaultRowHeight="14.25" x14ac:dyDescent="0.2"/>
  <cols>
    <col min="1" max="1" width="11" customWidth="1"/>
    <col min="2" max="2" width="8.375" customWidth="1"/>
    <col min="3" max="3" width="11" customWidth="1"/>
    <col min="4" max="4" width="9.25" customWidth="1"/>
    <col min="5" max="5" width="8.375" customWidth="1"/>
    <col min="6" max="6" width="11" customWidth="1"/>
    <col min="7" max="7" width="9.25" customWidth="1"/>
    <col min="8" max="8" width="8.375" customWidth="1"/>
    <col min="9" max="9" width="11" customWidth="1"/>
    <col min="10" max="10" width="9.25" customWidth="1"/>
    <col min="11" max="11" width="6.25" customWidth="1"/>
    <col min="13" max="13" width="18" customWidth="1"/>
    <col min="14" max="14" width="15.375" customWidth="1"/>
    <col min="15" max="15" width="12.875" customWidth="1"/>
    <col min="16" max="16" width="5.5" customWidth="1"/>
    <col min="17" max="17" width="5.375" customWidth="1"/>
  </cols>
  <sheetData>
    <row r="1" spans="1:17" ht="21" thickTop="1" x14ac:dyDescent="0.3">
      <c r="A1" s="77" t="s">
        <v>59</v>
      </c>
      <c r="B1" s="402" t="s">
        <v>73</v>
      </c>
      <c r="C1" s="403"/>
      <c r="D1" s="403"/>
      <c r="E1" s="403"/>
      <c r="F1" s="403"/>
      <c r="G1" s="404"/>
      <c r="I1" s="405" t="s">
        <v>361</v>
      </c>
      <c r="J1" s="405"/>
      <c r="K1" s="405"/>
      <c r="M1" s="378" t="s">
        <v>61</v>
      </c>
      <c r="N1" s="379"/>
      <c r="O1" s="379"/>
      <c r="P1" s="379"/>
      <c r="Q1" s="380"/>
    </row>
    <row r="2" spans="1:17" ht="20.25" x14ac:dyDescent="0.3">
      <c r="A2" s="78" t="s">
        <v>60</v>
      </c>
      <c r="B2" s="399" t="s">
        <v>74</v>
      </c>
      <c r="C2" s="400"/>
      <c r="D2" s="400"/>
      <c r="E2" s="400"/>
      <c r="F2" s="400"/>
      <c r="G2" s="401"/>
      <c r="I2" s="405"/>
      <c r="J2" s="405"/>
      <c r="K2" s="405"/>
      <c r="M2" s="381"/>
      <c r="N2" s="382"/>
      <c r="O2" s="382"/>
      <c r="P2" s="382"/>
      <c r="Q2" s="383"/>
    </row>
    <row r="3" spans="1:17" ht="14.25" customHeight="1" x14ac:dyDescent="0.2">
      <c r="I3" s="405"/>
      <c r="J3" s="405"/>
      <c r="K3" s="405"/>
      <c r="M3" s="384" t="s">
        <v>62</v>
      </c>
      <c r="N3" s="386" t="s">
        <v>91</v>
      </c>
      <c r="O3" s="386"/>
      <c r="P3" s="386"/>
      <c r="Q3" s="387"/>
    </row>
    <row r="4" spans="1:17" ht="14.25" customHeight="1" x14ac:dyDescent="0.2">
      <c r="A4" s="74"/>
      <c r="B4" s="74"/>
      <c r="C4" s="74"/>
      <c r="D4" s="74"/>
      <c r="E4" s="74"/>
      <c r="F4" s="74"/>
      <c r="G4" s="74"/>
      <c r="H4" s="74"/>
      <c r="M4" s="385"/>
      <c r="N4" s="386"/>
      <c r="O4" s="386"/>
      <c r="P4" s="386"/>
      <c r="Q4" s="387"/>
    </row>
    <row r="5" spans="1:17" ht="15" customHeight="1" x14ac:dyDescent="0.2">
      <c r="A5" s="398" t="str">
        <f>Fleming_64!A1</f>
        <v>NP FLEMING, JEN</v>
      </c>
      <c r="B5" s="398"/>
      <c r="C5" s="398"/>
      <c r="D5" s="398"/>
      <c r="E5" s="398"/>
      <c r="F5" s="398"/>
      <c r="G5" s="398"/>
      <c r="H5" s="398"/>
      <c r="I5" s="398"/>
      <c r="J5" s="398"/>
      <c r="K5" s="398"/>
      <c r="M5" s="407" t="s">
        <v>67</v>
      </c>
      <c r="N5" s="409" t="s">
        <v>92</v>
      </c>
      <c r="O5" s="410"/>
      <c r="P5" s="410"/>
      <c r="Q5" s="411"/>
    </row>
    <row r="6" spans="1:17" ht="15" customHeight="1" x14ac:dyDescent="0.25">
      <c r="A6" s="347" t="s">
        <v>76</v>
      </c>
      <c r="B6" s="347"/>
      <c r="C6" s="347"/>
      <c r="D6" s="347"/>
      <c r="E6" s="347"/>
      <c r="F6" s="84"/>
      <c r="G6" s="347" t="s">
        <v>75</v>
      </c>
      <c r="H6" s="347"/>
      <c r="I6" s="347"/>
      <c r="J6" s="347"/>
      <c r="K6" s="347"/>
      <c r="M6" s="408"/>
      <c r="N6" s="412"/>
      <c r="O6" s="413"/>
      <c r="P6" s="413"/>
      <c r="Q6" s="414"/>
    </row>
    <row r="7" spans="1:17" ht="15" customHeight="1" x14ac:dyDescent="0.2">
      <c r="A7" s="32" t="s">
        <v>2</v>
      </c>
      <c r="B7" s="33" t="s">
        <v>3</v>
      </c>
      <c r="C7" s="32" t="s">
        <v>4</v>
      </c>
      <c r="D7" s="32" t="s">
        <v>5</v>
      </c>
      <c r="E7" s="32" t="s">
        <v>6</v>
      </c>
      <c r="F7" s="84"/>
      <c r="G7" s="32" t="s">
        <v>2</v>
      </c>
      <c r="H7" s="33" t="s">
        <v>3</v>
      </c>
      <c r="I7" s="32" t="s">
        <v>4</v>
      </c>
      <c r="J7" s="32" t="s">
        <v>5</v>
      </c>
      <c r="K7" s="32" t="s">
        <v>6</v>
      </c>
      <c r="M7" s="415" t="s">
        <v>68</v>
      </c>
      <c r="N7" s="417" t="s">
        <v>93</v>
      </c>
      <c r="O7" s="418"/>
      <c r="P7" s="418"/>
      <c r="Q7" s="419"/>
    </row>
    <row r="8" spans="1:17" ht="15" customHeight="1" x14ac:dyDescent="0.2">
      <c r="A8" s="75">
        <f>Fleming_64!B34-(COUNTIFS(Fleming_64!B5:B31,"24HR",Fleming_64!C5:C31,"HC")+COUNTIFS(Fleming_64!B5:B31,"24HR",Fleming_64!C5:C31,"TELMED"))</f>
        <v>7</v>
      </c>
      <c r="B8" s="147">
        <f>Fleming_64!F34-(COUNTIFS(Fleming_64!F5:F31,"24HR",Fleming_64!G5:G31,"HC")+COUNTIFS(Fleming_64!F5:F31,"24HR",Fleming_64!G5:G31,"TELMED"))</f>
        <v>5</v>
      </c>
      <c r="C8" s="147">
        <f>Fleming_64!J34-(COUNTIFS(Fleming_64!J5:J31,"24HR",Fleming_64!K5:K31,"HC")+COUNTIFS(Fleming_64!J5:J31,"24HR",Fleming_64!K5:K31,"TELMED"))</f>
        <v>7</v>
      </c>
      <c r="D8" s="147">
        <f>Fleming_64!N34-(COUNTIFS(Fleming_64!N5:N31,"24HR",Fleming_64!O5:O31,"HC")+COUNTIFS(Fleming_64!N5:N31,"24HR",Fleming_64!O5:O31,"TELMED"))</f>
        <v>3</v>
      </c>
      <c r="E8" s="147">
        <f>Fleming_64!R34-(COUNTIFS(Fleming_64!R5:R31,"24HR",Fleming_64!S5:S31,"HC")+COUNTIFS(Fleming_64!R5:R31,"24HR",Fleming_64!S5:S31,"TELMED"))</f>
        <v>7</v>
      </c>
      <c r="F8" s="84"/>
      <c r="G8" s="75">
        <f>Fleming_64!B34</f>
        <v>7</v>
      </c>
      <c r="H8" s="75">
        <f>Fleming_64!F34</f>
        <v>5</v>
      </c>
      <c r="I8" s="75">
        <f>Fleming_64!J34</f>
        <v>7</v>
      </c>
      <c r="J8" s="75">
        <f>Fleming_64!N34</f>
        <v>3</v>
      </c>
      <c r="K8" s="75">
        <f>Fleming_64!R34</f>
        <v>7</v>
      </c>
      <c r="M8" s="416"/>
      <c r="N8" s="420"/>
      <c r="O8" s="421"/>
      <c r="P8" s="421"/>
      <c r="Q8" s="422"/>
    </row>
    <row r="9" spans="1:17" ht="15" customHeight="1" x14ac:dyDescent="0.2">
      <c r="A9" s="251" t="s">
        <v>77</v>
      </c>
      <c r="B9" s="251"/>
      <c r="C9" s="251">
        <f>SUM(A8:E8)</f>
        <v>29</v>
      </c>
      <c r="D9" s="251"/>
      <c r="E9" s="251"/>
      <c r="F9" s="84"/>
      <c r="G9" s="251" t="s">
        <v>77</v>
      </c>
      <c r="H9" s="251"/>
      <c r="I9" s="252">
        <f>SUM(G8:K8)</f>
        <v>29</v>
      </c>
      <c r="J9" s="395"/>
      <c r="K9" s="396"/>
      <c r="M9" s="423" t="s">
        <v>69</v>
      </c>
      <c r="N9" s="425" t="s">
        <v>94</v>
      </c>
      <c r="O9" s="426"/>
      <c r="P9" s="426"/>
      <c r="Q9" s="427"/>
    </row>
    <row r="10" spans="1:17" ht="15" customHeight="1" thickBot="1" x14ac:dyDescent="0.25">
      <c r="M10" s="424"/>
      <c r="N10" s="428"/>
      <c r="O10" s="429"/>
      <c r="P10" s="429"/>
      <c r="Q10" s="430"/>
    </row>
    <row r="11" spans="1:17" ht="15" customHeight="1" thickTop="1" x14ac:dyDescent="0.25">
      <c r="D11" s="388" t="s">
        <v>78</v>
      </c>
      <c r="E11" s="389"/>
      <c r="F11" s="389"/>
      <c r="G11" s="389"/>
      <c r="H11" s="390"/>
    </row>
    <row r="12" spans="1:17" ht="15" customHeight="1" x14ac:dyDescent="0.2">
      <c r="D12" s="208" t="s">
        <v>2</v>
      </c>
      <c r="E12" s="33" t="s">
        <v>3</v>
      </c>
      <c r="F12" s="32" t="s">
        <v>4</v>
      </c>
      <c r="G12" s="32" t="s">
        <v>5</v>
      </c>
      <c r="H12" s="209" t="s">
        <v>6</v>
      </c>
    </row>
    <row r="13" spans="1:17" ht="15" customHeight="1" x14ac:dyDescent="0.2">
      <c r="D13" s="210">
        <f>A8/G8</f>
        <v>1</v>
      </c>
      <c r="E13" s="76">
        <f>B8/H8</f>
        <v>1</v>
      </c>
      <c r="F13" s="76">
        <f>C8/I8</f>
        <v>1</v>
      </c>
      <c r="G13" s="76">
        <f>D8/J8</f>
        <v>1</v>
      </c>
      <c r="H13" s="211">
        <f>E8/K8</f>
        <v>1</v>
      </c>
    </row>
    <row r="14" spans="1:17" ht="15.75" customHeight="1" thickBot="1" x14ac:dyDescent="0.25">
      <c r="D14" s="391" t="s">
        <v>77</v>
      </c>
      <c r="E14" s="392"/>
      <c r="F14" s="393">
        <f>C9/I9</f>
        <v>1</v>
      </c>
      <c r="G14" s="393"/>
      <c r="H14" s="394"/>
    </row>
    <row r="15" spans="1:17" ht="15" thickTop="1" x14ac:dyDescent="0.2"/>
    <row r="17" spans="1:21" ht="15" x14ac:dyDescent="0.2">
      <c r="A17" s="398" t="str">
        <f>Williams_80!A1:T1</f>
        <v>PA HOUGH, CRISTINA</v>
      </c>
      <c r="B17" s="398"/>
      <c r="C17" s="398"/>
      <c r="D17" s="398"/>
      <c r="E17" s="398"/>
      <c r="F17" s="398"/>
      <c r="G17" s="398"/>
      <c r="H17" s="398"/>
      <c r="I17" s="398"/>
      <c r="J17" s="398"/>
      <c r="K17" s="398"/>
    </row>
    <row r="18" spans="1:21" ht="15" x14ac:dyDescent="0.25">
      <c r="A18" s="347" t="s">
        <v>76</v>
      </c>
      <c r="B18" s="347"/>
      <c r="C18" s="347"/>
      <c r="D18" s="347"/>
      <c r="E18" s="347"/>
      <c r="G18" s="347" t="s">
        <v>75</v>
      </c>
      <c r="H18" s="347"/>
      <c r="I18" s="347"/>
      <c r="J18" s="347"/>
      <c r="K18" s="347"/>
    </row>
    <row r="19" spans="1:21" ht="15" x14ac:dyDescent="0.2">
      <c r="A19" s="32" t="s">
        <v>2</v>
      </c>
      <c r="B19" s="33" t="s">
        <v>3</v>
      </c>
      <c r="C19" s="32" t="s">
        <v>4</v>
      </c>
      <c r="D19" s="32" t="s">
        <v>5</v>
      </c>
      <c r="E19" s="32" t="s">
        <v>6</v>
      </c>
      <c r="G19" s="32" t="s">
        <v>2</v>
      </c>
      <c r="H19" s="33" t="s">
        <v>3</v>
      </c>
      <c r="I19" s="32" t="s">
        <v>4</v>
      </c>
      <c r="J19" s="32" t="s">
        <v>5</v>
      </c>
      <c r="K19" s="32" t="s">
        <v>6</v>
      </c>
    </row>
    <row r="20" spans="1:21" x14ac:dyDescent="0.2">
      <c r="A20" s="147">
        <f>Williams_80!B34-(COUNTIFS(Williams_80!B5:B31,"24HR",Williams_80!C5:C31,"HC")+COUNTIFS(Williams_80!B5:B31,"24HR",Williams_80!C5:C31,"TELMED"))</f>
        <v>6</v>
      </c>
      <c r="B20" s="147">
        <f>Williams_80!F34-(COUNTIFS(Williams_80!F5:F31,"24HR",Williams_80!G5:G31,"HC")+COUNTIFS(Williams_80!F5:F31,"24HR",Williams_80!G5:G31,"TELMED"))</f>
        <v>6</v>
      </c>
      <c r="C20" s="147">
        <f>Williams_80!J34-(COUNTIFS(Williams_80!J5:J31,"24HR",Williams_80!K5:K31,"HC")+COUNTIFS(Williams_80!J5:J31,"24HR",Williams_80!K5:K31,"TELMED"))</f>
        <v>6</v>
      </c>
      <c r="D20" s="147">
        <f>Williams_80!N34-(COUNTIFS(Williams_80!N5:N31,"24HR",Williams_80!O5:O31,"HC")+COUNTIFS(Williams_80!N5:N31,"24HR",Williams_80!O5:O31,"TELMED"))</f>
        <v>4</v>
      </c>
      <c r="E20" s="147">
        <f>Williams_80!R34-(COUNTIFS(Williams_80!R5:R31,"24HR",Williams_80!S5:S31,"HC")+COUNTIFS(Williams_80!R5:R31,"24HR",Williams_80!S5:S31,"TELMED"))</f>
        <v>4</v>
      </c>
      <c r="G20" s="75">
        <f>Williams_80!B34</f>
        <v>6</v>
      </c>
      <c r="H20" s="75">
        <f>Williams_80!F34</f>
        <v>6</v>
      </c>
      <c r="I20" s="75">
        <f>Williams_80!J34</f>
        <v>6</v>
      </c>
      <c r="J20" s="75">
        <f>Williams_80!N34</f>
        <v>4</v>
      </c>
      <c r="K20" s="75">
        <f>Williams_80!R34</f>
        <v>4</v>
      </c>
    </row>
    <row r="21" spans="1:21" x14ac:dyDescent="0.2">
      <c r="A21" s="251" t="s">
        <v>77</v>
      </c>
      <c r="B21" s="251"/>
      <c r="C21" s="251">
        <f>SUM(A20:E20)</f>
        <v>26</v>
      </c>
      <c r="D21" s="251"/>
      <c r="E21" s="251"/>
      <c r="G21" s="251" t="s">
        <v>77</v>
      </c>
      <c r="H21" s="251"/>
      <c r="I21" s="252">
        <f>SUM(G20:K20)</f>
        <v>26</v>
      </c>
      <c r="J21" s="395"/>
      <c r="K21" s="396"/>
    </row>
    <row r="22" spans="1:21" ht="15" thickBot="1" x14ac:dyDescent="0.25"/>
    <row r="23" spans="1:21" ht="15.75" thickTop="1" x14ac:dyDescent="0.25">
      <c r="D23" s="388" t="s">
        <v>78</v>
      </c>
      <c r="E23" s="389"/>
      <c r="F23" s="389"/>
      <c r="G23" s="389"/>
      <c r="H23" s="390"/>
    </row>
    <row r="24" spans="1:21" ht="15" x14ac:dyDescent="0.2">
      <c r="D24" s="208" t="s">
        <v>2</v>
      </c>
      <c r="E24" s="33" t="s">
        <v>3</v>
      </c>
      <c r="F24" s="32" t="s">
        <v>4</v>
      </c>
      <c r="G24" s="32" t="s">
        <v>5</v>
      </c>
      <c r="H24" s="209" t="s">
        <v>6</v>
      </c>
    </row>
    <row r="25" spans="1:21" x14ac:dyDescent="0.2">
      <c r="D25" s="210">
        <f>IFERROR(A20/G20,0)</f>
        <v>1</v>
      </c>
      <c r="E25" s="76">
        <f>IFERROR(B20/H20,0)</f>
        <v>1</v>
      </c>
      <c r="F25" s="76">
        <f>IFERROR(C20/I20,0)</f>
        <v>1</v>
      </c>
      <c r="G25" s="76">
        <f>IFERROR(D20/J20,0)</f>
        <v>1</v>
      </c>
      <c r="H25" s="211">
        <f>IFERROR(E20/K20,0)</f>
        <v>1</v>
      </c>
      <c r="R25" s="406" t="s">
        <v>416</v>
      </c>
      <c r="S25" s="406"/>
      <c r="T25" s="406"/>
      <c r="U25" s="406"/>
    </row>
    <row r="26" spans="1:21" ht="15" thickBot="1" x14ac:dyDescent="0.25">
      <c r="D26" s="391" t="s">
        <v>77</v>
      </c>
      <c r="E26" s="392"/>
      <c r="F26" s="393">
        <f>(SUM(A20:E20)/SUM(G20:K20))</f>
        <v>1</v>
      </c>
      <c r="G26" s="393"/>
      <c r="H26" s="394"/>
      <c r="R26" s="406"/>
      <c r="S26" s="406"/>
      <c r="T26" s="406"/>
      <c r="U26" s="406"/>
    </row>
    <row r="27" spans="1:21" ht="15" thickTop="1" x14ac:dyDescent="0.2">
      <c r="R27" s="406"/>
      <c r="S27" s="406"/>
      <c r="T27" s="406"/>
      <c r="U27" s="406"/>
    </row>
    <row r="28" spans="1:21" x14ac:dyDescent="0.2">
      <c r="R28" s="406"/>
      <c r="S28" s="406"/>
      <c r="T28" s="406"/>
      <c r="U28" s="406"/>
    </row>
    <row r="29" spans="1:21" ht="15" x14ac:dyDescent="0.2">
      <c r="A29" s="398" t="str">
        <f>Holzer_72!A1</f>
        <v>DR HOLZER, ROBIN</v>
      </c>
      <c r="B29" s="398"/>
      <c r="C29" s="398"/>
      <c r="D29" s="398"/>
      <c r="E29" s="398"/>
      <c r="F29" s="398"/>
      <c r="G29" s="398"/>
      <c r="H29" s="398"/>
      <c r="I29" s="398"/>
      <c r="J29" s="398"/>
      <c r="K29" s="398"/>
      <c r="R29" s="406"/>
      <c r="S29" s="406"/>
      <c r="T29" s="406"/>
      <c r="U29" s="406"/>
    </row>
    <row r="30" spans="1:21" ht="15" x14ac:dyDescent="0.25">
      <c r="A30" s="347" t="s">
        <v>76</v>
      </c>
      <c r="B30" s="347"/>
      <c r="C30" s="347"/>
      <c r="D30" s="347"/>
      <c r="E30" s="347"/>
      <c r="G30" s="347" t="s">
        <v>75</v>
      </c>
      <c r="H30" s="347"/>
      <c r="I30" s="347"/>
      <c r="J30" s="347"/>
      <c r="K30" s="347"/>
      <c r="R30" s="406"/>
      <c r="S30" s="406"/>
      <c r="T30" s="406"/>
      <c r="U30" s="406"/>
    </row>
    <row r="31" spans="1:21" ht="15" x14ac:dyDescent="0.2">
      <c r="A31" s="32" t="s">
        <v>2</v>
      </c>
      <c r="B31" s="33" t="s">
        <v>3</v>
      </c>
      <c r="C31" s="32" t="s">
        <v>4</v>
      </c>
      <c r="D31" s="32" t="s">
        <v>5</v>
      </c>
      <c r="E31" s="32" t="s">
        <v>6</v>
      </c>
      <c r="G31" s="32" t="s">
        <v>2</v>
      </c>
      <c r="H31" s="33" t="s">
        <v>3</v>
      </c>
      <c r="I31" s="32" t="s">
        <v>4</v>
      </c>
      <c r="J31" s="32" t="s">
        <v>5</v>
      </c>
      <c r="K31" s="32" t="s">
        <v>6</v>
      </c>
      <c r="R31" s="406"/>
      <c r="S31" s="406"/>
      <c r="T31" s="406"/>
      <c r="U31" s="406"/>
    </row>
    <row r="32" spans="1:21" x14ac:dyDescent="0.2">
      <c r="A32" s="147">
        <f>Holzer_72!B34-(COUNTIFS(Holzer_72!B5:B31,"24HR",Holzer_72!C5:C31,"HC")+COUNTIFS(Holzer_72!B5:B31,"24HR",Holzer_72!C5:C31,"TELMED"))</f>
        <v>7</v>
      </c>
      <c r="B32" s="147">
        <f>Holzer_72!F34-(COUNTIFS(Holzer_72!F5:F31,"24HR",Holzer_72!G5:G31,"HC")+COUNTIFS(Holzer_72!F5:F31,"24HR",Holzer_72!G5:G31,"TELMED"))</f>
        <v>6</v>
      </c>
      <c r="C32" s="147">
        <f>Holzer_72!J34-(COUNTIFS(Holzer_72!J5:J31,"24HR",Holzer_72!K5:K31,"HC")+COUNTIFS(Holzer_72!J5:J31,"24HR",Holzer_72!K5:K31,"TELMED"))</f>
        <v>6</v>
      </c>
      <c r="D32" s="147">
        <f>Holzer_72!N34-(COUNTIFS(Holzer_72!N5:N31,"24HR",Holzer_72!O5:O31,"HC")+COUNTIFS(Holzer_72!N5:N31,"24HR",Holzer_72!O5:O31,"TELMED"))</f>
        <v>4</v>
      </c>
      <c r="E32" s="147">
        <f>Holzer_72!R34-(COUNTIFS(Holzer_72!R5:R31,"24HR",Holzer_72!S5:S31,"HC")+COUNTIFS(Holzer_72!R5:R31,"24HR",Holzer_72!S5:S31,"TELMED"))</f>
        <v>6</v>
      </c>
      <c r="G32" s="75">
        <f>Holzer_72!B34</f>
        <v>7</v>
      </c>
      <c r="H32" s="75">
        <f>Holzer_72!F34</f>
        <v>6</v>
      </c>
      <c r="I32" s="75">
        <f>Holzer_72!J34</f>
        <v>6</v>
      </c>
      <c r="J32" s="75">
        <f>Holzer_72!N34</f>
        <v>4</v>
      </c>
      <c r="K32" s="75">
        <f>Holzer_72!R34</f>
        <v>6</v>
      </c>
      <c r="R32" s="406"/>
      <c r="S32" s="406"/>
      <c r="T32" s="406"/>
      <c r="U32" s="406"/>
    </row>
    <row r="33" spans="1:11" x14ac:dyDescent="0.2">
      <c r="A33" s="251" t="s">
        <v>77</v>
      </c>
      <c r="B33" s="251"/>
      <c r="C33" s="251">
        <f>SUM(A32:E32)</f>
        <v>29</v>
      </c>
      <c r="D33" s="251"/>
      <c r="E33" s="251"/>
      <c r="G33" s="251" t="s">
        <v>77</v>
      </c>
      <c r="H33" s="251"/>
      <c r="I33" s="252">
        <f>SUM(G32:K32)</f>
        <v>29</v>
      </c>
      <c r="J33" s="395"/>
      <c r="K33" s="396"/>
    </row>
    <row r="34" spans="1:11" ht="15" thickBot="1" x14ac:dyDescent="0.25"/>
    <row r="35" spans="1:11" ht="15.75" thickTop="1" x14ac:dyDescent="0.25">
      <c r="D35" s="388" t="s">
        <v>78</v>
      </c>
      <c r="E35" s="389"/>
      <c r="F35" s="389"/>
      <c r="G35" s="389"/>
      <c r="H35" s="390"/>
    </row>
    <row r="36" spans="1:11" ht="15" x14ac:dyDescent="0.2">
      <c r="D36" s="208" t="s">
        <v>2</v>
      </c>
      <c r="E36" s="33" t="s">
        <v>3</v>
      </c>
      <c r="F36" s="32" t="s">
        <v>4</v>
      </c>
      <c r="G36" s="32" t="s">
        <v>5</v>
      </c>
      <c r="H36" s="209" t="s">
        <v>6</v>
      </c>
    </row>
    <row r="37" spans="1:11" ht="15.75" customHeight="1" x14ac:dyDescent="0.2">
      <c r="D37" s="210">
        <f>A32/G32</f>
        <v>1</v>
      </c>
      <c r="E37" s="76">
        <f>B32/H32</f>
        <v>1</v>
      </c>
      <c r="F37" s="76">
        <f>C32/I32</f>
        <v>1</v>
      </c>
      <c r="G37" s="76">
        <f>D32/J32</f>
        <v>1</v>
      </c>
      <c r="H37" s="211">
        <f>E32/K32</f>
        <v>1</v>
      </c>
    </row>
    <row r="38" spans="1:11" ht="15" thickBot="1" x14ac:dyDescent="0.25">
      <c r="D38" s="391" t="s">
        <v>77</v>
      </c>
      <c r="E38" s="392"/>
      <c r="F38" s="393">
        <f>(SUM(A32:E32)/SUM(G32:K32))</f>
        <v>1</v>
      </c>
      <c r="G38" s="393"/>
      <c r="H38" s="394"/>
    </row>
    <row r="39" spans="1:11" ht="15" thickTop="1" x14ac:dyDescent="0.2"/>
    <row r="41" spans="1:11" ht="15" x14ac:dyDescent="0.2">
      <c r="A41" s="398" t="str">
        <f>Brown_80!A1:T1</f>
        <v>PA BROWN, THOMAS</v>
      </c>
      <c r="B41" s="398"/>
      <c r="C41" s="398"/>
      <c r="D41" s="398"/>
      <c r="E41" s="398"/>
      <c r="F41" s="398"/>
      <c r="G41" s="398"/>
      <c r="H41" s="398"/>
      <c r="I41" s="398"/>
      <c r="J41" s="398"/>
      <c r="K41" s="398"/>
    </row>
    <row r="42" spans="1:11" ht="15" x14ac:dyDescent="0.25">
      <c r="A42" s="347" t="s">
        <v>76</v>
      </c>
      <c r="B42" s="347"/>
      <c r="C42" s="347"/>
      <c r="D42" s="347"/>
      <c r="E42" s="347"/>
      <c r="G42" s="347" t="s">
        <v>75</v>
      </c>
      <c r="H42" s="347"/>
      <c r="I42" s="347"/>
      <c r="J42" s="347"/>
      <c r="K42" s="347"/>
    </row>
    <row r="43" spans="1:11" ht="15" x14ac:dyDescent="0.2">
      <c r="A43" s="32" t="s">
        <v>2</v>
      </c>
      <c r="B43" s="33" t="s">
        <v>3</v>
      </c>
      <c r="C43" s="32" t="s">
        <v>4</v>
      </c>
      <c r="D43" s="32" t="s">
        <v>5</v>
      </c>
      <c r="E43" s="32" t="s">
        <v>6</v>
      </c>
      <c r="G43" s="32" t="s">
        <v>2</v>
      </c>
      <c r="H43" s="33" t="s">
        <v>3</v>
      </c>
      <c r="I43" s="32" t="s">
        <v>4</v>
      </c>
      <c r="J43" s="32" t="s">
        <v>5</v>
      </c>
      <c r="K43" s="32" t="s">
        <v>6</v>
      </c>
    </row>
    <row r="44" spans="1:11" x14ac:dyDescent="0.2">
      <c r="A44" s="147">
        <f>Brown_80!B34-(COUNTIFS(Brown_80!B5:B31,"24HR",Brown_80!C5:C31,"HC")+COUNTIFS(Brown_80!B5:B31,"24HR",Brown_80!C5:C31,"TELMED"))</f>
        <v>15</v>
      </c>
      <c r="B44" s="147">
        <f>Brown_80!F34-(COUNTIFS(Brown_80!F5:F31,"24HR",Brown_80!G5:G31,"HC")+COUNTIFS(Brown_80!F5:F31,"24HR",Brown_80!G5:G31,"TELMED"))</f>
        <v>15</v>
      </c>
      <c r="C44" s="147">
        <f>Brown_80!J34-(COUNTIFS(Brown_80!J5:J31,"24HR",Brown_80!K5:K31,"HC")+COUNTIFS(Brown_80!J5:J31,"24HR",Brown_80!K5:K31,"TELMED"))</f>
        <v>15</v>
      </c>
      <c r="D44" s="147">
        <f>Brown_80!N34-(COUNTIFS(Brown_80!N5:N31,"24HR",Brown_80!O5:O31,"HC")+COUNTIFS(Brown_80!N5:N31,"24HR",Brown_80!O5:O31,"TELMED"))</f>
        <v>15</v>
      </c>
      <c r="E44" s="147">
        <f>Brown_80!R34-(COUNTIFS(Brown_80!R5:R31,"24HR",Brown_80!S5:S31,"HC")+COUNTIFS(Brown_80!R5:R31,"24HR",Brown_80!S5:S31,"TELMED"))</f>
        <v>15</v>
      </c>
      <c r="G44" s="75">
        <f>Brown_80!B34</f>
        <v>15</v>
      </c>
      <c r="H44" s="75">
        <f>Brown_80!F34</f>
        <v>15</v>
      </c>
      <c r="I44" s="75">
        <f>Brown_80!J34</f>
        <v>15</v>
      </c>
      <c r="J44" s="75">
        <f>Brown_80!N34</f>
        <v>15</v>
      </c>
      <c r="K44" s="75">
        <f>Brown_80!R34</f>
        <v>15</v>
      </c>
    </row>
    <row r="45" spans="1:11" x14ac:dyDescent="0.2">
      <c r="A45" s="251" t="s">
        <v>77</v>
      </c>
      <c r="B45" s="251"/>
      <c r="C45" s="251">
        <f>SUM(A44:E44)</f>
        <v>75</v>
      </c>
      <c r="D45" s="251"/>
      <c r="E45" s="251"/>
      <c r="G45" s="251" t="s">
        <v>77</v>
      </c>
      <c r="H45" s="251"/>
      <c r="I45" s="252">
        <f>SUM(G44:K44)</f>
        <v>75</v>
      </c>
      <c r="J45" s="395"/>
      <c r="K45" s="396"/>
    </row>
    <row r="46" spans="1:11" ht="15" thickBot="1" x14ac:dyDescent="0.25"/>
    <row r="47" spans="1:11" ht="15.75" thickTop="1" x14ac:dyDescent="0.25">
      <c r="D47" s="388" t="s">
        <v>78</v>
      </c>
      <c r="E47" s="389"/>
      <c r="F47" s="389"/>
      <c r="G47" s="389"/>
      <c r="H47" s="390"/>
    </row>
    <row r="48" spans="1:11" ht="15" x14ac:dyDescent="0.2">
      <c r="D48" s="208" t="s">
        <v>2</v>
      </c>
      <c r="E48" s="33" t="s">
        <v>3</v>
      </c>
      <c r="F48" s="32" t="s">
        <v>4</v>
      </c>
      <c r="G48" s="32" t="s">
        <v>5</v>
      </c>
      <c r="H48" s="209" t="s">
        <v>6</v>
      </c>
    </row>
    <row r="49" spans="1:11" x14ac:dyDescent="0.2">
      <c r="D49" s="210">
        <f>A44/G44</f>
        <v>1</v>
      </c>
      <c r="E49" s="76">
        <f>B44/H44</f>
        <v>1</v>
      </c>
      <c r="F49" s="76">
        <f>C44/I44</f>
        <v>1</v>
      </c>
      <c r="G49" s="76">
        <f>D44/J44</f>
        <v>1</v>
      </c>
      <c r="H49" s="211">
        <f>E44/K44</f>
        <v>1</v>
      </c>
    </row>
    <row r="50" spans="1:11" ht="15" thickBot="1" x14ac:dyDescent="0.25">
      <c r="D50" s="391" t="s">
        <v>77</v>
      </c>
      <c r="E50" s="392"/>
      <c r="F50" s="393">
        <f>(SUM(A44:E44)/SUM(G44:K44))</f>
        <v>1</v>
      </c>
      <c r="G50" s="393"/>
      <c r="H50" s="394"/>
    </row>
    <row r="51" spans="1:11" ht="15" thickTop="1" x14ac:dyDescent="0.2"/>
    <row r="53" spans="1:11" ht="15" x14ac:dyDescent="0.2">
      <c r="A53" s="397" t="str">
        <f>Fleming_64!A2</f>
        <v>Active Duty Health Clinic</v>
      </c>
      <c r="B53" s="397"/>
      <c r="C53" s="397"/>
      <c r="D53" s="397"/>
      <c r="E53" s="397"/>
      <c r="F53" s="397"/>
      <c r="G53" s="397"/>
      <c r="H53" s="397"/>
      <c r="I53" s="397"/>
      <c r="J53" s="397"/>
      <c r="K53" s="397"/>
    </row>
    <row r="54" spans="1:11" ht="15" x14ac:dyDescent="0.25">
      <c r="A54" s="347" t="s">
        <v>76</v>
      </c>
      <c r="B54" s="347"/>
      <c r="C54" s="347"/>
      <c r="D54" s="347"/>
      <c r="E54" s="347"/>
      <c r="G54" s="347" t="s">
        <v>75</v>
      </c>
      <c r="H54" s="347"/>
      <c r="I54" s="347"/>
      <c r="J54" s="347"/>
      <c r="K54" s="347"/>
    </row>
    <row r="55" spans="1:11" ht="15" x14ac:dyDescent="0.2">
      <c r="A55" s="32" t="s">
        <v>2</v>
      </c>
      <c r="B55" s="33" t="s">
        <v>3</v>
      </c>
      <c r="C55" s="32" t="s">
        <v>4</v>
      </c>
      <c r="D55" s="32" t="s">
        <v>5</v>
      </c>
      <c r="E55" s="32" t="s">
        <v>6</v>
      </c>
      <c r="G55" s="32" t="s">
        <v>2</v>
      </c>
      <c r="H55" s="33" t="s">
        <v>3</v>
      </c>
      <c r="I55" s="32" t="s">
        <v>4</v>
      </c>
      <c r="J55" s="32" t="s">
        <v>5</v>
      </c>
      <c r="K55" s="32" t="s">
        <v>6</v>
      </c>
    </row>
    <row r="56" spans="1:11" x14ac:dyDescent="0.2">
      <c r="A56" s="75">
        <f>SUM(A8,A20,A32,A44)</f>
        <v>35</v>
      </c>
      <c r="B56" s="75">
        <f>SUM(B8,B20,B32,B44)</f>
        <v>32</v>
      </c>
      <c r="C56" s="75">
        <f>SUM(C8,C20,C32,C44)</f>
        <v>34</v>
      </c>
      <c r="D56" s="75">
        <f>SUM(D8,D20,D32,D44)</f>
        <v>26</v>
      </c>
      <c r="E56" s="75">
        <f>SUM(E8,E20,E32,E44)</f>
        <v>32</v>
      </c>
      <c r="G56" s="75">
        <f>SUM(G8,G20,G32,G44)</f>
        <v>35</v>
      </c>
      <c r="H56" s="75">
        <f>SUM(H8,H20,H32,H44)</f>
        <v>32</v>
      </c>
      <c r="I56" s="75">
        <f>SUM(I8,I20,I32,I44)</f>
        <v>34</v>
      </c>
      <c r="J56" s="75">
        <f>SUM(J8,J20,J32,J44)</f>
        <v>26</v>
      </c>
      <c r="K56" s="75">
        <f>SUM(K8,K20,K32,K44)</f>
        <v>32</v>
      </c>
    </row>
    <row r="57" spans="1:11" x14ac:dyDescent="0.2">
      <c r="A57" s="251" t="s">
        <v>77</v>
      </c>
      <c r="B57" s="251"/>
      <c r="C57" s="251">
        <f>SUM(A56:E56)</f>
        <v>159</v>
      </c>
      <c r="D57" s="251"/>
      <c r="E57" s="251"/>
      <c r="G57" s="251" t="s">
        <v>77</v>
      </c>
      <c r="H57" s="251"/>
      <c r="I57" s="252">
        <f>SUM(G56:K56)</f>
        <v>159</v>
      </c>
      <c r="J57" s="395"/>
      <c r="K57" s="396"/>
    </row>
    <row r="58" spans="1:11" ht="15" thickBot="1" x14ac:dyDescent="0.25"/>
    <row r="59" spans="1:11" ht="15.75" thickTop="1" x14ac:dyDescent="0.25">
      <c r="D59" s="388" t="s">
        <v>78</v>
      </c>
      <c r="E59" s="389"/>
      <c r="F59" s="389"/>
      <c r="G59" s="389"/>
      <c r="H59" s="390"/>
    </row>
    <row r="60" spans="1:11" ht="15" x14ac:dyDescent="0.2">
      <c r="D60" s="208" t="s">
        <v>2</v>
      </c>
      <c r="E60" s="33" t="s">
        <v>3</v>
      </c>
      <c r="F60" s="32" t="s">
        <v>4</v>
      </c>
      <c r="G60" s="32" t="s">
        <v>5</v>
      </c>
      <c r="H60" s="209" t="s">
        <v>6</v>
      </c>
    </row>
    <row r="61" spans="1:11" x14ac:dyDescent="0.2">
      <c r="D61" s="210">
        <f>A56/G56</f>
        <v>1</v>
      </c>
      <c r="E61" s="76">
        <f>B56/H56</f>
        <v>1</v>
      </c>
      <c r="F61" s="76">
        <f>C56/I56</f>
        <v>1</v>
      </c>
      <c r="G61" s="76">
        <f>D56/J56</f>
        <v>1</v>
      </c>
      <c r="H61" s="211">
        <f>E56/K56</f>
        <v>1</v>
      </c>
    </row>
    <row r="62" spans="1:11" ht="15" thickBot="1" x14ac:dyDescent="0.25">
      <c r="D62" s="391" t="s">
        <v>77</v>
      </c>
      <c r="E62" s="392"/>
      <c r="F62" s="393">
        <f>(SUM(A56:E56)/SUM(G56:K56))</f>
        <v>1</v>
      </c>
      <c r="G62" s="393"/>
      <c r="H62" s="394"/>
    </row>
    <row r="63" spans="1:11" ht="15" thickTop="1" x14ac:dyDescent="0.2"/>
  </sheetData>
  <mergeCells count="63">
    <mergeCell ref="R25:U32"/>
    <mergeCell ref="M5:M6"/>
    <mergeCell ref="N5:Q6"/>
    <mergeCell ref="D35:H35"/>
    <mergeCell ref="D47:H47"/>
    <mergeCell ref="G30:K30"/>
    <mergeCell ref="A30:E30"/>
    <mergeCell ref="G33:H33"/>
    <mergeCell ref="I33:K33"/>
    <mergeCell ref="A33:B33"/>
    <mergeCell ref="C33:E33"/>
    <mergeCell ref="M7:M8"/>
    <mergeCell ref="N7:Q8"/>
    <mergeCell ref="M9:M10"/>
    <mergeCell ref="N9:Q10"/>
    <mergeCell ref="A21:B21"/>
    <mergeCell ref="D50:E50"/>
    <mergeCell ref="F50:H50"/>
    <mergeCell ref="A41:K41"/>
    <mergeCell ref="G42:K42"/>
    <mergeCell ref="A42:E42"/>
    <mergeCell ref="G45:H45"/>
    <mergeCell ref="I45:K45"/>
    <mergeCell ref="A45:B45"/>
    <mergeCell ref="C45:E45"/>
    <mergeCell ref="B2:G2"/>
    <mergeCell ref="B1:G1"/>
    <mergeCell ref="F14:H14"/>
    <mergeCell ref="A17:K17"/>
    <mergeCell ref="G18:K18"/>
    <mergeCell ref="A18:E18"/>
    <mergeCell ref="D14:E14"/>
    <mergeCell ref="G6:K6"/>
    <mergeCell ref="A6:E6"/>
    <mergeCell ref="A5:K5"/>
    <mergeCell ref="C9:E9"/>
    <mergeCell ref="G9:H9"/>
    <mergeCell ref="A9:B9"/>
    <mergeCell ref="I9:K9"/>
    <mergeCell ref="I1:K3"/>
    <mergeCell ref="C21:E21"/>
    <mergeCell ref="D38:E38"/>
    <mergeCell ref="F38:H38"/>
    <mergeCell ref="D23:H23"/>
    <mergeCell ref="D26:E26"/>
    <mergeCell ref="F26:H26"/>
    <mergeCell ref="A29:K29"/>
    <mergeCell ref="M1:Q2"/>
    <mergeCell ref="M3:M4"/>
    <mergeCell ref="N3:Q4"/>
    <mergeCell ref="D59:H59"/>
    <mergeCell ref="D62:E62"/>
    <mergeCell ref="F62:H62"/>
    <mergeCell ref="G54:K54"/>
    <mergeCell ref="A54:E54"/>
    <mergeCell ref="G57:H57"/>
    <mergeCell ref="I57:K57"/>
    <mergeCell ref="A57:B57"/>
    <mergeCell ref="C57:E57"/>
    <mergeCell ref="A53:K53"/>
    <mergeCell ref="D11:H11"/>
    <mergeCell ref="G21:H21"/>
    <mergeCell ref="I21:K21"/>
  </mergeCells>
  <conditionalFormatting sqref="D13:H13 F14:H14 D25:H25 F26:H26 D37:H37 F38:H38 D49:H49 F50:H50 D61:H61 F62:H62">
    <cfRule type="cellIs" dxfId="11" priority="1" operator="lessThan">
      <formula>0.4</formula>
    </cfRule>
    <cfRule type="cellIs" dxfId="10" priority="2" operator="between">
      <formula>0.4</formula>
      <formula>0.5</formula>
    </cfRule>
    <cfRule type="cellIs" dxfId="9" priority="3" operator="between">
      <formula>50</formula>
      <formula>60</formula>
    </cfRule>
    <cfRule type="cellIs" dxfId="8" priority="4" operator="greaterThanOrEqual">
      <formula>0.6</formula>
    </cfRule>
  </conditionalFormatting>
  <hyperlinks>
    <hyperlink ref="A5:K5" location="Fleming_64!A1" display="Fleming_64!A1"/>
    <hyperlink ref="A17:K17" location="Hough_80!A1" display="Hough_80!A1"/>
    <hyperlink ref="A29:K29" location="Holzer_72!A1" display="Holzer_72!A1"/>
    <hyperlink ref="A41:K41" location="Brown_80!A1" display="Brown_80!A1"/>
  </hyperlinks>
  <pageMargins left="0.7" right="0.7" top="0.75" bottom="0.75" header="0.3" footer="0.3"/>
  <pageSetup orientation="portrait" horizontalDpi="4294967295" verticalDpi="4294967295"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tabColor rgb="FF00B050"/>
  </sheetPr>
  <dimension ref="A1:R63"/>
  <sheetViews>
    <sheetView topLeftCell="A34" workbookViewId="0">
      <selection activeCell="H25" sqref="H25"/>
    </sheetView>
  </sheetViews>
  <sheetFormatPr defaultRowHeight="14.25" x14ac:dyDescent="0.2"/>
  <cols>
    <col min="1" max="1" width="7.75" customWidth="1"/>
    <col min="2" max="2" width="8.375" customWidth="1"/>
    <col min="3" max="3" width="11" customWidth="1"/>
    <col min="4" max="4" width="9.25" customWidth="1"/>
    <col min="5" max="5" width="8.375" customWidth="1"/>
    <col min="6" max="6" width="11" customWidth="1"/>
    <col min="7" max="7" width="9.25" customWidth="1"/>
    <col min="8" max="8" width="8.375" customWidth="1"/>
    <col min="9" max="9" width="11" customWidth="1"/>
    <col min="10" max="10" width="9.25" customWidth="1"/>
    <col min="11" max="11" width="6.25" customWidth="1"/>
    <col min="14" max="14" width="18" customWidth="1"/>
  </cols>
  <sheetData>
    <row r="1" spans="1:18" ht="15.75" customHeight="1" thickTop="1" x14ac:dyDescent="0.25">
      <c r="A1" s="81" t="s">
        <v>59</v>
      </c>
      <c r="B1" s="347" t="s">
        <v>88</v>
      </c>
      <c r="C1" s="347"/>
      <c r="D1" s="347"/>
      <c r="E1" s="347"/>
      <c r="F1" s="347"/>
      <c r="G1" s="347"/>
      <c r="H1" s="83"/>
      <c r="I1" s="444" t="s">
        <v>361</v>
      </c>
      <c r="J1" s="444"/>
      <c r="K1" s="444"/>
      <c r="L1" s="157"/>
      <c r="N1" s="378" t="s">
        <v>61</v>
      </c>
      <c r="O1" s="379"/>
      <c r="P1" s="379"/>
      <c r="Q1" s="379"/>
      <c r="R1" s="380"/>
    </row>
    <row r="2" spans="1:18" ht="15" customHeight="1" x14ac:dyDescent="0.25">
      <c r="A2" s="82" t="s">
        <v>60</v>
      </c>
      <c r="B2" s="347" t="s">
        <v>87</v>
      </c>
      <c r="C2" s="347"/>
      <c r="D2" s="347"/>
      <c r="E2" s="347"/>
      <c r="F2" s="347"/>
      <c r="G2" s="347"/>
      <c r="H2" s="79"/>
      <c r="I2" s="444"/>
      <c r="J2" s="444"/>
      <c r="K2" s="444"/>
      <c r="L2" s="157"/>
      <c r="N2" s="381"/>
      <c r="O2" s="382"/>
      <c r="P2" s="382"/>
      <c r="Q2" s="382"/>
      <c r="R2" s="383"/>
    </row>
    <row r="3" spans="1:18" x14ac:dyDescent="0.2">
      <c r="N3" s="448" t="s">
        <v>62</v>
      </c>
      <c r="O3" s="386" t="s">
        <v>95</v>
      </c>
      <c r="P3" s="386"/>
      <c r="Q3" s="386"/>
      <c r="R3" s="387"/>
    </row>
    <row r="4" spans="1:18" x14ac:dyDescent="0.2">
      <c r="N4" s="448"/>
      <c r="O4" s="386"/>
      <c r="P4" s="386"/>
      <c r="Q4" s="386"/>
      <c r="R4" s="387"/>
    </row>
    <row r="5" spans="1:18" ht="15" x14ac:dyDescent="0.2">
      <c r="A5" s="398" t="str">
        <f>Fleming_64!A1</f>
        <v>NP FLEMING, JEN</v>
      </c>
      <c r="B5" s="398"/>
      <c r="C5" s="398"/>
      <c r="D5" s="398"/>
      <c r="E5" s="398"/>
      <c r="F5" s="398"/>
      <c r="G5" s="398"/>
      <c r="H5" s="398"/>
      <c r="I5" s="398"/>
      <c r="J5" s="398"/>
      <c r="K5" s="398"/>
      <c r="N5" s="445" t="s">
        <v>67</v>
      </c>
      <c r="O5" s="446" t="s">
        <v>96</v>
      </c>
      <c r="P5" s="446"/>
      <c r="Q5" s="446"/>
      <c r="R5" s="447"/>
    </row>
    <row r="6" spans="1:18" ht="15" x14ac:dyDescent="0.25">
      <c r="A6" s="347" t="s">
        <v>89</v>
      </c>
      <c r="B6" s="347"/>
      <c r="C6" s="347"/>
      <c r="D6" s="347"/>
      <c r="E6" s="347"/>
      <c r="G6" s="347" t="s">
        <v>90</v>
      </c>
      <c r="H6" s="347"/>
      <c r="I6" s="347"/>
      <c r="J6" s="347"/>
      <c r="K6" s="347"/>
      <c r="N6" s="445"/>
      <c r="O6" s="446"/>
      <c r="P6" s="446"/>
      <c r="Q6" s="446"/>
      <c r="R6" s="447"/>
    </row>
    <row r="7" spans="1:18" ht="15" x14ac:dyDescent="0.2">
      <c r="A7" s="32" t="s">
        <v>2</v>
      </c>
      <c r="B7" s="33" t="s">
        <v>3</v>
      </c>
      <c r="C7" s="32" t="s">
        <v>4</v>
      </c>
      <c r="D7" s="32" t="s">
        <v>5</v>
      </c>
      <c r="E7" s="32" t="s">
        <v>6</v>
      </c>
      <c r="G7" s="32" t="s">
        <v>2</v>
      </c>
      <c r="H7" s="33" t="s">
        <v>3</v>
      </c>
      <c r="I7" s="32" t="s">
        <v>4</v>
      </c>
      <c r="J7" s="32" t="s">
        <v>5</v>
      </c>
      <c r="K7" s="32" t="s">
        <v>6</v>
      </c>
      <c r="N7" s="435" t="s">
        <v>68</v>
      </c>
      <c r="O7" s="436" t="s">
        <v>97</v>
      </c>
      <c r="P7" s="436"/>
      <c r="Q7" s="436"/>
      <c r="R7" s="437"/>
    </row>
    <row r="8" spans="1:18" x14ac:dyDescent="0.2">
      <c r="A8" s="75">
        <f>COUNTIF(Fleming_64!C5:C31,"*BO")+COUNTIF(Fleming_64!C5:C31,"*PHA")+COUNTIF(Fleming_64!C5:C31,"*WEX")</f>
        <v>0</v>
      </c>
      <c r="B8" s="75">
        <f>COUNTIF(Fleming_64!G5:G31,"*BO")+COUNTIF(Fleming_64!G5:G31,"*PHA")+COUNTIF(Fleming_64!G5:G31,"*WEX")</f>
        <v>0</v>
      </c>
      <c r="C8" s="75">
        <f>COUNTIF(Fleming_64!K5:K31,"*BO")+COUNTIF(Fleming_64!K5:K31,"*PHA")+COUNTIF(Fleming_64!K5:K31,"*WEX")</f>
        <v>0</v>
      </c>
      <c r="D8" s="75">
        <f>COUNTIF(Fleming_64!O5:O31,"*BO")+COUNTIF(Fleming_64!O5:O31,"*PHA")+COUNTIF(Fleming_64!O5:O31,"*WEX")</f>
        <v>0</v>
      </c>
      <c r="E8" s="75">
        <f>COUNTIF(Fleming_64!S5:S31,"*BO")+COUNTIF(Fleming_64!S5:S31,"*PHA")+COUNTIF(Fleming_64!S5:S31,"*WEX")</f>
        <v>0</v>
      </c>
      <c r="G8" s="75">
        <f>Fleming_64!B39</f>
        <v>18</v>
      </c>
      <c r="H8" s="75">
        <f>Fleming_64!F39</f>
        <v>13</v>
      </c>
      <c r="I8" s="75">
        <f>Fleming_64!J39</f>
        <v>18</v>
      </c>
      <c r="J8" s="75">
        <f>Fleming_64!N39</f>
        <v>8</v>
      </c>
      <c r="K8" s="75">
        <f>Fleming_64!R39</f>
        <v>15</v>
      </c>
      <c r="N8" s="435"/>
      <c r="O8" s="436"/>
      <c r="P8" s="436"/>
      <c r="Q8" s="436"/>
      <c r="R8" s="437"/>
    </row>
    <row r="9" spans="1:18" x14ac:dyDescent="0.2">
      <c r="A9" s="251" t="s">
        <v>77</v>
      </c>
      <c r="B9" s="251"/>
      <c r="C9" s="252">
        <f>SUM(A8:E8)</f>
        <v>0</v>
      </c>
      <c r="D9" s="395"/>
      <c r="E9" s="396"/>
      <c r="G9" s="251" t="s">
        <v>77</v>
      </c>
      <c r="H9" s="251"/>
      <c r="I9" s="251">
        <f>SUM(G8:K8)</f>
        <v>72</v>
      </c>
      <c r="J9" s="251"/>
      <c r="K9" s="251"/>
      <c r="N9" s="438" t="s">
        <v>69</v>
      </c>
      <c r="O9" s="440" t="s">
        <v>98</v>
      </c>
      <c r="P9" s="440"/>
      <c r="Q9" s="440"/>
      <c r="R9" s="441"/>
    </row>
    <row r="10" spans="1:18" ht="15" thickBot="1" x14ac:dyDescent="0.25">
      <c r="N10" s="439"/>
      <c r="O10" s="442"/>
      <c r="P10" s="442"/>
      <c r="Q10" s="442"/>
      <c r="R10" s="443"/>
    </row>
    <row r="11" spans="1:18" ht="15.75" thickTop="1" x14ac:dyDescent="0.25">
      <c r="D11" s="388" t="s">
        <v>99</v>
      </c>
      <c r="E11" s="389"/>
      <c r="F11" s="389"/>
      <c r="G11" s="389"/>
      <c r="H11" s="390"/>
    </row>
    <row r="12" spans="1:18" ht="15" x14ac:dyDescent="0.2">
      <c r="D12" s="208" t="s">
        <v>2</v>
      </c>
      <c r="E12" s="33" t="s">
        <v>3</v>
      </c>
      <c r="F12" s="32" t="s">
        <v>4</v>
      </c>
      <c r="G12" s="32" t="s">
        <v>5</v>
      </c>
      <c r="H12" s="209" t="s">
        <v>6</v>
      </c>
    </row>
    <row r="13" spans="1:18" x14ac:dyDescent="0.2">
      <c r="D13" s="210">
        <f>A8/G8</f>
        <v>0</v>
      </c>
      <c r="E13" s="76">
        <f>B8/H8</f>
        <v>0</v>
      </c>
      <c r="F13" s="76">
        <f>C8/I8</f>
        <v>0</v>
      </c>
      <c r="G13" s="76">
        <f>D8/J8</f>
        <v>0</v>
      </c>
      <c r="H13" s="211">
        <f>E8/K8</f>
        <v>0</v>
      </c>
    </row>
    <row r="14" spans="1:18" ht="15" thickBot="1" x14ac:dyDescent="0.25">
      <c r="D14" s="391" t="s">
        <v>77</v>
      </c>
      <c r="E14" s="392"/>
      <c r="F14" s="393">
        <f>C9/I9</f>
        <v>0</v>
      </c>
      <c r="G14" s="393"/>
      <c r="H14" s="394"/>
    </row>
    <row r="15" spans="1:18" ht="15" thickTop="1" x14ac:dyDescent="0.2"/>
    <row r="17" spans="1:13" ht="15" x14ac:dyDescent="0.2">
      <c r="A17" s="398" t="str">
        <f>Williams_80!A1:T1</f>
        <v>PA HOUGH, CRISTINA</v>
      </c>
      <c r="B17" s="398"/>
      <c r="C17" s="398"/>
      <c r="D17" s="398"/>
      <c r="E17" s="398"/>
      <c r="F17" s="398"/>
      <c r="G17" s="398"/>
      <c r="H17" s="398"/>
      <c r="I17" s="398"/>
      <c r="J17" s="398"/>
      <c r="K17" s="398"/>
    </row>
    <row r="18" spans="1:13" ht="15" x14ac:dyDescent="0.25">
      <c r="A18" s="347" t="s">
        <v>89</v>
      </c>
      <c r="B18" s="347"/>
      <c r="C18" s="347"/>
      <c r="D18" s="347"/>
      <c r="E18" s="347"/>
      <c r="G18" s="347" t="s">
        <v>90</v>
      </c>
      <c r="H18" s="347"/>
      <c r="I18" s="347"/>
      <c r="J18" s="347"/>
      <c r="K18" s="347"/>
    </row>
    <row r="19" spans="1:13" ht="15" x14ac:dyDescent="0.2">
      <c r="A19" s="32" t="s">
        <v>2</v>
      </c>
      <c r="B19" s="33" t="s">
        <v>3</v>
      </c>
      <c r="C19" s="32" t="s">
        <v>4</v>
      </c>
      <c r="D19" s="32" t="s">
        <v>5</v>
      </c>
      <c r="E19" s="32" t="s">
        <v>6</v>
      </c>
      <c r="G19" s="32" t="s">
        <v>2</v>
      </c>
      <c r="H19" s="33" t="s">
        <v>3</v>
      </c>
      <c r="I19" s="32" t="s">
        <v>4</v>
      </c>
      <c r="J19" s="32" t="s">
        <v>5</v>
      </c>
      <c r="K19" s="32" t="s">
        <v>6</v>
      </c>
    </row>
    <row r="20" spans="1:13" x14ac:dyDescent="0.2">
      <c r="A20" s="75">
        <f>COUNTIF(Williams_80!C5:C31,"*BO")+COUNTIF(Williams_80!C5:C31,"*PHA")+COUNTIF(Williams_80!C5:C31,"*WEX")</f>
        <v>0</v>
      </c>
      <c r="B20" s="75">
        <f>COUNTIF(Williams_80!G5:G31,"*BO")+COUNTIF(Williams_80!G5:G31,"*PHA")+COUNTIF(Williams_80!G5:G31,"*WEX")</f>
        <v>0</v>
      </c>
      <c r="C20" s="75">
        <f>COUNTIF(Williams_80!K5:K31,"*BO")+COUNTIF(Williams_80!K5:K31,"*PHA")+COUNTIF(Williams_80!K5:K31,"*WEX")</f>
        <v>0</v>
      </c>
      <c r="D20" s="75">
        <f>COUNTIF(Williams_80!O5:O31,"*BO")+COUNTIF(Williams_80!O5:O31,"*PHA")+COUNTIF(Williams_80!O5:O31,"*WEX")</f>
        <v>0</v>
      </c>
      <c r="E20" s="75">
        <f>COUNTIF(Williams_80!S5:S31,"*BO")+COUNTIF(Williams_80!S5:S31,"*PHA")+COUNTIF(Williams_80!S5:S31,"*WEX")</f>
        <v>2</v>
      </c>
      <c r="G20" s="75">
        <f>Williams_80!B39</f>
        <v>18</v>
      </c>
      <c r="H20" s="75">
        <f>Williams_80!F39</f>
        <v>18</v>
      </c>
      <c r="I20" s="75">
        <f>Williams_80!J39</f>
        <v>18</v>
      </c>
      <c r="J20" s="75">
        <f>Williams_80!N39</f>
        <v>12</v>
      </c>
      <c r="K20" s="75">
        <f>Williams_80!R39</f>
        <v>14</v>
      </c>
    </row>
    <row r="21" spans="1:13" x14ac:dyDescent="0.2">
      <c r="A21" s="251" t="s">
        <v>77</v>
      </c>
      <c r="B21" s="251"/>
      <c r="C21" s="252">
        <f>SUM(A20:E20)</f>
        <v>2</v>
      </c>
      <c r="D21" s="395"/>
      <c r="E21" s="396"/>
      <c r="G21" s="251" t="s">
        <v>77</v>
      </c>
      <c r="H21" s="251"/>
      <c r="I21" s="251">
        <f>SUM(G20:K20)</f>
        <v>80</v>
      </c>
      <c r="J21" s="251"/>
      <c r="K21" s="251"/>
    </row>
    <row r="22" spans="1:13" ht="15" thickBot="1" x14ac:dyDescent="0.25"/>
    <row r="23" spans="1:13" ht="15.75" thickTop="1" x14ac:dyDescent="0.25">
      <c r="D23" s="388" t="s">
        <v>99</v>
      </c>
      <c r="E23" s="389"/>
      <c r="F23" s="389"/>
      <c r="G23" s="389"/>
      <c r="H23" s="390"/>
    </row>
    <row r="24" spans="1:13" ht="15" x14ac:dyDescent="0.2">
      <c r="D24" s="208" t="s">
        <v>2</v>
      </c>
      <c r="E24" s="33" t="s">
        <v>3</v>
      </c>
      <c r="F24" s="32" t="s">
        <v>4</v>
      </c>
      <c r="G24" s="32" t="s">
        <v>5</v>
      </c>
      <c r="H24" s="209" t="s">
        <v>6</v>
      </c>
    </row>
    <row r="25" spans="1:13" ht="14.25" customHeight="1" x14ac:dyDescent="0.2">
      <c r="D25" s="210">
        <f>A20/G20</f>
        <v>0</v>
      </c>
      <c r="E25" s="76">
        <f t="shared" ref="E25:H25" si="0">B20/H20</f>
        <v>0</v>
      </c>
      <c r="F25" s="76">
        <f t="shared" si="0"/>
        <v>0</v>
      </c>
      <c r="G25" s="76">
        <f t="shared" si="0"/>
        <v>0</v>
      </c>
      <c r="H25" s="211">
        <f t="shared" si="0"/>
        <v>0.14285714285714285</v>
      </c>
    </row>
    <row r="26" spans="1:13" ht="15" thickBot="1" x14ac:dyDescent="0.25">
      <c r="D26" s="391" t="s">
        <v>77</v>
      </c>
      <c r="E26" s="392"/>
      <c r="F26" s="393">
        <f>C21/I21</f>
        <v>2.5000000000000001E-2</v>
      </c>
      <c r="G26" s="393"/>
      <c r="H26" s="394"/>
    </row>
    <row r="27" spans="1:13" ht="15" thickTop="1" x14ac:dyDescent="0.2">
      <c r="M27" s="156"/>
    </row>
    <row r="29" spans="1:13" ht="15" x14ac:dyDescent="0.2">
      <c r="A29" s="398" t="str">
        <f>Holzer_72!A1</f>
        <v>DR HOLZER, ROBIN</v>
      </c>
      <c r="B29" s="398"/>
      <c r="C29" s="398"/>
      <c r="D29" s="398"/>
      <c r="E29" s="398"/>
      <c r="F29" s="398"/>
      <c r="G29" s="398"/>
      <c r="H29" s="398"/>
      <c r="I29" s="398"/>
      <c r="J29" s="398"/>
      <c r="K29" s="398"/>
    </row>
    <row r="30" spans="1:13" ht="15" x14ac:dyDescent="0.25">
      <c r="A30" s="347" t="s">
        <v>89</v>
      </c>
      <c r="B30" s="347"/>
      <c r="C30" s="347"/>
      <c r="D30" s="347"/>
      <c r="E30" s="347"/>
      <c r="G30" s="347" t="s">
        <v>90</v>
      </c>
      <c r="H30" s="347"/>
      <c r="I30" s="347"/>
      <c r="J30" s="347"/>
      <c r="K30" s="347"/>
    </row>
    <row r="31" spans="1:13" ht="15" x14ac:dyDescent="0.2">
      <c r="A31" s="32" t="s">
        <v>2</v>
      </c>
      <c r="B31" s="33" t="s">
        <v>3</v>
      </c>
      <c r="C31" s="32" t="s">
        <v>4</v>
      </c>
      <c r="D31" s="32" t="s">
        <v>5</v>
      </c>
      <c r="E31" s="32" t="s">
        <v>6</v>
      </c>
      <c r="G31" s="32" t="s">
        <v>2</v>
      </c>
      <c r="H31" s="33" t="s">
        <v>3</v>
      </c>
      <c r="I31" s="32" t="s">
        <v>4</v>
      </c>
      <c r="J31" s="32" t="s">
        <v>5</v>
      </c>
      <c r="K31" s="32" t="s">
        <v>6</v>
      </c>
    </row>
    <row r="32" spans="1:13" x14ac:dyDescent="0.2">
      <c r="A32" s="75">
        <f>COUNTIF(Holzer_72!C5:C31,"*BO")+COUNTIF(Holzer_72!C5:C31,"*PHA")+COUNTIF(Holzer_72!C5:C31,"*WEX")</f>
        <v>0</v>
      </c>
      <c r="B32" s="75">
        <f>COUNTIF(Holzer_72!G5:G31,"*BO")+COUNTIF(Holzer_72!G5:G31,"*PHA")+COUNTIF(Holzer_72!G5:G31,"*WEX")</f>
        <v>0</v>
      </c>
      <c r="C32" s="75">
        <f>COUNTIF(Holzer_72!K5:K31,"*BO")+COUNTIF(Holzer_72!K5:K31,"*PHA")+COUNTIF(Holzer_72!K5:K31,"*WEX")</f>
        <v>0</v>
      </c>
      <c r="D32" s="75">
        <f>COUNTIF(Holzer_72!O5:O31,"*BO")+COUNTIF(Holzer_72!O5:O31,"*PHA")+COUNTIF(Holzer_72!O5:O31,"*WEX")</f>
        <v>0</v>
      </c>
      <c r="E32" s="75">
        <f>COUNTIF(Holzer_72!S6:S31,"*BO")+COUNTIF(Holzer_72!S5:S31,"*PHA")+COUNTIF(Holzer_72!S5:S31,"*WEX")</f>
        <v>0</v>
      </c>
      <c r="G32" s="75">
        <f>Holzer_72!B39</f>
        <v>16</v>
      </c>
      <c r="H32" s="75">
        <f>Holzer_72!F39</f>
        <v>16</v>
      </c>
      <c r="I32" s="75">
        <f>Holzer_72!J39</f>
        <v>16</v>
      </c>
      <c r="J32" s="75">
        <f>Holzer_72!N39</f>
        <v>9</v>
      </c>
      <c r="K32" s="75">
        <f>Holzer_72!R39</f>
        <v>14</v>
      </c>
    </row>
    <row r="33" spans="1:11" x14ac:dyDescent="0.2">
      <c r="A33" s="251" t="s">
        <v>77</v>
      </c>
      <c r="B33" s="251"/>
      <c r="C33" s="252">
        <f>SUM(A32:E32)</f>
        <v>0</v>
      </c>
      <c r="D33" s="395"/>
      <c r="E33" s="396"/>
      <c r="G33" s="251" t="s">
        <v>77</v>
      </c>
      <c r="H33" s="251"/>
      <c r="I33" s="251">
        <f>SUM(G32:K32)</f>
        <v>71</v>
      </c>
      <c r="J33" s="251"/>
      <c r="K33" s="251"/>
    </row>
    <row r="34" spans="1:11" ht="15" thickBot="1" x14ac:dyDescent="0.25"/>
    <row r="35" spans="1:11" ht="15.75" thickTop="1" x14ac:dyDescent="0.25">
      <c r="D35" s="388" t="s">
        <v>99</v>
      </c>
      <c r="E35" s="389"/>
      <c r="F35" s="389"/>
      <c r="G35" s="389"/>
      <c r="H35" s="390"/>
    </row>
    <row r="36" spans="1:11" ht="15" x14ac:dyDescent="0.2">
      <c r="D36" s="208" t="s">
        <v>2</v>
      </c>
      <c r="E36" s="33" t="s">
        <v>3</v>
      </c>
      <c r="F36" s="32" t="s">
        <v>4</v>
      </c>
      <c r="G36" s="32" t="s">
        <v>5</v>
      </c>
      <c r="H36" s="209" t="s">
        <v>6</v>
      </c>
    </row>
    <row r="37" spans="1:11" x14ac:dyDescent="0.2">
      <c r="D37" s="210">
        <f>A32/G32</f>
        <v>0</v>
      </c>
      <c r="E37" s="85">
        <f>B32/H32</f>
        <v>0</v>
      </c>
      <c r="F37" s="85">
        <f>C32/I32</f>
        <v>0</v>
      </c>
      <c r="G37" s="76">
        <f>D32/J32</f>
        <v>0</v>
      </c>
      <c r="H37" s="212">
        <f>E32/K32</f>
        <v>0</v>
      </c>
    </row>
    <row r="38" spans="1:11" ht="15" thickBot="1" x14ac:dyDescent="0.25">
      <c r="D38" s="431" t="s">
        <v>77</v>
      </c>
      <c r="E38" s="432"/>
      <c r="F38" s="433">
        <f>C33/I33</f>
        <v>0</v>
      </c>
      <c r="G38" s="433"/>
      <c r="H38" s="434"/>
    </row>
    <row r="39" spans="1:11" ht="15" thickTop="1" x14ac:dyDescent="0.2"/>
    <row r="41" spans="1:11" ht="15" x14ac:dyDescent="0.2">
      <c r="A41" s="398" t="str">
        <f>Brown_80!A1:T1</f>
        <v>PA BROWN, THOMAS</v>
      </c>
      <c r="B41" s="398"/>
      <c r="C41" s="398"/>
      <c r="D41" s="398"/>
      <c r="E41" s="398"/>
      <c r="F41" s="398"/>
      <c r="G41" s="398"/>
      <c r="H41" s="398"/>
      <c r="I41" s="398"/>
      <c r="J41" s="398"/>
      <c r="K41" s="398"/>
    </row>
    <row r="42" spans="1:11" ht="15" x14ac:dyDescent="0.25">
      <c r="A42" s="347" t="s">
        <v>89</v>
      </c>
      <c r="B42" s="347"/>
      <c r="C42" s="347"/>
      <c r="D42" s="347"/>
      <c r="E42" s="347"/>
      <c r="G42" s="347" t="s">
        <v>90</v>
      </c>
      <c r="H42" s="347"/>
      <c r="I42" s="347"/>
      <c r="J42" s="347"/>
      <c r="K42" s="347"/>
    </row>
    <row r="43" spans="1:11" ht="15" x14ac:dyDescent="0.2">
      <c r="A43" s="32" t="s">
        <v>2</v>
      </c>
      <c r="B43" s="33" t="s">
        <v>3</v>
      </c>
      <c r="C43" s="32" t="s">
        <v>4</v>
      </c>
      <c r="D43" s="32" t="s">
        <v>5</v>
      </c>
      <c r="E43" s="32" t="s">
        <v>6</v>
      </c>
      <c r="G43" s="32" t="s">
        <v>2</v>
      </c>
      <c r="H43" s="33" t="s">
        <v>3</v>
      </c>
      <c r="I43" s="32" t="s">
        <v>4</v>
      </c>
      <c r="J43" s="32" t="s">
        <v>5</v>
      </c>
      <c r="K43" s="32" t="s">
        <v>6</v>
      </c>
    </row>
    <row r="44" spans="1:11" x14ac:dyDescent="0.2">
      <c r="A44" s="75">
        <f>COUNTIF(Brown_80!C5:C31,"*BO")+COUNTIF(Brown_80!C5:C31,"*PHA")+COUNTIF(Brown_80!C5:C31,"*WEX")</f>
        <v>0</v>
      </c>
      <c r="B44" s="75">
        <f>COUNTIF(Brown_80!G5:G31,"*BO")+COUNTIF(Brown_80!G5:G31,"*PHA")+COUNTIF(Brown_80!G5:G31,"*WEX")</f>
        <v>0</v>
      </c>
      <c r="C44" s="75">
        <f>COUNTIF(Brown_80!K5:K31,"*BO")+COUNTIF(Brown_80!K5:K31,"*PHA")+COUNTIF(Brown_80!K5:K31,"*WEX")</f>
        <v>0</v>
      </c>
      <c r="D44" s="75">
        <f>COUNTIF(Brown_80!O5:O31,"*BO")+COUNTIF(Brown_80!O5:O31,"*PHA")+COUNTIF(Brown_80!O5:O31,"*WEX")</f>
        <v>0</v>
      </c>
      <c r="E44" s="75">
        <f>COUNTIF(Brown_80!S5:S31,"*BO")+COUNTIF(Brown_80!S5:S31,"*PHA")+COUNTIF(Brown_80!S5:S31,"*WEX")</f>
        <v>0</v>
      </c>
      <c r="G44" s="75">
        <f>Brown_80!B39</f>
        <v>15</v>
      </c>
      <c r="H44" s="75">
        <f>Brown_80!F39</f>
        <v>15</v>
      </c>
      <c r="I44" s="75">
        <f>Brown_80!J39</f>
        <v>15</v>
      </c>
      <c r="J44" s="75">
        <f>Brown_80!N39</f>
        <v>15</v>
      </c>
      <c r="K44" s="75">
        <f>Brown_80!R39</f>
        <v>15</v>
      </c>
    </row>
    <row r="45" spans="1:11" x14ac:dyDescent="0.2">
      <c r="A45" s="251" t="s">
        <v>77</v>
      </c>
      <c r="B45" s="251"/>
      <c r="C45" s="252">
        <f>SUM(A44:E44)</f>
        <v>0</v>
      </c>
      <c r="D45" s="395"/>
      <c r="E45" s="396"/>
      <c r="G45" s="251" t="s">
        <v>77</v>
      </c>
      <c r="H45" s="251"/>
      <c r="I45" s="251">
        <f>SUM(G44:K44)</f>
        <v>75</v>
      </c>
      <c r="J45" s="251"/>
      <c r="K45" s="251"/>
    </row>
    <row r="46" spans="1:11" ht="15" thickBot="1" x14ac:dyDescent="0.25"/>
    <row r="47" spans="1:11" ht="15.75" thickTop="1" x14ac:dyDescent="0.25">
      <c r="D47" s="388" t="s">
        <v>99</v>
      </c>
      <c r="E47" s="389"/>
      <c r="F47" s="389"/>
      <c r="G47" s="389"/>
      <c r="H47" s="390"/>
    </row>
    <row r="48" spans="1:11" ht="15" x14ac:dyDescent="0.2">
      <c r="D48" s="208" t="s">
        <v>2</v>
      </c>
      <c r="E48" s="33" t="s">
        <v>3</v>
      </c>
      <c r="F48" s="32" t="s">
        <v>4</v>
      </c>
      <c r="G48" s="32" t="s">
        <v>5</v>
      </c>
      <c r="H48" s="209" t="s">
        <v>6</v>
      </c>
    </row>
    <row r="49" spans="1:11" x14ac:dyDescent="0.2">
      <c r="D49" s="210">
        <f>A44/G44</f>
        <v>0</v>
      </c>
      <c r="E49" s="76">
        <f>B44/H44</f>
        <v>0</v>
      </c>
      <c r="F49" s="76">
        <f>C44/I44</f>
        <v>0</v>
      </c>
      <c r="G49" s="76">
        <f>D44/J44</f>
        <v>0</v>
      </c>
      <c r="H49" s="211">
        <f>E44/K44</f>
        <v>0</v>
      </c>
    </row>
    <row r="50" spans="1:11" ht="15" thickBot="1" x14ac:dyDescent="0.25">
      <c r="D50" s="391" t="s">
        <v>77</v>
      </c>
      <c r="E50" s="392"/>
      <c r="F50" s="393">
        <f>C45/I45</f>
        <v>0</v>
      </c>
      <c r="G50" s="393"/>
      <c r="H50" s="394"/>
    </row>
    <row r="51" spans="1:11" ht="15" thickTop="1" x14ac:dyDescent="0.2"/>
    <row r="53" spans="1:11" ht="15" x14ac:dyDescent="0.2">
      <c r="A53" s="397" t="str">
        <f>Fleming_64!A2</f>
        <v>Active Duty Health Clinic</v>
      </c>
      <c r="B53" s="397"/>
      <c r="C53" s="397"/>
      <c r="D53" s="397"/>
      <c r="E53" s="397"/>
      <c r="F53" s="397"/>
      <c r="G53" s="397"/>
      <c r="H53" s="397"/>
      <c r="I53" s="397"/>
      <c r="J53" s="397"/>
      <c r="K53" s="397"/>
    </row>
    <row r="54" spans="1:11" ht="15" x14ac:dyDescent="0.25">
      <c r="A54" s="347" t="s">
        <v>89</v>
      </c>
      <c r="B54" s="347"/>
      <c r="C54" s="347"/>
      <c r="D54" s="347"/>
      <c r="E54" s="347"/>
      <c r="G54" s="347" t="s">
        <v>90</v>
      </c>
      <c r="H54" s="347"/>
      <c r="I54" s="347"/>
      <c r="J54" s="347"/>
      <c r="K54" s="347"/>
    </row>
    <row r="55" spans="1:11" ht="15" x14ac:dyDescent="0.2">
      <c r="A55" s="32" t="s">
        <v>2</v>
      </c>
      <c r="B55" s="33" t="s">
        <v>3</v>
      </c>
      <c r="C55" s="32" t="s">
        <v>4</v>
      </c>
      <c r="D55" s="32" t="s">
        <v>5</v>
      </c>
      <c r="E55" s="32" t="s">
        <v>6</v>
      </c>
      <c r="G55" s="32" t="s">
        <v>2</v>
      </c>
      <c r="H55" s="33" t="s">
        <v>3</v>
      </c>
      <c r="I55" s="32" t="s">
        <v>4</v>
      </c>
      <c r="J55" s="32" t="s">
        <v>5</v>
      </c>
      <c r="K55" s="32" t="s">
        <v>6</v>
      </c>
    </row>
    <row r="56" spans="1:11" x14ac:dyDescent="0.2">
      <c r="A56" s="75">
        <f>SUM(A44,A32,A20,A8)</f>
        <v>0</v>
      </c>
      <c r="B56" s="75">
        <f>SUM(B44,B32,B20,B8)</f>
        <v>0</v>
      </c>
      <c r="C56" s="75">
        <f t="shared" ref="C56:E56" si="1">SUM(C44,C32,C20,C8)</f>
        <v>0</v>
      </c>
      <c r="D56" s="75">
        <f t="shared" si="1"/>
        <v>0</v>
      </c>
      <c r="E56" s="75">
        <f t="shared" si="1"/>
        <v>2</v>
      </c>
      <c r="G56" s="75">
        <f>SUM(G8,G20,G32,G44)</f>
        <v>67</v>
      </c>
      <c r="H56" s="75">
        <f>SUM(H8,H20,H32,H44)</f>
        <v>62</v>
      </c>
      <c r="I56" s="75">
        <f>SUM(I8,I20,I32,I44)</f>
        <v>67</v>
      </c>
      <c r="J56" s="75">
        <f>SUM(J8,J20,J32,J44)</f>
        <v>44</v>
      </c>
      <c r="K56" s="75">
        <f>SUM(K8,K20,K32,K44)</f>
        <v>58</v>
      </c>
    </row>
    <row r="57" spans="1:11" x14ac:dyDescent="0.2">
      <c r="A57" s="251" t="s">
        <v>77</v>
      </c>
      <c r="B57" s="251"/>
      <c r="C57" s="252">
        <f>SUM(A56:E56)</f>
        <v>2</v>
      </c>
      <c r="D57" s="395"/>
      <c r="E57" s="396"/>
      <c r="G57" s="251" t="s">
        <v>77</v>
      </c>
      <c r="H57" s="251"/>
      <c r="I57" s="251">
        <f>SUM(G56:K56)</f>
        <v>298</v>
      </c>
      <c r="J57" s="251"/>
      <c r="K57" s="251"/>
    </row>
    <row r="58" spans="1:11" ht="15" thickBot="1" x14ac:dyDescent="0.25"/>
    <row r="59" spans="1:11" ht="15.75" thickTop="1" x14ac:dyDescent="0.25">
      <c r="D59" s="388" t="s">
        <v>99</v>
      </c>
      <c r="E59" s="389"/>
      <c r="F59" s="389"/>
      <c r="G59" s="389"/>
      <c r="H59" s="390"/>
    </row>
    <row r="60" spans="1:11" ht="15" x14ac:dyDescent="0.2">
      <c r="D60" s="208" t="s">
        <v>2</v>
      </c>
      <c r="E60" s="33" t="s">
        <v>3</v>
      </c>
      <c r="F60" s="32" t="s">
        <v>4</v>
      </c>
      <c r="G60" s="32" t="s">
        <v>5</v>
      </c>
      <c r="H60" s="209" t="s">
        <v>6</v>
      </c>
    </row>
    <row r="61" spans="1:11" x14ac:dyDescent="0.2">
      <c r="D61" s="210">
        <f>A56/G56</f>
        <v>0</v>
      </c>
      <c r="E61" s="76">
        <f>B56/H56</f>
        <v>0</v>
      </c>
      <c r="F61" s="76">
        <f>C56/I56</f>
        <v>0</v>
      </c>
      <c r="G61" s="76">
        <f>D56/J56</f>
        <v>0</v>
      </c>
      <c r="H61" s="211">
        <f>E56/K56</f>
        <v>3.4482758620689655E-2</v>
      </c>
    </row>
    <row r="62" spans="1:11" ht="15" thickBot="1" x14ac:dyDescent="0.25">
      <c r="D62" s="391" t="s">
        <v>77</v>
      </c>
      <c r="E62" s="392"/>
      <c r="F62" s="393">
        <f>C57/I57</f>
        <v>6.7114093959731542E-3</v>
      </c>
      <c r="G62" s="393"/>
      <c r="H62" s="394"/>
    </row>
    <row r="63" spans="1:11" ht="15" thickTop="1" x14ac:dyDescent="0.2"/>
  </sheetData>
  <mergeCells count="62">
    <mergeCell ref="I1:K2"/>
    <mergeCell ref="N5:N6"/>
    <mergeCell ref="O5:R6"/>
    <mergeCell ref="B1:G1"/>
    <mergeCell ref="B2:G2"/>
    <mergeCell ref="N1:R2"/>
    <mergeCell ref="N3:N4"/>
    <mergeCell ref="O3:R4"/>
    <mergeCell ref="A5:K5"/>
    <mergeCell ref="A6:E6"/>
    <mergeCell ref="G6:K6"/>
    <mergeCell ref="A9:B9"/>
    <mergeCell ref="C9:E9"/>
    <mergeCell ref="A17:K17"/>
    <mergeCell ref="N7:N8"/>
    <mergeCell ref="O7:R8"/>
    <mergeCell ref="N9:N10"/>
    <mergeCell ref="O9:R10"/>
    <mergeCell ref="G9:H9"/>
    <mergeCell ref="I9:K9"/>
    <mergeCell ref="D11:H11"/>
    <mergeCell ref="D14:E14"/>
    <mergeCell ref="F14:H14"/>
    <mergeCell ref="A18:E18"/>
    <mergeCell ref="G18:K18"/>
    <mergeCell ref="A21:B21"/>
    <mergeCell ref="C21:E21"/>
    <mergeCell ref="G21:H21"/>
    <mergeCell ref="I21:K21"/>
    <mergeCell ref="D38:E38"/>
    <mergeCell ref="F38:H38"/>
    <mergeCell ref="D23:H23"/>
    <mergeCell ref="D26:E26"/>
    <mergeCell ref="F26:H26"/>
    <mergeCell ref="A29:K29"/>
    <mergeCell ref="A30:E30"/>
    <mergeCell ref="G30:K30"/>
    <mergeCell ref="A33:B33"/>
    <mergeCell ref="C33:E33"/>
    <mergeCell ref="G33:H33"/>
    <mergeCell ref="I33:K33"/>
    <mergeCell ref="D35:H35"/>
    <mergeCell ref="A41:K41"/>
    <mergeCell ref="A42:E42"/>
    <mergeCell ref="G42:K42"/>
    <mergeCell ref="A45:B45"/>
    <mergeCell ref="C45:E45"/>
    <mergeCell ref="G45:H45"/>
    <mergeCell ref="I45:K45"/>
    <mergeCell ref="D62:E62"/>
    <mergeCell ref="F62:H62"/>
    <mergeCell ref="D47:H47"/>
    <mergeCell ref="D50:E50"/>
    <mergeCell ref="F50:H50"/>
    <mergeCell ref="A53:K53"/>
    <mergeCell ref="A54:E54"/>
    <mergeCell ref="G54:K54"/>
    <mergeCell ref="A57:B57"/>
    <mergeCell ref="C57:E57"/>
    <mergeCell ref="G57:H57"/>
    <mergeCell ref="I57:K57"/>
    <mergeCell ref="D59:H59"/>
  </mergeCells>
  <conditionalFormatting sqref="D13:H13 F14:H14 D25:H25 F26:H26 D37:H37 F38:H38 D49:H49 F50:H50 D61:H61 F62:H62">
    <cfRule type="cellIs" dxfId="7" priority="1" operator="greaterThan">
      <formula>7%</formula>
    </cfRule>
    <cfRule type="cellIs" dxfId="6" priority="2" operator="between">
      <formula>5%</formula>
      <formula>7%</formula>
    </cfRule>
    <cfRule type="cellIs" dxfId="5" priority="3" operator="between">
      <formula>2%</formula>
      <formula>5%</formula>
    </cfRule>
    <cfRule type="cellIs" dxfId="4" priority="4" operator="lessThanOrEqual">
      <formula>2%</formula>
    </cfRule>
  </conditionalFormatting>
  <hyperlinks>
    <hyperlink ref="A17:K17" location="Hough_80!A1" display="Hough_80!A1"/>
    <hyperlink ref="A5:K5" location="Fleming_64!A1" display="Fleming_64!A1"/>
    <hyperlink ref="A29:K29" location="Holzer_72!A1" display="Holzer_72!A1"/>
    <hyperlink ref="A41:K41" location="Hough_80!A1" display="Hough_80!A1"/>
  </hyperlink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1">
    <tabColor rgb="FF00B050"/>
  </sheetPr>
  <dimension ref="A1:Z109"/>
  <sheetViews>
    <sheetView workbookViewId="0">
      <selection activeCell="U21" sqref="U21"/>
    </sheetView>
  </sheetViews>
  <sheetFormatPr defaultRowHeight="14.25" x14ac:dyDescent="0.2"/>
  <cols>
    <col min="1" max="1" width="7.75" customWidth="1"/>
    <col min="2" max="2" width="8.375" customWidth="1"/>
    <col min="3" max="3" width="11" customWidth="1"/>
    <col min="4" max="4" width="9.25" customWidth="1"/>
    <col min="5" max="5" width="8.375" customWidth="1"/>
    <col min="6" max="6" width="11" customWidth="1"/>
    <col min="7" max="7" width="9.25" customWidth="1"/>
    <col min="8" max="8" width="8.375" customWidth="1"/>
    <col min="9" max="9" width="11" customWidth="1"/>
    <col min="10" max="10" width="9.25" customWidth="1"/>
    <col min="11" max="11" width="6.25" customWidth="1"/>
    <col min="12" max="12" width="11" customWidth="1"/>
    <col min="13" max="13" width="14.5" customWidth="1"/>
    <col min="14" max="14" width="28.5" customWidth="1"/>
    <col min="15" max="15" width="17.5" customWidth="1"/>
    <col min="16" max="16" width="4.5" customWidth="1"/>
    <col min="18" max="19" width="6.25" customWidth="1"/>
    <col min="20" max="20" width="6" customWidth="1"/>
    <col min="21" max="21" width="15.375" customWidth="1"/>
    <col min="22" max="22" width="12.875" customWidth="1"/>
    <col min="23" max="23" width="6.25" customWidth="1"/>
    <col min="24" max="24" width="6" customWidth="1"/>
    <col min="25" max="26" width="6.25" customWidth="1"/>
    <col min="27" max="27" width="4.875" customWidth="1"/>
    <col min="28" max="28" width="5.5" bestFit="1" customWidth="1"/>
    <col min="29" max="29" width="3.5" bestFit="1" customWidth="1"/>
    <col min="30" max="30" width="2.875" bestFit="1" customWidth="1"/>
  </cols>
  <sheetData>
    <row r="1" spans="1:26" ht="15" x14ac:dyDescent="0.25">
      <c r="A1" s="155" t="s">
        <v>59</v>
      </c>
      <c r="B1" s="291" t="s">
        <v>72</v>
      </c>
      <c r="C1" s="291"/>
      <c r="D1" s="291"/>
      <c r="E1" s="291"/>
      <c r="F1" s="291"/>
      <c r="G1" s="291"/>
      <c r="H1" s="151"/>
      <c r="I1" s="151"/>
      <c r="J1" s="151"/>
      <c r="K1" s="151"/>
      <c r="M1" s="56"/>
      <c r="N1" s="378" t="s">
        <v>61</v>
      </c>
      <c r="O1" s="379"/>
      <c r="P1" s="379"/>
      <c r="Q1" s="379"/>
      <c r="R1" s="380"/>
    </row>
    <row r="2" spans="1:26" ht="15" x14ac:dyDescent="0.25">
      <c r="A2" s="155" t="s">
        <v>60</v>
      </c>
      <c r="B2" s="291" t="s">
        <v>71</v>
      </c>
      <c r="C2" s="291"/>
      <c r="D2" s="291"/>
      <c r="E2" s="291"/>
      <c r="F2" s="291"/>
      <c r="G2" s="291"/>
      <c r="H2" s="151"/>
      <c r="I2" s="151"/>
      <c r="J2" s="151"/>
      <c r="K2" s="151"/>
      <c r="N2" s="381"/>
      <c r="O2" s="382"/>
      <c r="P2" s="382"/>
      <c r="Q2" s="382"/>
      <c r="R2" s="383"/>
      <c r="S2" s="25"/>
      <c r="T2" s="25"/>
      <c r="U2" s="25"/>
      <c r="V2" s="25"/>
      <c r="W2" s="25"/>
      <c r="X2" s="25"/>
      <c r="Y2" s="25"/>
      <c r="Z2" s="25"/>
    </row>
    <row r="3" spans="1:26" ht="14.25" customHeight="1" x14ac:dyDescent="0.2">
      <c r="A3" s="56"/>
      <c r="B3" s="56"/>
      <c r="C3" s="56"/>
      <c r="D3" s="56"/>
      <c r="E3" s="56"/>
      <c r="F3" s="56"/>
      <c r="G3" s="56"/>
      <c r="H3" s="56"/>
      <c r="I3" s="56"/>
      <c r="J3" s="56"/>
      <c r="K3" s="56"/>
      <c r="N3" s="445" t="s">
        <v>67</v>
      </c>
      <c r="O3" s="446" t="s">
        <v>379</v>
      </c>
      <c r="P3" s="446"/>
      <c r="Q3" s="446"/>
      <c r="R3" s="447"/>
      <c r="S3" s="25"/>
      <c r="T3" s="25"/>
      <c r="U3" s="25"/>
      <c r="V3" s="25"/>
      <c r="W3" s="25"/>
      <c r="X3" s="25"/>
      <c r="Y3" s="25"/>
      <c r="Z3" s="25"/>
    </row>
    <row r="4" spans="1:26" ht="15" customHeight="1" x14ac:dyDescent="0.25">
      <c r="A4" s="375" t="str">
        <f>Fleming_64!A1</f>
        <v>NP FLEMING, JEN</v>
      </c>
      <c r="B4" s="375"/>
      <c r="C4" s="375"/>
      <c r="D4" s="375"/>
      <c r="E4" s="375"/>
      <c r="F4" s="375"/>
      <c r="G4" s="375"/>
      <c r="H4" s="375"/>
      <c r="I4" s="375"/>
      <c r="J4" s="375"/>
      <c r="K4" s="375"/>
      <c r="N4" s="445"/>
      <c r="O4" s="446"/>
      <c r="P4" s="446"/>
      <c r="Q4" s="446"/>
      <c r="R4" s="447"/>
      <c r="S4" s="72"/>
      <c r="Y4" s="72"/>
      <c r="Z4" s="72"/>
    </row>
    <row r="5" spans="1:26" ht="15" customHeight="1" x14ac:dyDescent="0.25">
      <c r="A5" s="347" t="s">
        <v>392</v>
      </c>
      <c r="B5" s="347"/>
      <c r="C5" s="347"/>
      <c r="D5" s="347"/>
      <c r="E5" s="347"/>
      <c r="F5" s="152"/>
      <c r="G5" s="449" t="s">
        <v>417</v>
      </c>
      <c r="H5" s="450"/>
      <c r="I5" s="450"/>
      <c r="J5" s="450"/>
      <c r="K5" s="451"/>
      <c r="N5" s="438" t="s">
        <v>69</v>
      </c>
      <c r="O5" s="440" t="s">
        <v>380</v>
      </c>
      <c r="P5" s="440"/>
      <c r="Q5" s="440"/>
      <c r="R5" s="441"/>
      <c r="S5" s="25"/>
      <c r="Y5" s="25"/>
      <c r="Z5" s="25"/>
    </row>
    <row r="6" spans="1:26" ht="15" customHeight="1" thickBot="1" x14ac:dyDescent="0.25">
      <c r="A6" s="32" t="s">
        <v>2</v>
      </c>
      <c r="B6" s="32" t="s">
        <v>3</v>
      </c>
      <c r="C6" s="32" t="s">
        <v>4</v>
      </c>
      <c r="D6" s="32" t="s">
        <v>5</v>
      </c>
      <c r="E6" s="32" t="s">
        <v>6</v>
      </c>
      <c r="G6" s="32" t="s">
        <v>2</v>
      </c>
      <c r="H6" s="33" t="s">
        <v>3</v>
      </c>
      <c r="I6" s="32" t="s">
        <v>4</v>
      </c>
      <c r="J6" s="32" t="s">
        <v>5</v>
      </c>
      <c r="K6" s="32" t="s">
        <v>6</v>
      </c>
      <c r="N6" s="439"/>
      <c r="O6" s="442"/>
      <c r="P6" s="442"/>
      <c r="Q6" s="442"/>
      <c r="R6" s="443"/>
      <c r="S6" s="25"/>
      <c r="Y6" s="25"/>
      <c r="Z6" s="25"/>
    </row>
    <row r="7" spans="1:26" ht="15" customHeight="1" x14ac:dyDescent="0.2">
      <c r="A7" s="144">
        <f>COUNTIFS(Fleming_64!B5:B31,"24HR",Fleming_64!C5:C31,"&lt;&gt;*BO*",Fleming_64!B5:B31,"24HR",Fleming_64!C5:C31,"&lt;&gt;*WEX*",Fleming_64!B5:B31,"24HR",Fleming_64!C5:C31,"&lt;&gt;*PHA*")</f>
        <v>7</v>
      </c>
      <c r="B7" s="144">
        <f>COUNTIFS(Fleming_64!F5:F31,"24HR",Fleming_64!G5:G31,"&lt;&gt;*BO*",Fleming_64!F5:F31,"24HR",Fleming_64!G5:G31,"&lt;&gt;*WEX*",Fleming_64!F5:F31,"24HR",Fleming_64!G5:G31,"&lt;&gt;*PHA*")</f>
        <v>5</v>
      </c>
      <c r="C7" s="144">
        <f>COUNTIFS(Fleming_64!J5:J31,"24HR",Fleming_64!K5:K31,"&lt;&gt;*BO*",Fleming_64!J5:J31,"24HR",Fleming_64!K5:K31,"&lt;&gt;*WEX*",Fleming_64!J5:J31,"24HR",Fleming_64!K5:K31,"&lt;&gt;*PHA*")</f>
        <v>7</v>
      </c>
      <c r="D7" s="144">
        <f>COUNTIFS(Fleming_64!N5:N31,"24HR",Fleming_64!O5:O31,"&lt;&gt;*BO*",Fleming_64!N5:N31,"24HR",Fleming_64!O5:O31,"&lt;&gt;*WEX*",Fleming_64!N5:N31,"24HR",Fleming_64!O5:O31,"&lt;&gt;*PHA*")</f>
        <v>3</v>
      </c>
      <c r="E7" s="144">
        <f>COUNTIFS(Fleming_64!R5:R31,"24HR",Fleming_64!S5:S31,"&lt;&gt;*BO*",Fleming_64!R5:R31,"24HR",Fleming_64!S5:S31,"&lt;&gt;*WEX*",Fleming_64!R5:R31,"24HR",Fleming_64!S5:S31,"&lt;&gt;*PHA*")</f>
        <v>7</v>
      </c>
      <c r="G7" s="144">
        <f>Fleming_64!B39</f>
        <v>18</v>
      </c>
      <c r="H7" s="144">
        <f>Fleming_64!F39</f>
        <v>13</v>
      </c>
      <c r="I7" s="144">
        <f>Fleming_64!J39</f>
        <v>18</v>
      </c>
      <c r="J7" s="144">
        <f>Fleming_64!N39</f>
        <v>8</v>
      </c>
      <c r="K7" s="144">
        <f>Fleming_64!R39</f>
        <v>15</v>
      </c>
      <c r="S7" s="25"/>
      <c r="Y7" s="25"/>
      <c r="Z7" s="25"/>
    </row>
    <row r="8" spans="1:26" ht="15" customHeight="1" x14ac:dyDescent="0.2">
      <c r="A8" s="251" t="s">
        <v>77</v>
      </c>
      <c r="B8" s="251"/>
      <c r="C8" s="251">
        <f>SUM(A7:E7)</f>
        <v>29</v>
      </c>
      <c r="D8" s="251"/>
      <c r="E8" s="251"/>
      <c r="G8" s="251" t="s">
        <v>77</v>
      </c>
      <c r="H8" s="251"/>
      <c r="I8" s="251">
        <f>SUM(G7:K7)</f>
        <v>72</v>
      </c>
      <c r="J8" s="251"/>
      <c r="K8" s="251"/>
      <c r="S8" s="25"/>
      <c r="Y8" s="25"/>
      <c r="Z8" s="25"/>
    </row>
    <row r="9" spans="1:26" ht="15" customHeight="1" thickBot="1" x14ac:dyDescent="0.25">
      <c r="A9" s="117"/>
      <c r="B9" s="117"/>
      <c r="C9" s="117"/>
      <c r="D9" s="117"/>
      <c r="E9" s="117"/>
      <c r="S9" s="25"/>
      <c r="Y9" s="25"/>
      <c r="Z9" s="25"/>
    </row>
    <row r="10" spans="1:26" ht="15" customHeight="1" thickTop="1" x14ac:dyDescent="0.25">
      <c r="A10" s="347" t="s">
        <v>393</v>
      </c>
      <c r="B10" s="347"/>
      <c r="C10" s="347"/>
      <c r="D10" s="347"/>
      <c r="E10" s="347"/>
      <c r="G10" s="458" t="s">
        <v>378</v>
      </c>
      <c r="H10" s="459"/>
      <c r="I10" s="459"/>
      <c r="J10" s="459"/>
      <c r="K10" s="460"/>
      <c r="S10" s="25"/>
      <c r="Y10" s="25"/>
      <c r="Z10" s="25"/>
    </row>
    <row r="11" spans="1:26" ht="15" customHeight="1" x14ac:dyDescent="0.2">
      <c r="A11" s="32" t="s">
        <v>2</v>
      </c>
      <c r="B11" s="32" t="s">
        <v>3</v>
      </c>
      <c r="C11" s="32" t="s">
        <v>4</v>
      </c>
      <c r="D11" s="32" t="s">
        <v>5</v>
      </c>
      <c r="E11" s="32" t="s">
        <v>6</v>
      </c>
      <c r="G11" s="159" t="s">
        <v>2</v>
      </c>
      <c r="H11" s="153" t="s">
        <v>3</v>
      </c>
      <c r="I11" s="154" t="s">
        <v>4</v>
      </c>
      <c r="J11" s="154" t="s">
        <v>5</v>
      </c>
      <c r="K11" s="160" t="s">
        <v>6</v>
      </c>
      <c r="S11" s="25"/>
      <c r="Y11" s="25"/>
      <c r="Z11" s="25"/>
    </row>
    <row r="12" spans="1:26" ht="15" customHeight="1" x14ac:dyDescent="0.2">
      <c r="A12" s="144">
        <f>COUNTIFS(Fleming_64!B5:B31,"FTR",Fleming_64!C5:C31,"&lt;&gt;*BO*",Fleming_64!B5:B31,"FTR",Fleming_64!C5:C31,"&lt;&gt;*WEX*",Fleming_64!B5:B31,"FTR",Fleming_64!C5:C31,"&lt;&gt;*PHA*")</f>
        <v>11</v>
      </c>
      <c r="B12" s="144">
        <f>COUNTIFS(Fleming_64!F5:F31,"FTR",Fleming_64!G5:G31,"&lt;&gt;*BO*",Fleming_64!F5:F31,"FTR",Fleming_64!G5:G31,"&lt;&gt;*WEX*",Fleming_64!F5:F31,"FTR",Fleming_64!G5:G31,"&lt;&gt;*PHA*")</f>
        <v>8</v>
      </c>
      <c r="C12" s="144">
        <f>COUNTIFS(Fleming_64!J5:J31,"FTR",Fleming_64!K5:K31,"&lt;&gt;*BO*",Fleming_64!J5:J31,"FTR",Fleming_64!K5:K31,"&lt;&gt;*WEX*",Fleming_64!J5:J31,"FTR",Fleming_64!K5:K31,"&lt;&gt;*PHA*")</f>
        <v>11</v>
      </c>
      <c r="D12" s="144">
        <f>COUNTIFS(Fleming_64!N5:N31,"FTR",Fleming_64!O5:O31,"&lt;&gt;*BO*",Fleming_64!N5:N31,"FTR",Fleming_64!O5:O31,"&lt;&gt;*WEX*",Fleming_64!N5:N31,"FTR",Fleming_64!O5:O31,"&lt;&gt;*PHA*")</f>
        <v>5</v>
      </c>
      <c r="E12" s="144">
        <f>COUNTIFS(Fleming_64!R5:R31,"FTR",Fleming_64!S5:S31,"&lt;&gt;*BO*",Fleming_64!R5:R31,"FTR",Fleming_64!S5:S31,"&lt;&gt;*WEX*",Fleming_64!R5:R31,"FTR",Fleming_64!S5:S31,"&lt;&gt;*PHA*")</f>
        <v>8</v>
      </c>
      <c r="G12" s="161">
        <f>SUM(A7,A12)/G7</f>
        <v>1</v>
      </c>
      <c r="H12" s="76">
        <f>SUM(B7,B12)/H7</f>
        <v>1</v>
      </c>
      <c r="I12" s="76">
        <f>SUM(C7,C12)/I7</f>
        <v>1</v>
      </c>
      <c r="J12" s="76">
        <f>SUM(D7,D12)/J7</f>
        <v>1</v>
      </c>
      <c r="K12" s="162">
        <f>SUM(E7,E12)/K7</f>
        <v>1</v>
      </c>
      <c r="S12" s="25"/>
      <c r="Y12" s="25"/>
      <c r="Z12" s="25"/>
    </row>
    <row r="13" spans="1:26" ht="15" customHeight="1" thickBot="1" x14ac:dyDescent="0.25">
      <c r="A13" s="251" t="s">
        <v>77</v>
      </c>
      <c r="B13" s="251"/>
      <c r="C13" s="251">
        <f>SUM(A12:E12)</f>
        <v>43</v>
      </c>
      <c r="D13" s="251"/>
      <c r="E13" s="251"/>
      <c r="G13" s="464" t="s">
        <v>77</v>
      </c>
      <c r="H13" s="465"/>
      <c r="I13" s="466">
        <f>SUM(C8,C13)/I8</f>
        <v>1</v>
      </c>
      <c r="J13" s="466"/>
      <c r="K13" s="467"/>
      <c r="S13" s="25"/>
      <c r="Y13" s="25"/>
      <c r="Z13" s="25"/>
    </row>
    <row r="14" spans="1:26" ht="15" customHeight="1" thickTop="1" x14ac:dyDescent="0.2">
      <c r="S14" s="25"/>
      <c r="T14" s="73"/>
      <c r="U14" s="73"/>
      <c r="V14" s="73"/>
      <c r="W14" s="73"/>
      <c r="X14" s="25"/>
      <c r="Y14" s="25"/>
      <c r="Z14" s="25"/>
    </row>
    <row r="15" spans="1:26" ht="15" customHeight="1" x14ac:dyDescent="0.2"/>
    <row r="16" spans="1:26" ht="15" x14ac:dyDescent="0.25">
      <c r="A16" s="452" t="str">
        <f>Williams_80!A1</f>
        <v>PA HOUGH, CRISTINA</v>
      </c>
      <c r="B16" s="452"/>
      <c r="C16" s="452"/>
      <c r="D16" s="452"/>
      <c r="E16" s="452"/>
      <c r="F16" s="452"/>
      <c r="G16" s="452"/>
      <c r="H16" s="452"/>
      <c r="I16" s="452"/>
      <c r="J16" s="452"/>
      <c r="K16" s="452"/>
    </row>
    <row r="17" spans="1:12" ht="15" x14ac:dyDescent="0.25">
      <c r="A17" s="347" t="s">
        <v>392</v>
      </c>
      <c r="B17" s="347"/>
      <c r="C17" s="347"/>
      <c r="D17" s="347"/>
      <c r="E17" s="347"/>
      <c r="G17" s="449" t="s">
        <v>374</v>
      </c>
      <c r="H17" s="450"/>
      <c r="I17" s="450"/>
      <c r="J17" s="450"/>
      <c r="K17" s="451"/>
    </row>
    <row r="18" spans="1:12" ht="15" x14ac:dyDescent="0.2">
      <c r="A18" s="32" t="s">
        <v>2</v>
      </c>
      <c r="B18" s="32" t="s">
        <v>3</v>
      </c>
      <c r="C18" s="32" t="s">
        <v>4</v>
      </c>
      <c r="D18" s="32" t="s">
        <v>5</v>
      </c>
      <c r="E18" s="32" t="s">
        <v>6</v>
      </c>
      <c r="G18" s="32" t="s">
        <v>2</v>
      </c>
      <c r="H18" s="33" t="s">
        <v>3</v>
      </c>
      <c r="I18" s="32" t="s">
        <v>4</v>
      </c>
      <c r="J18" s="32" t="s">
        <v>5</v>
      </c>
      <c r="K18" s="32" t="s">
        <v>6</v>
      </c>
      <c r="L18" s="25"/>
    </row>
    <row r="19" spans="1:12" x14ac:dyDescent="0.2">
      <c r="A19" s="144">
        <f>COUNTIFS(Williams_80!B5:B31,"24HR",Williams_80!C5:C31,"&lt;&gt;*BO*",Williams_80!B5:B31,"24HR",Williams_80!C5:C31,"&lt;&gt;*WEX*",Williams_80!B5:B31,"24HR",Williams_80!C5:C31,"&lt;&gt;*PHA*")</f>
        <v>6</v>
      </c>
      <c r="B19" s="144">
        <f>COUNTIFS(Williams_80!F5:F31,"24HR",Williams_80!G5:G31,"&lt;&gt;*BO*",Williams_80!F5:F31,"24HR",Williams_80!G5:G31,"&lt;&gt;*WEX*",Williams_80!F5:F31,"24HR",Williams_80!G5:G31,"&lt;&gt;*PHA*")</f>
        <v>6</v>
      </c>
      <c r="C19" s="144">
        <f>COUNTIFS(Williams_80!J5:J31,"24HR",Williams_80!K5:K31,"&lt;&gt;*BO*",Williams_80!J5:J31,"24HR",Williams_80!K5:K31,"&lt;&gt;*WEX*",Williams_80!J5:J31,"24HR",Williams_80!K5:K31,"&lt;&gt;*PHA*")</f>
        <v>6</v>
      </c>
      <c r="D19" s="144">
        <f>COUNTIFS(Williams_80!N5:N31,"24HR",Williams_80!O5:O31,"&lt;&gt;*BO*",Williams_80!N5:N31,"24HR",Williams_80!O5:O31,"&lt;&gt;*WEX*",Williams_80!N5:N31,"24HR",Williams_80!O5:O31,"&lt;&gt;*PHA*")</f>
        <v>4</v>
      </c>
      <c r="E19" s="144">
        <f>COUNTIFS(Williams_80!R5:R31,"24HR",Williams_80!S5:S31,"&lt;&gt;*BO*",Williams_80!R5:R31,"24HR",Williams_80!S5:S31,"&lt;&gt;*WEX*",Williams_80!R5:R31,"24HR",Williams_80!S5:S31,"&lt;&gt;*PHA*")</f>
        <v>4</v>
      </c>
      <c r="G19" s="144">
        <f>COUNTIFS(Williams_80!B5:B31,"*",Williams_80!C5:C31,"&lt;&gt;*BO*",Williams_80!B5:B31,"*",Williams_80!C5:C31,"&lt;&gt;*WEX*",Williams_80!B5:B31,"*",Williams_80!C5:C31,"&lt;&gt;*PHA*")</f>
        <v>18</v>
      </c>
      <c r="H19" s="144">
        <f>COUNTIFS(Williams_80!F5:F31,"*",Williams_80!G5:G31,"&lt;&gt;*BO*",Williams_80!F5:F31,"*",Williams_80!G5:G31,"&lt;&gt;*WEX*",Williams_80!F5:F31,"*",Williams_80!G5:G31,"&lt;&gt;*PHA*")</f>
        <v>18</v>
      </c>
      <c r="I19" s="144">
        <f>COUNTIFS(Williams_80!J5:J31,"*",Williams_80!K5:K31,"&lt;&gt;*BO*",Williams_80!J5:J31,"*",Williams_80!K5:K31,"&lt;&gt;*WEX*",Williams_80!J5:J31,"*",Williams_80!K5:K31,"&lt;&gt;*PHA*")</f>
        <v>18</v>
      </c>
      <c r="J19" s="144">
        <f>COUNTIFS(Williams_80!N5:N31,"*",Williams_80!O5:O31,"&lt;&gt;*BO*",Williams_80!N5:N31,"*",Williams_80!O5:O31,"&lt;&gt;*WEX*",Williams_80!N5:N31,"*",Williams_80!O5:O31,"&lt;&gt;*PHA*")</f>
        <v>12</v>
      </c>
      <c r="K19" s="144">
        <f>COUNTIFS(Williams_80!R5:R31,"*",Williams_80!S5:S31,"&lt;&gt;*BO*",Williams_80!R5:R31,"*",Williams_80!S5:S31,"&lt;&gt;*WEX*",Williams_80!R5:R31,"*",Williams_80!S5:S31,"&lt;&gt;*PHA*")</f>
        <v>12</v>
      </c>
      <c r="L19" s="25"/>
    </row>
    <row r="20" spans="1:12" x14ac:dyDescent="0.2">
      <c r="A20" s="251" t="s">
        <v>77</v>
      </c>
      <c r="B20" s="251"/>
      <c r="C20" s="251">
        <f>SUM(A19:E19)</f>
        <v>26</v>
      </c>
      <c r="D20" s="251"/>
      <c r="E20" s="251"/>
      <c r="G20" s="251" t="s">
        <v>77</v>
      </c>
      <c r="H20" s="251"/>
      <c r="I20" s="251">
        <f>SUM(G19:K19)</f>
        <v>78</v>
      </c>
      <c r="J20" s="251"/>
      <c r="K20" s="251"/>
      <c r="L20" s="25"/>
    </row>
    <row r="21" spans="1:12" ht="15" customHeight="1" thickBot="1" x14ac:dyDescent="0.25">
      <c r="L21" s="25"/>
    </row>
    <row r="22" spans="1:12" ht="15" customHeight="1" thickTop="1" x14ac:dyDescent="0.25">
      <c r="A22" s="347" t="s">
        <v>393</v>
      </c>
      <c r="B22" s="347"/>
      <c r="C22" s="347"/>
      <c r="D22" s="347"/>
      <c r="E22" s="347"/>
      <c r="G22" s="461" t="s">
        <v>378</v>
      </c>
      <c r="H22" s="462"/>
      <c r="I22" s="462"/>
      <c r="J22" s="462"/>
      <c r="K22" s="463"/>
      <c r="L22" s="25"/>
    </row>
    <row r="23" spans="1:12" ht="15" customHeight="1" x14ac:dyDescent="0.2">
      <c r="A23" s="32" t="s">
        <v>2</v>
      </c>
      <c r="B23" s="32" t="s">
        <v>3</v>
      </c>
      <c r="C23" s="32" t="s">
        <v>4</v>
      </c>
      <c r="D23" s="32" t="s">
        <v>5</v>
      </c>
      <c r="E23" s="32" t="s">
        <v>6</v>
      </c>
      <c r="G23" s="159" t="s">
        <v>2</v>
      </c>
      <c r="H23" s="153" t="s">
        <v>3</v>
      </c>
      <c r="I23" s="154" t="s">
        <v>4</v>
      </c>
      <c r="J23" s="154" t="s">
        <v>5</v>
      </c>
      <c r="K23" s="160" t="s">
        <v>6</v>
      </c>
      <c r="L23" s="25"/>
    </row>
    <row r="24" spans="1:12" ht="15.75" customHeight="1" x14ac:dyDescent="0.2">
      <c r="A24" s="144">
        <f>COUNTIFS(Williams_80!B5:B31,"FTR",Williams_80!C5:C31,"&lt;&gt;*BO*",Williams_80!B5:B31,"FTR",Williams_80!C5:C31,"&lt;&gt;*WEX*",Williams_80!B5:B31,"FTR",Williams_80!C5:C31,"&lt;&gt;*PHA*")</f>
        <v>10</v>
      </c>
      <c r="B24" s="144">
        <f>COUNTIFS(Williams_80!F5:F31,"FTR",Williams_80!G5:G31,"&lt;&gt;*BO*",Williams_80!F5:F31,"FTR",Williams_80!G5:G31,"&lt;&gt;*WEX*",Williams_80!F5:F31,"FTR",Williams_80!G5:G31,"&lt;&gt;*PHA*")</f>
        <v>10</v>
      </c>
      <c r="C24" s="144">
        <f>COUNTIFS(Williams_80!J5:J31,"FTR",Williams_80!K5:K31,"&lt;&gt;*BO*",Williams_80!J5:J31,"FTR",Williams_80!K5:K31,"&lt;&gt;*WEX*",Williams_80!J5:J31,"FTR",Williams_80!K5:K31,"&lt;&gt;*PHA*")</f>
        <v>10</v>
      </c>
      <c r="D24" s="144">
        <f>COUNTIFS(Williams_80!N5:N31,"FTR",Williams_80!O5:O31,"&lt;&gt;*BO*",Williams_80!N5:N31,"FTR",Williams_80!O5:O31,"&lt;&gt;*WEX*",Williams_80!N5:N31,"FTR",Williams_80!O5:O31,"&lt;&gt;*PHA*")</f>
        <v>6</v>
      </c>
      <c r="E24" s="144">
        <f>COUNTIFS(Williams_80!R5:R31,"FTR",Williams_80!S5:S31,"&lt;&gt;*BO*",Williams_80!R5:R31,"FTR",Williams_80!S5:S31,"&lt;&gt;*WEX*",Williams_80!R5:R31,"FTR",Williams_80!S5:S31,"&lt;&gt;*PHA*")</f>
        <v>6</v>
      </c>
      <c r="G24" s="161">
        <f>SUM(A19,A24)/G19</f>
        <v>0.88888888888888884</v>
      </c>
      <c r="H24" s="76">
        <f>SUM(B19,B24)/H19</f>
        <v>0.88888888888888884</v>
      </c>
      <c r="I24" s="76">
        <f>SUM(C19,C24)/I19</f>
        <v>0.88888888888888884</v>
      </c>
      <c r="J24" s="76">
        <f>SUM(D19,D24)/J19</f>
        <v>0.83333333333333337</v>
      </c>
      <c r="K24" s="162">
        <f>SUM(E19,E24)/K19</f>
        <v>0.83333333333333337</v>
      </c>
      <c r="L24" s="25"/>
    </row>
    <row r="25" spans="1:12" ht="15" thickBot="1" x14ac:dyDescent="0.25">
      <c r="A25" s="251" t="s">
        <v>77</v>
      </c>
      <c r="B25" s="251"/>
      <c r="C25" s="251">
        <f>SUM(A24:E24)</f>
        <v>42</v>
      </c>
      <c r="D25" s="251"/>
      <c r="E25" s="251"/>
      <c r="G25" s="166" t="s">
        <v>77</v>
      </c>
      <c r="H25" s="167"/>
      <c r="I25" s="453">
        <f>SUM(C20,C25)/I20</f>
        <v>0.87179487179487181</v>
      </c>
      <c r="J25" s="454"/>
      <c r="K25" s="455"/>
      <c r="L25" s="25"/>
    </row>
    <row r="26" spans="1:12" ht="15" customHeight="1" thickTop="1" x14ac:dyDescent="0.2">
      <c r="L26" s="25"/>
    </row>
    <row r="27" spans="1:12" ht="15" customHeight="1" x14ac:dyDescent="0.2">
      <c r="L27" s="25"/>
    </row>
    <row r="28" spans="1:12" ht="15" customHeight="1" x14ac:dyDescent="0.25">
      <c r="A28" s="452" t="str">
        <f>Holzer_72!A1</f>
        <v>DR HOLZER, ROBIN</v>
      </c>
      <c r="B28" s="452"/>
      <c r="C28" s="452"/>
      <c r="D28" s="452"/>
      <c r="E28" s="452"/>
      <c r="F28" s="452"/>
      <c r="G28" s="452"/>
      <c r="H28" s="452"/>
      <c r="I28" s="452"/>
      <c r="J28" s="452"/>
      <c r="K28" s="452"/>
    </row>
    <row r="29" spans="1:12" ht="15" customHeight="1" x14ac:dyDescent="0.25">
      <c r="A29" s="347" t="s">
        <v>392</v>
      </c>
      <c r="B29" s="347"/>
      <c r="C29" s="347"/>
      <c r="D29" s="347"/>
      <c r="E29" s="347"/>
      <c r="G29" s="347" t="s">
        <v>374</v>
      </c>
      <c r="H29" s="347"/>
      <c r="I29" s="347"/>
      <c r="J29" s="347"/>
      <c r="K29" s="347"/>
      <c r="L29" s="25"/>
    </row>
    <row r="30" spans="1:12" ht="15.75" customHeight="1" x14ac:dyDescent="0.2">
      <c r="A30" s="32" t="s">
        <v>2</v>
      </c>
      <c r="B30" s="32" t="s">
        <v>3</v>
      </c>
      <c r="C30" s="32" t="s">
        <v>4</v>
      </c>
      <c r="D30" s="32" t="s">
        <v>5</v>
      </c>
      <c r="E30" s="32" t="s">
        <v>6</v>
      </c>
      <c r="G30" s="32" t="s">
        <v>2</v>
      </c>
      <c r="H30" s="32" t="s">
        <v>3</v>
      </c>
      <c r="I30" s="32" t="s">
        <v>4</v>
      </c>
      <c r="J30" s="32" t="s">
        <v>5</v>
      </c>
      <c r="K30" s="32" t="s">
        <v>6</v>
      </c>
      <c r="L30" s="25"/>
    </row>
    <row r="31" spans="1:12" x14ac:dyDescent="0.2">
      <c r="A31" s="144">
        <f>COUNTIFS(Holzer_72!B5:B31,"24HR",Holzer_72!C5:C31,"&lt;&gt;*BO*",Holzer_72!B5:B31,"24HR",Holzer_72!C5:C31,"&lt;&gt;*WEX*",Holzer_72!B5:B31,"24HR",Holzer_72!C5:C31,"&lt;&gt;*PHA*")</f>
        <v>7</v>
      </c>
      <c r="B31" s="144">
        <f>COUNTIFS(Williams_80!F5:F31,"24HR",Williams_80!G5:G31,"&lt;&gt;*BO*",Williams_80!F5:F31,"24HR",Williams_80!G5:G31,"&lt;&gt;*WEX*",Williams_80!F5:F31,"24HR",Williams_80!G5:G31,"&lt;&gt;*PHA*")</f>
        <v>6</v>
      </c>
      <c r="C31" s="144">
        <f>COUNTIFS(Holzer_72!J5:J31,"24HR",Holzer_72!K5:K31,"&lt;&gt;*BO*",Holzer_72!J5:J31,"24HR",Holzer_72!K5:K31,"&lt;&gt;*WEX*",Holzer_72!J5:J31,"24HR",Holzer_72!K5:K31,"&lt;&gt;*PHA*")</f>
        <v>6</v>
      </c>
      <c r="D31" s="144">
        <f>COUNTIFS(Holzer_72!N5:N31,"24HR",Holzer_72!O5:O31,"&lt;&gt;*BO*",Holzer_72!N5:N31,"24HR",Holzer_72!O5:O31,"&lt;&gt;*WEX*",Holzer_72!N5:N31,"24HR",Holzer_72!O5:O31,"&lt;&gt;*PHA*")</f>
        <v>4</v>
      </c>
      <c r="E31" s="144">
        <f>COUNTIFS(Holzer_72!R5:R31,"24HR",Holzer_72!S5:S31,"&lt;&gt;*BO*",Holzer_72!R5:R31,"24HR",Holzer_72!S5:S31,"&lt;&gt;*WEX*",Holzer_72!R5:R31,"24HR",Holzer_72!S5:S31,"&lt;&gt;*PHA*")</f>
        <v>6</v>
      </c>
      <c r="G31" s="144">
        <f>COUNTIFS(Holzer_72!B5:B31,"*",Holzer_72!C5:C31,"&lt;&gt;*BO*",Holzer_72!B5:B31,"*",Holzer_72!C5:C31,"&lt;&gt;*WEX*",Holzer_72!B5:B31,"*",Holzer_72!C5:C31,"&lt;&gt;*PHA*")</f>
        <v>16</v>
      </c>
      <c r="H31" s="144">
        <f>COUNTIFS(Holzer_72!F5:F31,"*",Holzer_72!G5:G31,"&lt;&gt;*BO*",Holzer_72!F5:F31,"*",Holzer_72!G5:G31,"&lt;&gt;*WEX*",Holzer_72!F5:F31,"*",Holzer_72!G5:G31,"&lt;&gt;*PHA*")</f>
        <v>16</v>
      </c>
      <c r="I31" s="144">
        <f>COUNTIFS(Holzer_72!J5:J31,"*",Holzer_72!K5:K31,"&lt;&gt;*BO*",Holzer_72!J5:J31,"*",Holzer_72!K5:K31,"&lt;&gt;*WEX*",Holzer_72!J5:J31,"*",Holzer_72!K5:K31,"&lt;&gt;*PHA*")</f>
        <v>16</v>
      </c>
      <c r="J31" s="144">
        <f>COUNTIFS(Holzer_72!N5:N31,"*",Holzer_72!O5:O31,"&lt;&gt;*BO*",Holzer_72!N5:N31,"*",Holzer_72!O5:O31,"&lt;&gt;*WEX*",Holzer_72!N5:N31,"*",Holzer_72!O5:O31,"&lt;&gt;*PHA*")</f>
        <v>9</v>
      </c>
      <c r="K31" s="144">
        <f>COUNTIFS(Holzer_72!R5:R31,"*",Holzer_72!S5:S31,"&lt;&gt;*BO*",Holzer_72!R5:R31,"*",Holzer_72!S5:S31,"&lt;&gt;*WEX*",Holzer_72!R5:R31,"*",Holzer_72!S5:S31,"&lt;&gt;*PHA*")</f>
        <v>14</v>
      </c>
      <c r="L31" s="25"/>
    </row>
    <row r="32" spans="1:12" ht="15.75" customHeight="1" x14ac:dyDescent="0.2">
      <c r="A32" s="251" t="s">
        <v>77</v>
      </c>
      <c r="B32" s="251"/>
      <c r="C32" s="251">
        <f>SUM(A31:E31)</f>
        <v>29</v>
      </c>
      <c r="D32" s="251"/>
      <c r="E32" s="251"/>
      <c r="G32" s="251" t="s">
        <v>77</v>
      </c>
      <c r="H32" s="251"/>
      <c r="I32" s="251">
        <f>SUM(G31:K31)</f>
        <v>71</v>
      </c>
      <c r="J32" s="251"/>
      <c r="K32" s="251"/>
      <c r="L32" s="25"/>
    </row>
    <row r="33" spans="1:12" ht="15" customHeight="1" thickBot="1" x14ac:dyDescent="0.25">
      <c r="L33" s="25"/>
    </row>
    <row r="34" spans="1:12" ht="15.75" customHeight="1" thickTop="1" x14ac:dyDescent="0.25">
      <c r="A34" s="449" t="s">
        <v>393</v>
      </c>
      <c r="B34" s="450"/>
      <c r="C34" s="450"/>
      <c r="D34" s="450"/>
      <c r="E34" s="451"/>
      <c r="G34" s="461" t="s">
        <v>378</v>
      </c>
      <c r="H34" s="462"/>
      <c r="I34" s="462"/>
      <c r="J34" s="462"/>
      <c r="K34" s="463"/>
      <c r="L34" s="25"/>
    </row>
    <row r="35" spans="1:12" ht="15" x14ac:dyDescent="0.2">
      <c r="A35" s="32" t="s">
        <v>2</v>
      </c>
      <c r="B35" s="33" t="s">
        <v>3</v>
      </c>
      <c r="C35" s="32" t="s">
        <v>4</v>
      </c>
      <c r="D35" s="32" t="s">
        <v>5</v>
      </c>
      <c r="E35" s="32" t="s">
        <v>6</v>
      </c>
      <c r="G35" s="159" t="s">
        <v>2</v>
      </c>
      <c r="H35" s="153" t="s">
        <v>3</v>
      </c>
      <c r="I35" s="154" t="s">
        <v>4</v>
      </c>
      <c r="J35" s="154" t="s">
        <v>5</v>
      </c>
      <c r="K35" s="160" t="s">
        <v>6</v>
      </c>
      <c r="L35" s="25"/>
    </row>
    <row r="36" spans="1:12" x14ac:dyDescent="0.2">
      <c r="A36" s="144">
        <f>COUNTIFS(Holzer_72!B5:B31,"FTR",Holzer_72!C5:C31,"&lt;&gt;*BO*",Holzer_72!B5:B31,"FTR",Holzer_72!C5:C31,"&lt;&gt;*WEX*",Holzer_72!B5:B31,"FTR",Holzer_72!C5:C31,"&lt;&gt;*PHA*")</f>
        <v>9</v>
      </c>
      <c r="B36" s="144">
        <f>COUNTIFS(Holzer_72!F5:F31,"FTR",Holzer_72!G5:G31,"&lt;&gt;*BO*",Holzer_72!F5:F31,"FTR",Holzer_72!G5:G31,"&lt;&gt;*WEX*",Holzer_72!F5:F31,"FTR",Holzer_72!G5:G31,"&lt;&gt;*PHA*")</f>
        <v>10</v>
      </c>
      <c r="C36" s="144">
        <f>COUNTIFS(Holzer_72!J5:J31,"FTR",Holzer_72!K5:K31,"&lt;&gt;*BO*",Holzer_72!J5:J31,"FTR",Holzer_72!K5:K31,"&lt;&gt;*WEX*",Holzer_72!J5:J31,"FTR",Holzer_72!K5:K31,"&lt;&gt;*PHA*")</f>
        <v>10</v>
      </c>
      <c r="D36" s="144">
        <f>COUNTIFS(Holzer_72!N5:N31,"FTR",Holzer_72!O5:O31,"&lt;&gt;*BO*",Holzer_72!N5:N31,"FTR",Holzer_72!O5:O31,"&lt;&gt;*WEX*",Holzer_72!N5:N31,"FTR",Holzer_72!O5:O31,"&lt;&gt;*PHA*")</f>
        <v>5</v>
      </c>
      <c r="E36" s="144">
        <f>COUNTIFS(Holzer_72!R5:R31,"FTR",Holzer_72!S5:S31,"&lt;&gt;*BO*",Holzer_72!R5:R31,"FTR",Holzer_72!S5:S31,"&lt;&gt;*WEX*",Holzer_72!R5:R31,"FTR",Holzer_72!S5:S31,"&lt;&gt;*PHA*")</f>
        <v>8</v>
      </c>
      <c r="G36" s="161">
        <f>SUM(A31,A36)/G31</f>
        <v>1</v>
      </c>
      <c r="H36" s="76">
        <f t="shared" ref="H36:K36" si="0">SUM(B31,B36)/H31</f>
        <v>1</v>
      </c>
      <c r="I36" s="76">
        <f t="shared" si="0"/>
        <v>1</v>
      </c>
      <c r="J36" s="76">
        <f t="shared" si="0"/>
        <v>1</v>
      </c>
      <c r="K36" s="162">
        <f t="shared" si="0"/>
        <v>1</v>
      </c>
      <c r="L36" s="25"/>
    </row>
    <row r="37" spans="1:12" ht="15" thickBot="1" x14ac:dyDescent="0.25">
      <c r="A37" s="251" t="s">
        <v>77</v>
      </c>
      <c r="B37" s="251"/>
      <c r="C37" s="251">
        <f>SUM(A36:E36)</f>
        <v>42</v>
      </c>
      <c r="D37" s="251"/>
      <c r="E37" s="251"/>
      <c r="G37" s="166" t="s">
        <v>77</v>
      </c>
      <c r="H37" s="167"/>
      <c r="I37" s="453">
        <f>SUM(C32,C37)/I32</f>
        <v>1</v>
      </c>
      <c r="J37" s="454"/>
      <c r="K37" s="455"/>
      <c r="L37" s="25"/>
    </row>
    <row r="38" spans="1:12" ht="15" thickTop="1" x14ac:dyDescent="0.2">
      <c r="L38" s="25"/>
    </row>
    <row r="40" spans="1:12" ht="15" x14ac:dyDescent="0.25">
      <c r="A40" s="452" t="str">
        <f>Brown_80!A1</f>
        <v>PA BROWN, THOMAS</v>
      </c>
      <c r="B40" s="452"/>
      <c r="C40" s="452"/>
      <c r="D40" s="452"/>
      <c r="E40" s="452"/>
      <c r="F40" s="452"/>
      <c r="G40" s="452"/>
      <c r="H40" s="452"/>
      <c r="I40" s="452"/>
      <c r="J40" s="452"/>
      <c r="K40" s="452"/>
    </row>
    <row r="41" spans="1:12" ht="15" x14ac:dyDescent="0.25">
      <c r="A41" s="449" t="s">
        <v>392</v>
      </c>
      <c r="B41" s="450"/>
      <c r="C41" s="450"/>
      <c r="D41" s="450"/>
      <c r="E41" s="451"/>
      <c r="G41" s="347" t="s">
        <v>374</v>
      </c>
      <c r="H41" s="347"/>
      <c r="I41" s="347"/>
      <c r="J41" s="347"/>
      <c r="K41" s="347"/>
    </row>
    <row r="42" spans="1:12" ht="15" x14ac:dyDescent="0.2">
      <c r="A42" s="32" t="s">
        <v>2</v>
      </c>
      <c r="B42" s="33" t="s">
        <v>3</v>
      </c>
      <c r="C42" s="32" t="s">
        <v>4</v>
      </c>
      <c r="D42" s="32" t="s">
        <v>5</v>
      </c>
      <c r="E42" s="32" t="s">
        <v>6</v>
      </c>
      <c r="G42" s="32" t="s">
        <v>2</v>
      </c>
      <c r="H42" s="32" t="s">
        <v>3</v>
      </c>
      <c r="I42" s="32" t="s">
        <v>4</v>
      </c>
      <c r="J42" s="32" t="s">
        <v>5</v>
      </c>
      <c r="K42" s="32" t="s">
        <v>6</v>
      </c>
    </row>
    <row r="43" spans="1:12" x14ac:dyDescent="0.2">
      <c r="A43" s="144">
        <f>COUNTIFS(Brown_80!B5:B31,"24HR",Brown_80!C5:C31,"&lt;&gt;*BO*",Brown_80!B5:B31,"24HR",Brown_80!C5:C31,"&lt;&gt;*WEX*",Brown_80!B5:B31,"24HR",Brown_80!C5:C31,"&lt;&gt;*PHA*")</f>
        <v>15</v>
      </c>
      <c r="B43" s="144">
        <f>COUNTIFS(Brown_80!F5:F31,"24HR",Brown_80!G5:G31,"&lt;&gt;*BO*",Brown_80!F5:F31,"24HR",Brown_80!G5:G31,"&lt;&gt;*WEX*",Brown_80!F5:F31,"24HR",Brown_80!G5:G31,"&lt;&gt;*PHA*")</f>
        <v>15</v>
      </c>
      <c r="C43" s="144">
        <f>COUNTIFS(Brown_80!J5:J31,"24HR",Brown_80!K5:K31,"&lt;&gt;*BO*",Brown_80!J5:J31,"24HR",Brown_80!K5:K31,"&lt;&gt;*WEX*",Brown_80!J5:J31,"24HR",Brown_80!K5:K31,"&lt;&gt;*PHA*")</f>
        <v>15</v>
      </c>
      <c r="D43" s="144">
        <f>COUNTIFS(Brown_80!N5:N31,"24HR",Brown_80!O5:O31,"&lt;&gt;*BO*",Brown_80!N5:N31,"24HR",Brown_80!O5:O31,"&lt;&gt;*WEX*",Brown_80!N5:N31,"24HR",Brown_80!O5:O31,"&lt;&gt;*PHA*")</f>
        <v>15</v>
      </c>
      <c r="E43" s="144">
        <f>COUNTIFS(Brown_80!R5:R31,"24HR",Brown_80!S5:S31,"&lt;&gt;*BO*",Brown_80!R5:R31,"24HR",Brown_80!S5:S31,"&lt;&gt;*WEX*",Brown_80!R5:R31,"24HR",Brown_80!S5:S31,"&lt;&gt;*PHA*")</f>
        <v>15</v>
      </c>
      <c r="G43" s="144">
        <f>COUNTIFS(Brown_80!B5:B31,"*",Brown_80!C5:C31,"&lt;&gt;*BO*",Brown_80!B5:B31,"*",Brown_80!C5:C31,"&lt;&gt;*WEX*",Brown_80!B5:B31,"*",Brown_80!C5:C31,"&lt;&gt;*PHA*")</f>
        <v>15</v>
      </c>
      <c r="H43" s="144">
        <f>COUNTIFS(Brown_80!F5:F31,"*",Brown_80!G5:G31,"&lt;&gt;*BO*",Brown_80!F5:F31,"*",Brown_80!G5:G31,"&lt;&gt;*WEX*",Brown_80!F5:F31,"*",Brown_80!G5:G31,"&lt;&gt;*PHA*")</f>
        <v>15</v>
      </c>
      <c r="I43" s="144">
        <f>COUNTIFS(Brown_80!J5:J31,"*",Brown_80!K5:K31,"&lt;&gt;*BO*",Brown_80!J5:J31,"*",Brown_80!K5:K31,"&lt;&gt;*WEX*",Brown_80!J5:J31,"*",Brown_80!K5:K31,"&lt;&gt;*PHA*")</f>
        <v>15</v>
      </c>
      <c r="J43" s="144">
        <f>COUNTIFS(Brown_80!N5:N31,"*",Brown_80!O5:O31,"&lt;&gt;*BO*",Brown_80!N5:N31,"*",Brown_80!O5:O31,"&lt;&gt;*WEX*",Brown_80!N5:N31,"*",Brown_80!O5:O31,"&lt;&gt;*PHA*")</f>
        <v>15</v>
      </c>
      <c r="K43" s="144">
        <f>COUNTIFS(Brown_80!R5:R31,"*",Brown_80!S5:S31,"&lt;&gt;*BO*",Brown_80!R5:R31,"*",Brown_80!S5:S31,"&lt;&gt;*WEX*",Brown_80!R5:R31,"*",Brown_80!S5:S31,"&lt;&gt;*PHA*")</f>
        <v>15</v>
      </c>
    </row>
    <row r="44" spans="1:12" x14ac:dyDescent="0.2">
      <c r="A44" s="251" t="s">
        <v>77</v>
      </c>
      <c r="B44" s="251"/>
      <c r="C44" s="251">
        <f>SUM(A43:E43)</f>
        <v>75</v>
      </c>
      <c r="D44" s="251"/>
      <c r="E44" s="251"/>
      <c r="G44" s="251" t="s">
        <v>77</v>
      </c>
      <c r="H44" s="251"/>
      <c r="I44" s="251">
        <f>SUM(G43:K43)</f>
        <v>75</v>
      </c>
      <c r="J44" s="251"/>
      <c r="K44" s="251"/>
    </row>
    <row r="45" spans="1:12" ht="15" thickBot="1" x14ac:dyDescent="0.25"/>
    <row r="46" spans="1:12" ht="15.75" thickTop="1" x14ac:dyDescent="0.25">
      <c r="A46" s="449" t="s">
        <v>393</v>
      </c>
      <c r="B46" s="450"/>
      <c r="C46" s="450"/>
      <c r="D46" s="450"/>
      <c r="E46" s="451"/>
      <c r="G46" s="163" t="s">
        <v>378</v>
      </c>
      <c r="H46" s="164"/>
      <c r="I46" s="164"/>
      <c r="J46" s="164"/>
      <c r="K46" s="165"/>
    </row>
    <row r="47" spans="1:12" ht="15" x14ac:dyDescent="0.2">
      <c r="A47" s="32" t="s">
        <v>2</v>
      </c>
      <c r="B47" s="33" t="s">
        <v>3</v>
      </c>
      <c r="C47" s="32" t="s">
        <v>4</v>
      </c>
      <c r="D47" s="32" t="s">
        <v>5</v>
      </c>
      <c r="E47" s="32" t="s">
        <v>6</v>
      </c>
      <c r="G47" s="168" t="s">
        <v>2</v>
      </c>
      <c r="H47" s="32" t="s">
        <v>3</v>
      </c>
      <c r="I47" s="32" t="s">
        <v>4</v>
      </c>
      <c r="J47" s="32" t="s">
        <v>5</v>
      </c>
      <c r="K47" s="169" t="s">
        <v>6</v>
      </c>
    </row>
    <row r="48" spans="1:12" x14ac:dyDescent="0.2">
      <c r="A48" s="144">
        <f>COUNTIFS(Brown_80!B5:B31,"FTR",Brown_80!C5:C31,"&lt;&gt;*BO*",Brown_80!B5:B31,"FTR",Brown_80!C5:C31,"&lt;&gt;*WEX*",Brown_80!B5:B31,"FTR",Brown_80!C5:C31,"&lt;&gt;*PHA*")</f>
        <v>0</v>
      </c>
      <c r="B48" s="144">
        <f>COUNTIFS(Brown_80!F5:F31,"FTR",Brown_80!G5:G31,"&lt;&gt;*BO*",Brown_80!F5:F31,"FTR",Brown_80!G5:G31,"&lt;&gt;*WEX*",Brown_80!F5:F31,"FTR",Brown_80!G5:G31,"&lt;&gt;*PHA*")</f>
        <v>0</v>
      </c>
      <c r="C48" s="144">
        <f>COUNTIFS(Brown_80!J5:J31,"FTR",Brown_80!K5:K31,"&lt;&gt;*BO*",Brown_80!J5:J31,"FTR",Brown_80!K5:K31,"&lt;&gt;*WEX*",Brown_80!J5:J31,"FTR",Brown_80!K5:K31,"&lt;&gt;*PHA*")</f>
        <v>0</v>
      </c>
      <c r="D48" s="144">
        <f>COUNTIFS(Brown_80!N5:N31,"FTR",Brown_80!O5:O31,"&lt;&gt;*BO*",Brown_80!N5:N31,"FTR",Brown_80!O5:O31,"&lt;&gt;*WEX*",Brown_80!N5:N31,"FTR",Brown_80!O5:O31,"&lt;&gt;*PHA*")</f>
        <v>0</v>
      </c>
      <c r="E48" s="144">
        <f>COUNTIFS(Brown_80!R5:R31,"FTR",Brown_80!S5:S31,"&lt;&gt;*BO*",Brown_80!R5:R31,"FTR",Brown_80!S5:S31,"&lt;&gt;*WEX*",Brown_80!R5:R31,"FTR",Brown_80!S5:S31,"&lt;&gt;*PHA*")</f>
        <v>0</v>
      </c>
      <c r="G48" s="161">
        <f>SUM(A43,A48)/G43</f>
        <v>1</v>
      </c>
      <c r="H48" s="76">
        <f>SUM(B43,B48)/H43</f>
        <v>1</v>
      </c>
      <c r="I48" s="76">
        <f>SUM(C43,C48)/I43</f>
        <v>1</v>
      </c>
      <c r="J48" s="76">
        <f>SUM(D43,D48)/J43</f>
        <v>1</v>
      </c>
      <c r="K48" s="162">
        <f>SUM(E43,E48)/K43</f>
        <v>1</v>
      </c>
    </row>
    <row r="49" spans="1:11" ht="15" thickBot="1" x14ac:dyDescent="0.25">
      <c r="A49" s="251" t="s">
        <v>77</v>
      </c>
      <c r="B49" s="251"/>
      <c r="C49" s="251">
        <f>SUM(A48:E48)</f>
        <v>0</v>
      </c>
      <c r="D49" s="251"/>
      <c r="E49" s="251"/>
      <c r="G49" s="313" t="s">
        <v>77</v>
      </c>
      <c r="H49" s="314"/>
      <c r="I49" s="456">
        <f>SUM(C44,C49)/I44</f>
        <v>1</v>
      </c>
      <c r="J49" s="456"/>
      <c r="K49" s="457"/>
    </row>
    <row r="50" spans="1:11" ht="15" thickTop="1" x14ac:dyDescent="0.2"/>
    <row r="52" spans="1:11" ht="15" x14ac:dyDescent="0.25">
      <c r="A52" s="377" t="s">
        <v>1</v>
      </c>
      <c r="B52" s="377"/>
      <c r="C52" s="377"/>
      <c r="D52" s="377"/>
      <c r="E52" s="377"/>
      <c r="F52" s="377"/>
      <c r="G52" s="377"/>
      <c r="H52" s="377"/>
      <c r="I52" s="377"/>
      <c r="J52" s="377"/>
      <c r="K52" s="377"/>
    </row>
    <row r="53" spans="1:11" ht="15" x14ac:dyDescent="0.25">
      <c r="A53" s="449" t="s">
        <v>392</v>
      </c>
      <c r="B53" s="450"/>
      <c r="C53" s="450"/>
      <c r="D53" s="450"/>
      <c r="E53" s="451"/>
      <c r="G53" s="347" t="s">
        <v>374</v>
      </c>
      <c r="H53" s="347"/>
      <c r="I53" s="347"/>
      <c r="J53" s="347"/>
      <c r="K53" s="347"/>
    </row>
    <row r="54" spans="1:11" ht="15" x14ac:dyDescent="0.2">
      <c r="A54" s="32" t="s">
        <v>2</v>
      </c>
      <c r="B54" s="33" t="s">
        <v>3</v>
      </c>
      <c r="C54" s="32" t="s">
        <v>4</v>
      </c>
      <c r="D54" s="32" t="s">
        <v>5</v>
      </c>
      <c r="E54" s="32" t="s">
        <v>6</v>
      </c>
      <c r="G54" s="32" t="s">
        <v>2</v>
      </c>
      <c r="H54" s="32" t="s">
        <v>3</v>
      </c>
      <c r="I54" s="32" t="s">
        <v>4</v>
      </c>
      <c r="J54" s="32" t="s">
        <v>5</v>
      </c>
      <c r="K54" s="32" t="s">
        <v>6</v>
      </c>
    </row>
    <row r="55" spans="1:11" x14ac:dyDescent="0.2">
      <c r="A55" s="144">
        <f>SUM(A43,A31,A19,A7)</f>
        <v>35</v>
      </c>
      <c r="B55" s="144">
        <f t="shared" ref="B55:E55" si="1">SUM(B43,B31,B19,B7)</f>
        <v>32</v>
      </c>
      <c r="C55" s="144">
        <f t="shared" si="1"/>
        <v>34</v>
      </c>
      <c r="D55" s="144">
        <f t="shared" si="1"/>
        <v>26</v>
      </c>
      <c r="E55" s="144">
        <f t="shared" si="1"/>
        <v>32</v>
      </c>
      <c r="G55" s="144">
        <f>SUM(G43,G31,G19,G7)</f>
        <v>67</v>
      </c>
      <c r="H55" s="144">
        <f t="shared" ref="H55:K55" si="2">SUM(H43,H31,H19,H7)</f>
        <v>62</v>
      </c>
      <c r="I55" s="144">
        <f t="shared" si="2"/>
        <v>67</v>
      </c>
      <c r="J55" s="144">
        <f t="shared" si="2"/>
        <v>44</v>
      </c>
      <c r="K55" s="144">
        <f t="shared" si="2"/>
        <v>56</v>
      </c>
    </row>
    <row r="56" spans="1:11" x14ac:dyDescent="0.2">
      <c r="A56" s="251" t="s">
        <v>77</v>
      </c>
      <c r="B56" s="251"/>
      <c r="C56" s="251">
        <f>SUM(A55:E55)</f>
        <v>159</v>
      </c>
      <c r="D56" s="251"/>
      <c r="E56" s="251"/>
      <c r="G56" s="251" t="s">
        <v>77</v>
      </c>
      <c r="H56" s="251"/>
      <c r="I56" s="251">
        <f>SUM(G55:K55)</f>
        <v>296</v>
      </c>
      <c r="J56" s="251"/>
      <c r="K56" s="251"/>
    </row>
    <row r="57" spans="1:11" ht="15" thickBot="1" x14ac:dyDescent="0.25"/>
    <row r="58" spans="1:11" ht="15.75" thickTop="1" x14ac:dyDescent="0.25">
      <c r="A58" s="449" t="s">
        <v>393</v>
      </c>
      <c r="B58" s="450"/>
      <c r="C58" s="450"/>
      <c r="D58" s="450"/>
      <c r="E58" s="451"/>
      <c r="G58" s="163" t="s">
        <v>378</v>
      </c>
      <c r="H58" s="164"/>
      <c r="I58" s="164"/>
      <c r="J58" s="164"/>
      <c r="K58" s="165"/>
    </row>
    <row r="59" spans="1:11" ht="15" x14ac:dyDescent="0.2">
      <c r="A59" s="32" t="s">
        <v>2</v>
      </c>
      <c r="B59" s="33" t="s">
        <v>3</v>
      </c>
      <c r="C59" s="32" t="s">
        <v>4</v>
      </c>
      <c r="D59" s="32" t="s">
        <v>5</v>
      </c>
      <c r="E59" s="32" t="s">
        <v>6</v>
      </c>
      <c r="G59" s="168" t="s">
        <v>2</v>
      </c>
      <c r="H59" s="32" t="s">
        <v>3</v>
      </c>
      <c r="I59" s="32" t="s">
        <v>4</v>
      </c>
      <c r="J59" s="32" t="s">
        <v>5</v>
      </c>
      <c r="K59" s="169" t="s">
        <v>6</v>
      </c>
    </row>
    <row r="60" spans="1:11" x14ac:dyDescent="0.2">
      <c r="A60" s="144">
        <f>SUM(A48,A36,A24,A12)</f>
        <v>30</v>
      </c>
      <c r="B60" s="144">
        <f t="shared" ref="B60:E60" si="3">SUM(B48,B36,B24,B12)</f>
        <v>28</v>
      </c>
      <c r="C60" s="144">
        <f t="shared" si="3"/>
        <v>31</v>
      </c>
      <c r="D60" s="144">
        <f t="shared" si="3"/>
        <v>16</v>
      </c>
      <c r="E60" s="144">
        <f t="shared" si="3"/>
        <v>22</v>
      </c>
      <c r="G60" s="161">
        <f>SUM(A55,A60)/G55</f>
        <v>0.97014925373134331</v>
      </c>
      <c r="H60" s="76">
        <f>SUM(B55,B60)/H55</f>
        <v>0.967741935483871</v>
      </c>
      <c r="I60" s="76">
        <f>SUM(C55,C60)/I55</f>
        <v>0.97014925373134331</v>
      </c>
      <c r="J60" s="76">
        <f>SUM(D55,D60)/J55</f>
        <v>0.95454545454545459</v>
      </c>
      <c r="K60" s="162">
        <f>SUM(E55,E60)/K55</f>
        <v>0.9642857142857143</v>
      </c>
    </row>
    <row r="61" spans="1:11" ht="15" thickBot="1" x14ac:dyDescent="0.25">
      <c r="A61" s="251" t="s">
        <v>77</v>
      </c>
      <c r="B61" s="251"/>
      <c r="C61" s="251">
        <f>SUM(A60:E60)</f>
        <v>127</v>
      </c>
      <c r="D61" s="251"/>
      <c r="E61" s="251"/>
      <c r="G61" s="313" t="s">
        <v>77</v>
      </c>
      <c r="H61" s="314"/>
      <c r="I61" s="456">
        <f>SUM(C56,C61)/I56</f>
        <v>0.96621621621621623</v>
      </c>
      <c r="J61" s="456"/>
      <c r="K61" s="457"/>
    </row>
    <row r="62" spans="1:11" ht="15" thickTop="1" x14ac:dyDescent="0.2"/>
    <row r="71" ht="1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sheetData>
  <mergeCells count="68">
    <mergeCell ref="A56:B56"/>
    <mergeCell ref="C56:E56"/>
    <mergeCell ref="G56:H56"/>
    <mergeCell ref="I56:K56"/>
    <mergeCell ref="A58:E58"/>
    <mergeCell ref="A61:B61"/>
    <mergeCell ref="C61:E61"/>
    <mergeCell ref="G61:H61"/>
    <mergeCell ref="I61:K61"/>
    <mergeCell ref="A20:B20"/>
    <mergeCell ref="C20:E20"/>
    <mergeCell ref="A22:E22"/>
    <mergeCell ref="A25:B25"/>
    <mergeCell ref="C25:E25"/>
    <mergeCell ref="G20:H20"/>
    <mergeCell ref="I20:K20"/>
    <mergeCell ref="I25:K25"/>
    <mergeCell ref="A34:E34"/>
    <mergeCell ref="A32:B32"/>
    <mergeCell ref="C32:E32"/>
    <mergeCell ref="I32:K32"/>
    <mergeCell ref="G32:H32"/>
    <mergeCell ref="G34:K34"/>
    <mergeCell ref="G22:K22"/>
    <mergeCell ref="N5:N6"/>
    <mergeCell ref="O5:R6"/>
    <mergeCell ref="I8:K8"/>
    <mergeCell ref="G13:H13"/>
    <mergeCell ref="I13:K13"/>
    <mergeCell ref="A16:K16"/>
    <mergeCell ref="A17:E17"/>
    <mergeCell ref="G17:K17"/>
    <mergeCell ref="A13:B13"/>
    <mergeCell ref="C13:E13"/>
    <mergeCell ref="B2:G2"/>
    <mergeCell ref="B1:G1"/>
    <mergeCell ref="A10:E10"/>
    <mergeCell ref="A8:B8"/>
    <mergeCell ref="C8:E8"/>
    <mergeCell ref="G8:H8"/>
    <mergeCell ref="G5:K5"/>
    <mergeCell ref="G10:K10"/>
    <mergeCell ref="A4:K4"/>
    <mergeCell ref="A5:E5"/>
    <mergeCell ref="G49:H49"/>
    <mergeCell ref="I49:K49"/>
    <mergeCell ref="A52:K52"/>
    <mergeCell ref="A46:E46"/>
    <mergeCell ref="A44:B44"/>
    <mergeCell ref="C44:E44"/>
    <mergeCell ref="A49:B49"/>
    <mergeCell ref="C49:E49"/>
    <mergeCell ref="N1:R2"/>
    <mergeCell ref="N3:N4"/>
    <mergeCell ref="O3:R4"/>
    <mergeCell ref="A53:E53"/>
    <mergeCell ref="G53:K53"/>
    <mergeCell ref="A28:K28"/>
    <mergeCell ref="A29:E29"/>
    <mergeCell ref="G29:K29"/>
    <mergeCell ref="A40:K40"/>
    <mergeCell ref="A41:E41"/>
    <mergeCell ref="G41:K41"/>
    <mergeCell ref="A37:B37"/>
    <mergeCell ref="C37:E37"/>
    <mergeCell ref="I37:K37"/>
    <mergeCell ref="G44:H44"/>
    <mergeCell ref="I44:K44"/>
  </mergeCells>
  <conditionalFormatting sqref="G12:K12 I13:K13 I25 I37 I49 G24:K24 G36:K36 G48:K48">
    <cfRule type="cellIs" dxfId="3" priority="3" operator="lessThan">
      <formula>0.9</formula>
    </cfRule>
    <cfRule type="cellIs" dxfId="2" priority="5" operator="greaterThanOrEqual">
      <formula>0.9</formula>
    </cfRule>
  </conditionalFormatting>
  <conditionalFormatting sqref="I61 G60:K60">
    <cfRule type="cellIs" dxfId="1" priority="1" operator="lessThan">
      <formula>0.9</formula>
    </cfRule>
    <cfRule type="cellIs" dxfId="0" priority="2" operator="greaterThanOrEqual">
      <formula>0.9</formula>
    </cfRule>
  </conditionalFormatting>
  <hyperlinks>
    <hyperlink ref="A4:K4" location="Fleming_64!A1" display="Fleming_64!A1"/>
    <hyperlink ref="A16:K16" location="Hough_80!A1" display="Hough_80!A1"/>
    <hyperlink ref="A28:K28" location="Holzer_72!A1" display="Holzer_72!A1"/>
    <hyperlink ref="A40:K40" location="Brown_80!A1" display="Brown_80!A1"/>
  </hyperlinks>
  <pageMargins left="0.7" right="0.7" top="0.75" bottom="0.75" header="0.3" footer="0.3"/>
  <pageSetup orientation="portrait" horizontalDpi="1200" verticalDpi="1200"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B4:G40"/>
  <sheetViews>
    <sheetView workbookViewId="0"/>
  </sheetViews>
  <sheetFormatPr defaultRowHeight="14.25" x14ac:dyDescent="0.2"/>
  <cols>
    <col min="1" max="4" width="9" style="158"/>
    <col min="5" max="5" width="11.625" style="158" customWidth="1"/>
    <col min="6" max="6" width="24.5" style="158" customWidth="1"/>
    <col min="7" max="7" width="32.875" style="158" customWidth="1"/>
    <col min="8" max="16384" width="9" style="158"/>
  </cols>
  <sheetData>
    <row r="4" spans="2:7" x14ac:dyDescent="0.2">
      <c r="F4" s="158" t="s">
        <v>390</v>
      </c>
      <c r="G4" s="158" t="s">
        <v>389</v>
      </c>
    </row>
    <row r="5" spans="2:7" x14ac:dyDescent="0.2">
      <c r="F5" s="158" t="s">
        <v>377</v>
      </c>
      <c r="G5" s="158" t="s">
        <v>375</v>
      </c>
    </row>
    <row r="6" spans="2:7" x14ac:dyDescent="0.2">
      <c r="F6" s="158" t="s">
        <v>367</v>
      </c>
      <c r="G6" s="158" t="s">
        <v>375</v>
      </c>
    </row>
    <row r="7" spans="2:7" x14ac:dyDescent="0.2">
      <c r="F7" s="158" t="s">
        <v>367</v>
      </c>
    </row>
    <row r="8" spans="2:7" x14ac:dyDescent="0.2">
      <c r="B8" s="158" t="s">
        <v>375</v>
      </c>
      <c r="F8" s="158" t="s">
        <v>388</v>
      </c>
    </row>
    <row r="9" spans="2:7" x14ac:dyDescent="0.2">
      <c r="B9" s="158" t="s">
        <v>376</v>
      </c>
    </row>
    <row r="10" spans="2:7" x14ac:dyDescent="0.2">
      <c r="B10" s="158" t="s">
        <v>382</v>
      </c>
    </row>
    <row r="11" spans="2:7" x14ac:dyDescent="0.2">
      <c r="F11" s="158" t="s">
        <v>387</v>
      </c>
      <c r="G11" s="158" t="s">
        <v>386</v>
      </c>
    </row>
    <row r="13" spans="2:7" x14ac:dyDescent="0.2">
      <c r="F13" s="158">
        <f>SUMPRODUCT(--(ISNUMBER(FIND("24hr",ApptType))+ISNUMBER(FIND("ftr",ApptType))))</f>
        <v>3</v>
      </c>
      <c r="G13" s="158">
        <f>SUMPRODUCT(--(ISNUMBER(FIND("HC",RestrictiveDetailCodes))+ISNUMBER(FIND("NBO",RestrictiveDetailCodes))))</f>
        <v>0</v>
      </c>
    </row>
    <row r="20" spans="4:7" x14ac:dyDescent="0.2">
      <c r="D20" s="158" t="s">
        <v>13</v>
      </c>
      <c r="E20" s="158" t="s">
        <v>382</v>
      </c>
    </row>
    <row r="21" spans="4:7" x14ac:dyDescent="0.2">
      <c r="D21" s="158" t="s">
        <v>13</v>
      </c>
      <c r="E21" s="158" t="s">
        <v>11</v>
      </c>
    </row>
    <row r="22" spans="4:7" x14ac:dyDescent="0.2">
      <c r="D22" s="158" t="s">
        <v>13</v>
      </c>
      <c r="E22" s="158" t="s">
        <v>11</v>
      </c>
    </row>
    <row r="23" spans="4:7" x14ac:dyDescent="0.2">
      <c r="D23" s="158" t="s">
        <v>14</v>
      </c>
    </row>
    <row r="24" spans="4:7" x14ac:dyDescent="0.2">
      <c r="D24" s="158" t="s">
        <v>14</v>
      </c>
      <c r="E24" s="158" t="s">
        <v>376</v>
      </c>
      <c r="F24" s="158" t="s">
        <v>385</v>
      </c>
      <c r="G24" s="158" t="s">
        <v>384</v>
      </c>
    </row>
    <row r="25" spans="4:7" x14ac:dyDescent="0.2">
      <c r="D25" s="158" t="s">
        <v>13</v>
      </c>
      <c r="F25" s="158">
        <f>SUM(COUNTIFS(D20:D22,"24HR"),COUNTIFS(D20:D22,"ftr"))</f>
        <v>3</v>
      </c>
      <c r="G25" s="158">
        <f>SUMPRODUCT(--(ISNA(MATCH(E20:E22,RestDetCodes,0))))</f>
        <v>2</v>
      </c>
    </row>
    <row r="26" spans="4:7" x14ac:dyDescent="0.2">
      <c r="D26" s="158" t="s">
        <v>14</v>
      </c>
      <c r="E26" s="158" t="s">
        <v>381</v>
      </c>
    </row>
    <row r="30" spans="4:7" x14ac:dyDescent="0.2">
      <c r="D30" s="158" t="s">
        <v>13</v>
      </c>
      <c r="E30" s="158" t="s">
        <v>383</v>
      </c>
      <c r="F30" s="158">
        <f>(COUNTIFS(D20:D26,"24HR",E20:E26,"&lt;&gt;*BO*",D20:D26,"24HR",E20:E26,"&lt;&gt;*WEX*"))</f>
        <v>3</v>
      </c>
    </row>
    <row r="31" spans="4:7" x14ac:dyDescent="0.2">
      <c r="D31" s="158" t="s">
        <v>14</v>
      </c>
      <c r="E31" s="158" t="s">
        <v>383</v>
      </c>
      <c r="F31" s="158">
        <f>(COUNTIFS(D20:D27,"FTR",E20:E27,"&lt;&gt;*BO*",D20:D27,"FTR",E20:E27,"&lt;&gt;*WEX*"))</f>
        <v>1</v>
      </c>
    </row>
    <row r="32" spans="4:7" x14ac:dyDescent="0.2">
      <c r="D32" s="158" t="s">
        <v>13</v>
      </c>
      <c r="E32" s="158" t="s">
        <v>18</v>
      </c>
      <c r="F32" s="158">
        <f>COUNTIF(D20:D26,"24hr")</f>
        <v>4</v>
      </c>
    </row>
    <row r="33" spans="4:6" x14ac:dyDescent="0.2">
      <c r="D33" s="158" t="s">
        <v>14</v>
      </c>
      <c r="E33" s="158" t="s">
        <v>18</v>
      </c>
      <c r="F33" s="158">
        <f>COUNTIF(D20:D26,"ftr")</f>
        <v>3</v>
      </c>
    </row>
    <row r="34" spans="4:6" x14ac:dyDescent="0.2">
      <c r="D34" s="158" t="s">
        <v>383</v>
      </c>
      <c r="E34" s="158" t="s">
        <v>18</v>
      </c>
      <c r="F34" s="158">
        <f>COUNTIFS(E20:E26,"&lt;&gt;*BO*",E20:E26,"&lt;&gt;*WEX*")</f>
        <v>4</v>
      </c>
    </row>
    <row r="35" spans="4:6" x14ac:dyDescent="0.2">
      <c r="F35" s="158">
        <f>SUM(F30:F31)/F34</f>
        <v>1</v>
      </c>
    </row>
    <row r="40" spans="4:6" x14ac:dyDescent="0.2">
      <c r="F40" s="158" t="s">
        <v>391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4"/>
  </sheetPr>
  <dimension ref="B1:C36"/>
  <sheetViews>
    <sheetView workbookViewId="0"/>
  </sheetViews>
  <sheetFormatPr defaultRowHeight="14.25" x14ac:dyDescent="0.2"/>
  <cols>
    <col min="1" max="1" width="14.75" bestFit="1" customWidth="1"/>
    <col min="2" max="3" width="51" customWidth="1"/>
    <col min="5" max="5" width="42.375" bestFit="1" customWidth="1"/>
    <col min="6" max="8" width="8"/>
    <col min="9" max="9" width="14.75" bestFit="1" customWidth="1"/>
  </cols>
  <sheetData>
    <row r="1" spans="2:3" ht="26.25" x14ac:dyDescent="0.4">
      <c r="B1" s="233" t="s">
        <v>147</v>
      </c>
      <c r="C1" s="233"/>
    </row>
    <row r="2" spans="2:3" ht="18.75" x14ac:dyDescent="0.3">
      <c r="B2" s="234" t="s">
        <v>148</v>
      </c>
      <c r="C2" s="234"/>
    </row>
    <row r="3" spans="2:3" ht="15" x14ac:dyDescent="0.25">
      <c r="B3" s="232" t="s">
        <v>116</v>
      </c>
      <c r="C3" s="232"/>
    </row>
    <row r="4" spans="2:3" x14ac:dyDescent="0.2">
      <c r="B4" s="92" t="s">
        <v>117</v>
      </c>
      <c r="C4" s="93" t="s">
        <v>118</v>
      </c>
    </row>
    <row r="5" spans="2:3" x14ac:dyDescent="0.2">
      <c r="B5" s="92" t="s">
        <v>119</v>
      </c>
      <c r="C5" s="93" t="s">
        <v>118</v>
      </c>
    </row>
    <row r="6" spans="2:3" x14ac:dyDescent="0.2">
      <c r="B6" s="92" t="s">
        <v>105</v>
      </c>
      <c r="C6" s="93" t="s">
        <v>120</v>
      </c>
    </row>
    <row r="7" spans="2:3" x14ac:dyDescent="0.2">
      <c r="B7" s="92" t="s">
        <v>121</v>
      </c>
      <c r="C7" s="93">
        <v>0.1</v>
      </c>
    </row>
    <row r="8" spans="2:3" x14ac:dyDescent="0.2">
      <c r="B8" s="92" t="s">
        <v>122</v>
      </c>
      <c r="C8" s="93">
        <v>0.1</v>
      </c>
    </row>
    <row r="9" spans="2:3" x14ac:dyDescent="0.2">
      <c r="B9" s="92" t="s">
        <v>123</v>
      </c>
      <c r="C9" s="93">
        <v>0.2</v>
      </c>
    </row>
    <row r="10" spans="2:3" x14ac:dyDescent="0.2">
      <c r="B10" s="92" t="s">
        <v>124</v>
      </c>
      <c r="C10" s="93">
        <v>0.2</v>
      </c>
    </row>
    <row r="11" spans="2:3" x14ac:dyDescent="0.2">
      <c r="B11" s="92" t="s">
        <v>125</v>
      </c>
      <c r="C11" s="93">
        <v>0.3</v>
      </c>
    </row>
    <row r="12" spans="2:3" x14ac:dyDescent="0.2">
      <c r="B12" s="92" t="s">
        <v>126</v>
      </c>
      <c r="C12" s="93">
        <v>0.3</v>
      </c>
    </row>
    <row r="13" spans="2:3" x14ac:dyDescent="0.2">
      <c r="B13" s="92" t="s">
        <v>127</v>
      </c>
      <c r="C13" s="93">
        <v>0.4</v>
      </c>
    </row>
    <row r="14" spans="2:3" x14ac:dyDescent="0.2">
      <c r="B14" s="92" t="s">
        <v>128</v>
      </c>
      <c r="C14" s="93">
        <v>0.4</v>
      </c>
    </row>
    <row r="15" spans="2:3" x14ac:dyDescent="0.2">
      <c r="B15" s="92" t="s">
        <v>129</v>
      </c>
      <c r="C15" s="93">
        <v>0.6</v>
      </c>
    </row>
    <row r="16" spans="2:3" x14ac:dyDescent="0.2">
      <c r="B16" s="92" t="s">
        <v>130</v>
      </c>
      <c r="C16" s="93">
        <v>0.6</v>
      </c>
    </row>
    <row r="17" spans="2:3" ht="15" x14ac:dyDescent="0.25">
      <c r="B17" s="232" t="s">
        <v>109</v>
      </c>
      <c r="C17" s="232"/>
    </row>
    <row r="18" spans="2:3" x14ac:dyDescent="0.2">
      <c r="B18" s="94" t="s">
        <v>117</v>
      </c>
      <c r="C18" s="93" t="s">
        <v>118</v>
      </c>
    </row>
    <row r="19" spans="2:3" x14ac:dyDescent="0.2">
      <c r="B19" s="94" t="s">
        <v>119</v>
      </c>
      <c r="C19" s="93" t="s">
        <v>118</v>
      </c>
    </row>
    <row r="20" spans="2:3" x14ac:dyDescent="0.2">
      <c r="B20" s="94" t="s">
        <v>105</v>
      </c>
      <c r="C20" s="93" t="s">
        <v>120</v>
      </c>
    </row>
    <row r="21" spans="2:3" x14ac:dyDescent="0.2">
      <c r="B21" s="94" t="s">
        <v>131</v>
      </c>
      <c r="C21" s="93">
        <v>0.1</v>
      </c>
    </row>
    <row r="22" spans="2:3" x14ac:dyDescent="0.2">
      <c r="B22" s="94" t="s">
        <v>132</v>
      </c>
      <c r="C22" s="93" t="s">
        <v>118</v>
      </c>
    </row>
    <row r="23" spans="2:3" x14ac:dyDescent="0.2">
      <c r="B23" s="94" t="s">
        <v>133</v>
      </c>
      <c r="C23" s="93">
        <v>0.1</v>
      </c>
    </row>
    <row r="24" spans="2:3" x14ac:dyDescent="0.2">
      <c r="B24" s="94" t="s">
        <v>134</v>
      </c>
      <c r="C24" s="93">
        <v>0.1</v>
      </c>
    </row>
    <row r="25" spans="2:3" x14ac:dyDescent="0.2">
      <c r="B25" s="94" t="s">
        <v>135</v>
      </c>
      <c r="C25" s="93">
        <v>0.2</v>
      </c>
    </row>
    <row r="26" spans="2:3" x14ac:dyDescent="0.2">
      <c r="B26" s="94" t="s">
        <v>136</v>
      </c>
      <c r="C26" s="93">
        <v>0.2</v>
      </c>
    </row>
    <row r="27" spans="2:3" ht="15" x14ac:dyDescent="0.25">
      <c r="B27" s="232" t="s">
        <v>110</v>
      </c>
      <c r="C27" s="232"/>
    </row>
    <row r="28" spans="2:3" x14ac:dyDescent="0.2">
      <c r="B28" s="94" t="s">
        <v>111</v>
      </c>
      <c r="C28" s="93" t="s">
        <v>118</v>
      </c>
    </row>
    <row r="29" spans="2:3" x14ac:dyDescent="0.2">
      <c r="B29" s="94" t="s">
        <v>119</v>
      </c>
      <c r="C29" s="93" t="s">
        <v>118</v>
      </c>
    </row>
    <row r="30" spans="2:3" x14ac:dyDescent="0.2">
      <c r="B30" s="94" t="s">
        <v>137</v>
      </c>
      <c r="C30" s="93">
        <v>0.1</v>
      </c>
    </row>
    <row r="31" spans="2:3" x14ac:dyDescent="0.2">
      <c r="B31" s="94" t="s">
        <v>138</v>
      </c>
      <c r="C31" s="93" t="s">
        <v>118</v>
      </c>
    </row>
    <row r="32" spans="2:3" x14ac:dyDescent="0.2">
      <c r="B32" s="94" t="s">
        <v>139</v>
      </c>
      <c r="C32" s="93">
        <v>0.1</v>
      </c>
    </row>
    <row r="33" spans="2:3" x14ac:dyDescent="0.2">
      <c r="B33" s="94" t="s">
        <v>140</v>
      </c>
      <c r="C33" s="93">
        <v>0.1</v>
      </c>
    </row>
    <row r="34" spans="2:3" ht="15" x14ac:dyDescent="0.25">
      <c r="B34" s="232" t="s">
        <v>145</v>
      </c>
      <c r="C34" s="232"/>
    </row>
    <row r="35" spans="2:3" x14ac:dyDescent="0.2">
      <c r="B35" s="94" t="s">
        <v>112</v>
      </c>
      <c r="C35" s="93">
        <v>0.1</v>
      </c>
    </row>
    <row r="36" spans="2:3" x14ac:dyDescent="0.2">
      <c r="B36" s="94" t="s">
        <v>113</v>
      </c>
      <c r="C36" s="93">
        <v>0.2</v>
      </c>
    </row>
  </sheetData>
  <mergeCells count="6">
    <mergeCell ref="B3:C3"/>
    <mergeCell ref="B17:C17"/>
    <mergeCell ref="B27:C27"/>
    <mergeCell ref="B34:C34"/>
    <mergeCell ref="B1:C1"/>
    <mergeCell ref="B2:C2"/>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4"/>
  </sheetPr>
  <dimension ref="A2:G154"/>
  <sheetViews>
    <sheetView workbookViewId="0"/>
  </sheetViews>
  <sheetFormatPr defaultColWidth="105.75" defaultRowHeight="14.25" x14ac:dyDescent="0.2"/>
  <cols>
    <col min="1" max="1" width="10.5" style="64" customWidth="1"/>
    <col min="2" max="2" width="31.25" style="64" customWidth="1"/>
    <col min="3" max="3" width="92.75" style="64" customWidth="1"/>
    <col min="4" max="4" width="21.375" style="64" customWidth="1"/>
    <col min="5" max="5" width="18.375" style="64" customWidth="1"/>
    <col min="6" max="6" width="18.5" style="64" customWidth="1"/>
    <col min="7" max="7" width="19.5" style="64" customWidth="1"/>
    <col min="8" max="16384" width="105.75" style="64"/>
  </cols>
  <sheetData>
    <row r="2" spans="1:7" x14ac:dyDescent="0.2">
      <c r="C2" s="120" t="s">
        <v>346</v>
      </c>
    </row>
    <row r="3" spans="1:7" x14ac:dyDescent="0.2">
      <c r="C3" s="120" t="s">
        <v>345</v>
      </c>
    </row>
    <row r="6" spans="1:7" ht="15" thickBot="1" x14ac:dyDescent="0.25"/>
    <row r="7" spans="1:7" x14ac:dyDescent="0.2">
      <c r="A7" s="235" t="s">
        <v>187</v>
      </c>
      <c r="B7" s="243" t="s">
        <v>186</v>
      </c>
      <c r="C7" s="243" t="s">
        <v>115</v>
      </c>
      <c r="D7" s="241" t="s">
        <v>188</v>
      </c>
      <c r="E7" s="96" t="s">
        <v>368</v>
      </c>
      <c r="F7" s="96" t="s">
        <v>370</v>
      </c>
      <c r="G7" s="96" t="s">
        <v>372</v>
      </c>
    </row>
    <row r="8" spans="1:7" x14ac:dyDescent="0.2">
      <c r="A8" s="236"/>
      <c r="B8" s="244"/>
      <c r="C8" s="244"/>
      <c r="D8" s="242"/>
      <c r="E8" s="146" t="s">
        <v>369</v>
      </c>
      <c r="F8" s="97" t="s">
        <v>371</v>
      </c>
      <c r="G8" s="97" t="s">
        <v>373</v>
      </c>
    </row>
    <row r="9" spans="1:7" x14ac:dyDescent="0.2">
      <c r="A9" s="98">
        <v>260102</v>
      </c>
      <c r="B9" s="99" t="s">
        <v>156</v>
      </c>
      <c r="C9" s="100" t="s">
        <v>157</v>
      </c>
      <c r="D9" s="100">
        <v>215</v>
      </c>
      <c r="E9" s="112">
        <f>0.55*D9</f>
        <v>118.25000000000001</v>
      </c>
      <c r="F9" s="112">
        <f>0.71*D9</f>
        <v>152.65</v>
      </c>
      <c r="G9" s="112">
        <f>0.83*D9</f>
        <v>178.45</v>
      </c>
    </row>
    <row r="10" spans="1:7" x14ac:dyDescent="0.2">
      <c r="A10" s="101">
        <v>260103</v>
      </c>
      <c r="B10" s="102" t="s">
        <v>158</v>
      </c>
      <c r="C10" s="103" t="s">
        <v>159</v>
      </c>
      <c r="D10" s="103">
        <v>182</v>
      </c>
      <c r="E10" s="112">
        <f t="shared" ref="E10:E73" si="0">0.55*D10</f>
        <v>100.10000000000001</v>
      </c>
      <c r="F10" s="112">
        <f t="shared" ref="F10:F73" si="1">0.71*D10</f>
        <v>129.22</v>
      </c>
      <c r="G10" s="112">
        <f t="shared" ref="G10:G73" si="2">0.83*D10</f>
        <v>151.06</v>
      </c>
    </row>
    <row r="11" spans="1:7" x14ac:dyDescent="0.2">
      <c r="A11" s="101">
        <v>260104</v>
      </c>
      <c r="B11" s="102" t="s">
        <v>160</v>
      </c>
      <c r="C11" s="103" t="s">
        <v>161</v>
      </c>
      <c r="D11" s="103">
        <v>89</v>
      </c>
      <c r="E11" s="112">
        <f t="shared" si="0"/>
        <v>48.95</v>
      </c>
      <c r="F11" s="112">
        <f t="shared" si="1"/>
        <v>63.19</v>
      </c>
      <c r="G11" s="112">
        <f t="shared" si="2"/>
        <v>73.86999999999999</v>
      </c>
    </row>
    <row r="12" spans="1:7" x14ac:dyDescent="0.2">
      <c r="A12" s="101"/>
      <c r="B12" s="102"/>
      <c r="C12" s="103" t="s">
        <v>162</v>
      </c>
      <c r="D12" s="103">
        <v>217</v>
      </c>
      <c r="E12" s="112">
        <f t="shared" si="0"/>
        <v>119.35000000000001</v>
      </c>
      <c r="F12" s="112">
        <f t="shared" si="1"/>
        <v>154.07</v>
      </c>
      <c r="G12" s="112">
        <f t="shared" si="2"/>
        <v>180.10999999999999</v>
      </c>
    </row>
    <row r="13" spans="1:7" x14ac:dyDescent="0.2">
      <c r="A13" s="101">
        <v>260107</v>
      </c>
      <c r="B13" s="102" t="s">
        <v>163</v>
      </c>
      <c r="C13" s="103" t="s">
        <v>164</v>
      </c>
      <c r="D13" s="103">
        <v>371</v>
      </c>
      <c r="E13" s="112">
        <f t="shared" si="0"/>
        <v>204.05</v>
      </c>
      <c r="F13" s="112">
        <f t="shared" si="1"/>
        <v>263.40999999999997</v>
      </c>
      <c r="G13" s="112">
        <f t="shared" si="2"/>
        <v>307.93</v>
      </c>
    </row>
    <row r="14" spans="1:7" x14ac:dyDescent="0.2">
      <c r="A14" s="101">
        <v>260113</v>
      </c>
      <c r="B14" s="102" t="s">
        <v>165</v>
      </c>
      <c r="C14" s="103" t="s">
        <v>166</v>
      </c>
      <c r="D14" s="103">
        <v>191</v>
      </c>
      <c r="E14" s="112">
        <f t="shared" si="0"/>
        <v>105.05000000000001</v>
      </c>
      <c r="F14" s="112">
        <f t="shared" si="1"/>
        <v>135.60999999999999</v>
      </c>
      <c r="G14" s="112">
        <f t="shared" si="2"/>
        <v>158.53</v>
      </c>
    </row>
    <row r="15" spans="1:7" x14ac:dyDescent="0.2">
      <c r="A15" s="101">
        <v>260115</v>
      </c>
      <c r="B15" s="102" t="s">
        <v>167</v>
      </c>
      <c r="C15" s="103" t="s">
        <v>168</v>
      </c>
      <c r="D15" s="103">
        <v>237</v>
      </c>
      <c r="E15" s="112">
        <f t="shared" si="0"/>
        <v>130.35000000000002</v>
      </c>
      <c r="F15" s="112">
        <f t="shared" si="1"/>
        <v>168.26999999999998</v>
      </c>
      <c r="G15" s="112">
        <f t="shared" si="2"/>
        <v>196.70999999999998</v>
      </c>
    </row>
    <row r="16" spans="1:7" x14ac:dyDescent="0.2">
      <c r="A16" s="101">
        <v>260116</v>
      </c>
      <c r="B16" s="102" t="s">
        <v>169</v>
      </c>
      <c r="C16" s="103" t="s">
        <v>170</v>
      </c>
      <c r="D16" s="103">
        <v>228</v>
      </c>
      <c r="E16" s="112">
        <f t="shared" si="0"/>
        <v>125.4</v>
      </c>
      <c r="F16" s="112">
        <f t="shared" si="1"/>
        <v>161.88</v>
      </c>
      <c r="G16" s="112">
        <f t="shared" si="2"/>
        <v>189.23999999999998</v>
      </c>
    </row>
    <row r="17" spans="1:7" x14ac:dyDescent="0.2">
      <c r="A17" s="101">
        <v>260117</v>
      </c>
      <c r="B17" s="102" t="s">
        <v>171</v>
      </c>
      <c r="C17" s="103" t="s">
        <v>172</v>
      </c>
      <c r="D17" s="103">
        <v>350</v>
      </c>
      <c r="E17" s="112">
        <f t="shared" si="0"/>
        <v>192.50000000000003</v>
      </c>
      <c r="F17" s="112">
        <f t="shared" si="1"/>
        <v>248.5</v>
      </c>
      <c r="G17" s="112">
        <f t="shared" si="2"/>
        <v>290.5</v>
      </c>
    </row>
    <row r="18" spans="1:7" ht="63.75" x14ac:dyDescent="0.2">
      <c r="A18" s="101">
        <v>260118</v>
      </c>
      <c r="B18" s="102" t="s">
        <v>173</v>
      </c>
      <c r="C18" s="95" t="s">
        <v>174</v>
      </c>
      <c r="D18" s="103">
        <v>170</v>
      </c>
      <c r="E18" s="112">
        <f t="shared" si="0"/>
        <v>93.500000000000014</v>
      </c>
      <c r="F18" s="112">
        <f t="shared" si="1"/>
        <v>120.69999999999999</v>
      </c>
      <c r="G18" s="112">
        <f t="shared" si="2"/>
        <v>141.1</v>
      </c>
    </row>
    <row r="19" spans="1:7" x14ac:dyDescent="0.2">
      <c r="A19" s="101">
        <v>260119</v>
      </c>
      <c r="B19" s="102" t="s">
        <v>175</v>
      </c>
      <c r="C19" s="103" t="s">
        <v>176</v>
      </c>
      <c r="D19" s="103">
        <v>263</v>
      </c>
      <c r="E19" s="112">
        <f t="shared" si="0"/>
        <v>144.65</v>
      </c>
      <c r="F19" s="112">
        <f t="shared" si="1"/>
        <v>186.73</v>
      </c>
      <c r="G19" s="112">
        <f t="shared" si="2"/>
        <v>218.29</v>
      </c>
    </row>
    <row r="20" spans="1:7" x14ac:dyDescent="0.2">
      <c r="A20" s="101">
        <v>260120</v>
      </c>
      <c r="B20" s="102" t="s">
        <v>177</v>
      </c>
      <c r="C20" s="103" t="s">
        <v>178</v>
      </c>
      <c r="D20" s="103" t="s">
        <v>179</v>
      </c>
      <c r="E20" s="112" t="e">
        <f t="shared" si="0"/>
        <v>#VALUE!</v>
      </c>
      <c r="F20" s="112" t="e">
        <f t="shared" si="1"/>
        <v>#VALUE!</v>
      </c>
      <c r="G20" s="112" t="e">
        <f t="shared" si="2"/>
        <v>#VALUE!</v>
      </c>
    </row>
    <row r="21" spans="1:7" x14ac:dyDescent="0.2">
      <c r="A21" s="101">
        <v>260122</v>
      </c>
      <c r="B21" s="102" t="s">
        <v>180</v>
      </c>
      <c r="C21" s="103" t="s">
        <v>181</v>
      </c>
      <c r="D21" s="103">
        <v>214</v>
      </c>
      <c r="E21" s="112">
        <f t="shared" si="0"/>
        <v>117.7</v>
      </c>
      <c r="F21" s="112">
        <f t="shared" si="1"/>
        <v>151.94</v>
      </c>
      <c r="G21" s="112">
        <f t="shared" si="2"/>
        <v>177.62</v>
      </c>
    </row>
    <row r="22" spans="1:7" x14ac:dyDescent="0.2">
      <c r="A22" s="101">
        <v>260123</v>
      </c>
      <c r="B22" s="102" t="s">
        <v>182</v>
      </c>
      <c r="C22" s="103" t="s">
        <v>183</v>
      </c>
      <c r="D22" s="103">
        <v>282</v>
      </c>
      <c r="E22" s="112">
        <f t="shared" si="0"/>
        <v>155.10000000000002</v>
      </c>
      <c r="F22" s="112">
        <f t="shared" si="1"/>
        <v>200.22</v>
      </c>
      <c r="G22" s="112">
        <f t="shared" si="2"/>
        <v>234.06</v>
      </c>
    </row>
    <row r="23" spans="1:7" x14ac:dyDescent="0.2">
      <c r="A23" s="101">
        <v>260124</v>
      </c>
      <c r="B23" s="102" t="s">
        <v>184</v>
      </c>
      <c r="C23" s="103" t="s">
        <v>185</v>
      </c>
      <c r="D23" s="103">
        <v>165</v>
      </c>
      <c r="E23" s="112">
        <f t="shared" si="0"/>
        <v>90.750000000000014</v>
      </c>
      <c r="F23" s="112">
        <f t="shared" si="1"/>
        <v>117.14999999999999</v>
      </c>
      <c r="G23" s="112">
        <f t="shared" si="2"/>
        <v>136.94999999999999</v>
      </c>
    </row>
    <row r="24" spans="1:7" x14ac:dyDescent="0.2">
      <c r="A24" s="101">
        <v>260125</v>
      </c>
      <c r="B24" s="102" t="s">
        <v>189</v>
      </c>
      <c r="C24" s="103" t="s">
        <v>190</v>
      </c>
      <c r="D24" s="103">
        <v>176</v>
      </c>
      <c r="E24" s="112">
        <f t="shared" si="0"/>
        <v>96.800000000000011</v>
      </c>
      <c r="F24" s="112">
        <f t="shared" si="1"/>
        <v>124.96</v>
      </c>
      <c r="G24" s="112">
        <f t="shared" si="2"/>
        <v>146.07999999999998</v>
      </c>
    </row>
    <row r="25" spans="1:7" x14ac:dyDescent="0.2">
      <c r="A25" s="101">
        <v>260127</v>
      </c>
      <c r="B25" s="102" t="s">
        <v>191</v>
      </c>
      <c r="C25" s="103" t="s">
        <v>192</v>
      </c>
      <c r="D25" s="103">
        <v>620</v>
      </c>
      <c r="E25" s="112">
        <f t="shared" si="0"/>
        <v>341</v>
      </c>
      <c r="F25" s="112">
        <f t="shared" si="1"/>
        <v>440.2</v>
      </c>
      <c r="G25" s="112">
        <f t="shared" si="2"/>
        <v>514.6</v>
      </c>
    </row>
    <row r="26" spans="1:7" x14ac:dyDescent="0.2">
      <c r="A26" s="101">
        <v>260128</v>
      </c>
      <c r="B26" s="102" t="s">
        <v>193</v>
      </c>
      <c r="C26" s="103" t="s">
        <v>194</v>
      </c>
      <c r="D26" s="103" t="s">
        <v>179</v>
      </c>
      <c r="E26" s="112" t="e">
        <f t="shared" si="0"/>
        <v>#VALUE!</v>
      </c>
      <c r="F26" s="112" t="e">
        <f t="shared" si="1"/>
        <v>#VALUE!</v>
      </c>
      <c r="G26" s="112" t="e">
        <f t="shared" si="2"/>
        <v>#VALUE!</v>
      </c>
    </row>
    <row r="27" spans="1:7" x14ac:dyDescent="0.2">
      <c r="A27" s="101">
        <v>260129</v>
      </c>
      <c r="B27" s="102" t="s">
        <v>195</v>
      </c>
      <c r="C27" s="103" t="s">
        <v>183</v>
      </c>
      <c r="D27" s="103">
        <v>282</v>
      </c>
      <c r="E27" s="112">
        <f t="shared" si="0"/>
        <v>155.10000000000002</v>
      </c>
      <c r="F27" s="112">
        <f t="shared" si="1"/>
        <v>200.22</v>
      </c>
      <c r="G27" s="112">
        <f t="shared" si="2"/>
        <v>234.06</v>
      </c>
    </row>
    <row r="28" spans="1:7" x14ac:dyDescent="0.2">
      <c r="A28" s="101">
        <v>260130</v>
      </c>
      <c r="B28" s="102" t="s">
        <v>196</v>
      </c>
      <c r="C28" s="103" t="s">
        <v>197</v>
      </c>
      <c r="D28" s="103">
        <v>141</v>
      </c>
      <c r="E28" s="112">
        <f t="shared" si="0"/>
        <v>77.550000000000011</v>
      </c>
      <c r="F28" s="112">
        <f t="shared" si="1"/>
        <v>100.11</v>
      </c>
      <c r="G28" s="112">
        <f t="shared" si="2"/>
        <v>117.03</v>
      </c>
    </row>
    <row r="29" spans="1:7" x14ac:dyDescent="0.2">
      <c r="A29" s="101">
        <v>260131</v>
      </c>
      <c r="B29" s="102" t="s">
        <v>198</v>
      </c>
      <c r="C29" s="103" t="s">
        <v>199</v>
      </c>
      <c r="D29" s="103">
        <v>136</v>
      </c>
      <c r="E29" s="112">
        <f t="shared" si="0"/>
        <v>74.800000000000011</v>
      </c>
      <c r="F29" s="112">
        <f t="shared" si="1"/>
        <v>96.56</v>
      </c>
      <c r="G29" s="112">
        <f t="shared" si="2"/>
        <v>112.88</v>
      </c>
    </row>
    <row r="30" spans="1:7" x14ac:dyDescent="0.2">
      <c r="A30" s="101">
        <v>260132</v>
      </c>
      <c r="B30" s="102" t="s">
        <v>200</v>
      </c>
      <c r="C30" s="103" t="s">
        <v>201</v>
      </c>
      <c r="D30" s="103">
        <v>238</v>
      </c>
      <c r="E30" s="112">
        <f t="shared" si="0"/>
        <v>130.9</v>
      </c>
      <c r="F30" s="112">
        <f t="shared" si="1"/>
        <v>168.98</v>
      </c>
      <c r="G30" s="112">
        <f t="shared" si="2"/>
        <v>197.54</v>
      </c>
    </row>
    <row r="31" spans="1:7" x14ac:dyDescent="0.2">
      <c r="A31" s="101">
        <v>260133</v>
      </c>
      <c r="B31" s="102" t="s">
        <v>202</v>
      </c>
      <c r="C31" s="103" t="s">
        <v>203</v>
      </c>
      <c r="D31" s="103">
        <v>166</v>
      </c>
      <c r="E31" s="112">
        <f t="shared" si="0"/>
        <v>91.300000000000011</v>
      </c>
      <c r="F31" s="112">
        <f t="shared" si="1"/>
        <v>117.86</v>
      </c>
      <c r="G31" s="112">
        <f t="shared" si="2"/>
        <v>137.78</v>
      </c>
    </row>
    <row r="32" spans="1:7" x14ac:dyDescent="0.2">
      <c r="A32" s="101">
        <v>260134</v>
      </c>
      <c r="B32" s="102" t="s">
        <v>204</v>
      </c>
      <c r="C32" s="103" t="s">
        <v>205</v>
      </c>
      <c r="D32" s="103">
        <v>66</v>
      </c>
      <c r="E32" s="112">
        <f t="shared" si="0"/>
        <v>36.300000000000004</v>
      </c>
      <c r="F32" s="112">
        <f t="shared" si="1"/>
        <v>46.86</v>
      </c>
      <c r="G32" s="112">
        <f t="shared" si="2"/>
        <v>54.779999999999994</v>
      </c>
    </row>
    <row r="33" spans="1:7" x14ac:dyDescent="0.2">
      <c r="A33" s="101">
        <v>260135</v>
      </c>
      <c r="B33" s="102" t="s">
        <v>206</v>
      </c>
      <c r="C33" s="103" t="s">
        <v>207</v>
      </c>
      <c r="D33" s="103">
        <v>141</v>
      </c>
      <c r="E33" s="112">
        <f t="shared" si="0"/>
        <v>77.550000000000011</v>
      </c>
      <c r="F33" s="112">
        <f t="shared" si="1"/>
        <v>100.11</v>
      </c>
      <c r="G33" s="112">
        <f t="shared" si="2"/>
        <v>117.03</v>
      </c>
    </row>
    <row r="34" spans="1:7" x14ac:dyDescent="0.2">
      <c r="A34" s="101">
        <v>260136</v>
      </c>
      <c r="B34" s="102" t="s">
        <v>208</v>
      </c>
      <c r="C34" s="103" t="s">
        <v>209</v>
      </c>
      <c r="D34" s="103">
        <v>283</v>
      </c>
      <c r="E34" s="112">
        <f t="shared" si="0"/>
        <v>155.65</v>
      </c>
      <c r="F34" s="112">
        <f t="shared" si="1"/>
        <v>200.92999999999998</v>
      </c>
      <c r="G34" s="112">
        <f t="shared" si="2"/>
        <v>234.89</v>
      </c>
    </row>
    <row r="35" spans="1:7" x14ac:dyDescent="0.2">
      <c r="A35" s="101">
        <v>260137</v>
      </c>
      <c r="B35" s="102" t="s">
        <v>210</v>
      </c>
      <c r="C35" s="103" t="s">
        <v>211</v>
      </c>
      <c r="D35" s="103">
        <v>113</v>
      </c>
      <c r="E35" s="112">
        <f t="shared" si="0"/>
        <v>62.150000000000006</v>
      </c>
      <c r="F35" s="112">
        <f t="shared" si="1"/>
        <v>80.22999999999999</v>
      </c>
      <c r="G35" s="112">
        <f t="shared" si="2"/>
        <v>93.789999999999992</v>
      </c>
    </row>
    <row r="36" spans="1:7" x14ac:dyDescent="0.2">
      <c r="A36" s="101">
        <v>260138</v>
      </c>
      <c r="B36" s="102" t="s">
        <v>212</v>
      </c>
      <c r="C36" s="103" t="s">
        <v>213</v>
      </c>
      <c r="D36" s="103">
        <v>181</v>
      </c>
      <c r="E36" s="112">
        <f t="shared" si="0"/>
        <v>99.550000000000011</v>
      </c>
      <c r="F36" s="112">
        <f t="shared" si="1"/>
        <v>128.51</v>
      </c>
      <c r="G36" s="112">
        <f t="shared" si="2"/>
        <v>150.22999999999999</v>
      </c>
    </row>
    <row r="37" spans="1:7" x14ac:dyDescent="0.2">
      <c r="A37" s="101"/>
      <c r="B37" s="102"/>
      <c r="C37" s="103" t="s">
        <v>214</v>
      </c>
      <c r="D37" s="103">
        <v>269</v>
      </c>
      <c r="E37" s="112">
        <f t="shared" si="0"/>
        <v>147.95000000000002</v>
      </c>
      <c r="F37" s="112">
        <f t="shared" si="1"/>
        <v>190.98999999999998</v>
      </c>
      <c r="G37" s="112">
        <f t="shared" si="2"/>
        <v>223.26999999999998</v>
      </c>
    </row>
    <row r="38" spans="1:7" x14ac:dyDescent="0.2">
      <c r="A38" s="101">
        <v>260140</v>
      </c>
      <c r="B38" s="102" t="s">
        <v>215</v>
      </c>
      <c r="C38" s="103" t="s">
        <v>216</v>
      </c>
      <c r="D38" s="103">
        <v>225</v>
      </c>
      <c r="E38" s="112">
        <f t="shared" si="0"/>
        <v>123.75000000000001</v>
      </c>
      <c r="F38" s="112">
        <f t="shared" si="1"/>
        <v>159.75</v>
      </c>
      <c r="G38" s="112">
        <f t="shared" si="2"/>
        <v>186.75</v>
      </c>
    </row>
    <row r="39" spans="1:7" x14ac:dyDescent="0.2">
      <c r="A39" s="101">
        <v>260141</v>
      </c>
      <c r="B39" s="102" t="s">
        <v>217</v>
      </c>
      <c r="C39" s="103" t="s">
        <v>218</v>
      </c>
      <c r="D39" s="103">
        <v>207</v>
      </c>
      <c r="E39" s="112">
        <f t="shared" si="0"/>
        <v>113.85000000000001</v>
      </c>
      <c r="F39" s="112">
        <f t="shared" si="1"/>
        <v>146.97</v>
      </c>
      <c r="G39" s="112">
        <f t="shared" si="2"/>
        <v>171.81</v>
      </c>
    </row>
    <row r="40" spans="1:7" x14ac:dyDescent="0.2">
      <c r="A40" s="101">
        <v>260142</v>
      </c>
      <c r="B40" s="102" t="s">
        <v>219</v>
      </c>
      <c r="C40" s="103" t="s">
        <v>220</v>
      </c>
      <c r="D40" s="103">
        <v>259</v>
      </c>
      <c r="E40" s="112">
        <f t="shared" si="0"/>
        <v>142.45000000000002</v>
      </c>
      <c r="F40" s="112">
        <f t="shared" si="1"/>
        <v>183.89</v>
      </c>
      <c r="G40" s="112">
        <f t="shared" si="2"/>
        <v>214.97</v>
      </c>
    </row>
    <row r="41" spans="1:7" x14ac:dyDescent="0.2">
      <c r="A41" s="101">
        <v>260143</v>
      </c>
      <c r="B41" s="102" t="s">
        <v>221</v>
      </c>
      <c r="C41" s="103" t="s">
        <v>222</v>
      </c>
      <c r="D41" s="103">
        <v>215</v>
      </c>
      <c r="E41" s="112">
        <f t="shared" si="0"/>
        <v>118.25000000000001</v>
      </c>
      <c r="F41" s="112">
        <f t="shared" si="1"/>
        <v>152.65</v>
      </c>
      <c r="G41" s="112">
        <f t="shared" si="2"/>
        <v>178.45</v>
      </c>
    </row>
    <row r="42" spans="1:7" x14ac:dyDescent="0.2">
      <c r="A42" s="101">
        <v>260144</v>
      </c>
      <c r="B42" s="102" t="s">
        <v>223</v>
      </c>
      <c r="C42" s="103" t="s">
        <v>224</v>
      </c>
      <c r="D42" s="103">
        <v>251</v>
      </c>
      <c r="E42" s="112">
        <f t="shared" si="0"/>
        <v>138.05000000000001</v>
      </c>
      <c r="F42" s="112">
        <f t="shared" si="1"/>
        <v>178.20999999999998</v>
      </c>
      <c r="G42" s="112">
        <f t="shared" si="2"/>
        <v>208.32999999999998</v>
      </c>
    </row>
    <row r="43" spans="1:7" x14ac:dyDescent="0.2">
      <c r="A43" s="101">
        <v>260145</v>
      </c>
      <c r="B43" s="102" t="s">
        <v>225</v>
      </c>
      <c r="C43" s="103" t="s">
        <v>226</v>
      </c>
      <c r="D43" s="103">
        <v>230</v>
      </c>
      <c r="E43" s="112">
        <f t="shared" si="0"/>
        <v>126.50000000000001</v>
      </c>
      <c r="F43" s="112">
        <f t="shared" si="1"/>
        <v>163.29999999999998</v>
      </c>
      <c r="G43" s="112">
        <f t="shared" si="2"/>
        <v>190.89999999999998</v>
      </c>
    </row>
    <row r="44" spans="1:7" x14ac:dyDescent="0.2">
      <c r="A44" s="101">
        <v>260146</v>
      </c>
      <c r="B44" s="102" t="s">
        <v>227</v>
      </c>
      <c r="C44" s="103" t="s">
        <v>228</v>
      </c>
      <c r="D44" s="103">
        <v>261</v>
      </c>
      <c r="E44" s="112">
        <f t="shared" si="0"/>
        <v>143.55000000000001</v>
      </c>
      <c r="F44" s="112">
        <f t="shared" si="1"/>
        <v>185.31</v>
      </c>
      <c r="G44" s="112">
        <f t="shared" si="2"/>
        <v>216.63</v>
      </c>
    </row>
    <row r="45" spans="1:7" x14ac:dyDescent="0.2">
      <c r="A45" s="101">
        <v>260147</v>
      </c>
      <c r="B45" s="102" t="s">
        <v>229</v>
      </c>
      <c r="C45" s="103" t="s">
        <v>230</v>
      </c>
      <c r="D45" s="103">
        <v>90</v>
      </c>
      <c r="E45" s="112">
        <f t="shared" si="0"/>
        <v>49.500000000000007</v>
      </c>
      <c r="F45" s="112">
        <f t="shared" si="1"/>
        <v>63.9</v>
      </c>
      <c r="G45" s="112">
        <f t="shared" si="2"/>
        <v>74.7</v>
      </c>
    </row>
    <row r="46" spans="1:7" x14ac:dyDescent="0.2">
      <c r="A46" s="101">
        <v>260149</v>
      </c>
      <c r="B46" s="102" t="s">
        <v>231</v>
      </c>
      <c r="C46" s="103" t="s">
        <v>232</v>
      </c>
      <c r="D46" s="103">
        <v>212</v>
      </c>
      <c r="E46" s="112">
        <f t="shared" si="0"/>
        <v>116.60000000000001</v>
      </c>
      <c r="F46" s="112">
        <f t="shared" si="1"/>
        <v>150.51999999999998</v>
      </c>
      <c r="G46" s="112">
        <f t="shared" si="2"/>
        <v>175.95999999999998</v>
      </c>
    </row>
    <row r="47" spans="1:7" x14ac:dyDescent="0.2">
      <c r="A47" s="101">
        <v>260150</v>
      </c>
      <c r="B47" s="102" t="s">
        <v>233</v>
      </c>
      <c r="C47" s="103" t="s">
        <v>234</v>
      </c>
      <c r="D47" s="103">
        <v>165</v>
      </c>
      <c r="E47" s="112">
        <f t="shared" si="0"/>
        <v>90.750000000000014</v>
      </c>
      <c r="F47" s="112">
        <f t="shared" si="1"/>
        <v>117.14999999999999</v>
      </c>
      <c r="G47" s="112">
        <f t="shared" si="2"/>
        <v>136.94999999999999</v>
      </c>
    </row>
    <row r="48" spans="1:7" x14ac:dyDescent="0.2">
      <c r="A48" s="101">
        <v>260304</v>
      </c>
      <c r="B48" s="102" t="s">
        <v>235</v>
      </c>
      <c r="C48" s="103" t="s">
        <v>236</v>
      </c>
      <c r="D48" s="103" t="s">
        <v>179</v>
      </c>
      <c r="E48" s="112" t="e">
        <f t="shared" si="0"/>
        <v>#VALUE!</v>
      </c>
      <c r="F48" s="112" t="e">
        <f t="shared" si="1"/>
        <v>#VALUE!</v>
      </c>
      <c r="G48" s="112" t="e">
        <f t="shared" si="2"/>
        <v>#VALUE!</v>
      </c>
    </row>
    <row r="49" spans="1:7" x14ac:dyDescent="0.2">
      <c r="A49" s="101">
        <v>260502</v>
      </c>
      <c r="B49" s="102" t="s">
        <v>237</v>
      </c>
      <c r="C49" s="103" t="s">
        <v>238</v>
      </c>
      <c r="D49" s="103">
        <v>69</v>
      </c>
      <c r="E49" s="112">
        <f t="shared" si="0"/>
        <v>37.950000000000003</v>
      </c>
      <c r="F49" s="112">
        <f t="shared" si="1"/>
        <v>48.989999999999995</v>
      </c>
      <c r="G49" s="112">
        <f t="shared" si="2"/>
        <v>57.269999999999996</v>
      </c>
    </row>
    <row r="50" spans="1:7" x14ac:dyDescent="0.2">
      <c r="A50" s="101">
        <v>260801</v>
      </c>
      <c r="B50" s="102" t="s">
        <v>239</v>
      </c>
      <c r="C50" s="103" t="s">
        <v>240</v>
      </c>
      <c r="D50" s="103">
        <v>137</v>
      </c>
      <c r="E50" s="112">
        <f t="shared" si="0"/>
        <v>75.350000000000009</v>
      </c>
      <c r="F50" s="112">
        <f t="shared" si="1"/>
        <v>97.27</v>
      </c>
      <c r="G50" s="112">
        <f t="shared" si="2"/>
        <v>113.71</v>
      </c>
    </row>
    <row r="51" spans="1:7" x14ac:dyDescent="0.2">
      <c r="A51" s="101">
        <v>260804</v>
      </c>
      <c r="B51" s="102" t="s">
        <v>241</v>
      </c>
      <c r="C51" s="103" t="s">
        <v>242</v>
      </c>
      <c r="D51" s="103">
        <v>310</v>
      </c>
      <c r="E51" s="112">
        <f t="shared" si="0"/>
        <v>170.5</v>
      </c>
      <c r="F51" s="112">
        <f t="shared" si="1"/>
        <v>220.1</v>
      </c>
      <c r="G51" s="112">
        <f t="shared" si="2"/>
        <v>257.3</v>
      </c>
    </row>
    <row r="52" spans="1:7" x14ac:dyDescent="0.2">
      <c r="A52" s="101">
        <v>260809</v>
      </c>
      <c r="B52" s="102" t="s">
        <v>243</v>
      </c>
      <c r="C52" s="103" t="s">
        <v>244</v>
      </c>
      <c r="D52" s="103">
        <v>353</v>
      </c>
      <c r="E52" s="112">
        <f t="shared" si="0"/>
        <v>194.15</v>
      </c>
      <c r="F52" s="112">
        <f t="shared" si="1"/>
        <v>250.63</v>
      </c>
      <c r="G52" s="112">
        <f t="shared" si="2"/>
        <v>292.99</v>
      </c>
    </row>
    <row r="53" spans="1:7" x14ac:dyDescent="0.2">
      <c r="A53" s="101">
        <v>260810</v>
      </c>
      <c r="B53" s="102" t="s">
        <v>245</v>
      </c>
      <c r="C53" s="103" t="s">
        <v>246</v>
      </c>
      <c r="D53" s="103">
        <v>38</v>
      </c>
      <c r="E53" s="112">
        <f t="shared" si="0"/>
        <v>20.900000000000002</v>
      </c>
      <c r="F53" s="112">
        <f t="shared" si="1"/>
        <v>26.979999999999997</v>
      </c>
      <c r="G53" s="112">
        <f t="shared" si="2"/>
        <v>31.54</v>
      </c>
    </row>
    <row r="54" spans="1:7" x14ac:dyDescent="0.2">
      <c r="A54" s="101">
        <v>260826</v>
      </c>
      <c r="B54" s="102" t="s">
        <v>247</v>
      </c>
      <c r="C54" s="103" t="s">
        <v>248</v>
      </c>
      <c r="D54" s="103">
        <v>106</v>
      </c>
      <c r="E54" s="112">
        <f t="shared" si="0"/>
        <v>58.300000000000004</v>
      </c>
      <c r="F54" s="112">
        <f t="shared" si="1"/>
        <v>75.259999999999991</v>
      </c>
      <c r="G54" s="112">
        <f t="shared" si="2"/>
        <v>87.97999999999999</v>
      </c>
    </row>
    <row r="55" spans="1:7" x14ac:dyDescent="0.2">
      <c r="A55" s="101">
        <v>260828</v>
      </c>
      <c r="B55" s="102" t="s">
        <v>249</v>
      </c>
      <c r="C55" s="103" t="s">
        <v>250</v>
      </c>
      <c r="D55" s="103">
        <v>167</v>
      </c>
      <c r="E55" s="112">
        <f t="shared" si="0"/>
        <v>91.850000000000009</v>
      </c>
      <c r="F55" s="112">
        <f t="shared" si="1"/>
        <v>118.57</v>
      </c>
      <c r="G55" s="112">
        <f t="shared" si="2"/>
        <v>138.60999999999999</v>
      </c>
    </row>
    <row r="56" spans="1:7" x14ac:dyDescent="0.2">
      <c r="A56" s="101">
        <v>260505</v>
      </c>
      <c r="B56" s="102" t="s">
        <v>251</v>
      </c>
      <c r="C56" s="103" t="s">
        <v>252</v>
      </c>
      <c r="D56" s="103">
        <v>178</v>
      </c>
      <c r="E56" s="112">
        <f t="shared" si="0"/>
        <v>97.9</v>
      </c>
      <c r="F56" s="112">
        <f t="shared" si="1"/>
        <v>126.38</v>
      </c>
      <c r="G56" s="112">
        <f t="shared" si="2"/>
        <v>147.73999999999998</v>
      </c>
    </row>
    <row r="57" spans="1:7" x14ac:dyDescent="0.2">
      <c r="A57" s="101">
        <v>260807</v>
      </c>
      <c r="B57" s="102" t="s">
        <v>253</v>
      </c>
      <c r="C57" s="103" t="s">
        <v>254</v>
      </c>
      <c r="D57" s="103">
        <v>85</v>
      </c>
      <c r="E57" s="112">
        <f t="shared" si="0"/>
        <v>46.750000000000007</v>
      </c>
      <c r="F57" s="112">
        <f t="shared" si="1"/>
        <v>60.349999999999994</v>
      </c>
      <c r="G57" s="112">
        <f t="shared" si="2"/>
        <v>70.55</v>
      </c>
    </row>
    <row r="58" spans="1:7" ht="15.75" x14ac:dyDescent="0.2">
      <c r="A58" s="104"/>
      <c r="B58" s="105"/>
      <c r="C58" s="106" t="s">
        <v>255</v>
      </c>
      <c r="D58" s="103">
        <v>330</v>
      </c>
      <c r="E58" s="112">
        <f t="shared" si="0"/>
        <v>181.50000000000003</v>
      </c>
      <c r="F58" s="112">
        <f t="shared" si="1"/>
        <v>234.29999999999998</v>
      </c>
      <c r="G58" s="112">
        <f t="shared" si="2"/>
        <v>273.89999999999998</v>
      </c>
    </row>
    <row r="59" spans="1:7" ht="15.75" x14ac:dyDescent="0.2">
      <c r="A59" s="107"/>
      <c r="B59" s="105"/>
      <c r="C59" s="106" t="s">
        <v>256</v>
      </c>
      <c r="D59" s="103">
        <v>266</v>
      </c>
      <c r="E59" s="112">
        <f t="shared" si="0"/>
        <v>146.30000000000001</v>
      </c>
      <c r="F59" s="112">
        <f t="shared" si="1"/>
        <v>188.85999999999999</v>
      </c>
      <c r="G59" s="112">
        <f t="shared" si="2"/>
        <v>220.78</v>
      </c>
    </row>
    <row r="60" spans="1:7" ht="15.75" x14ac:dyDescent="0.2">
      <c r="A60" s="107"/>
      <c r="B60" s="105"/>
      <c r="C60" s="106" t="s">
        <v>257</v>
      </c>
      <c r="D60" s="103">
        <v>236</v>
      </c>
      <c r="E60" s="112">
        <f t="shared" si="0"/>
        <v>129.80000000000001</v>
      </c>
      <c r="F60" s="112">
        <f t="shared" si="1"/>
        <v>167.56</v>
      </c>
      <c r="G60" s="112">
        <f t="shared" si="2"/>
        <v>195.88</v>
      </c>
    </row>
    <row r="61" spans="1:7" ht="15.75" x14ac:dyDescent="0.2">
      <c r="A61" s="107"/>
      <c r="B61" s="105"/>
      <c r="C61" s="106" t="s">
        <v>258</v>
      </c>
      <c r="D61" s="103">
        <v>291</v>
      </c>
      <c r="E61" s="112">
        <f t="shared" si="0"/>
        <v>160.05000000000001</v>
      </c>
      <c r="F61" s="112">
        <f t="shared" si="1"/>
        <v>206.60999999999999</v>
      </c>
      <c r="G61" s="112">
        <f t="shared" si="2"/>
        <v>241.53</v>
      </c>
    </row>
    <row r="62" spans="1:7" ht="15.75" x14ac:dyDescent="0.2">
      <c r="A62" s="107"/>
      <c r="B62" s="105"/>
      <c r="C62" s="106" t="s">
        <v>259</v>
      </c>
      <c r="D62" s="103">
        <v>262</v>
      </c>
      <c r="E62" s="112">
        <f t="shared" si="0"/>
        <v>144.10000000000002</v>
      </c>
      <c r="F62" s="112">
        <f t="shared" si="1"/>
        <v>186.01999999999998</v>
      </c>
      <c r="G62" s="112">
        <f t="shared" si="2"/>
        <v>217.45999999999998</v>
      </c>
    </row>
    <row r="63" spans="1:7" ht="15.75" x14ac:dyDescent="0.2">
      <c r="A63" s="107"/>
      <c r="B63" s="105"/>
      <c r="C63" s="106" t="s">
        <v>260</v>
      </c>
      <c r="D63" s="103">
        <v>261</v>
      </c>
      <c r="E63" s="112">
        <f t="shared" si="0"/>
        <v>143.55000000000001</v>
      </c>
      <c r="F63" s="112">
        <f t="shared" si="1"/>
        <v>185.31</v>
      </c>
      <c r="G63" s="112">
        <f t="shared" si="2"/>
        <v>216.63</v>
      </c>
    </row>
    <row r="64" spans="1:7" ht="15.75" x14ac:dyDescent="0.2">
      <c r="A64" s="107"/>
      <c r="B64" s="105"/>
      <c r="C64" s="106" t="s">
        <v>261</v>
      </c>
      <c r="D64" s="103">
        <v>134</v>
      </c>
      <c r="E64" s="112">
        <f t="shared" si="0"/>
        <v>73.7</v>
      </c>
      <c r="F64" s="112">
        <f t="shared" si="1"/>
        <v>95.14</v>
      </c>
      <c r="G64" s="112">
        <f t="shared" si="2"/>
        <v>111.22</v>
      </c>
    </row>
    <row r="65" spans="1:7" ht="15.75" x14ac:dyDescent="0.2">
      <c r="A65" s="107"/>
      <c r="B65" s="105"/>
      <c r="C65" s="106" t="s">
        <v>262</v>
      </c>
      <c r="D65" s="103">
        <v>70</v>
      </c>
      <c r="E65" s="112">
        <f t="shared" si="0"/>
        <v>38.5</v>
      </c>
      <c r="F65" s="112">
        <f t="shared" si="1"/>
        <v>49.699999999999996</v>
      </c>
      <c r="G65" s="112">
        <f t="shared" si="2"/>
        <v>58.099999999999994</v>
      </c>
    </row>
    <row r="66" spans="1:7" ht="15.75" x14ac:dyDescent="0.2">
      <c r="A66" s="107"/>
      <c r="B66" s="105"/>
      <c r="C66" s="106" t="s">
        <v>263</v>
      </c>
      <c r="D66" s="103">
        <v>204</v>
      </c>
      <c r="E66" s="112">
        <f t="shared" si="0"/>
        <v>112.2</v>
      </c>
      <c r="F66" s="112">
        <f t="shared" si="1"/>
        <v>144.84</v>
      </c>
      <c r="G66" s="112">
        <f t="shared" si="2"/>
        <v>169.32</v>
      </c>
    </row>
    <row r="67" spans="1:7" ht="15.75" x14ac:dyDescent="0.2">
      <c r="A67" s="107"/>
      <c r="B67" s="105"/>
      <c r="C67" s="106" t="s">
        <v>264</v>
      </c>
      <c r="D67" s="103">
        <v>176</v>
      </c>
      <c r="E67" s="112">
        <f t="shared" si="0"/>
        <v>96.800000000000011</v>
      </c>
      <c r="F67" s="112">
        <f t="shared" si="1"/>
        <v>124.96</v>
      </c>
      <c r="G67" s="112">
        <f t="shared" si="2"/>
        <v>146.07999999999998</v>
      </c>
    </row>
    <row r="68" spans="1:7" ht="15.75" x14ac:dyDescent="0.2">
      <c r="A68" s="107"/>
      <c r="B68" s="105"/>
      <c r="C68" s="106" t="s">
        <v>265</v>
      </c>
      <c r="D68" s="103">
        <v>130</v>
      </c>
      <c r="E68" s="112">
        <f t="shared" si="0"/>
        <v>71.5</v>
      </c>
      <c r="F68" s="112">
        <f t="shared" si="1"/>
        <v>92.3</v>
      </c>
      <c r="G68" s="112">
        <f t="shared" si="2"/>
        <v>107.89999999999999</v>
      </c>
    </row>
    <row r="69" spans="1:7" ht="15.75" x14ac:dyDescent="0.2">
      <c r="A69" s="107"/>
      <c r="B69" s="105"/>
      <c r="C69" s="106" t="s">
        <v>266</v>
      </c>
      <c r="D69" s="103">
        <v>278</v>
      </c>
      <c r="E69" s="112">
        <f t="shared" si="0"/>
        <v>152.9</v>
      </c>
      <c r="F69" s="112">
        <f t="shared" si="1"/>
        <v>197.38</v>
      </c>
      <c r="G69" s="112">
        <f t="shared" si="2"/>
        <v>230.73999999999998</v>
      </c>
    </row>
    <row r="70" spans="1:7" ht="15.75" x14ac:dyDescent="0.2">
      <c r="A70" s="107"/>
      <c r="B70" s="105"/>
      <c r="C70" s="106" t="s">
        <v>267</v>
      </c>
      <c r="D70" s="103">
        <v>87</v>
      </c>
      <c r="E70" s="112">
        <f t="shared" si="0"/>
        <v>47.85</v>
      </c>
      <c r="F70" s="112">
        <f t="shared" si="1"/>
        <v>61.769999999999996</v>
      </c>
      <c r="G70" s="112">
        <f t="shared" si="2"/>
        <v>72.209999999999994</v>
      </c>
    </row>
    <row r="71" spans="1:7" ht="15.75" x14ac:dyDescent="0.2">
      <c r="A71" s="107"/>
      <c r="B71" s="105"/>
      <c r="C71" s="106" t="s">
        <v>268</v>
      </c>
      <c r="D71" s="103">
        <v>151</v>
      </c>
      <c r="E71" s="112">
        <f t="shared" si="0"/>
        <v>83.050000000000011</v>
      </c>
      <c r="F71" s="112">
        <f t="shared" si="1"/>
        <v>107.21</v>
      </c>
      <c r="G71" s="112">
        <f t="shared" si="2"/>
        <v>125.33</v>
      </c>
    </row>
    <row r="72" spans="1:7" ht="15.75" x14ac:dyDescent="0.2">
      <c r="A72" s="107"/>
      <c r="B72" s="105"/>
      <c r="C72" s="106" t="s">
        <v>269</v>
      </c>
      <c r="D72" s="103">
        <v>89</v>
      </c>
      <c r="E72" s="112">
        <f t="shared" si="0"/>
        <v>48.95</v>
      </c>
      <c r="F72" s="112">
        <f t="shared" si="1"/>
        <v>63.19</v>
      </c>
      <c r="G72" s="112">
        <f t="shared" si="2"/>
        <v>73.86999999999999</v>
      </c>
    </row>
    <row r="73" spans="1:7" ht="15.75" x14ac:dyDescent="0.2">
      <c r="A73" s="107"/>
      <c r="B73" s="105"/>
      <c r="C73" s="106" t="s">
        <v>270</v>
      </c>
      <c r="D73" s="103">
        <v>216</v>
      </c>
      <c r="E73" s="112">
        <f t="shared" si="0"/>
        <v>118.80000000000001</v>
      </c>
      <c r="F73" s="112">
        <f t="shared" si="1"/>
        <v>153.35999999999999</v>
      </c>
      <c r="G73" s="112">
        <f t="shared" si="2"/>
        <v>179.28</v>
      </c>
    </row>
    <row r="74" spans="1:7" ht="15.75" x14ac:dyDescent="0.2">
      <c r="A74" s="107"/>
      <c r="B74" s="105"/>
      <c r="C74" s="106" t="s">
        <v>271</v>
      </c>
      <c r="D74" s="103">
        <v>228</v>
      </c>
      <c r="E74" s="112">
        <f t="shared" ref="E74:E137" si="3">0.55*D74</f>
        <v>125.4</v>
      </c>
      <c r="F74" s="112">
        <f t="shared" ref="F74:F137" si="4">0.71*D74</f>
        <v>161.88</v>
      </c>
      <c r="G74" s="112">
        <f t="shared" ref="G74:G137" si="5">0.83*D74</f>
        <v>189.23999999999998</v>
      </c>
    </row>
    <row r="75" spans="1:7" ht="15.75" x14ac:dyDescent="0.2">
      <c r="A75" s="107"/>
      <c r="B75" s="105"/>
      <c r="C75" s="106" t="s">
        <v>272</v>
      </c>
      <c r="D75" s="103">
        <v>141</v>
      </c>
      <c r="E75" s="112">
        <f t="shared" si="3"/>
        <v>77.550000000000011</v>
      </c>
      <c r="F75" s="112">
        <f t="shared" si="4"/>
        <v>100.11</v>
      </c>
      <c r="G75" s="112">
        <f t="shared" si="5"/>
        <v>117.03</v>
      </c>
    </row>
    <row r="76" spans="1:7" ht="15.75" x14ac:dyDescent="0.2">
      <c r="A76" s="107"/>
      <c r="B76" s="105"/>
      <c r="C76" s="106" t="s">
        <v>273</v>
      </c>
      <c r="D76" s="103">
        <v>104</v>
      </c>
      <c r="E76" s="112">
        <f t="shared" si="3"/>
        <v>57.2</v>
      </c>
      <c r="F76" s="112">
        <f t="shared" si="4"/>
        <v>73.84</v>
      </c>
      <c r="G76" s="112">
        <f t="shared" si="5"/>
        <v>86.32</v>
      </c>
    </row>
    <row r="77" spans="1:7" ht="15.75" x14ac:dyDescent="0.2">
      <c r="A77" s="107"/>
      <c r="B77" s="105"/>
      <c r="C77" s="106" t="s">
        <v>274</v>
      </c>
      <c r="D77" s="103">
        <v>125</v>
      </c>
      <c r="E77" s="112">
        <f t="shared" si="3"/>
        <v>68.75</v>
      </c>
      <c r="F77" s="112">
        <f t="shared" si="4"/>
        <v>88.75</v>
      </c>
      <c r="G77" s="112">
        <f t="shared" si="5"/>
        <v>103.75</v>
      </c>
    </row>
    <row r="78" spans="1:7" ht="15.75" x14ac:dyDescent="0.2">
      <c r="A78" s="107"/>
      <c r="B78" s="105"/>
      <c r="C78" s="106" t="s">
        <v>275</v>
      </c>
      <c r="D78" s="103">
        <v>167</v>
      </c>
      <c r="E78" s="112">
        <f t="shared" si="3"/>
        <v>91.850000000000009</v>
      </c>
      <c r="F78" s="112">
        <f t="shared" si="4"/>
        <v>118.57</v>
      </c>
      <c r="G78" s="112">
        <f t="shared" si="5"/>
        <v>138.60999999999999</v>
      </c>
    </row>
    <row r="79" spans="1:7" ht="15.75" x14ac:dyDescent="0.2">
      <c r="A79" s="107"/>
      <c r="B79" s="105"/>
      <c r="C79" s="106" t="s">
        <v>276</v>
      </c>
      <c r="D79" s="103">
        <v>205</v>
      </c>
      <c r="E79" s="112">
        <f t="shared" si="3"/>
        <v>112.75000000000001</v>
      </c>
      <c r="F79" s="112">
        <f t="shared" si="4"/>
        <v>145.54999999999998</v>
      </c>
      <c r="G79" s="112">
        <f t="shared" si="5"/>
        <v>170.15</v>
      </c>
    </row>
    <row r="80" spans="1:7" ht="15.75" x14ac:dyDescent="0.2">
      <c r="A80" s="107"/>
      <c r="B80" s="105"/>
      <c r="C80" s="106" t="s">
        <v>277</v>
      </c>
      <c r="D80" s="103">
        <v>112</v>
      </c>
      <c r="E80" s="112">
        <f t="shared" si="3"/>
        <v>61.600000000000009</v>
      </c>
      <c r="F80" s="112">
        <f t="shared" si="4"/>
        <v>79.52</v>
      </c>
      <c r="G80" s="112">
        <f t="shared" si="5"/>
        <v>92.96</v>
      </c>
    </row>
    <row r="81" spans="1:7" ht="15.75" x14ac:dyDescent="0.2">
      <c r="A81" s="107"/>
      <c r="B81" s="105"/>
      <c r="C81" s="106" t="s">
        <v>278</v>
      </c>
      <c r="D81" s="103">
        <v>70</v>
      </c>
      <c r="E81" s="112">
        <f t="shared" si="3"/>
        <v>38.5</v>
      </c>
      <c r="F81" s="112">
        <f t="shared" si="4"/>
        <v>49.699999999999996</v>
      </c>
      <c r="G81" s="112">
        <f t="shared" si="5"/>
        <v>58.099999999999994</v>
      </c>
    </row>
    <row r="82" spans="1:7" ht="15.75" x14ac:dyDescent="0.2">
      <c r="A82" s="107"/>
      <c r="B82" s="105"/>
      <c r="C82" s="106" t="s">
        <v>279</v>
      </c>
      <c r="D82" s="103">
        <v>215</v>
      </c>
      <c r="E82" s="112">
        <f t="shared" si="3"/>
        <v>118.25000000000001</v>
      </c>
      <c r="F82" s="112">
        <f t="shared" si="4"/>
        <v>152.65</v>
      </c>
      <c r="G82" s="112">
        <f t="shared" si="5"/>
        <v>178.45</v>
      </c>
    </row>
    <row r="83" spans="1:7" ht="15.75" x14ac:dyDescent="0.2">
      <c r="A83" s="107"/>
      <c r="B83" s="105"/>
      <c r="C83" s="106" t="s">
        <v>280</v>
      </c>
      <c r="D83" s="103">
        <v>228</v>
      </c>
      <c r="E83" s="112">
        <f t="shared" si="3"/>
        <v>125.4</v>
      </c>
      <c r="F83" s="112">
        <f t="shared" si="4"/>
        <v>161.88</v>
      </c>
      <c r="G83" s="112">
        <f t="shared" si="5"/>
        <v>189.23999999999998</v>
      </c>
    </row>
    <row r="84" spans="1:7" ht="15.75" x14ac:dyDescent="0.2">
      <c r="A84" s="107"/>
      <c r="B84" s="105"/>
      <c r="C84" s="106" t="s">
        <v>281</v>
      </c>
      <c r="D84" s="103">
        <v>113</v>
      </c>
      <c r="E84" s="112">
        <f t="shared" si="3"/>
        <v>62.150000000000006</v>
      </c>
      <c r="F84" s="112">
        <f t="shared" si="4"/>
        <v>80.22999999999999</v>
      </c>
      <c r="G84" s="112">
        <f t="shared" si="5"/>
        <v>93.789999999999992</v>
      </c>
    </row>
    <row r="85" spans="1:7" ht="15.75" x14ac:dyDescent="0.2">
      <c r="A85" s="107"/>
      <c r="B85" s="105"/>
      <c r="C85" s="106" t="s">
        <v>282</v>
      </c>
      <c r="D85" s="103">
        <v>64</v>
      </c>
      <c r="E85" s="112">
        <f t="shared" si="3"/>
        <v>35.200000000000003</v>
      </c>
      <c r="F85" s="112">
        <f t="shared" si="4"/>
        <v>45.44</v>
      </c>
      <c r="G85" s="112">
        <f t="shared" si="5"/>
        <v>53.12</v>
      </c>
    </row>
    <row r="86" spans="1:7" ht="15.75" x14ac:dyDescent="0.2">
      <c r="A86" s="107"/>
      <c r="B86" s="105"/>
      <c r="C86" s="106" t="s">
        <v>283</v>
      </c>
      <c r="D86" s="103">
        <v>265</v>
      </c>
      <c r="E86" s="112">
        <f t="shared" si="3"/>
        <v>145.75</v>
      </c>
      <c r="F86" s="112">
        <f t="shared" si="4"/>
        <v>188.14999999999998</v>
      </c>
      <c r="G86" s="112">
        <f t="shared" si="5"/>
        <v>219.95</v>
      </c>
    </row>
    <row r="87" spans="1:7" ht="15.75" x14ac:dyDescent="0.2">
      <c r="A87" s="107"/>
      <c r="B87" s="105"/>
      <c r="C87" s="106" t="s">
        <v>284</v>
      </c>
      <c r="D87" s="103">
        <v>133</v>
      </c>
      <c r="E87" s="112">
        <f t="shared" si="3"/>
        <v>73.150000000000006</v>
      </c>
      <c r="F87" s="112">
        <f t="shared" si="4"/>
        <v>94.429999999999993</v>
      </c>
      <c r="G87" s="112">
        <f t="shared" si="5"/>
        <v>110.39</v>
      </c>
    </row>
    <row r="88" spans="1:7" ht="15.75" x14ac:dyDescent="0.2">
      <c r="A88" s="107"/>
      <c r="B88" s="105"/>
      <c r="C88" s="106" t="s">
        <v>285</v>
      </c>
      <c r="D88" s="103">
        <v>83</v>
      </c>
      <c r="E88" s="112">
        <f t="shared" si="3"/>
        <v>45.650000000000006</v>
      </c>
      <c r="F88" s="112">
        <f t="shared" si="4"/>
        <v>58.93</v>
      </c>
      <c r="G88" s="112">
        <f t="shared" si="5"/>
        <v>68.89</v>
      </c>
    </row>
    <row r="89" spans="1:7" ht="15.75" x14ac:dyDescent="0.2">
      <c r="A89" s="107"/>
      <c r="B89" s="105"/>
      <c r="C89" s="106" t="s">
        <v>286</v>
      </c>
      <c r="D89" s="103">
        <v>178</v>
      </c>
      <c r="E89" s="112">
        <f t="shared" si="3"/>
        <v>97.9</v>
      </c>
      <c r="F89" s="112">
        <f t="shared" si="4"/>
        <v>126.38</v>
      </c>
      <c r="G89" s="112">
        <f t="shared" si="5"/>
        <v>147.73999999999998</v>
      </c>
    </row>
    <row r="90" spans="1:7" ht="15.75" x14ac:dyDescent="0.2">
      <c r="A90" s="107"/>
      <c r="B90" s="105"/>
      <c r="C90" s="106" t="s">
        <v>287</v>
      </c>
      <c r="D90" s="103">
        <v>85</v>
      </c>
      <c r="E90" s="112">
        <f t="shared" si="3"/>
        <v>46.750000000000007</v>
      </c>
      <c r="F90" s="112">
        <f t="shared" si="4"/>
        <v>60.349999999999994</v>
      </c>
      <c r="G90" s="112">
        <f t="shared" si="5"/>
        <v>70.55</v>
      </c>
    </row>
    <row r="91" spans="1:7" ht="15.75" x14ac:dyDescent="0.2">
      <c r="A91" s="107"/>
      <c r="B91" s="105"/>
      <c r="C91" s="106" t="s">
        <v>288</v>
      </c>
      <c r="D91" s="103">
        <v>126</v>
      </c>
      <c r="E91" s="112">
        <f t="shared" si="3"/>
        <v>69.300000000000011</v>
      </c>
      <c r="F91" s="112">
        <f t="shared" si="4"/>
        <v>89.46</v>
      </c>
      <c r="G91" s="112">
        <f t="shared" si="5"/>
        <v>104.58</v>
      </c>
    </row>
    <row r="92" spans="1:7" ht="15.75" x14ac:dyDescent="0.2">
      <c r="A92" s="107"/>
      <c r="B92" s="105"/>
      <c r="C92" s="106" t="s">
        <v>289</v>
      </c>
      <c r="D92" s="103">
        <v>203</v>
      </c>
      <c r="E92" s="112">
        <f t="shared" si="3"/>
        <v>111.65</v>
      </c>
      <c r="F92" s="112">
        <f t="shared" si="4"/>
        <v>144.13</v>
      </c>
      <c r="G92" s="112">
        <f t="shared" si="5"/>
        <v>168.48999999999998</v>
      </c>
    </row>
    <row r="93" spans="1:7" ht="15.75" x14ac:dyDescent="0.2">
      <c r="A93" s="107"/>
      <c r="B93" s="105"/>
      <c r="C93" s="106" t="s">
        <v>290</v>
      </c>
      <c r="D93" s="103">
        <v>233</v>
      </c>
      <c r="E93" s="112">
        <f t="shared" si="3"/>
        <v>128.15</v>
      </c>
      <c r="F93" s="112">
        <f t="shared" si="4"/>
        <v>165.42999999999998</v>
      </c>
      <c r="G93" s="112">
        <f t="shared" si="5"/>
        <v>193.39</v>
      </c>
    </row>
    <row r="94" spans="1:7" ht="15.75" x14ac:dyDescent="0.2">
      <c r="A94" s="107"/>
      <c r="B94" s="105"/>
      <c r="C94" s="106" t="s">
        <v>291</v>
      </c>
      <c r="D94" s="103">
        <v>401</v>
      </c>
      <c r="E94" s="112">
        <f t="shared" si="3"/>
        <v>220.55</v>
      </c>
      <c r="F94" s="112">
        <f t="shared" si="4"/>
        <v>284.70999999999998</v>
      </c>
      <c r="G94" s="112">
        <f t="shared" si="5"/>
        <v>332.83</v>
      </c>
    </row>
    <row r="95" spans="1:7" ht="15.75" x14ac:dyDescent="0.2">
      <c r="A95" s="107"/>
      <c r="B95" s="105"/>
      <c r="C95" s="106" t="s">
        <v>292</v>
      </c>
      <c r="D95" s="103">
        <v>263</v>
      </c>
      <c r="E95" s="112">
        <f t="shared" si="3"/>
        <v>144.65</v>
      </c>
      <c r="F95" s="112">
        <f t="shared" si="4"/>
        <v>186.73</v>
      </c>
      <c r="G95" s="112">
        <f t="shared" si="5"/>
        <v>218.29</v>
      </c>
    </row>
    <row r="96" spans="1:7" ht="15.75" x14ac:dyDescent="0.2">
      <c r="A96" s="107"/>
      <c r="B96" s="105"/>
      <c r="C96" s="106" t="s">
        <v>293</v>
      </c>
      <c r="D96" s="103">
        <v>355</v>
      </c>
      <c r="E96" s="112">
        <f t="shared" si="3"/>
        <v>195.25000000000003</v>
      </c>
      <c r="F96" s="112">
        <f t="shared" si="4"/>
        <v>252.04999999999998</v>
      </c>
      <c r="G96" s="112">
        <f t="shared" si="5"/>
        <v>294.64999999999998</v>
      </c>
    </row>
    <row r="97" spans="1:7" ht="15.75" x14ac:dyDescent="0.2">
      <c r="A97" s="107"/>
      <c r="B97" s="105"/>
      <c r="C97" s="106" t="s">
        <v>294</v>
      </c>
      <c r="D97" s="103">
        <v>344</v>
      </c>
      <c r="E97" s="112">
        <f t="shared" si="3"/>
        <v>189.20000000000002</v>
      </c>
      <c r="F97" s="112">
        <f t="shared" si="4"/>
        <v>244.23999999999998</v>
      </c>
      <c r="G97" s="112">
        <f t="shared" si="5"/>
        <v>285.52</v>
      </c>
    </row>
    <row r="98" spans="1:7" ht="15.75" x14ac:dyDescent="0.2">
      <c r="A98" s="107"/>
      <c r="B98" s="105"/>
      <c r="C98" s="106" t="s">
        <v>295</v>
      </c>
      <c r="D98" s="103">
        <v>288</v>
      </c>
      <c r="E98" s="112">
        <f t="shared" si="3"/>
        <v>158.4</v>
      </c>
      <c r="F98" s="112">
        <f t="shared" si="4"/>
        <v>204.48</v>
      </c>
      <c r="G98" s="112">
        <f t="shared" si="5"/>
        <v>239.04</v>
      </c>
    </row>
    <row r="99" spans="1:7" ht="15.75" x14ac:dyDescent="0.2">
      <c r="A99" s="107"/>
      <c r="B99" s="105"/>
      <c r="C99" s="106" t="s">
        <v>296</v>
      </c>
      <c r="D99" s="103">
        <v>239</v>
      </c>
      <c r="E99" s="112">
        <f t="shared" si="3"/>
        <v>131.45000000000002</v>
      </c>
      <c r="F99" s="112">
        <f t="shared" si="4"/>
        <v>169.69</v>
      </c>
      <c r="G99" s="112">
        <f t="shared" si="5"/>
        <v>198.37</v>
      </c>
    </row>
    <row r="100" spans="1:7" ht="15.75" x14ac:dyDescent="0.2">
      <c r="A100" s="107"/>
      <c r="B100" s="105"/>
      <c r="C100" s="106" t="s">
        <v>297</v>
      </c>
      <c r="D100" s="103">
        <v>371</v>
      </c>
      <c r="E100" s="112">
        <f t="shared" si="3"/>
        <v>204.05</v>
      </c>
      <c r="F100" s="112">
        <f t="shared" si="4"/>
        <v>263.40999999999997</v>
      </c>
      <c r="G100" s="112">
        <f t="shared" si="5"/>
        <v>307.93</v>
      </c>
    </row>
    <row r="101" spans="1:7" ht="15.75" x14ac:dyDescent="0.2">
      <c r="A101" s="107"/>
      <c r="B101" s="105"/>
      <c r="C101" s="106" t="s">
        <v>298</v>
      </c>
      <c r="D101" s="103">
        <v>151</v>
      </c>
      <c r="E101" s="112">
        <f t="shared" si="3"/>
        <v>83.050000000000011</v>
      </c>
      <c r="F101" s="112">
        <f t="shared" si="4"/>
        <v>107.21</v>
      </c>
      <c r="G101" s="112">
        <f t="shared" si="5"/>
        <v>125.33</v>
      </c>
    </row>
    <row r="102" spans="1:7" ht="15.75" x14ac:dyDescent="0.2">
      <c r="A102" s="107"/>
      <c r="B102" s="105"/>
      <c r="C102" s="106" t="s">
        <v>299</v>
      </c>
      <c r="D102" s="103">
        <v>82</v>
      </c>
      <c r="E102" s="112">
        <f t="shared" si="3"/>
        <v>45.1</v>
      </c>
      <c r="F102" s="112">
        <f t="shared" si="4"/>
        <v>58.22</v>
      </c>
      <c r="G102" s="112">
        <f t="shared" si="5"/>
        <v>68.06</v>
      </c>
    </row>
    <row r="103" spans="1:7" ht="15.75" x14ac:dyDescent="0.2">
      <c r="A103" s="107"/>
      <c r="B103" s="105"/>
      <c r="C103" s="106" t="s">
        <v>300</v>
      </c>
      <c r="D103" s="103">
        <v>15</v>
      </c>
      <c r="E103" s="112">
        <f t="shared" si="3"/>
        <v>8.25</v>
      </c>
      <c r="F103" s="112">
        <f t="shared" si="4"/>
        <v>10.649999999999999</v>
      </c>
      <c r="G103" s="112">
        <f t="shared" si="5"/>
        <v>12.45</v>
      </c>
    </row>
    <row r="104" spans="1:7" ht="15.75" x14ac:dyDescent="0.2">
      <c r="A104" s="107"/>
      <c r="B104" s="105"/>
      <c r="C104" s="106" t="s">
        <v>301</v>
      </c>
      <c r="D104" s="103">
        <v>242</v>
      </c>
      <c r="E104" s="112">
        <f t="shared" si="3"/>
        <v>133.10000000000002</v>
      </c>
      <c r="F104" s="112">
        <f t="shared" si="4"/>
        <v>171.82</v>
      </c>
      <c r="G104" s="112">
        <f t="shared" si="5"/>
        <v>200.85999999999999</v>
      </c>
    </row>
    <row r="105" spans="1:7" ht="15.75" x14ac:dyDescent="0.2">
      <c r="A105" s="107"/>
      <c r="B105" s="105"/>
      <c r="C105" s="106" t="s">
        <v>302</v>
      </c>
      <c r="D105" s="103">
        <v>138</v>
      </c>
      <c r="E105" s="112">
        <f t="shared" si="3"/>
        <v>75.900000000000006</v>
      </c>
      <c r="F105" s="112">
        <f t="shared" si="4"/>
        <v>97.97999999999999</v>
      </c>
      <c r="G105" s="112">
        <f t="shared" si="5"/>
        <v>114.53999999999999</v>
      </c>
    </row>
    <row r="106" spans="1:7" ht="15.75" x14ac:dyDescent="0.2">
      <c r="A106" s="107"/>
      <c r="B106" s="105"/>
      <c r="C106" s="106" t="s">
        <v>303</v>
      </c>
      <c r="D106" s="103">
        <v>258</v>
      </c>
      <c r="E106" s="112">
        <f t="shared" si="3"/>
        <v>141.9</v>
      </c>
      <c r="F106" s="112">
        <f t="shared" si="4"/>
        <v>183.17999999999998</v>
      </c>
      <c r="G106" s="112">
        <f t="shared" si="5"/>
        <v>214.14</v>
      </c>
    </row>
    <row r="107" spans="1:7" ht="15.75" x14ac:dyDescent="0.2">
      <c r="A107" s="107"/>
      <c r="B107" s="105"/>
      <c r="C107" s="106" t="s">
        <v>304</v>
      </c>
      <c r="D107" s="103">
        <v>172</v>
      </c>
      <c r="E107" s="112">
        <f t="shared" si="3"/>
        <v>94.600000000000009</v>
      </c>
      <c r="F107" s="112">
        <f t="shared" si="4"/>
        <v>122.11999999999999</v>
      </c>
      <c r="G107" s="112">
        <f t="shared" si="5"/>
        <v>142.76</v>
      </c>
    </row>
    <row r="108" spans="1:7" ht="15.75" x14ac:dyDescent="0.2">
      <c r="A108" s="107"/>
      <c r="B108" s="105"/>
      <c r="C108" s="106" t="s">
        <v>305</v>
      </c>
      <c r="D108" s="103">
        <v>66</v>
      </c>
      <c r="E108" s="112">
        <f t="shared" si="3"/>
        <v>36.300000000000004</v>
      </c>
      <c r="F108" s="112">
        <f t="shared" si="4"/>
        <v>46.86</v>
      </c>
      <c r="G108" s="112">
        <f t="shared" si="5"/>
        <v>54.779999999999994</v>
      </c>
    </row>
    <row r="109" spans="1:7" ht="15.75" x14ac:dyDescent="0.2">
      <c r="A109" s="107"/>
      <c r="B109" s="105"/>
      <c r="C109" s="106" t="s">
        <v>306</v>
      </c>
      <c r="D109" s="103">
        <v>202</v>
      </c>
      <c r="E109" s="112">
        <f t="shared" si="3"/>
        <v>111.10000000000001</v>
      </c>
      <c r="F109" s="112">
        <f t="shared" si="4"/>
        <v>143.41999999999999</v>
      </c>
      <c r="G109" s="112">
        <f t="shared" si="5"/>
        <v>167.66</v>
      </c>
    </row>
    <row r="110" spans="1:7" ht="15.75" x14ac:dyDescent="0.2">
      <c r="A110" s="107"/>
      <c r="B110" s="105"/>
      <c r="C110" s="106" t="s">
        <v>307</v>
      </c>
      <c r="D110" s="103">
        <v>165</v>
      </c>
      <c r="E110" s="112">
        <f t="shared" si="3"/>
        <v>90.750000000000014</v>
      </c>
      <c r="F110" s="112">
        <f t="shared" si="4"/>
        <v>117.14999999999999</v>
      </c>
      <c r="G110" s="112">
        <f t="shared" si="5"/>
        <v>136.94999999999999</v>
      </c>
    </row>
    <row r="111" spans="1:7" ht="15.75" x14ac:dyDescent="0.2">
      <c r="A111" s="107"/>
      <c r="B111" s="105"/>
      <c r="C111" s="106" t="s">
        <v>308</v>
      </c>
      <c r="D111" s="103">
        <v>149</v>
      </c>
      <c r="E111" s="112">
        <f t="shared" si="3"/>
        <v>81.95</v>
      </c>
      <c r="F111" s="112">
        <f t="shared" si="4"/>
        <v>105.78999999999999</v>
      </c>
      <c r="G111" s="112">
        <f t="shared" si="5"/>
        <v>123.66999999999999</v>
      </c>
    </row>
    <row r="112" spans="1:7" ht="15.75" x14ac:dyDescent="0.2">
      <c r="A112" s="107"/>
      <c r="B112" s="105"/>
      <c r="C112" s="106" t="s">
        <v>309</v>
      </c>
      <c r="D112" s="103">
        <v>275</v>
      </c>
      <c r="E112" s="112">
        <f t="shared" si="3"/>
        <v>151.25</v>
      </c>
      <c r="F112" s="112">
        <f t="shared" si="4"/>
        <v>195.25</v>
      </c>
      <c r="G112" s="112">
        <f t="shared" si="5"/>
        <v>228.25</v>
      </c>
    </row>
    <row r="113" spans="1:7" ht="15.75" x14ac:dyDescent="0.2">
      <c r="A113" s="107"/>
      <c r="B113" s="105"/>
      <c r="C113" s="106" t="s">
        <v>310</v>
      </c>
      <c r="D113" s="103">
        <v>75</v>
      </c>
      <c r="E113" s="112">
        <f t="shared" si="3"/>
        <v>41.25</v>
      </c>
      <c r="F113" s="112">
        <f t="shared" si="4"/>
        <v>53.25</v>
      </c>
      <c r="G113" s="112">
        <f t="shared" si="5"/>
        <v>62.25</v>
      </c>
    </row>
    <row r="114" spans="1:7" ht="15.75" x14ac:dyDescent="0.2">
      <c r="A114" s="107"/>
      <c r="B114" s="105"/>
      <c r="C114" s="106" t="s">
        <v>311</v>
      </c>
      <c r="D114" s="103">
        <v>63</v>
      </c>
      <c r="E114" s="112">
        <f t="shared" si="3"/>
        <v>34.650000000000006</v>
      </c>
      <c r="F114" s="112">
        <f t="shared" si="4"/>
        <v>44.73</v>
      </c>
      <c r="G114" s="112">
        <f t="shared" si="5"/>
        <v>52.29</v>
      </c>
    </row>
    <row r="115" spans="1:7" ht="15.75" x14ac:dyDescent="0.2">
      <c r="A115" s="107"/>
      <c r="B115" s="105"/>
      <c r="C115" s="106" t="s">
        <v>312</v>
      </c>
      <c r="D115" s="103">
        <v>259</v>
      </c>
      <c r="E115" s="112">
        <f t="shared" si="3"/>
        <v>142.45000000000002</v>
      </c>
      <c r="F115" s="112">
        <f t="shared" si="4"/>
        <v>183.89</v>
      </c>
      <c r="G115" s="112">
        <f t="shared" si="5"/>
        <v>214.97</v>
      </c>
    </row>
    <row r="116" spans="1:7" ht="15.75" x14ac:dyDescent="0.2">
      <c r="A116" s="107"/>
      <c r="B116" s="105"/>
      <c r="C116" s="106" t="s">
        <v>313</v>
      </c>
      <c r="D116" s="103">
        <v>208</v>
      </c>
      <c r="E116" s="112">
        <f t="shared" si="3"/>
        <v>114.4</v>
      </c>
      <c r="F116" s="112">
        <f t="shared" si="4"/>
        <v>147.68</v>
      </c>
      <c r="G116" s="112">
        <f t="shared" si="5"/>
        <v>172.64</v>
      </c>
    </row>
    <row r="117" spans="1:7" ht="15.75" x14ac:dyDescent="0.2">
      <c r="A117" s="107"/>
      <c r="B117" s="105"/>
      <c r="C117" s="106" t="s">
        <v>314</v>
      </c>
      <c r="D117" s="103">
        <v>252</v>
      </c>
      <c r="E117" s="112">
        <f t="shared" si="3"/>
        <v>138.60000000000002</v>
      </c>
      <c r="F117" s="112">
        <f t="shared" si="4"/>
        <v>178.92</v>
      </c>
      <c r="G117" s="112">
        <f t="shared" si="5"/>
        <v>209.16</v>
      </c>
    </row>
    <row r="118" spans="1:7" ht="15.75" x14ac:dyDescent="0.2">
      <c r="A118" s="107"/>
      <c r="B118" s="105"/>
      <c r="C118" s="106" t="s">
        <v>315</v>
      </c>
      <c r="D118" s="103">
        <v>372</v>
      </c>
      <c r="E118" s="112">
        <f t="shared" si="3"/>
        <v>204.60000000000002</v>
      </c>
      <c r="F118" s="112">
        <f t="shared" si="4"/>
        <v>264.12</v>
      </c>
      <c r="G118" s="112">
        <f t="shared" si="5"/>
        <v>308.76</v>
      </c>
    </row>
    <row r="119" spans="1:7" ht="15.75" x14ac:dyDescent="0.2">
      <c r="A119" s="107"/>
      <c r="B119" s="105"/>
      <c r="C119" s="106" t="s">
        <v>316</v>
      </c>
      <c r="D119" s="103">
        <v>310</v>
      </c>
      <c r="E119" s="112">
        <f t="shared" si="3"/>
        <v>170.5</v>
      </c>
      <c r="F119" s="112">
        <f t="shared" si="4"/>
        <v>220.1</v>
      </c>
      <c r="G119" s="112">
        <f t="shared" si="5"/>
        <v>257.3</v>
      </c>
    </row>
    <row r="120" spans="1:7" ht="15.75" x14ac:dyDescent="0.2">
      <c r="A120" s="107"/>
      <c r="B120" s="105"/>
      <c r="C120" s="106" t="s">
        <v>317</v>
      </c>
      <c r="D120" s="103">
        <v>85</v>
      </c>
      <c r="E120" s="112">
        <f t="shared" si="3"/>
        <v>46.750000000000007</v>
      </c>
      <c r="F120" s="112">
        <f t="shared" si="4"/>
        <v>60.349999999999994</v>
      </c>
      <c r="G120" s="112">
        <f t="shared" si="5"/>
        <v>70.55</v>
      </c>
    </row>
    <row r="121" spans="1:7" ht="15.75" x14ac:dyDescent="0.2">
      <c r="A121" s="107"/>
      <c r="B121" s="105"/>
      <c r="C121" s="106" t="s">
        <v>318</v>
      </c>
      <c r="D121" s="103">
        <v>36</v>
      </c>
      <c r="E121" s="112">
        <f t="shared" si="3"/>
        <v>19.8</v>
      </c>
      <c r="F121" s="112">
        <f t="shared" si="4"/>
        <v>25.56</v>
      </c>
      <c r="G121" s="112">
        <f t="shared" si="5"/>
        <v>29.88</v>
      </c>
    </row>
    <row r="122" spans="1:7" ht="15.75" x14ac:dyDescent="0.2">
      <c r="A122" s="107"/>
      <c r="B122" s="105"/>
      <c r="C122" s="106" t="s">
        <v>319</v>
      </c>
      <c r="D122" s="103">
        <v>159</v>
      </c>
      <c r="E122" s="112">
        <f t="shared" si="3"/>
        <v>87.45</v>
      </c>
      <c r="F122" s="112">
        <f t="shared" si="4"/>
        <v>112.89</v>
      </c>
      <c r="G122" s="112">
        <f t="shared" si="5"/>
        <v>131.97</v>
      </c>
    </row>
    <row r="123" spans="1:7" ht="15.75" x14ac:dyDescent="0.2">
      <c r="A123" s="107"/>
      <c r="B123" s="105"/>
      <c r="C123" s="106" t="s">
        <v>320</v>
      </c>
      <c r="D123" s="103">
        <v>173</v>
      </c>
      <c r="E123" s="112">
        <f t="shared" si="3"/>
        <v>95.15</v>
      </c>
      <c r="F123" s="112">
        <f t="shared" si="4"/>
        <v>122.83</v>
      </c>
      <c r="G123" s="112">
        <f t="shared" si="5"/>
        <v>143.59</v>
      </c>
    </row>
    <row r="124" spans="1:7" ht="15.75" x14ac:dyDescent="0.2">
      <c r="A124" s="107"/>
      <c r="B124" s="105"/>
      <c r="C124" s="106" t="s">
        <v>321</v>
      </c>
      <c r="D124" s="103">
        <v>92</v>
      </c>
      <c r="E124" s="112">
        <f t="shared" si="3"/>
        <v>50.6</v>
      </c>
      <c r="F124" s="112">
        <f t="shared" si="4"/>
        <v>65.319999999999993</v>
      </c>
      <c r="G124" s="112">
        <f t="shared" si="5"/>
        <v>76.36</v>
      </c>
    </row>
    <row r="125" spans="1:7" ht="15.75" x14ac:dyDescent="0.2">
      <c r="A125" s="107"/>
      <c r="B125" s="105"/>
      <c r="C125" s="106" t="s">
        <v>322</v>
      </c>
      <c r="D125" s="103">
        <v>73</v>
      </c>
      <c r="E125" s="112">
        <f t="shared" si="3"/>
        <v>40.150000000000006</v>
      </c>
      <c r="F125" s="112">
        <f t="shared" si="4"/>
        <v>51.83</v>
      </c>
      <c r="G125" s="112">
        <f t="shared" si="5"/>
        <v>60.589999999999996</v>
      </c>
    </row>
    <row r="126" spans="1:7" ht="15.75" x14ac:dyDescent="0.2">
      <c r="A126" s="107"/>
      <c r="B126" s="105"/>
      <c r="C126" s="106" t="s">
        <v>323</v>
      </c>
      <c r="D126" s="103">
        <v>298</v>
      </c>
      <c r="E126" s="112">
        <f t="shared" si="3"/>
        <v>163.9</v>
      </c>
      <c r="F126" s="112">
        <f t="shared" si="4"/>
        <v>211.57999999999998</v>
      </c>
      <c r="G126" s="112">
        <f t="shared" si="5"/>
        <v>247.33999999999997</v>
      </c>
    </row>
    <row r="127" spans="1:7" ht="15.75" x14ac:dyDescent="0.2">
      <c r="A127" s="107"/>
      <c r="B127" s="105"/>
      <c r="C127" s="106" t="s">
        <v>324</v>
      </c>
      <c r="D127" s="103">
        <v>87</v>
      </c>
      <c r="E127" s="112">
        <f t="shared" si="3"/>
        <v>47.85</v>
      </c>
      <c r="F127" s="112">
        <f t="shared" si="4"/>
        <v>61.769999999999996</v>
      </c>
      <c r="G127" s="112">
        <f t="shared" si="5"/>
        <v>72.209999999999994</v>
      </c>
    </row>
    <row r="128" spans="1:7" ht="15.75" x14ac:dyDescent="0.2">
      <c r="A128" s="107"/>
      <c r="B128" s="105"/>
      <c r="C128" s="106" t="s">
        <v>325</v>
      </c>
      <c r="D128" s="103">
        <v>162</v>
      </c>
      <c r="E128" s="112">
        <f t="shared" si="3"/>
        <v>89.100000000000009</v>
      </c>
      <c r="F128" s="112">
        <f t="shared" si="4"/>
        <v>115.02</v>
      </c>
      <c r="G128" s="112">
        <f t="shared" si="5"/>
        <v>134.45999999999998</v>
      </c>
    </row>
    <row r="129" spans="1:7" ht="15.75" x14ac:dyDescent="0.2">
      <c r="A129" s="107"/>
      <c r="B129" s="105"/>
      <c r="C129" s="106" t="s">
        <v>326</v>
      </c>
      <c r="D129" s="103">
        <v>199</v>
      </c>
      <c r="E129" s="112">
        <f t="shared" si="3"/>
        <v>109.45</v>
      </c>
      <c r="F129" s="112">
        <f t="shared" si="4"/>
        <v>141.29</v>
      </c>
      <c r="G129" s="112">
        <f t="shared" si="5"/>
        <v>165.17</v>
      </c>
    </row>
    <row r="130" spans="1:7" ht="15.75" x14ac:dyDescent="0.2">
      <c r="A130" s="107"/>
      <c r="B130" s="105"/>
      <c r="C130" s="106" t="s">
        <v>327</v>
      </c>
      <c r="D130" s="103">
        <v>207</v>
      </c>
      <c r="E130" s="112">
        <f t="shared" si="3"/>
        <v>113.85000000000001</v>
      </c>
      <c r="F130" s="112">
        <f t="shared" si="4"/>
        <v>146.97</v>
      </c>
      <c r="G130" s="112">
        <f t="shared" si="5"/>
        <v>171.81</v>
      </c>
    </row>
    <row r="131" spans="1:7" ht="15.75" x14ac:dyDescent="0.2">
      <c r="A131" s="107"/>
      <c r="B131" s="105"/>
      <c r="C131" s="106" t="s">
        <v>328</v>
      </c>
      <c r="D131" s="103">
        <v>209</v>
      </c>
      <c r="E131" s="112">
        <f t="shared" si="3"/>
        <v>114.95</v>
      </c>
      <c r="F131" s="112">
        <f t="shared" si="4"/>
        <v>148.38999999999999</v>
      </c>
      <c r="G131" s="112">
        <f t="shared" si="5"/>
        <v>173.47</v>
      </c>
    </row>
    <row r="132" spans="1:7" ht="15.75" x14ac:dyDescent="0.2">
      <c r="A132" s="107"/>
      <c r="B132" s="105"/>
      <c r="C132" s="106" t="s">
        <v>329</v>
      </c>
      <c r="D132" s="103">
        <v>134</v>
      </c>
      <c r="E132" s="112">
        <f t="shared" si="3"/>
        <v>73.7</v>
      </c>
      <c r="F132" s="112">
        <f t="shared" si="4"/>
        <v>95.14</v>
      </c>
      <c r="G132" s="112">
        <f t="shared" si="5"/>
        <v>111.22</v>
      </c>
    </row>
    <row r="133" spans="1:7" ht="15.75" x14ac:dyDescent="0.2">
      <c r="A133" s="107"/>
      <c r="B133" s="105"/>
      <c r="C133" s="106" t="s">
        <v>330</v>
      </c>
      <c r="D133" s="103">
        <v>193</v>
      </c>
      <c r="E133" s="112">
        <f t="shared" si="3"/>
        <v>106.15</v>
      </c>
      <c r="F133" s="112">
        <f t="shared" si="4"/>
        <v>137.03</v>
      </c>
      <c r="G133" s="112">
        <f t="shared" si="5"/>
        <v>160.19</v>
      </c>
    </row>
    <row r="134" spans="1:7" ht="15.75" x14ac:dyDescent="0.2">
      <c r="A134" s="107"/>
      <c r="B134" s="105"/>
      <c r="C134" s="106" t="s">
        <v>331</v>
      </c>
      <c r="D134" s="103">
        <v>76</v>
      </c>
      <c r="E134" s="112">
        <f t="shared" si="3"/>
        <v>41.800000000000004</v>
      </c>
      <c r="F134" s="112">
        <f t="shared" si="4"/>
        <v>53.959999999999994</v>
      </c>
      <c r="G134" s="112">
        <f t="shared" si="5"/>
        <v>63.08</v>
      </c>
    </row>
    <row r="135" spans="1:7" ht="15.75" x14ac:dyDescent="0.2">
      <c r="A135" s="107"/>
      <c r="B135" s="105"/>
      <c r="C135" s="106" t="s">
        <v>332</v>
      </c>
      <c r="D135" s="103">
        <v>414</v>
      </c>
      <c r="E135" s="112">
        <f t="shared" si="3"/>
        <v>227.70000000000002</v>
      </c>
      <c r="F135" s="112">
        <f t="shared" si="4"/>
        <v>293.94</v>
      </c>
      <c r="G135" s="112">
        <f t="shared" si="5"/>
        <v>343.62</v>
      </c>
    </row>
    <row r="136" spans="1:7" ht="15.75" x14ac:dyDescent="0.2">
      <c r="A136" s="107"/>
      <c r="B136" s="105"/>
      <c r="C136" s="106" t="s">
        <v>333</v>
      </c>
      <c r="D136" s="103">
        <v>182</v>
      </c>
      <c r="E136" s="112">
        <f t="shared" si="3"/>
        <v>100.10000000000001</v>
      </c>
      <c r="F136" s="112">
        <f t="shared" si="4"/>
        <v>129.22</v>
      </c>
      <c r="G136" s="112">
        <f t="shared" si="5"/>
        <v>151.06</v>
      </c>
    </row>
    <row r="137" spans="1:7" ht="15.75" x14ac:dyDescent="0.2">
      <c r="A137" s="107"/>
      <c r="B137" s="105"/>
      <c r="C137" s="106" t="s">
        <v>254</v>
      </c>
      <c r="D137" s="103">
        <v>85</v>
      </c>
      <c r="E137" s="112">
        <f t="shared" si="3"/>
        <v>46.750000000000007</v>
      </c>
      <c r="F137" s="112">
        <f t="shared" si="4"/>
        <v>60.349999999999994</v>
      </c>
      <c r="G137" s="112">
        <f t="shared" si="5"/>
        <v>70.55</v>
      </c>
    </row>
    <row r="138" spans="1:7" ht="15.75" x14ac:dyDescent="0.2">
      <c r="A138" s="107"/>
      <c r="B138" s="105"/>
      <c r="C138" s="106" t="s">
        <v>334</v>
      </c>
      <c r="D138" s="103">
        <v>146</v>
      </c>
      <c r="E138" s="112">
        <f t="shared" ref="E138:E147" si="6">0.55*D138</f>
        <v>80.300000000000011</v>
      </c>
      <c r="F138" s="112">
        <f t="shared" ref="F138:F147" si="7">0.71*D138</f>
        <v>103.66</v>
      </c>
      <c r="G138" s="112">
        <f t="shared" ref="G138:G147" si="8">0.83*D138</f>
        <v>121.17999999999999</v>
      </c>
    </row>
    <row r="139" spans="1:7" ht="15.75" x14ac:dyDescent="0.2">
      <c r="A139" s="107"/>
      <c r="B139" s="105"/>
      <c r="C139" s="106" t="s">
        <v>335</v>
      </c>
      <c r="D139" s="103">
        <v>234</v>
      </c>
      <c r="E139" s="112">
        <f t="shared" si="6"/>
        <v>128.70000000000002</v>
      </c>
      <c r="F139" s="112">
        <f t="shared" si="7"/>
        <v>166.14</v>
      </c>
      <c r="G139" s="112">
        <f t="shared" si="8"/>
        <v>194.22</v>
      </c>
    </row>
    <row r="140" spans="1:7" ht="15.75" x14ac:dyDescent="0.2">
      <c r="A140" s="107"/>
      <c r="B140" s="105"/>
      <c r="C140" s="106" t="s">
        <v>336</v>
      </c>
      <c r="D140" s="103">
        <v>112</v>
      </c>
      <c r="E140" s="112">
        <f t="shared" si="6"/>
        <v>61.600000000000009</v>
      </c>
      <c r="F140" s="112">
        <f t="shared" si="7"/>
        <v>79.52</v>
      </c>
      <c r="G140" s="112">
        <f t="shared" si="8"/>
        <v>92.96</v>
      </c>
    </row>
    <row r="141" spans="1:7" ht="15.75" x14ac:dyDescent="0.2">
      <c r="A141" s="107"/>
      <c r="B141" s="105"/>
      <c r="C141" s="106" t="s">
        <v>337</v>
      </c>
      <c r="D141" s="103">
        <v>582</v>
      </c>
      <c r="E141" s="112">
        <f t="shared" si="6"/>
        <v>320.10000000000002</v>
      </c>
      <c r="F141" s="112">
        <f t="shared" si="7"/>
        <v>413.21999999999997</v>
      </c>
      <c r="G141" s="112">
        <f t="shared" si="8"/>
        <v>483.06</v>
      </c>
    </row>
    <row r="142" spans="1:7" ht="15.75" x14ac:dyDescent="0.2">
      <c r="A142" s="107"/>
      <c r="B142" s="105"/>
      <c r="C142" s="106" t="s">
        <v>338</v>
      </c>
      <c r="D142" s="103">
        <v>205</v>
      </c>
      <c r="E142" s="112">
        <f t="shared" si="6"/>
        <v>112.75000000000001</v>
      </c>
      <c r="F142" s="112">
        <f t="shared" si="7"/>
        <v>145.54999999999998</v>
      </c>
      <c r="G142" s="112">
        <f t="shared" si="8"/>
        <v>170.15</v>
      </c>
    </row>
    <row r="143" spans="1:7" ht="15.75" x14ac:dyDescent="0.2">
      <c r="A143" s="107"/>
      <c r="B143" s="105"/>
      <c r="C143" s="106" t="s">
        <v>339</v>
      </c>
      <c r="D143" s="103">
        <v>150</v>
      </c>
      <c r="E143" s="112">
        <f t="shared" si="6"/>
        <v>82.5</v>
      </c>
      <c r="F143" s="112">
        <f t="shared" si="7"/>
        <v>106.5</v>
      </c>
      <c r="G143" s="112">
        <f t="shared" si="8"/>
        <v>124.5</v>
      </c>
    </row>
    <row r="144" spans="1:7" ht="15.75" x14ac:dyDescent="0.2">
      <c r="A144" s="107"/>
      <c r="B144" s="105"/>
      <c r="C144" s="106" t="s">
        <v>340</v>
      </c>
      <c r="D144" s="103">
        <v>136</v>
      </c>
      <c r="E144" s="112">
        <f t="shared" si="6"/>
        <v>74.800000000000011</v>
      </c>
      <c r="F144" s="112">
        <f t="shared" si="7"/>
        <v>96.56</v>
      </c>
      <c r="G144" s="112">
        <f t="shared" si="8"/>
        <v>112.88</v>
      </c>
    </row>
    <row r="145" spans="1:7" ht="15.75" x14ac:dyDescent="0.2">
      <c r="A145" s="107"/>
      <c r="B145" s="105"/>
      <c r="C145" s="106" t="s">
        <v>341</v>
      </c>
      <c r="D145" s="103">
        <v>83</v>
      </c>
      <c r="E145" s="112">
        <f t="shared" si="6"/>
        <v>45.650000000000006</v>
      </c>
      <c r="F145" s="112">
        <f t="shared" si="7"/>
        <v>58.93</v>
      </c>
      <c r="G145" s="112">
        <f t="shared" si="8"/>
        <v>68.89</v>
      </c>
    </row>
    <row r="146" spans="1:7" ht="15.75" x14ac:dyDescent="0.2">
      <c r="A146" s="107"/>
      <c r="B146" s="105"/>
      <c r="C146" s="106" t="s">
        <v>342</v>
      </c>
      <c r="D146" s="103">
        <v>56</v>
      </c>
      <c r="E146" s="112">
        <f t="shared" si="6"/>
        <v>30.800000000000004</v>
      </c>
      <c r="F146" s="112">
        <f t="shared" si="7"/>
        <v>39.76</v>
      </c>
      <c r="G146" s="112">
        <f t="shared" si="8"/>
        <v>46.48</v>
      </c>
    </row>
    <row r="147" spans="1:7" ht="15.75" x14ac:dyDescent="0.2">
      <c r="A147" s="108"/>
      <c r="B147" s="109"/>
      <c r="C147" s="110" t="s">
        <v>343</v>
      </c>
      <c r="D147" s="111">
        <v>295</v>
      </c>
      <c r="E147" s="112">
        <f t="shared" si="6"/>
        <v>162.25</v>
      </c>
      <c r="F147" s="112">
        <f t="shared" si="7"/>
        <v>209.45</v>
      </c>
      <c r="G147" s="112">
        <f t="shared" si="8"/>
        <v>244.85</v>
      </c>
    </row>
    <row r="150" spans="1:7" ht="15" thickBot="1" x14ac:dyDescent="0.25"/>
    <row r="151" spans="1:7" x14ac:dyDescent="0.2">
      <c r="B151" s="237" t="s">
        <v>345</v>
      </c>
      <c r="C151" s="238"/>
    </row>
    <row r="152" spans="1:7" x14ac:dyDescent="0.2">
      <c r="B152" s="239"/>
      <c r="C152" s="240"/>
    </row>
    <row r="153" spans="1:7" x14ac:dyDescent="0.2">
      <c r="B153" s="118" t="s">
        <v>154</v>
      </c>
      <c r="C153" s="113">
        <v>80</v>
      </c>
    </row>
    <row r="154" spans="1:7" ht="15" thickBot="1" x14ac:dyDescent="0.25">
      <c r="B154" s="119" t="s">
        <v>155</v>
      </c>
      <c r="C154" s="114">
        <v>100</v>
      </c>
    </row>
  </sheetData>
  <autoFilter ref="A7:G8"/>
  <mergeCells count="5">
    <mergeCell ref="A7:A8"/>
    <mergeCell ref="B151:C152"/>
    <mergeCell ref="D7:D8"/>
    <mergeCell ref="C7:C8"/>
    <mergeCell ref="B7:B8"/>
  </mergeCells>
  <hyperlinks>
    <hyperlink ref="C2" location="SpecialtyCare" display="Specialty Care"/>
    <hyperlink ref="C3" location="Primary_Care" display="Primary Care"/>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dimension ref="B1:I27"/>
  <sheetViews>
    <sheetView workbookViewId="0"/>
  </sheetViews>
  <sheetFormatPr defaultRowHeight="14.25" x14ac:dyDescent="0.2"/>
  <cols>
    <col min="2" max="2" width="16.75" customWidth="1"/>
    <col min="4" max="4" width="51" customWidth="1"/>
    <col min="6" max="6" width="48.375" customWidth="1"/>
    <col min="8" max="8" width="48.375" customWidth="1"/>
    <col min="9" max="9" width="9" style="90"/>
    <col min="10" max="10" width="19.75" customWidth="1"/>
  </cols>
  <sheetData>
    <row r="1" spans="2:6" x14ac:dyDescent="0.2">
      <c r="B1" t="s">
        <v>115</v>
      </c>
      <c r="D1" t="s">
        <v>141</v>
      </c>
      <c r="F1" t="s">
        <v>143</v>
      </c>
    </row>
    <row r="2" spans="2:6" x14ac:dyDescent="0.2">
      <c r="B2" t="s">
        <v>107</v>
      </c>
      <c r="D2" t="s">
        <v>117</v>
      </c>
      <c r="F2" t="s">
        <v>111</v>
      </c>
    </row>
    <row r="3" spans="2:6" x14ac:dyDescent="0.2">
      <c r="B3" t="s">
        <v>108</v>
      </c>
      <c r="D3" t="s">
        <v>119</v>
      </c>
      <c r="F3" t="s">
        <v>119</v>
      </c>
    </row>
    <row r="4" spans="2:6" x14ac:dyDescent="0.2">
      <c r="B4" t="s">
        <v>109</v>
      </c>
      <c r="D4" t="s">
        <v>105</v>
      </c>
      <c r="F4" t="s">
        <v>137</v>
      </c>
    </row>
    <row r="5" spans="2:6" x14ac:dyDescent="0.2">
      <c r="B5" t="s">
        <v>110</v>
      </c>
      <c r="D5" t="s">
        <v>121</v>
      </c>
      <c r="F5" t="s">
        <v>138</v>
      </c>
    </row>
    <row r="6" spans="2:6" x14ac:dyDescent="0.2">
      <c r="B6" t="s">
        <v>145</v>
      </c>
      <c r="D6" t="s">
        <v>122</v>
      </c>
      <c r="F6" t="s">
        <v>139</v>
      </c>
    </row>
    <row r="7" spans="2:6" x14ac:dyDescent="0.2">
      <c r="D7" t="s">
        <v>123</v>
      </c>
      <c r="F7" t="s">
        <v>140</v>
      </c>
    </row>
    <row r="8" spans="2:6" x14ac:dyDescent="0.2">
      <c r="D8" t="s">
        <v>124</v>
      </c>
    </row>
    <row r="9" spans="2:6" x14ac:dyDescent="0.2">
      <c r="D9" t="s">
        <v>125</v>
      </c>
      <c r="F9" t="s">
        <v>146</v>
      </c>
    </row>
    <row r="10" spans="2:6" x14ac:dyDescent="0.2">
      <c r="D10" t="s">
        <v>126</v>
      </c>
      <c r="F10" t="s">
        <v>112</v>
      </c>
    </row>
    <row r="11" spans="2:6" x14ac:dyDescent="0.2">
      <c r="D11" t="s">
        <v>127</v>
      </c>
      <c r="F11" t="s">
        <v>113</v>
      </c>
    </row>
    <row r="12" spans="2:6" x14ac:dyDescent="0.2">
      <c r="D12" t="s">
        <v>128</v>
      </c>
    </row>
    <row r="13" spans="2:6" x14ac:dyDescent="0.2">
      <c r="D13" t="s">
        <v>129</v>
      </c>
    </row>
    <row r="14" spans="2:6" x14ac:dyDescent="0.2">
      <c r="D14" t="s">
        <v>130</v>
      </c>
    </row>
    <row r="18" spans="4:4" x14ac:dyDescent="0.2">
      <c r="D18" t="s">
        <v>142</v>
      </c>
    </row>
    <row r="19" spans="4:4" x14ac:dyDescent="0.2">
      <c r="D19" t="s">
        <v>117</v>
      </c>
    </row>
    <row r="20" spans="4:4" x14ac:dyDescent="0.2">
      <c r="D20" t="s">
        <v>119</v>
      </c>
    </row>
    <row r="21" spans="4:4" x14ac:dyDescent="0.2">
      <c r="D21" t="s">
        <v>105</v>
      </c>
    </row>
    <row r="22" spans="4:4" x14ac:dyDescent="0.2">
      <c r="D22" t="s">
        <v>131</v>
      </c>
    </row>
    <row r="23" spans="4:4" x14ac:dyDescent="0.2">
      <c r="D23" t="s">
        <v>132</v>
      </c>
    </row>
    <row r="24" spans="4:4" x14ac:dyDescent="0.2">
      <c r="D24" t="s">
        <v>133</v>
      </c>
    </row>
    <row r="25" spans="4:4" x14ac:dyDescent="0.2">
      <c r="D25" t="s">
        <v>134</v>
      </c>
    </row>
    <row r="26" spans="4:4" x14ac:dyDescent="0.2">
      <c r="D26" t="s">
        <v>135</v>
      </c>
    </row>
    <row r="27" spans="4:4" x14ac:dyDescent="0.2">
      <c r="D27" t="s">
        <v>136</v>
      </c>
    </row>
  </sheetData>
  <pageMargins left="0.7" right="0.7" top="0.75" bottom="0.75" header="0.3" footer="0.3"/>
  <tableParts count="5">
    <tablePart r:id="rId1"/>
    <tablePart r:id="rId2"/>
    <tablePart r:id="rId3"/>
    <tablePart r:id="rId4"/>
    <tablePart r:id="rId5"/>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B1:H15"/>
  <sheetViews>
    <sheetView workbookViewId="0">
      <selection activeCell="C11" sqref="C11"/>
    </sheetView>
  </sheetViews>
  <sheetFormatPr defaultRowHeight="14.25" x14ac:dyDescent="0.2"/>
  <cols>
    <col min="2" max="2" width="20.5" customWidth="1"/>
    <col min="4" max="4" width="28.5" customWidth="1"/>
    <col min="6" max="6" width="25.75" customWidth="1"/>
    <col min="8" max="8" width="17.75" customWidth="1"/>
  </cols>
  <sheetData>
    <row r="1" spans="2:8" x14ac:dyDescent="0.2">
      <c r="B1" t="s">
        <v>151</v>
      </c>
      <c r="D1" t="s">
        <v>345</v>
      </c>
      <c r="F1" t="s">
        <v>346</v>
      </c>
      <c r="H1" t="s">
        <v>153</v>
      </c>
    </row>
    <row r="2" spans="2:8" x14ac:dyDescent="0.2">
      <c r="B2" t="s">
        <v>152</v>
      </c>
      <c r="D2" t="s">
        <v>154</v>
      </c>
      <c r="F2" t="s">
        <v>355</v>
      </c>
    </row>
    <row r="3" spans="2:8" x14ac:dyDescent="0.2">
      <c r="B3" t="s">
        <v>115</v>
      </c>
      <c r="D3" t="s">
        <v>155</v>
      </c>
      <c r="F3" t="s">
        <v>358</v>
      </c>
    </row>
    <row r="4" spans="2:8" x14ac:dyDescent="0.2">
      <c r="B4" t="s">
        <v>153</v>
      </c>
      <c r="F4" t="s">
        <v>354</v>
      </c>
    </row>
    <row r="5" spans="2:8" x14ac:dyDescent="0.2">
      <c r="F5" t="s">
        <v>359</v>
      </c>
    </row>
    <row r="6" spans="2:8" x14ac:dyDescent="0.2">
      <c r="F6" t="s">
        <v>356</v>
      </c>
    </row>
    <row r="7" spans="2:8" x14ac:dyDescent="0.2">
      <c r="F7" t="s">
        <v>360</v>
      </c>
    </row>
    <row r="10" spans="2:8" x14ac:dyDescent="0.2">
      <c r="B10" t="s">
        <v>406</v>
      </c>
    </row>
    <row r="11" spans="2:8" x14ac:dyDescent="0.2">
      <c r="B11" t="s">
        <v>13</v>
      </c>
    </row>
    <row r="12" spans="2:8" x14ac:dyDescent="0.2">
      <c r="B12" t="s">
        <v>14</v>
      </c>
    </row>
    <row r="13" spans="2:8" x14ac:dyDescent="0.2">
      <c r="B13" t="s">
        <v>12</v>
      </c>
    </row>
    <row r="14" spans="2:8" x14ac:dyDescent="0.2">
      <c r="B14" t="s">
        <v>403</v>
      </c>
    </row>
    <row r="15" spans="2:8" x14ac:dyDescent="0.2">
      <c r="B15" t="s">
        <v>404</v>
      </c>
    </row>
  </sheetData>
  <dataValidations count="1">
    <dataValidation type="list" allowBlank="1" showDropDown="1" showInputMessage="1" showErrorMessage="1" sqref="C11">
      <formula1>ApprovedApptTypes</formula1>
    </dataValidation>
  </dataValidations>
  <pageMargins left="0.7" right="0.7" top="0.75" bottom="0.75" header="0.3" footer="0.3"/>
  <tableParts count="4">
    <tablePart r:id="rId1"/>
    <tablePart r:id="rId2"/>
    <tablePart r:id="rId3"/>
    <tablePart r:id="rId4"/>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1">
    <tabColor theme="5"/>
  </sheetPr>
  <dimension ref="A1:AE71"/>
  <sheetViews>
    <sheetView tabSelected="1" zoomScale="85" zoomScaleNormal="85" workbookViewId="0">
      <selection activeCell="G18" sqref="G18"/>
    </sheetView>
  </sheetViews>
  <sheetFormatPr defaultRowHeight="14.25" x14ac:dyDescent="0.2"/>
  <cols>
    <col min="1" max="1" width="8.375" customWidth="1"/>
    <col min="2" max="2" width="10.25" customWidth="1"/>
    <col min="3" max="3" width="10.625" customWidth="1"/>
    <col min="4" max="4" width="13.625" customWidth="1"/>
    <col min="5" max="5" width="11.625" customWidth="1"/>
    <col min="6" max="6" width="9" customWidth="1"/>
    <col min="7" max="7" width="9.625" customWidth="1"/>
    <col min="8" max="8" width="9.875" customWidth="1"/>
    <col min="9" max="9" width="10.25" customWidth="1"/>
    <col min="10" max="10" width="10.625" customWidth="1"/>
    <col min="11" max="11" width="13.625" customWidth="1"/>
    <col min="12" max="12" width="11.625" customWidth="1"/>
    <col min="13" max="13" width="8.875" customWidth="1"/>
    <col min="14" max="14" width="6.625" customWidth="1"/>
    <col min="15" max="15" width="9.625" customWidth="1"/>
    <col min="16" max="16" width="10.25" customWidth="1"/>
    <col min="17" max="17" width="10.625" customWidth="1"/>
    <col min="18" max="18" width="13.625" customWidth="1"/>
    <col min="19" max="19" width="11.625" customWidth="1"/>
    <col min="20" max="20" width="9.875" customWidth="1"/>
    <col min="21" max="21" width="8.375" customWidth="1"/>
    <col min="22" max="22" width="7.25" customWidth="1"/>
    <col min="23" max="23" width="10.25" customWidth="1"/>
    <col min="24" max="24" width="10.625" customWidth="1"/>
    <col min="25" max="25" width="13.625" customWidth="1"/>
    <col min="26" max="26" width="11.625" customWidth="1"/>
    <col min="27" max="27" width="11.5" customWidth="1"/>
  </cols>
  <sheetData>
    <row r="1" spans="1:27" ht="18" x14ac:dyDescent="0.25">
      <c r="A1" s="275" t="s">
        <v>0</v>
      </c>
      <c r="B1" s="275"/>
      <c r="C1" s="275"/>
      <c r="D1" s="275"/>
      <c r="E1" s="275"/>
      <c r="F1" s="275"/>
      <c r="G1" s="275"/>
      <c r="H1" s="275"/>
      <c r="I1" s="275"/>
      <c r="J1" s="275"/>
      <c r="K1" s="275"/>
      <c r="L1" s="275"/>
      <c r="M1" s="275"/>
      <c r="N1" s="275"/>
      <c r="O1" s="275"/>
      <c r="P1" s="275"/>
      <c r="Q1" s="275"/>
      <c r="R1" s="275"/>
      <c r="S1" s="275"/>
      <c r="T1" s="276"/>
      <c r="V1" s="245" t="s">
        <v>415</v>
      </c>
      <c r="W1" s="245"/>
      <c r="X1" s="245"/>
      <c r="Y1" s="245"/>
      <c r="Z1" s="245"/>
      <c r="AA1" s="245"/>
    </row>
    <row r="2" spans="1:27" ht="18.75" thickBot="1" x14ac:dyDescent="0.3">
      <c r="A2" s="277" t="s">
        <v>1</v>
      </c>
      <c r="B2" s="277"/>
      <c r="C2" s="277"/>
      <c r="D2" s="277"/>
      <c r="E2" s="277"/>
      <c r="F2" s="277"/>
      <c r="G2" s="277"/>
      <c r="H2" s="277"/>
      <c r="I2" s="277"/>
      <c r="J2" s="277"/>
      <c r="K2" s="277"/>
      <c r="L2" s="277"/>
      <c r="M2" s="277"/>
      <c r="N2" s="277"/>
      <c r="O2" s="277"/>
      <c r="P2" s="277"/>
      <c r="Q2" s="277"/>
      <c r="R2" s="277"/>
      <c r="S2" s="277"/>
      <c r="T2" s="278"/>
      <c r="V2" s="245"/>
      <c r="W2" s="245"/>
      <c r="X2" s="245"/>
      <c r="Y2" s="245"/>
      <c r="Z2" s="245"/>
      <c r="AA2" s="245"/>
    </row>
    <row r="3" spans="1:27" ht="15.75" thickBot="1" x14ac:dyDescent="0.3">
      <c r="A3" s="272" t="s">
        <v>2</v>
      </c>
      <c r="B3" s="273"/>
      <c r="C3" s="273"/>
      <c r="D3" s="274"/>
      <c r="E3" s="272" t="s">
        <v>3</v>
      </c>
      <c r="F3" s="273"/>
      <c r="G3" s="273"/>
      <c r="H3" s="274"/>
      <c r="I3" s="272" t="s">
        <v>4</v>
      </c>
      <c r="J3" s="273"/>
      <c r="K3" s="273"/>
      <c r="L3" s="274"/>
      <c r="M3" s="272" t="s">
        <v>5</v>
      </c>
      <c r="N3" s="273"/>
      <c r="O3" s="273"/>
      <c r="P3" s="274"/>
      <c r="Q3" s="272" t="s">
        <v>6</v>
      </c>
      <c r="R3" s="273"/>
      <c r="S3" s="273"/>
      <c r="T3" s="274"/>
      <c r="V3" s="245"/>
      <c r="W3" s="245"/>
      <c r="X3" s="245"/>
      <c r="Y3" s="245"/>
      <c r="Z3" s="245"/>
      <c r="AA3" s="245"/>
    </row>
    <row r="4" spans="1:27" ht="15" thickBot="1" x14ac:dyDescent="0.25">
      <c r="A4" s="1" t="s">
        <v>7</v>
      </c>
      <c r="B4" s="1" t="s">
        <v>8</v>
      </c>
      <c r="C4" s="2" t="s">
        <v>9</v>
      </c>
      <c r="D4" s="2" t="s">
        <v>10</v>
      </c>
      <c r="E4" s="1" t="s">
        <v>7</v>
      </c>
      <c r="F4" s="1" t="s">
        <v>8</v>
      </c>
      <c r="G4" s="2" t="s">
        <v>9</v>
      </c>
      <c r="H4" s="2" t="s">
        <v>10</v>
      </c>
      <c r="I4" s="1" t="s">
        <v>7</v>
      </c>
      <c r="J4" s="1" t="s">
        <v>8</v>
      </c>
      <c r="K4" s="2" t="s">
        <v>9</v>
      </c>
      <c r="L4" s="2" t="s">
        <v>10</v>
      </c>
      <c r="M4" s="1" t="s">
        <v>7</v>
      </c>
      <c r="N4" s="1" t="s">
        <v>8</v>
      </c>
      <c r="O4" s="2" t="s">
        <v>9</v>
      </c>
      <c r="P4" s="2" t="s">
        <v>10</v>
      </c>
      <c r="Q4" s="3" t="s">
        <v>7</v>
      </c>
      <c r="R4" s="1" t="s">
        <v>8</v>
      </c>
      <c r="S4" s="2" t="s">
        <v>9</v>
      </c>
      <c r="T4" s="2" t="s">
        <v>10</v>
      </c>
    </row>
    <row r="5" spans="1:27" ht="14.25" customHeight="1" thickTop="1" x14ac:dyDescent="0.2">
      <c r="A5" s="68" t="s">
        <v>33</v>
      </c>
      <c r="B5" s="225" t="s">
        <v>14</v>
      </c>
      <c r="C5" s="223"/>
      <c r="D5" s="5"/>
      <c r="E5" s="68" t="s">
        <v>33</v>
      </c>
      <c r="F5" s="225" t="s">
        <v>14</v>
      </c>
      <c r="G5" s="223"/>
      <c r="H5" s="5"/>
      <c r="I5" s="68" t="s">
        <v>33</v>
      </c>
      <c r="J5" s="225" t="s">
        <v>14</v>
      </c>
      <c r="K5" s="223"/>
      <c r="L5" s="5"/>
      <c r="M5" s="68" t="s">
        <v>33</v>
      </c>
      <c r="N5" s="225" t="s">
        <v>14</v>
      </c>
      <c r="O5" s="225"/>
      <c r="P5" s="5"/>
      <c r="Q5" s="68" t="s">
        <v>33</v>
      </c>
      <c r="R5" s="225" t="s">
        <v>14</v>
      </c>
      <c r="S5" s="223"/>
      <c r="T5" s="5"/>
      <c r="V5" s="245" t="s">
        <v>414</v>
      </c>
      <c r="W5" s="245"/>
      <c r="X5" s="245"/>
      <c r="Y5" s="245"/>
      <c r="Z5" s="249"/>
      <c r="AA5" s="246">
        <f>'%Plan Appts &gt;= 1500 Hrs'!F13</f>
        <v>2.7777777777777776E-2</v>
      </c>
    </row>
    <row r="6" spans="1:27" ht="14.25" customHeight="1" x14ac:dyDescent="0.2">
      <c r="A6" s="68" t="s">
        <v>34</v>
      </c>
      <c r="B6" s="225" t="s">
        <v>13</v>
      </c>
      <c r="C6" s="223"/>
      <c r="D6" s="5"/>
      <c r="E6" s="68" t="s">
        <v>34</v>
      </c>
      <c r="F6" s="225" t="s">
        <v>13</v>
      </c>
      <c r="G6" s="223"/>
      <c r="H6" s="5"/>
      <c r="I6" s="68" t="s">
        <v>34</v>
      </c>
      <c r="J6" s="225" t="s">
        <v>13</v>
      </c>
      <c r="K6" s="223"/>
      <c r="L6" s="5"/>
      <c r="M6" s="68" t="s">
        <v>34</v>
      </c>
      <c r="N6" s="225" t="s">
        <v>13</v>
      </c>
      <c r="O6" s="225"/>
      <c r="P6" s="5"/>
      <c r="Q6" s="68" t="s">
        <v>34</v>
      </c>
      <c r="R6" s="225" t="s">
        <v>13</v>
      </c>
      <c r="S6" s="223"/>
      <c r="T6" s="5"/>
      <c r="V6" s="245"/>
      <c r="W6" s="245"/>
      <c r="X6" s="245"/>
      <c r="Y6" s="245"/>
      <c r="Z6" s="249"/>
      <c r="AA6" s="247"/>
    </row>
    <row r="7" spans="1:27" ht="14.25" customHeight="1" x14ac:dyDescent="0.2">
      <c r="A7" s="68" t="s">
        <v>35</v>
      </c>
      <c r="B7" s="225" t="s">
        <v>13</v>
      </c>
      <c r="C7" s="222"/>
      <c r="D7" s="5"/>
      <c r="E7" s="68" t="s">
        <v>35</v>
      </c>
      <c r="F7" s="225" t="s">
        <v>13</v>
      </c>
      <c r="G7" s="222"/>
      <c r="H7" s="5"/>
      <c r="I7" s="68" t="s">
        <v>35</v>
      </c>
      <c r="J7" s="225" t="s">
        <v>13</v>
      </c>
      <c r="K7" s="222"/>
      <c r="L7" s="5"/>
      <c r="M7" s="68" t="s">
        <v>35</v>
      </c>
      <c r="N7" s="225" t="s">
        <v>13</v>
      </c>
      <c r="O7" s="7"/>
      <c r="P7" s="5"/>
      <c r="Q7" s="68" t="s">
        <v>35</v>
      </c>
      <c r="R7" s="225" t="s">
        <v>13</v>
      </c>
      <c r="S7" s="222"/>
      <c r="T7" s="5"/>
      <c r="V7" s="245"/>
      <c r="W7" s="245"/>
      <c r="X7" s="245"/>
      <c r="Y7" s="245"/>
      <c r="Z7" s="249"/>
      <c r="AA7" s="247"/>
    </row>
    <row r="8" spans="1:27" ht="14.25" customHeight="1" thickBot="1" x14ac:dyDescent="0.25">
      <c r="A8" s="68" t="s">
        <v>36</v>
      </c>
      <c r="B8" s="225" t="s">
        <v>13</v>
      </c>
      <c r="C8" s="222"/>
      <c r="D8" s="5"/>
      <c r="E8" s="68" t="s">
        <v>36</v>
      </c>
      <c r="F8" s="225" t="s">
        <v>13</v>
      </c>
      <c r="G8" s="222"/>
      <c r="H8" s="5"/>
      <c r="I8" s="68" t="s">
        <v>36</v>
      </c>
      <c r="J8" s="225" t="s">
        <v>13</v>
      </c>
      <c r="K8" s="222"/>
      <c r="L8" s="5"/>
      <c r="M8" s="68" t="s">
        <v>36</v>
      </c>
      <c r="N8" s="225" t="s">
        <v>13</v>
      </c>
      <c r="O8" s="7"/>
      <c r="P8" s="5"/>
      <c r="Q8" s="68" t="s">
        <v>36</v>
      </c>
      <c r="R8" s="225" t="s">
        <v>13</v>
      </c>
      <c r="S8" s="222"/>
      <c r="T8" s="5"/>
      <c r="V8" s="245"/>
      <c r="W8" s="245"/>
      <c r="X8" s="245"/>
      <c r="Y8" s="245"/>
      <c r="Z8" s="249"/>
      <c r="AA8" s="248"/>
    </row>
    <row r="9" spans="1:27" ht="21.75" thickTop="1" thickBot="1" x14ac:dyDescent="0.25">
      <c r="A9" s="68" t="s">
        <v>37</v>
      </c>
      <c r="B9" s="225" t="s">
        <v>14</v>
      </c>
      <c r="C9" s="222"/>
      <c r="D9" s="5"/>
      <c r="E9" s="68" t="s">
        <v>37</v>
      </c>
      <c r="F9" s="225" t="s">
        <v>14</v>
      </c>
      <c r="G9" s="222"/>
      <c r="H9" s="5"/>
      <c r="I9" s="68" t="s">
        <v>37</v>
      </c>
      <c r="J9" s="225" t="s">
        <v>14</v>
      </c>
      <c r="K9" s="222"/>
      <c r="L9" s="5"/>
      <c r="M9" s="68" t="s">
        <v>37</v>
      </c>
      <c r="N9" s="225" t="s">
        <v>14</v>
      </c>
      <c r="O9" s="7"/>
      <c r="P9" s="5"/>
      <c r="Q9" s="68" t="s">
        <v>37</v>
      </c>
      <c r="R9" s="225" t="s">
        <v>14</v>
      </c>
      <c r="S9" s="222"/>
      <c r="T9" s="5"/>
      <c r="V9" s="218"/>
      <c r="W9" s="219"/>
      <c r="X9" s="219"/>
      <c r="Y9" s="219"/>
      <c r="Z9" s="219"/>
      <c r="AA9" s="221"/>
    </row>
    <row r="10" spans="1:27" ht="14.25" customHeight="1" thickTop="1" x14ac:dyDescent="0.2">
      <c r="A10" s="68" t="s">
        <v>38</v>
      </c>
      <c r="B10" s="225"/>
      <c r="C10" s="222"/>
      <c r="D10" s="5"/>
      <c r="E10" s="68" t="s">
        <v>38</v>
      </c>
      <c r="F10" s="225"/>
      <c r="G10" s="222"/>
      <c r="H10" s="5"/>
      <c r="I10" s="68" t="s">
        <v>38</v>
      </c>
      <c r="J10" s="225"/>
      <c r="K10" s="222"/>
      <c r="L10" s="5"/>
      <c r="M10" s="68" t="s">
        <v>38</v>
      </c>
      <c r="N10" s="225" t="s">
        <v>14</v>
      </c>
      <c r="O10" s="7"/>
      <c r="P10" s="5"/>
      <c r="Q10" s="68" t="s">
        <v>38</v>
      </c>
      <c r="R10" s="225"/>
      <c r="S10" s="222"/>
      <c r="T10" s="5"/>
      <c r="V10" s="245" t="s">
        <v>413</v>
      </c>
      <c r="W10" s="245"/>
      <c r="X10" s="245"/>
      <c r="Y10" s="245"/>
      <c r="Z10" s="249"/>
      <c r="AA10" s="246">
        <f>'%24HR_F2F Appts'!F14</f>
        <v>1</v>
      </c>
    </row>
    <row r="11" spans="1:27" ht="14.25" customHeight="1" x14ac:dyDescent="0.2">
      <c r="A11" s="68" t="s">
        <v>39</v>
      </c>
      <c r="B11" s="225" t="s">
        <v>14</v>
      </c>
      <c r="C11" s="222"/>
      <c r="D11" s="5"/>
      <c r="E11" s="68" t="s">
        <v>39</v>
      </c>
      <c r="F11" s="225" t="s">
        <v>14</v>
      </c>
      <c r="G11" s="222"/>
      <c r="H11" s="5"/>
      <c r="I11" s="68" t="s">
        <v>39</v>
      </c>
      <c r="J11" s="225" t="s">
        <v>14</v>
      </c>
      <c r="K11" s="222"/>
      <c r="L11" s="5"/>
      <c r="M11" s="68" t="s">
        <v>39</v>
      </c>
      <c r="N11" s="225" t="s">
        <v>14</v>
      </c>
      <c r="O11" s="7"/>
      <c r="P11" s="5"/>
      <c r="Q11" s="68" t="s">
        <v>39</v>
      </c>
      <c r="R11" s="225" t="s">
        <v>14</v>
      </c>
      <c r="S11" s="222"/>
      <c r="T11" s="5"/>
      <c r="U11" s="133"/>
      <c r="V11" s="245"/>
      <c r="W11" s="245"/>
      <c r="X11" s="245"/>
      <c r="Y11" s="245"/>
      <c r="Z11" s="249"/>
      <c r="AA11" s="247"/>
    </row>
    <row r="12" spans="1:27" ht="14.25" customHeight="1" x14ac:dyDescent="0.2">
      <c r="A12" s="68" t="s">
        <v>40</v>
      </c>
      <c r="B12" s="225" t="s">
        <v>14</v>
      </c>
      <c r="C12" s="223"/>
      <c r="D12" s="5"/>
      <c r="E12" s="68" t="s">
        <v>40</v>
      </c>
      <c r="F12" s="225" t="s">
        <v>14</v>
      </c>
      <c r="G12" s="223"/>
      <c r="H12" s="5"/>
      <c r="I12" s="68" t="s">
        <v>40</v>
      </c>
      <c r="J12" s="225" t="s">
        <v>14</v>
      </c>
      <c r="K12" s="223"/>
      <c r="L12" s="5"/>
      <c r="M12" s="68" t="s">
        <v>40</v>
      </c>
      <c r="N12" s="225" t="s">
        <v>14</v>
      </c>
      <c r="O12" s="225"/>
      <c r="P12" s="5"/>
      <c r="Q12" s="68" t="s">
        <v>40</v>
      </c>
      <c r="R12" s="225" t="s">
        <v>14</v>
      </c>
      <c r="S12" s="223"/>
      <c r="T12" s="5"/>
      <c r="U12" s="133"/>
      <c r="V12" s="245"/>
      <c r="W12" s="245"/>
      <c r="X12" s="245"/>
      <c r="Y12" s="245"/>
      <c r="Z12" s="249"/>
      <c r="AA12" s="247"/>
    </row>
    <row r="13" spans="1:27" ht="14.25" customHeight="1" thickBot="1" x14ac:dyDescent="0.25">
      <c r="A13" s="199">
        <v>1020</v>
      </c>
      <c r="B13" s="225" t="s">
        <v>14</v>
      </c>
      <c r="C13" s="223"/>
      <c r="D13" s="5"/>
      <c r="E13" s="199">
        <v>1020</v>
      </c>
      <c r="F13" s="225" t="s">
        <v>14</v>
      </c>
      <c r="G13" s="223"/>
      <c r="H13" s="5"/>
      <c r="I13" s="199">
        <v>1020</v>
      </c>
      <c r="J13" s="225" t="s">
        <v>14</v>
      </c>
      <c r="K13" s="223"/>
      <c r="L13" s="5"/>
      <c r="M13" s="199">
        <v>1020</v>
      </c>
      <c r="N13" s="225"/>
      <c r="O13" s="225"/>
      <c r="P13" s="5"/>
      <c r="Q13" s="199">
        <v>1020</v>
      </c>
      <c r="R13" s="225" t="s">
        <v>14</v>
      </c>
      <c r="S13" s="223"/>
      <c r="T13" s="5"/>
      <c r="V13" s="245"/>
      <c r="W13" s="245"/>
      <c r="X13" s="245"/>
      <c r="Y13" s="245"/>
      <c r="Z13" s="249"/>
      <c r="AA13" s="248"/>
    </row>
    <row r="14" spans="1:27" ht="16.5" customHeight="1" thickTop="1" thickBot="1" x14ac:dyDescent="0.25">
      <c r="A14" s="68" t="s">
        <v>42</v>
      </c>
      <c r="B14" s="225" t="s">
        <v>14</v>
      </c>
      <c r="C14" s="222"/>
      <c r="D14" s="5"/>
      <c r="E14" s="68" t="s">
        <v>42</v>
      </c>
      <c r="F14" s="225" t="s">
        <v>14</v>
      </c>
      <c r="G14" s="222"/>
      <c r="H14" s="5"/>
      <c r="I14" s="68" t="s">
        <v>42</v>
      </c>
      <c r="J14" s="225" t="s">
        <v>14</v>
      </c>
      <c r="K14" s="222"/>
      <c r="L14" s="5"/>
      <c r="M14" s="68" t="s">
        <v>42</v>
      </c>
      <c r="N14" s="225"/>
      <c r="O14" s="7"/>
      <c r="P14" s="5"/>
      <c r="Q14" s="68" t="s">
        <v>42</v>
      </c>
      <c r="R14" s="225" t="s">
        <v>14</v>
      </c>
      <c r="S14" s="222"/>
      <c r="T14" s="5"/>
      <c r="V14" s="217"/>
      <c r="W14" s="217"/>
      <c r="X14" s="217"/>
      <c r="Y14" s="217"/>
      <c r="Z14" s="217"/>
      <c r="AA14" s="221"/>
    </row>
    <row r="15" spans="1:27" ht="14.25" customHeight="1" thickTop="1" x14ac:dyDescent="0.2">
      <c r="A15" s="68" t="s">
        <v>43</v>
      </c>
      <c r="B15" s="225" t="s">
        <v>13</v>
      </c>
      <c r="C15" s="223"/>
      <c r="D15" s="5"/>
      <c r="E15" s="68" t="s">
        <v>43</v>
      </c>
      <c r="F15" s="225" t="s">
        <v>13</v>
      </c>
      <c r="G15" s="223"/>
      <c r="H15" s="5"/>
      <c r="I15" s="68" t="s">
        <v>43</v>
      </c>
      <c r="J15" s="225" t="s">
        <v>13</v>
      </c>
      <c r="K15" s="223"/>
      <c r="L15" s="5"/>
      <c r="M15" s="68" t="s">
        <v>43</v>
      </c>
      <c r="N15" s="225"/>
      <c r="O15" s="225"/>
      <c r="P15" s="5"/>
      <c r="Q15" s="68" t="s">
        <v>43</v>
      </c>
      <c r="R15" s="225" t="s">
        <v>13</v>
      </c>
      <c r="S15" s="223"/>
      <c r="T15" s="5"/>
      <c r="V15" s="245" t="s">
        <v>86</v>
      </c>
      <c r="W15" s="245"/>
      <c r="X15" s="245"/>
      <c r="Y15" s="245"/>
      <c r="Z15" s="249"/>
      <c r="AA15" s="246">
        <f>'Restrictive Detail Code %'!F14</f>
        <v>0</v>
      </c>
    </row>
    <row r="16" spans="1:27" ht="14.25" customHeight="1" x14ac:dyDescent="0.2">
      <c r="A16" s="68" t="s">
        <v>44</v>
      </c>
      <c r="B16" s="7" t="s">
        <v>13</v>
      </c>
      <c r="C16" s="223"/>
      <c r="D16" s="5"/>
      <c r="E16" s="68" t="s">
        <v>44</v>
      </c>
      <c r="F16" s="7" t="s">
        <v>13</v>
      </c>
      <c r="G16" s="223"/>
      <c r="H16" s="5"/>
      <c r="I16" s="68" t="s">
        <v>44</v>
      </c>
      <c r="J16" s="7" t="s">
        <v>13</v>
      </c>
      <c r="K16" s="223"/>
      <c r="L16" s="5"/>
      <c r="M16" s="68" t="s">
        <v>44</v>
      </c>
      <c r="N16" s="7"/>
      <c r="O16" s="225"/>
      <c r="P16" s="5"/>
      <c r="Q16" s="68" t="s">
        <v>44</v>
      </c>
      <c r="R16" s="7" t="s">
        <v>13</v>
      </c>
      <c r="S16" s="223"/>
      <c r="T16" s="5"/>
      <c r="V16" s="245"/>
      <c r="W16" s="245"/>
      <c r="X16" s="245"/>
      <c r="Y16" s="245"/>
      <c r="Z16" s="249"/>
      <c r="AA16" s="247"/>
    </row>
    <row r="17" spans="1:31" ht="14.25" customHeight="1" x14ac:dyDescent="0.2">
      <c r="A17" s="68"/>
      <c r="B17" s="7"/>
      <c r="C17" s="222"/>
      <c r="D17" s="5"/>
      <c r="E17" s="68"/>
      <c r="F17" s="7"/>
      <c r="G17" s="222"/>
      <c r="H17" s="5"/>
      <c r="I17" s="68"/>
      <c r="J17" s="7"/>
      <c r="K17" s="222"/>
      <c r="L17" s="5"/>
      <c r="M17" s="68"/>
      <c r="N17" s="7"/>
      <c r="O17" s="7"/>
      <c r="P17" s="5"/>
      <c r="Q17" s="68"/>
      <c r="R17" s="7"/>
      <c r="S17" s="222"/>
      <c r="T17" s="5"/>
      <c r="V17" s="245"/>
      <c r="W17" s="245"/>
      <c r="X17" s="245"/>
      <c r="Y17" s="245"/>
      <c r="Z17" s="249"/>
      <c r="AA17" s="247"/>
    </row>
    <row r="18" spans="1:31" ht="14.25" customHeight="1" thickBot="1" x14ac:dyDescent="0.25">
      <c r="A18" s="68"/>
      <c r="B18" s="7"/>
      <c r="C18" s="223"/>
      <c r="D18" s="5"/>
      <c r="E18" s="68"/>
      <c r="F18" s="7"/>
      <c r="G18" s="223"/>
      <c r="H18" s="5"/>
      <c r="I18" s="68"/>
      <c r="J18" s="7"/>
      <c r="K18" s="223"/>
      <c r="L18" s="5"/>
      <c r="M18" s="68"/>
      <c r="N18" s="7"/>
      <c r="O18" s="225"/>
      <c r="P18" s="5"/>
      <c r="Q18" s="68"/>
      <c r="R18" s="7"/>
      <c r="S18" s="223"/>
      <c r="T18" s="5"/>
      <c r="V18" s="245"/>
      <c r="W18" s="245"/>
      <c r="X18" s="245"/>
      <c r="Y18" s="245"/>
      <c r="Z18" s="249"/>
      <c r="AA18" s="248"/>
    </row>
    <row r="19" spans="1:31" ht="21.75" thickTop="1" thickBot="1" x14ac:dyDescent="0.25">
      <c r="A19" s="68"/>
      <c r="B19" s="7"/>
      <c r="C19" s="223"/>
      <c r="D19" s="5"/>
      <c r="E19" s="68"/>
      <c r="F19" s="31"/>
      <c r="G19" s="228"/>
      <c r="H19" s="5"/>
      <c r="I19" s="68"/>
      <c r="J19" s="7"/>
      <c r="K19" s="223"/>
      <c r="L19" s="5"/>
      <c r="M19" s="68"/>
      <c r="N19" s="31"/>
      <c r="O19" s="31"/>
      <c r="P19" s="5"/>
      <c r="Q19" s="68"/>
      <c r="R19" s="7"/>
      <c r="S19" s="223"/>
      <c r="T19" s="5"/>
      <c r="AA19" s="221"/>
    </row>
    <row r="20" spans="1:31" ht="15" customHeight="1" thickTop="1" x14ac:dyDescent="0.2">
      <c r="A20" s="68"/>
      <c r="B20" s="31"/>
      <c r="C20" s="223"/>
      <c r="D20" s="5"/>
      <c r="E20" s="68"/>
      <c r="F20" s="31"/>
      <c r="G20" s="228"/>
      <c r="H20" s="5"/>
      <c r="I20" s="68"/>
      <c r="J20" s="31"/>
      <c r="K20" s="223"/>
      <c r="L20" s="5"/>
      <c r="M20" s="68"/>
      <c r="N20" s="31"/>
      <c r="O20" s="31"/>
      <c r="P20" s="5"/>
      <c r="Q20" s="68"/>
      <c r="R20" s="31"/>
      <c r="S20" s="223"/>
      <c r="T20" s="5"/>
      <c r="V20" s="245" t="s">
        <v>412</v>
      </c>
      <c r="W20" s="245"/>
      <c r="X20" s="245"/>
      <c r="Y20" s="245"/>
      <c r="Z20" s="249"/>
      <c r="AA20" s="246">
        <f>'%24HR_FTR TOL Appt'!I13</f>
        <v>1</v>
      </c>
      <c r="AD20" s="65"/>
      <c r="AE20" s="65"/>
    </row>
    <row r="21" spans="1:31" ht="15" customHeight="1" x14ac:dyDescent="0.2">
      <c r="A21" s="68" t="s">
        <v>57</v>
      </c>
      <c r="B21" s="31" t="s">
        <v>14</v>
      </c>
      <c r="C21" s="223"/>
      <c r="D21" s="5"/>
      <c r="E21" s="68" t="s">
        <v>57</v>
      </c>
      <c r="F21" s="31" t="s">
        <v>14</v>
      </c>
      <c r="G21" s="228"/>
      <c r="H21" s="5"/>
      <c r="I21" s="68" t="s">
        <v>57</v>
      </c>
      <c r="J21" s="31" t="s">
        <v>14</v>
      </c>
      <c r="K21" s="223"/>
      <c r="L21" s="5"/>
      <c r="M21" s="68" t="s">
        <v>57</v>
      </c>
      <c r="N21" s="31"/>
      <c r="O21" s="31"/>
      <c r="P21" s="5"/>
      <c r="Q21" s="68" t="s">
        <v>57</v>
      </c>
      <c r="R21" s="31" t="s">
        <v>14</v>
      </c>
      <c r="S21" s="223"/>
      <c r="T21" s="5"/>
      <c r="V21" s="245"/>
      <c r="W21" s="245"/>
      <c r="X21" s="245"/>
      <c r="Y21" s="245"/>
      <c r="Z21" s="249"/>
      <c r="AA21" s="247"/>
      <c r="AD21" s="65"/>
      <c r="AE21" s="65"/>
    </row>
    <row r="22" spans="1:31" ht="15" customHeight="1" x14ac:dyDescent="0.2">
      <c r="A22" s="68" t="s">
        <v>58</v>
      </c>
      <c r="B22" s="31" t="s">
        <v>14</v>
      </c>
      <c r="C22" s="223"/>
      <c r="D22" s="5"/>
      <c r="E22" s="68" t="s">
        <v>58</v>
      </c>
      <c r="F22" s="31" t="s">
        <v>14</v>
      </c>
      <c r="G22" s="228"/>
      <c r="H22" s="5"/>
      <c r="I22" s="68" t="s">
        <v>58</v>
      </c>
      <c r="J22" s="31" t="s">
        <v>14</v>
      </c>
      <c r="K22" s="223"/>
      <c r="L22" s="5"/>
      <c r="M22" s="68" t="s">
        <v>58</v>
      </c>
      <c r="N22" s="31"/>
      <c r="O22" s="31"/>
      <c r="P22" s="5"/>
      <c r="Q22" s="68" t="s">
        <v>58</v>
      </c>
      <c r="R22" s="31" t="s">
        <v>14</v>
      </c>
      <c r="S22" s="223"/>
      <c r="T22" s="5"/>
      <c r="V22" s="245"/>
      <c r="W22" s="245"/>
      <c r="X22" s="245"/>
      <c r="Y22" s="245"/>
      <c r="Z22" s="249"/>
      <c r="AA22" s="247"/>
      <c r="AD22" s="65"/>
      <c r="AE22" s="65"/>
    </row>
    <row r="23" spans="1:31" ht="15" customHeight="1" thickBot="1" x14ac:dyDescent="0.25">
      <c r="A23" s="68" t="s">
        <v>45</v>
      </c>
      <c r="B23" s="7" t="s">
        <v>13</v>
      </c>
      <c r="C23" s="228"/>
      <c r="D23" s="8"/>
      <c r="E23" s="68" t="s">
        <v>45</v>
      </c>
      <c r="F23" s="31"/>
      <c r="G23" s="228"/>
      <c r="H23" s="8"/>
      <c r="I23" s="68" t="s">
        <v>45</v>
      </c>
      <c r="J23" s="7" t="s">
        <v>13</v>
      </c>
      <c r="K23" s="228"/>
      <c r="L23" s="8"/>
      <c r="M23" s="68" t="s">
        <v>45</v>
      </c>
      <c r="N23" s="31"/>
      <c r="O23" s="31"/>
      <c r="P23" s="8"/>
      <c r="Q23" s="68" t="s">
        <v>45</v>
      </c>
      <c r="R23" s="7" t="s">
        <v>13</v>
      </c>
      <c r="S23" s="228"/>
      <c r="T23" s="8"/>
      <c r="V23" s="245"/>
      <c r="W23" s="245"/>
      <c r="X23" s="245"/>
      <c r="Y23" s="245"/>
      <c r="Z23" s="249"/>
      <c r="AA23" s="248"/>
      <c r="AD23" s="65"/>
      <c r="AE23" s="65"/>
    </row>
    <row r="24" spans="1:31" ht="15.75" thickTop="1" x14ac:dyDescent="0.2">
      <c r="A24" s="68" t="s">
        <v>46</v>
      </c>
      <c r="B24" s="225" t="s">
        <v>13</v>
      </c>
      <c r="C24" s="222"/>
      <c r="D24" s="5"/>
      <c r="E24" s="68" t="s">
        <v>46</v>
      </c>
      <c r="F24" s="7"/>
      <c r="G24" s="222"/>
      <c r="H24" s="5"/>
      <c r="I24" s="68" t="s">
        <v>46</v>
      </c>
      <c r="J24" s="225" t="s">
        <v>13</v>
      </c>
      <c r="K24" s="222"/>
      <c r="L24" s="5"/>
      <c r="M24" s="68" t="s">
        <v>46</v>
      </c>
      <c r="N24" s="31"/>
      <c r="O24" s="31"/>
      <c r="P24" s="5"/>
      <c r="Q24" s="68" t="s">
        <v>46</v>
      </c>
      <c r="R24" s="225" t="s">
        <v>13</v>
      </c>
      <c r="S24" s="222"/>
      <c r="T24" s="5"/>
      <c r="AD24" s="65"/>
      <c r="AE24" s="65"/>
    </row>
    <row r="25" spans="1:31" ht="15" x14ac:dyDescent="0.2">
      <c r="A25" s="68" t="s">
        <v>47</v>
      </c>
      <c r="B25" s="225" t="s">
        <v>14</v>
      </c>
      <c r="C25" s="223"/>
      <c r="D25" s="5"/>
      <c r="E25" s="68" t="s">
        <v>47</v>
      </c>
      <c r="F25" s="225"/>
      <c r="G25" s="223"/>
      <c r="H25" s="5"/>
      <c r="I25" s="68" t="s">
        <v>47</v>
      </c>
      <c r="J25" s="225" t="s">
        <v>14</v>
      </c>
      <c r="K25" s="223"/>
      <c r="L25" s="5"/>
      <c r="M25" s="68" t="s">
        <v>47</v>
      </c>
      <c r="N25" s="31"/>
      <c r="O25" s="31"/>
      <c r="P25" s="5"/>
      <c r="Q25" s="68" t="s">
        <v>47</v>
      </c>
      <c r="R25" s="225"/>
      <c r="S25" s="223"/>
      <c r="T25" s="5"/>
      <c r="AD25" s="65"/>
      <c r="AE25" s="65"/>
    </row>
    <row r="26" spans="1:31" ht="15" x14ac:dyDescent="0.2">
      <c r="A26" s="68" t="s">
        <v>48</v>
      </c>
      <c r="B26" s="225" t="s">
        <v>14</v>
      </c>
      <c r="C26" s="222"/>
      <c r="D26" s="5"/>
      <c r="E26" s="68" t="s">
        <v>48</v>
      </c>
      <c r="F26" s="225"/>
      <c r="G26" s="222"/>
      <c r="H26" s="5"/>
      <c r="I26" s="68" t="s">
        <v>48</v>
      </c>
      <c r="J26" s="225" t="s">
        <v>14</v>
      </c>
      <c r="K26" s="222"/>
      <c r="L26" s="5"/>
      <c r="M26" s="68" t="s">
        <v>48</v>
      </c>
      <c r="N26" s="31"/>
      <c r="O26" s="31"/>
      <c r="P26" s="5"/>
      <c r="Q26" s="68" t="s">
        <v>48</v>
      </c>
      <c r="R26" s="225"/>
      <c r="S26" s="222"/>
      <c r="T26" s="5"/>
      <c r="AD26" s="65"/>
      <c r="AE26" s="65"/>
    </row>
    <row r="27" spans="1:31" ht="15" x14ac:dyDescent="0.2">
      <c r="A27" s="68" t="s">
        <v>49</v>
      </c>
      <c r="B27" s="7" t="s">
        <v>14</v>
      </c>
      <c r="C27" s="223"/>
      <c r="D27" s="5"/>
      <c r="E27" s="68" t="s">
        <v>49</v>
      </c>
      <c r="F27" s="225"/>
      <c r="G27" s="223"/>
      <c r="H27" s="5"/>
      <c r="I27" s="68" t="s">
        <v>49</v>
      </c>
      <c r="J27" s="7" t="s">
        <v>14</v>
      </c>
      <c r="K27" s="223"/>
      <c r="L27" s="5"/>
      <c r="M27" s="68" t="s">
        <v>49</v>
      </c>
      <c r="N27" s="7"/>
      <c r="O27" s="7"/>
      <c r="P27" s="5"/>
      <c r="Q27" s="68" t="s">
        <v>49</v>
      </c>
      <c r="R27" s="7"/>
      <c r="S27" s="223"/>
      <c r="T27" s="5"/>
      <c r="AD27" s="65"/>
      <c r="AE27" s="65"/>
    </row>
    <row r="28" spans="1:31" ht="15" x14ac:dyDescent="0.2">
      <c r="A28" s="68"/>
      <c r="B28" s="7"/>
      <c r="C28" s="222"/>
      <c r="D28" s="5"/>
      <c r="E28" s="68"/>
      <c r="F28" s="7"/>
      <c r="G28" s="222"/>
      <c r="H28" s="5"/>
      <c r="I28" s="68"/>
      <c r="J28" s="7"/>
      <c r="K28" s="222"/>
      <c r="L28" s="5"/>
      <c r="M28" s="68"/>
      <c r="N28" s="7"/>
      <c r="O28" s="225"/>
      <c r="P28" s="5"/>
      <c r="Q28" s="68"/>
      <c r="R28" s="7"/>
      <c r="S28" s="222"/>
      <c r="T28" s="5"/>
      <c r="AD28" s="65"/>
      <c r="AE28" s="65"/>
    </row>
    <row r="29" spans="1:31" ht="15" x14ac:dyDescent="0.2">
      <c r="A29" s="68"/>
      <c r="B29" s="7"/>
      <c r="C29" s="223"/>
      <c r="D29" s="5"/>
      <c r="E29" s="68"/>
      <c r="F29" s="225"/>
      <c r="G29" s="223"/>
      <c r="H29" s="5"/>
      <c r="I29" s="68"/>
      <c r="J29" s="7"/>
      <c r="K29" s="223"/>
      <c r="L29" s="5"/>
      <c r="M29" s="68"/>
      <c r="N29" s="7"/>
      <c r="O29" s="225"/>
      <c r="P29" s="5"/>
      <c r="Q29" s="68"/>
      <c r="R29" s="7"/>
      <c r="S29" s="223"/>
      <c r="T29" s="5"/>
      <c r="AD29" s="65"/>
      <c r="AE29" s="65"/>
    </row>
    <row r="30" spans="1:31" ht="15" x14ac:dyDescent="0.2">
      <c r="A30" s="68"/>
      <c r="B30" s="7"/>
      <c r="C30" s="222"/>
      <c r="D30" s="5"/>
      <c r="E30" s="68"/>
      <c r="F30" s="7"/>
      <c r="G30" s="222"/>
      <c r="H30" s="5"/>
      <c r="I30" s="68"/>
      <c r="J30" s="7"/>
      <c r="K30" s="222"/>
      <c r="L30" s="5"/>
      <c r="M30" s="68"/>
      <c r="N30" s="225"/>
      <c r="O30" s="225"/>
      <c r="P30" s="5"/>
      <c r="Q30" s="68"/>
      <c r="R30" s="7"/>
      <c r="S30" s="222"/>
      <c r="T30" s="5"/>
      <c r="AD30" s="65"/>
      <c r="AE30" s="65"/>
    </row>
    <row r="31" spans="1:31" ht="15.75" thickBot="1" x14ac:dyDescent="0.25">
      <c r="A31" s="68"/>
      <c r="B31" s="7"/>
      <c r="C31" s="223"/>
      <c r="D31" s="5"/>
      <c r="E31" s="68"/>
      <c r="F31" s="225"/>
      <c r="G31" s="223"/>
      <c r="H31" s="5"/>
      <c r="I31" s="68"/>
      <c r="J31" s="7"/>
      <c r="K31" s="223"/>
      <c r="L31" s="5"/>
      <c r="M31" s="68"/>
      <c r="N31" s="225"/>
      <c r="O31" s="225"/>
      <c r="P31" s="5"/>
      <c r="Q31" s="68"/>
      <c r="R31" s="7"/>
      <c r="S31" s="223"/>
      <c r="T31" s="5"/>
      <c r="Z31" s="65"/>
      <c r="AA31" s="65"/>
      <c r="AB31" s="65"/>
      <c r="AC31" s="65"/>
      <c r="AD31" s="65"/>
      <c r="AE31" s="65"/>
    </row>
    <row r="32" spans="1:31" ht="15.75" thickBot="1" x14ac:dyDescent="0.3">
      <c r="A32" s="272" t="s">
        <v>2</v>
      </c>
      <c r="B32" s="273"/>
      <c r="C32" s="273"/>
      <c r="D32" s="274"/>
      <c r="E32" s="272" t="s">
        <v>3</v>
      </c>
      <c r="F32" s="273"/>
      <c r="G32" s="273"/>
      <c r="H32" s="274"/>
      <c r="I32" s="272" t="s">
        <v>4</v>
      </c>
      <c r="J32" s="273"/>
      <c r="K32" s="273"/>
      <c r="L32" s="274"/>
      <c r="M32" s="272" t="s">
        <v>5</v>
      </c>
      <c r="N32" s="273"/>
      <c r="O32" s="273"/>
      <c r="P32" s="274"/>
      <c r="Q32" s="272" t="s">
        <v>6</v>
      </c>
      <c r="R32" s="273"/>
      <c r="S32" s="273"/>
      <c r="T32" s="274"/>
      <c r="U32" s="272" t="s">
        <v>15</v>
      </c>
      <c r="V32" s="273"/>
      <c r="W32" s="274"/>
      <c r="Z32" s="65"/>
      <c r="AA32" s="65"/>
      <c r="AB32" s="65"/>
      <c r="AC32" s="65"/>
      <c r="AD32" s="65"/>
      <c r="AE32" s="65"/>
    </row>
    <row r="33" spans="1:31" ht="15.75" thickBot="1" x14ac:dyDescent="0.3">
      <c r="A33" s="10" t="s">
        <v>8</v>
      </c>
      <c r="B33" s="268" t="s">
        <v>16</v>
      </c>
      <c r="C33" s="269"/>
      <c r="D33" s="10" t="s">
        <v>17</v>
      </c>
      <c r="E33" s="10" t="s">
        <v>8</v>
      </c>
      <c r="F33" s="268" t="s">
        <v>16</v>
      </c>
      <c r="G33" s="269"/>
      <c r="H33" s="10" t="s">
        <v>17</v>
      </c>
      <c r="I33" s="10" t="s">
        <v>8</v>
      </c>
      <c r="J33" s="268" t="s">
        <v>16</v>
      </c>
      <c r="K33" s="269"/>
      <c r="L33" s="10" t="s">
        <v>17</v>
      </c>
      <c r="M33" s="10" t="s">
        <v>8</v>
      </c>
      <c r="N33" s="268" t="s">
        <v>16</v>
      </c>
      <c r="O33" s="269"/>
      <c r="P33" s="10" t="s">
        <v>17</v>
      </c>
      <c r="Q33" s="10" t="s">
        <v>8</v>
      </c>
      <c r="R33" s="268" t="s">
        <v>16</v>
      </c>
      <c r="S33" s="269"/>
      <c r="T33" s="10" t="s">
        <v>17</v>
      </c>
      <c r="U33" s="10" t="s">
        <v>8</v>
      </c>
      <c r="V33" s="10" t="s">
        <v>16</v>
      </c>
      <c r="W33" s="10" t="s">
        <v>17</v>
      </c>
      <c r="Z33" s="65"/>
      <c r="AA33" s="65"/>
      <c r="AB33" s="65"/>
      <c r="AC33" s="65"/>
      <c r="AD33" s="65"/>
      <c r="AE33" s="91"/>
    </row>
    <row r="34" spans="1:31" ht="15" x14ac:dyDescent="0.2">
      <c r="A34" s="15" t="s">
        <v>13</v>
      </c>
      <c r="B34" s="270">
        <f>COUNTIF(A5:D31,"24HR")</f>
        <v>7</v>
      </c>
      <c r="C34" s="271"/>
      <c r="D34" s="16">
        <f>B34/B39</f>
        <v>0.3888888888888889</v>
      </c>
      <c r="E34" s="15" t="s">
        <v>13</v>
      </c>
      <c r="F34" s="270">
        <f>COUNTIF(E5:H31,"24HR")</f>
        <v>5</v>
      </c>
      <c r="G34" s="271"/>
      <c r="H34" s="17">
        <f>F34/F$39</f>
        <v>0.38461538461538464</v>
      </c>
      <c r="I34" s="15" t="s">
        <v>13</v>
      </c>
      <c r="J34" s="270">
        <f>COUNTIF(I5:L31,"24HR")</f>
        <v>7</v>
      </c>
      <c r="K34" s="271"/>
      <c r="L34" s="17">
        <f>J34/J$39</f>
        <v>0.3888888888888889</v>
      </c>
      <c r="M34" s="14" t="s">
        <v>13</v>
      </c>
      <c r="N34" s="270">
        <f>COUNTIF(M5:P31,"24HR")</f>
        <v>3</v>
      </c>
      <c r="O34" s="271"/>
      <c r="P34" s="17">
        <f>N34/N$39</f>
        <v>0.375</v>
      </c>
      <c r="Q34" s="14" t="s">
        <v>13</v>
      </c>
      <c r="R34" s="270">
        <f>COUNTIF(Q5:T31,"24HR")</f>
        <v>7</v>
      </c>
      <c r="S34" s="271"/>
      <c r="T34" s="17">
        <f>R34/R$39</f>
        <v>0.46666666666666667</v>
      </c>
      <c r="U34" s="87" t="s">
        <v>13</v>
      </c>
      <c r="V34" s="15">
        <f t="shared" ref="V34:V38" si="0">SUM(B34,F34,J34,N34,R34)</f>
        <v>29</v>
      </c>
      <c r="W34" s="17">
        <f>V34/V39</f>
        <v>0.40277777777777779</v>
      </c>
      <c r="Z34" s="65"/>
      <c r="AA34" s="65"/>
      <c r="AB34" s="65"/>
      <c r="AC34" s="65"/>
      <c r="AD34" s="65"/>
      <c r="AE34" s="91"/>
    </row>
    <row r="35" spans="1:31" ht="15" x14ac:dyDescent="0.2">
      <c r="A35" s="11" t="s">
        <v>14</v>
      </c>
      <c r="B35" s="263">
        <f>COUNTIF($A$5:$D$31,"FTR")</f>
        <v>11</v>
      </c>
      <c r="C35" s="264"/>
      <c r="D35" s="13">
        <f>B35/B$39</f>
        <v>0.61111111111111116</v>
      </c>
      <c r="E35" s="11" t="s">
        <v>14</v>
      </c>
      <c r="F35" s="263">
        <f>COUNTIF(E5:H31,"FTR")</f>
        <v>8</v>
      </c>
      <c r="G35" s="264"/>
      <c r="H35" s="12">
        <f>F35/F$39</f>
        <v>0.61538461538461542</v>
      </c>
      <c r="I35" s="11" t="s">
        <v>14</v>
      </c>
      <c r="J35" s="263">
        <f>COUNTIF(I5:L31,"FTR")</f>
        <v>11</v>
      </c>
      <c r="K35" s="264"/>
      <c r="L35" s="12">
        <f>J35/J$39</f>
        <v>0.61111111111111116</v>
      </c>
      <c r="M35" s="18" t="s">
        <v>14</v>
      </c>
      <c r="N35" s="263">
        <f>COUNTIF(M5:P31,"FTR")</f>
        <v>5</v>
      </c>
      <c r="O35" s="264"/>
      <c r="P35" s="12">
        <f>N35/N$39</f>
        <v>0.625</v>
      </c>
      <c r="Q35" s="18" t="s">
        <v>14</v>
      </c>
      <c r="R35" s="263">
        <f>COUNTIF(Q5:T31,"FTR")</f>
        <v>8</v>
      </c>
      <c r="S35" s="264"/>
      <c r="T35" s="12">
        <f>R35/R$39</f>
        <v>0.53333333333333333</v>
      </c>
      <c r="U35" s="86" t="s">
        <v>14</v>
      </c>
      <c r="V35" s="11">
        <f t="shared" si="0"/>
        <v>43</v>
      </c>
      <c r="W35" s="12">
        <f>V35/V39</f>
        <v>0.59722222222222221</v>
      </c>
      <c r="Z35" s="65"/>
      <c r="AA35" s="65"/>
      <c r="AB35" s="65"/>
      <c r="AC35" s="65"/>
      <c r="AD35" s="65"/>
      <c r="AE35" s="65"/>
    </row>
    <row r="36" spans="1:31" ht="15" x14ac:dyDescent="0.2">
      <c r="A36" s="11" t="s">
        <v>12</v>
      </c>
      <c r="B36" s="263">
        <f>COUNTIF(A5:D31,"SPEC")</f>
        <v>0</v>
      </c>
      <c r="C36" s="264"/>
      <c r="D36" s="13">
        <f>B36/B39</f>
        <v>0</v>
      </c>
      <c r="E36" s="11" t="s">
        <v>12</v>
      </c>
      <c r="F36" s="263">
        <f>COUNTIF(E5:H31,"SPEC")</f>
        <v>0</v>
      </c>
      <c r="G36" s="264"/>
      <c r="H36" s="12">
        <f>F36/F39</f>
        <v>0</v>
      </c>
      <c r="I36" s="11" t="s">
        <v>12</v>
      </c>
      <c r="J36" s="263">
        <f>COUNTIF(I5:L31,"SPEC")</f>
        <v>0</v>
      </c>
      <c r="K36" s="264"/>
      <c r="L36" s="12">
        <f>J36/J39</f>
        <v>0</v>
      </c>
      <c r="M36" s="18" t="s">
        <v>12</v>
      </c>
      <c r="N36" s="263">
        <f>COUNTIF(M5:P31,"SPEC")</f>
        <v>0</v>
      </c>
      <c r="O36" s="264"/>
      <c r="P36" s="12">
        <f>N36/N39</f>
        <v>0</v>
      </c>
      <c r="Q36" s="18" t="s">
        <v>12</v>
      </c>
      <c r="R36" s="263">
        <f>COUNTIF(Q5:T31,"SPEC")</f>
        <v>0</v>
      </c>
      <c r="S36" s="264"/>
      <c r="T36" s="12">
        <f>R36/R39</f>
        <v>0</v>
      </c>
      <c r="U36" s="86" t="s">
        <v>12</v>
      </c>
      <c r="V36" s="11">
        <f t="shared" si="0"/>
        <v>0</v>
      </c>
      <c r="W36" s="12">
        <f>V36/V39</f>
        <v>0</v>
      </c>
      <c r="Z36" s="65"/>
      <c r="AA36" s="65"/>
      <c r="AB36" s="65"/>
      <c r="AC36" s="65"/>
      <c r="AD36" s="65"/>
      <c r="AE36" s="65"/>
    </row>
    <row r="37" spans="1:31" ht="15" x14ac:dyDescent="0.2">
      <c r="A37" s="143" t="s">
        <v>403</v>
      </c>
      <c r="B37" s="263">
        <f>COUNTIF(B5:B31,"PROC")</f>
        <v>0</v>
      </c>
      <c r="C37" s="264"/>
      <c r="D37" s="12">
        <f>B37/B39</f>
        <v>0</v>
      </c>
      <c r="E37" s="117" t="s">
        <v>403</v>
      </c>
      <c r="F37" s="263">
        <f>COUNTIF(E5:H31,"PROC")</f>
        <v>0</v>
      </c>
      <c r="G37" s="264"/>
      <c r="H37" s="12">
        <f>F37/F39</f>
        <v>0</v>
      </c>
      <c r="I37" s="117" t="s">
        <v>403</v>
      </c>
      <c r="J37" s="263">
        <f>COUNTIF(I5:L31,"PROC")</f>
        <v>0</v>
      </c>
      <c r="K37" s="264"/>
      <c r="L37" s="12">
        <f>J37/J39</f>
        <v>0</v>
      </c>
      <c r="M37" s="117" t="s">
        <v>403</v>
      </c>
      <c r="N37" s="263">
        <f>COUNTIF(M5:P31,"proc")</f>
        <v>0</v>
      </c>
      <c r="O37" s="264"/>
      <c r="P37" s="12">
        <f>N37/N39</f>
        <v>0</v>
      </c>
      <c r="Q37" s="117" t="s">
        <v>403</v>
      </c>
      <c r="R37" s="263">
        <f>COUNTIF(Q5:T31,"proc")</f>
        <v>0</v>
      </c>
      <c r="S37" s="264"/>
      <c r="T37" s="12">
        <f>R37/R39</f>
        <v>0</v>
      </c>
      <c r="U37" s="11" t="s">
        <v>403</v>
      </c>
      <c r="V37" s="11">
        <f t="shared" si="0"/>
        <v>0</v>
      </c>
      <c r="W37" s="13">
        <f>V37/V39</f>
        <v>0</v>
      </c>
      <c r="Z37" s="65"/>
      <c r="AA37" s="65"/>
      <c r="AB37" s="65"/>
      <c r="AC37" s="65"/>
      <c r="AD37" s="65"/>
      <c r="AE37" s="65"/>
    </row>
    <row r="38" spans="1:31" ht="15.75" thickBot="1" x14ac:dyDescent="0.25">
      <c r="A38" s="190" t="s">
        <v>404</v>
      </c>
      <c r="B38" s="302">
        <f>COUNTIF(B5:B31,"GRP")</f>
        <v>0</v>
      </c>
      <c r="C38" s="303"/>
      <c r="D38" s="191">
        <f>B38/B39</f>
        <v>0</v>
      </c>
      <c r="E38" s="117" t="s">
        <v>404</v>
      </c>
      <c r="F38" s="263">
        <f>COUNTIF(E5:H31,"GRP")</f>
        <v>0</v>
      </c>
      <c r="G38" s="264"/>
      <c r="H38" s="12">
        <f>F38/F39</f>
        <v>0</v>
      </c>
      <c r="I38" s="117" t="s">
        <v>404</v>
      </c>
      <c r="J38" s="263">
        <f>COUNTIF(I5:L31,"GRP")</f>
        <v>0</v>
      </c>
      <c r="K38" s="264"/>
      <c r="L38" s="12">
        <f>J38/J39</f>
        <v>0</v>
      </c>
      <c r="M38" s="117" t="s">
        <v>404</v>
      </c>
      <c r="N38" s="263">
        <f>COUNTIF(M5:P31,"GRP")</f>
        <v>0</v>
      </c>
      <c r="O38" s="264"/>
      <c r="P38" s="12">
        <f>N38/N39</f>
        <v>0</v>
      </c>
      <c r="Q38" s="11" t="s">
        <v>404</v>
      </c>
      <c r="R38" s="301">
        <f>COUNTIF(Q5:T31,"grp")</f>
        <v>0</v>
      </c>
      <c r="S38" s="264"/>
      <c r="T38" s="12">
        <f>R38/R39</f>
        <v>0</v>
      </c>
      <c r="U38" s="11" t="s">
        <v>404</v>
      </c>
      <c r="V38" s="11">
        <f t="shared" si="0"/>
        <v>0</v>
      </c>
      <c r="W38" s="13">
        <f>V38/V39</f>
        <v>0</v>
      </c>
      <c r="Z38" s="65"/>
      <c r="AA38" s="65"/>
      <c r="AB38" s="65"/>
      <c r="AC38" s="65"/>
      <c r="AD38" s="65"/>
      <c r="AE38" s="65"/>
    </row>
    <row r="39" spans="1:31" ht="16.5" thickTop="1" thickBot="1" x14ac:dyDescent="0.25">
      <c r="A39" s="198" t="s">
        <v>18</v>
      </c>
      <c r="B39" s="266">
        <f>SUM(B34:C38)</f>
        <v>18</v>
      </c>
      <c r="C39" s="267"/>
      <c r="D39" s="19">
        <f>SUM(D34:D38)</f>
        <v>1</v>
      </c>
      <c r="E39" s="23" t="s">
        <v>18</v>
      </c>
      <c r="F39" s="266">
        <f>SUM(F34:G38)</f>
        <v>13</v>
      </c>
      <c r="G39" s="267"/>
      <c r="H39" s="19">
        <f>SUM(H34:H38)</f>
        <v>1</v>
      </c>
      <c r="I39" s="23" t="s">
        <v>18</v>
      </c>
      <c r="J39" s="266">
        <f>SUM(J34:K38)</f>
        <v>18</v>
      </c>
      <c r="K39" s="267"/>
      <c r="L39" s="19">
        <f>SUM(L34:L38)</f>
        <v>1</v>
      </c>
      <c r="M39" s="23" t="s">
        <v>18</v>
      </c>
      <c r="N39" s="266">
        <f>SUM(N34:O38)</f>
        <v>8</v>
      </c>
      <c r="O39" s="267"/>
      <c r="P39" s="19">
        <f>SUM(P34:P38)</f>
        <v>1</v>
      </c>
      <c r="Q39" s="23" t="s">
        <v>18</v>
      </c>
      <c r="R39" s="266">
        <f>SUM(R34:S38)</f>
        <v>15</v>
      </c>
      <c r="S39" s="267"/>
      <c r="T39" s="19">
        <f>SUM(T34:T38)</f>
        <v>1</v>
      </c>
      <c r="U39" s="20" t="s">
        <v>18</v>
      </c>
      <c r="V39" s="21">
        <f>SUM(V34:V38)</f>
        <v>72</v>
      </c>
      <c r="W39" s="22">
        <f>SUM(W34:W38)</f>
        <v>1</v>
      </c>
      <c r="Z39" s="65"/>
      <c r="AA39" s="65"/>
      <c r="AB39" s="65"/>
      <c r="AC39" s="65"/>
      <c r="AD39" s="65"/>
      <c r="AE39" s="65"/>
    </row>
    <row r="40" spans="1:31" ht="16.5" thickTop="1" thickBot="1" x14ac:dyDescent="0.3">
      <c r="A40" s="253" t="s">
        <v>365</v>
      </c>
      <c r="B40" s="254"/>
      <c r="C40" s="254"/>
      <c r="D40" s="255"/>
      <c r="E40" s="253" t="s">
        <v>366</v>
      </c>
      <c r="F40" s="254"/>
      <c r="G40" s="254"/>
      <c r="H40" s="255"/>
      <c r="I40" s="88"/>
      <c r="J40" s="88"/>
      <c r="K40" s="88"/>
      <c r="L40" s="89"/>
      <c r="M40" s="88"/>
      <c r="N40" s="88"/>
      <c r="O40" s="88"/>
      <c r="P40" s="89"/>
      <c r="Q40" s="7"/>
      <c r="R40" s="7"/>
      <c r="S40" s="24"/>
      <c r="T40" s="25"/>
      <c r="Z40" s="65"/>
      <c r="AA40" s="65"/>
      <c r="AB40" s="65"/>
      <c r="AC40" s="65"/>
      <c r="AD40" s="65"/>
      <c r="AE40" s="65"/>
    </row>
    <row r="41" spans="1:31" s="25" customFormat="1" ht="15.75" thickBot="1" x14ac:dyDescent="0.3">
      <c r="A41" s="26" t="s">
        <v>8</v>
      </c>
      <c r="B41" s="261" t="s">
        <v>16</v>
      </c>
      <c r="C41" s="262"/>
      <c r="D41" s="27" t="s">
        <v>17</v>
      </c>
      <c r="E41" s="26" t="s">
        <v>8</v>
      </c>
      <c r="F41" s="261" t="s">
        <v>16</v>
      </c>
      <c r="G41" s="262"/>
      <c r="H41" s="27" t="s">
        <v>17</v>
      </c>
      <c r="I41"/>
      <c r="Q41"/>
      <c r="R41"/>
      <c r="S41"/>
      <c r="T41"/>
      <c r="V41" s="65"/>
      <c r="W41" s="65"/>
      <c r="X41" s="65"/>
      <c r="Y41" s="65"/>
      <c r="Z41" s="65"/>
      <c r="AA41" s="65"/>
    </row>
    <row r="42" spans="1:31" s="25" customFormat="1" ht="15.75" thickBot="1" x14ac:dyDescent="0.25">
      <c r="A42" s="28" t="s">
        <v>362</v>
      </c>
      <c r="B42" s="263">
        <f>COUNTIF(A3:T31,"HC*")</f>
        <v>0</v>
      </c>
      <c r="C42" s="264"/>
      <c r="D42" s="13">
        <f>B42/B44</f>
        <v>0</v>
      </c>
      <c r="E42" s="141" t="s">
        <v>363</v>
      </c>
      <c r="F42" s="286">
        <f>COUNTIF(A4:X31,"*WEX*")+COUNTIF(A4:X31,"*BO*")+COUNTIF(A4:X31,"*PHA*")</f>
        <v>0</v>
      </c>
      <c r="G42" s="287"/>
      <c r="H42" s="142">
        <f>F42/B44</f>
        <v>0</v>
      </c>
      <c r="I42"/>
      <c r="Q42"/>
      <c r="R42"/>
      <c r="S42"/>
      <c r="T42"/>
      <c r="U42"/>
      <c r="V42"/>
      <c r="W42"/>
      <c r="X42" s="65"/>
      <c r="Y42" s="65"/>
    </row>
    <row r="43" spans="1:31" s="25" customFormat="1" ht="15.75" thickBot="1" x14ac:dyDescent="0.25">
      <c r="A43" s="132" t="s">
        <v>364</v>
      </c>
      <c r="B43" s="263">
        <f>COUNTIFS(N5:N31,"*",O5:O31,"&lt;&gt;*")+COUNTIFS(R5:R31,"*",S5:S31,"&lt;&gt;*")+COUNTIFS(J5:J31,"*",K5:K31,"&lt;&gt;*")+COUNTIFS(F5:F31,"*",G5:G31,"&lt;&gt;*")+COUNTIFS(B5:B31,"*",C5:C31,"&lt;&gt;*")</f>
        <v>72</v>
      </c>
      <c r="C43" s="264"/>
      <c r="D43" s="13">
        <f>B43/B44</f>
        <v>1</v>
      </c>
      <c r="E43"/>
      <c r="F43"/>
      <c r="G43"/>
      <c r="H43"/>
      <c r="I43"/>
      <c r="Q43"/>
      <c r="R43"/>
      <c r="S43"/>
      <c r="T43"/>
      <c r="U43"/>
      <c r="V43"/>
      <c r="W43"/>
      <c r="X43" s="65"/>
      <c r="Y43" s="65"/>
      <c r="Z43" s="65"/>
      <c r="AA43" s="65"/>
    </row>
    <row r="44" spans="1:31" s="25" customFormat="1" ht="15" thickBot="1" x14ac:dyDescent="0.25">
      <c r="A44" s="29" t="s">
        <v>18</v>
      </c>
      <c r="B44" s="265">
        <f>SUM(B42:C43)</f>
        <v>72</v>
      </c>
      <c r="C44" s="265"/>
      <c r="D44" s="67">
        <f>SUM(D42:D43)</f>
        <v>1</v>
      </c>
      <c r="E44"/>
      <c r="F44"/>
      <c r="G44"/>
      <c r="H44"/>
      <c r="I44"/>
      <c r="Q44"/>
      <c r="R44"/>
      <c r="S44"/>
      <c r="T44"/>
      <c r="U44"/>
      <c r="V44"/>
      <c r="W44"/>
    </row>
    <row r="46" spans="1:31" x14ac:dyDescent="0.2">
      <c r="E46" s="138"/>
      <c r="F46" s="139"/>
      <c r="G46" s="7"/>
      <c r="H46" s="197"/>
    </row>
    <row r="52" spans="1:27" ht="15" thickBot="1" x14ac:dyDescent="0.25"/>
    <row r="53" spans="1:27" x14ac:dyDescent="0.2">
      <c r="A53" s="256" t="s">
        <v>149</v>
      </c>
      <c r="B53" s="257"/>
      <c r="C53" s="257"/>
      <c r="D53" s="257"/>
      <c r="E53" s="257"/>
      <c r="F53" s="257"/>
      <c r="G53" s="258"/>
      <c r="H53" s="256" t="s">
        <v>150</v>
      </c>
      <c r="I53" s="257"/>
      <c r="J53" s="257"/>
      <c r="K53" s="257"/>
      <c r="L53" s="257"/>
      <c r="M53" s="259"/>
      <c r="N53" s="288" t="s">
        <v>348</v>
      </c>
      <c r="O53" s="289"/>
      <c r="P53" s="289"/>
      <c r="Q53" s="289"/>
      <c r="R53" s="289"/>
      <c r="S53" s="289"/>
      <c r="T53" s="290"/>
    </row>
    <row r="54" spans="1:27" ht="15" x14ac:dyDescent="0.2">
      <c r="A54" s="250" t="s">
        <v>106</v>
      </c>
      <c r="B54" s="251"/>
      <c r="C54" s="251" t="s">
        <v>107</v>
      </c>
      <c r="D54" s="251"/>
      <c r="E54" s="251"/>
      <c r="F54" s="251"/>
      <c r="G54" s="260"/>
      <c r="H54" s="250" t="s">
        <v>344</v>
      </c>
      <c r="I54" s="251"/>
      <c r="J54" s="251"/>
      <c r="K54" s="251" t="s">
        <v>152</v>
      </c>
      <c r="L54" s="251"/>
      <c r="M54" s="252"/>
      <c r="N54" s="294" t="s">
        <v>349</v>
      </c>
      <c r="O54" s="295"/>
      <c r="P54" s="295"/>
      <c r="Q54" s="295"/>
      <c r="R54" s="279">
        <f>K56</f>
        <v>80</v>
      </c>
      <c r="S54" s="279"/>
      <c r="T54" s="293"/>
    </row>
    <row r="55" spans="1:27" ht="15" x14ac:dyDescent="0.25">
      <c r="A55" s="250" t="s">
        <v>114</v>
      </c>
      <c r="B55" s="251"/>
      <c r="C55" s="251" t="s">
        <v>121</v>
      </c>
      <c r="D55" s="251"/>
      <c r="E55" s="251"/>
      <c r="F55" s="251"/>
      <c r="G55" s="260"/>
      <c r="H55" s="250" t="s">
        <v>347</v>
      </c>
      <c r="I55" s="251"/>
      <c r="J55" s="251"/>
      <c r="K55" s="251" t="s">
        <v>154</v>
      </c>
      <c r="L55" s="251"/>
      <c r="M55" s="252"/>
      <c r="N55" s="297" t="s">
        <v>357</v>
      </c>
      <c r="O55" s="298"/>
      <c r="P55" s="298"/>
      <c r="Q55" s="298"/>
      <c r="R55" s="291">
        <f>IFERROR(R54-(R54*C56),R54)</f>
        <v>72</v>
      </c>
      <c r="S55" s="291"/>
      <c r="T55" s="292"/>
    </row>
    <row r="56" spans="1:27" ht="15" thickBot="1" x14ac:dyDescent="0.25">
      <c r="A56" s="280" t="s">
        <v>144</v>
      </c>
      <c r="B56" s="281"/>
      <c r="C56" s="281">
        <f>VLOOKUP(Fleming_64!C55,'Standard Adjustments'!B3:C36,2,FALSE)</f>
        <v>0.1</v>
      </c>
      <c r="D56" s="281"/>
      <c r="E56" s="281"/>
      <c r="F56" s="281"/>
      <c r="G56" s="282"/>
      <c r="H56" s="280" t="s">
        <v>150</v>
      </c>
      <c r="I56" s="281"/>
      <c r="J56" s="281"/>
      <c r="K56" s="281">
        <f>VLOOKUP(K55,'Appointment Targets'!B153:C154,2,FALSE)</f>
        <v>80</v>
      </c>
      <c r="L56" s="281"/>
      <c r="M56" s="296"/>
      <c r="N56" s="299" t="s">
        <v>350</v>
      </c>
      <c r="O56" s="300"/>
      <c r="P56" s="300"/>
      <c r="Q56" s="300"/>
      <c r="R56" s="281" t="str">
        <f>IF(V39=R55,"Provider at appointment standard.",IF(V39&gt;R55,"Over"&amp;" "&amp;V39-R55&amp;" "&amp;"appointments","Short"&amp;" "&amp;ABS(V39-R55)&amp;" "&amp;"appointments"))</f>
        <v>Provider at appointment standard.</v>
      </c>
      <c r="S56" s="281"/>
      <c r="T56" s="282"/>
    </row>
    <row r="60" spans="1:27" ht="15" x14ac:dyDescent="0.2">
      <c r="A60" s="6"/>
      <c r="B60" s="279" t="s">
        <v>19</v>
      </c>
      <c r="C60" s="279"/>
      <c r="D60" s="279"/>
      <c r="E60" s="279"/>
      <c r="F60" s="279"/>
      <c r="G60" s="30"/>
      <c r="H60" s="31"/>
      <c r="I60" s="279" t="s">
        <v>20</v>
      </c>
      <c r="J60" s="279"/>
      <c r="K60" s="279"/>
      <c r="L60" s="279"/>
      <c r="M60" s="279"/>
      <c r="N60" s="30"/>
      <c r="P60" s="279" t="s">
        <v>21</v>
      </c>
      <c r="Q60" s="279"/>
      <c r="R60" s="279"/>
      <c r="S60" s="279"/>
      <c r="T60" s="279"/>
      <c r="U60" s="30"/>
      <c r="W60" s="283" t="s">
        <v>22</v>
      </c>
      <c r="X60" s="284"/>
      <c r="Y60" s="284"/>
      <c r="Z60" s="284"/>
      <c r="AA60" s="285"/>
    </row>
    <row r="61" spans="1:27" ht="15" x14ac:dyDescent="0.2">
      <c r="A61" s="6"/>
      <c r="B61" s="32" t="s">
        <v>2</v>
      </c>
      <c r="C61" s="33" t="s">
        <v>3</v>
      </c>
      <c r="D61" s="32" t="s">
        <v>4</v>
      </c>
      <c r="E61" s="32" t="s">
        <v>5</v>
      </c>
      <c r="F61" s="32" t="s">
        <v>6</v>
      </c>
      <c r="G61" s="30"/>
      <c r="H61" s="31"/>
      <c r="I61" s="32" t="s">
        <v>2</v>
      </c>
      <c r="J61" s="32" t="s">
        <v>3</v>
      </c>
      <c r="K61" s="32" t="s">
        <v>4</v>
      </c>
      <c r="L61" s="32" t="s">
        <v>5</v>
      </c>
      <c r="M61" s="32" t="s">
        <v>6</v>
      </c>
      <c r="N61" s="30"/>
      <c r="P61" s="32" t="s">
        <v>2</v>
      </c>
      <c r="Q61" s="32" t="s">
        <v>3</v>
      </c>
      <c r="R61" s="32" t="s">
        <v>4</v>
      </c>
      <c r="S61" s="32" t="s">
        <v>5</v>
      </c>
      <c r="T61" s="32" t="s">
        <v>6</v>
      </c>
      <c r="U61" s="30"/>
      <c r="W61" s="32" t="s">
        <v>2</v>
      </c>
      <c r="X61" s="32" t="s">
        <v>3</v>
      </c>
      <c r="Y61" s="32" t="s">
        <v>4</v>
      </c>
      <c r="Z61" s="32" t="s">
        <v>5</v>
      </c>
      <c r="AA61" s="32" t="s">
        <v>6</v>
      </c>
    </row>
    <row r="62" spans="1:27" ht="15" x14ac:dyDescent="0.25">
      <c r="A62" s="136">
        <v>700</v>
      </c>
      <c r="B62" s="35" t="str">
        <f>IF(COUNTIFS(A5:A31,"7*",B5:B31,"*"),"MET","NOT MET")</f>
        <v>MET</v>
      </c>
      <c r="C62" s="35" t="str">
        <f>IF(COUNTIFS(E5:E31,"7*",F5:F31,"*"),"MET","NOT MET")</f>
        <v>MET</v>
      </c>
      <c r="D62" s="35" t="str">
        <f>IF(COUNTIFS($I$5:$I$31,"7*",$J$5:$J$31,"*"),"MET","NOT MET")</f>
        <v>MET</v>
      </c>
      <c r="E62" s="35" t="str">
        <f>IF(COUNTIFS($M$5:$M$31,"7*",$N$5:$N$31,"*"),"MET","NOT MET")</f>
        <v>MET</v>
      </c>
      <c r="F62" s="35" t="str">
        <f>IF(COUNTIFS($Q$5:$Q$31,"7*",$R$5:$R$31,"*"),"MET","NOT MET")</f>
        <v>MET</v>
      </c>
      <c r="G62" s="30"/>
      <c r="H62" s="134">
        <v>700</v>
      </c>
      <c r="I62" s="35">
        <f>COUNTIFS($A$5:$A$31,"7*",$B$5:$B$31,"*")</f>
        <v>1</v>
      </c>
      <c r="J62" s="35">
        <f>COUNTIFS($E$5:$E$31,"7*",$F$5:$F$31,"*")</f>
        <v>1</v>
      </c>
      <c r="K62" s="35">
        <f>COUNTIFS($I$5:$I$31,"7*",$J$5:$J$31,"*")</f>
        <v>1</v>
      </c>
      <c r="L62" s="35">
        <f>COUNTIFS($M$5:$M$31,"7*",$N$5:$N$31,"*")</f>
        <v>1</v>
      </c>
      <c r="M62" s="35">
        <f>(COUNTIFS($Q$5:$Q$31,"7*",$R$5:$R$31,"*"))</f>
        <v>1</v>
      </c>
      <c r="N62" s="30"/>
      <c r="O62" s="38">
        <v>700</v>
      </c>
      <c r="P62" s="35">
        <f>COUNTIFS($A$5:$A$31,"7*",$B$5:$B$31,"24hr")</f>
        <v>0</v>
      </c>
      <c r="Q62" s="35">
        <f>COUNTIFS($E$5:$E$31,"7*",$F$5:$F$31,"24hr")</f>
        <v>0</v>
      </c>
      <c r="R62" s="35">
        <f>COUNTIFS($I$5:$I$31,"7*",$J$5:$J$31,"24hr")</f>
        <v>0</v>
      </c>
      <c r="S62" s="35">
        <f>COUNTIFS($M$5:$M$31,"7*",$N$5:$N$31,"24hr")</f>
        <v>0</v>
      </c>
      <c r="T62" s="35">
        <f>COUNTIFS($Q$5:$Q$31,"7*",$R$5:$R$31,"24hr")</f>
        <v>0</v>
      </c>
      <c r="U62" s="30"/>
      <c r="V62" s="38">
        <v>700</v>
      </c>
      <c r="W62" s="35">
        <f>COUNTIFS($A$5:$A$31,"7*",$B$5:$B$31,"ftr")</f>
        <v>1</v>
      </c>
      <c r="X62" s="35">
        <f>COUNTIFS($E$5:$E$31,"7*",$F$5:$F$31,"ftr")</f>
        <v>1</v>
      </c>
      <c r="Y62" s="35">
        <f>COUNTIFS($I$5:$I$31,"7*",$J$5:$J$31,"ftr")</f>
        <v>1</v>
      </c>
      <c r="Z62" s="35">
        <f>COUNTIFS($M$5:$M$31,"7*",$N$5:$N$31,"ftr")</f>
        <v>1</v>
      </c>
      <c r="AA62" s="35">
        <f>COUNTIFS($Q$5:$Q$31,"7*",$R$5:$R$31,"ftr")</f>
        <v>1</v>
      </c>
    </row>
    <row r="63" spans="1:27" ht="15" x14ac:dyDescent="0.25">
      <c r="A63" s="137">
        <v>800</v>
      </c>
      <c r="B63" s="35" t="str">
        <f>IF(COUNTIFS(A5:A31,"8*",B5:B31,"*"),"MET","NOT MET")</f>
        <v>MET</v>
      </c>
      <c r="C63" s="35" t="str">
        <f>IF(COUNTIFS(E5:E31,"8*",F5:F31,"*"),"MET","NOT MET")</f>
        <v>MET</v>
      </c>
      <c r="D63" s="35" t="str">
        <f>IF(COUNTIFS($I$5:$I$31,"8*",$J$5:$J$31,"*"),"MET","NOT MET")</f>
        <v>MET</v>
      </c>
      <c r="E63" s="35" t="str">
        <f>IF(COUNTIFS($M$5:$M$31,"8*",$N$5:$N$31,"*"),"MET","NOT MET")</f>
        <v>MET</v>
      </c>
      <c r="F63" s="35" t="str">
        <f>IF(COUNTIFS($Q$5:$Q$31,"8*",$R$5:$R$31,"*"),"MET","NOT MET")</f>
        <v>MET</v>
      </c>
      <c r="G63" s="30"/>
      <c r="H63" s="135">
        <v>800</v>
      </c>
      <c r="I63" s="35">
        <f>COUNTIFS($A$5:$A$32,"8*",$B$5:$B$32,"*")</f>
        <v>3</v>
      </c>
      <c r="J63" s="35">
        <f>COUNTIFS($E$5:$E$31,"8*",$F$5:$F$31,"*")</f>
        <v>3</v>
      </c>
      <c r="K63" s="35">
        <f>COUNTIFS($I$5:$I$31,"8*",$J$5:$J$31,"*")</f>
        <v>3</v>
      </c>
      <c r="L63" s="35">
        <f>COUNTIFS($M$5:$M$31,"8*",$N$5:$N$31,"*")</f>
        <v>3</v>
      </c>
      <c r="M63" s="35">
        <f>COUNTIFS($Q$5:$Q$31,"8*",$R$5:$R$31,"*")</f>
        <v>3</v>
      </c>
      <c r="N63" s="30"/>
      <c r="O63" s="42">
        <v>800</v>
      </c>
      <c r="P63" s="35">
        <f>COUNTIFS($A$5:$A$31,"8*",$B$5:$B$31,"24hr")</f>
        <v>3</v>
      </c>
      <c r="Q63" s="35">
        <f>COUNTIFS($E$5:$E$31,"8*",$F$5:$F$31,"24hr")</f>
        <v>3</v>
      </c>
      <c r="R63" s="35">
        <f>COUNTIFS($I$5:$I$31,"8*",$J$5:$J$31,"24hr")</f>
        <v>3</v>
      </c>
      <c r="S63" s="35">
        <f>COUNTIFS($M$5:$M$31,"8*",$N$5:$N$31,"24hr")</f>
        <v>3</v>
      </c>
      <c r="T63" s="35">
        <f>COUNTIFS($Q$5:$Q$31,"8*",$R$5:$R$31,"24hr")</f>
        <v>3</v>
      </c>
      <c r="U63" s="30"/>
      <c r="V63" s="42">
        <v>800</v>
      </c>
      <c r="W63" s="35">
        <f>COUNTIFS($A$5:$A$31,"8*",$B$5:$B$31,"ftr")</f>
        <v>0</v>
      </c>
      <c r="X63" s="35">
        <f>COUNTIFS($E$5:$E$31,"8*",$F$5:$F$31,"ftr")</f>
        <v>0</v>
      </c>
      <c r="Y63" s="35">
        <f>COUNTIFS($I$5:$I$31,"8*",$J$5:$J$31,"ftr")</f>
        <v>0</v>
      </c>
      <c r="Z63" s="35">
        <f>COUNTIFS($M$5:$M$31,"8*",$N$5:$N$31,"ftr")</f>
        <v>0</v>
      </c>
      <c r="AA63" s="35">
        <f>COUNTIFS($Q$5:$Q$31,"8*",$R$5:$R$31,"ftr")</f>
        <v>0</v>
      </c>
    </row>
    <row r="64" spans="1:27" ht="15" x14ac:dyDescent="0.25">
      <c r="A64" s="137">
        <v>900</v>
      </c>
      <c r="B64" s="35" t="str">
        <f>IF(COUNTIFS(A5:A31,"9*",B5:B31,"*"),"MET","NOT MET")</f>
        <v>MET</v>
      </c>
      <c r="C64" s="35" t="str">
        <f>IF(COUNTIFS(E5:E31,"9*",F5:F31,"*"),"MET","NOT MET")</f>
        <v>MET</v>
      </c>
      <c r="D64" s="35" t="str">
        <f>IF(COUNTIFS($I$5:$I$31,"9*",$J$5:$J$31,"*"),"MET","NOT MET")</f>
        <v>MET</v>
      </c>
      <c r="E64" s="35" t="str">
        <f>IF(COUNTIFS($M$5:$M$31,"9*",$N$5:$N$31,"*"),"MET","NOT MET")</f>
        <v>MET</v>
      </c>
      <c r="F64" s="35" t="str">
        <f>IF(COUNTIFS($Q$5:$Q$31,"9*",$R$5:$R$31,"*"),"MET","NOT MET")</f>
        <v>MET</v>
      </c>
      <c r="G64" s="30"/>
      <c r="H64" s="135">
        <v>900</v>
      </c>
      <c r="I64" s="35">
        <f>COUNTIFS($A$5:$A$31,"9*",$B$5:$B$31,"*")</f>
        <v>2</v>
      </c>
      <c r="J64" s="35">
        <f>COUNTIFS($E$5:$E$31,"9*",$F$5:$F$31,"*")</f>
        <v>2</v>
      </c>
      <c r="K64" s="35">
        <f>COUNTIFS($I$5:$I$31,"9*",$J$5:$J$31,"*")</f>
        <v>2</v>
      </c>
      <c r="L64" s="35">
        <f>COUNTIFS($M$5:$M$31,"9*",$N$5:$N$31,"*")</f>
        <v>3</v>
      </c>
      <c r="M64" s="35">
        <f>COUNTIFS($Q$5:$Q$31,"9*",$R$5:$R$31,"*")</f>
        <v>2</v>
      </c>
      <c r="N64" s="30"/>
      <c r="O64" s="42">
        <v>900</v>
      </c>
      <c r="P64" s="35">
        <f>COUNTIFS($A$5:$A$31,"9*",$B$5:$B$31,"24hr")</f>
        <v>0</v>
      </c>
      <c r="Q64" s="35">
        <f>COUNTIFS($E$5:$E$31,"9*",$F$5:$F$31,"24hr")</f>
        <v>0</v>
      </c>
      <c r="R64" s="35">
        <f>COUNTIFS($I$5:$I$31,"9*",$J$5:$J$31,"24hr")</f>
        <v>0</v>
      </c>
      <c r="S64" s="35">
        <f>COUNTIFS($M$5:$M$31,"9*",$N$5:$N$31,"24hr")</f>
        <v>0</v>
      </c>
      <c r="T64" s="35">
        <f>COUNTIFS($Q$5:$Q$31,"9*",$R$5:$R$31,"24hr")</f>
        <v>0</v>
      </c>
      <c r="U64" s="30"/>
      <c r="V64" s="42">
        <v>900</v>
      </c>
      <c r="W64" s="35">
        <f>COUNTIFS($A$5:$A$31,"9*",$B$5:$B$31,"ftr")</f>
        <v>2</v>
      </c>
      <c r="X64" s="35">
        <f>COUNTIFS($E$5:$E$31,"9*",$F$5:$F$31,"ftr")</f>
        <v>2</v>
      </c>
      <c r="Y64" s="35">
        <f>COUNTIFS($I$5:$I$31,"9*",$J$5:$J$31,"ftr")</f>
        <v>2</v>
      </c>
      <c r="Z64" s="35">
        <f>COUNTIFS($M$5:$M$31,"9*",$N$5:$N$31,"ftr")</f>
        <v>3</v>
      </c>
      <c r="AA64" s="35">
        <f>COUNTIFS($Q$5:$Q$31,"9*",$R$5:$R$31,"ftr")</f>
        <v>2</v>
      </c>
    </row>
    <row r="65" spans="1:27" ht="15" x14ac:dyDescent="0.25">
      <c r="A65" s="137">
        <v>1000</v>
      </c>
      <c r="B65" s="35" t="str">
        <f>IF(COUNTIFS(A5:A31,"10*",B5:B31,"*"),"MET","NOT MET")</f>
        <v>MET</v>
      </c>
      <c r="C65" s="35" t="str">
        <f>IF(COUNTIFS(E5:E31,"10*",F5:F31,"*"),"MET","NOT MET")</f>
        <v>MET</v>
      </c>
      <c r="D65" s="35" t="str">
        <f>IF(COUNTIFS($I$5:$I$31,"10*",$J$5:$J$31,"*"),"MET","NOT MET")</f>
        <v>MET</v>
      </c>
      <c r="E65" s="35" t="str">
        <f>IF(COUNTIFS($M$5:$M$31,"10*",$N$5:$N$31,"*"),"MET","NOT MET")</f>
        <v>MET</v>
      </c>
      <c r="F65" s="35" t="str">
        <f>IF(COUNTIFS($Q$5:$Q$31,"10*",$R$5:$R$31,"*"),"MET","NOT MET")</f>
        <v>MET</v>
      </c>
      <c r="G65" s="30"/>
      <c r="H65" s="135">
        <v>1000</v>
      </c>
      <c r="I65" s="35">
        <f>COUNTIFS($A$5:$A$31,"10*",$B$5:$B$31,"*")</f>
        <v>2</v>
      </c>
      <c r="J65" s="35">
        <f>COUNTIFS($E$5:$E$31,"10*",$F$5:$F$31,"*")</f>
        <v>2</v>
      </c>
      <c r="K65" s="35">
        <f>COUNTIFS($I$5:$I$31,"10*",$J$5:$J$31,"*")</f>
        <v>2</v>
      </c>
      <c r="L65" s="35">
        <f>COUNTIFS($M$5:$M$31,"*10*",$N$5:$N$31,"*")</f>
        <v>1</v>
      </c>
      <c r="M65" s="35">
        <f>COUNTIFS($Q$5:$Q$31,"10*",$R$5:$R$31,"*")</f>
        <v>2</v>
      </c>
      <c r="N65" s="30"/>
      <c r="O65" s="42">
        <v>1000</v>
      </c>
      <c r="P65" s="35">
        <f>COUNTIFS($A$5:$A$31,"10*",$B$5:$B$31,"24hr")</f>
        <v>0</v>
      </c>
      <c r="Q65" s="35">
        <f>COUNTIFS($E$5:$E$31,"10*",$F$5:$F$31,"24hr")</f>
        <v>0</v>
      </c>
      <c r="R65" s="35">
        <f>COUNTIFS($I$5:$I$31,"10*",$J$5:$J$31,"24hr")</f>
        <v>0</v>
      </c>
      <c r="S65" s="35">
        <f>COUNTIFS($M$5:$M$31,"10*",$N$5:$N$31,"24hr")</f>
        <v>0</v>
      </c>
      <c r="T65" s="35">
        <f>COUNTIFS($Q$5:$Q$31,"10*",$R$5:$R$31,"24hr")</f>
        <v>0</v>
      </c>
      <c r="U65" s="30"/>
      <c r="V65" s="42">
        <v>1000</v>
      </c>
      <c r="W65" s="35">
        <f>COUNTIFS($A$5:$A$31,"10*",$B$5:$B$31,"ftr")</f>
        <v>2</v>
      </c>
      <c r="X65" s="35">
        <f>COUNTIFS($E$5:$E$31,"10*",$F$5:$F$31,"ftr")</f>
        <v>2</v>
      </c>
      <c r="Y65" s="35">
        <f>COUNTIFS($I$5:$I$31,"10*",$J$5:$J$31,"ftr")</f>
        <v>2</v>
      </c>
      <c r="Z65" s="35">
        <f>COUNTIFS($M$5:$M$31,"10*",$N$5:$N$31,"ftr")</f>
        <v>1</v>
      </c>
      <c r="AA65" s="35">
        <f>COUNTIFS($Q$5:$Q$31,"10*",$R$5:$R$31,"ftr")</f>
        <v>2</v>
      </c>
    </row>
    <row r="66" spans="1:27" ht="15" x14ac:dyDescent="0.25">
      <c r="A66" s="137">
        <v>1100</v>
      </c>
      <c r="B66" s="35" t="str">
        <f>IF(COUNTIFS(A5:A31,"11*",B5:B31,"*"),"MET","NOT MET")</f>
        <v>MET</v>
      </c>
      <c r="C66" s="35" t="str">
        <f>IF(COUNTIFS(E5:E31,"11*",F5:F31,"*"),"MET","NOT MET")</f>
        <v>MET</v>
      </c>
      <c r="D66" s="35" t="str">
        <f>IF(COUNTIFS($I$5:$I$31,"11*",$J$5:$J$31,"*"),"MET","NOT MET")</f>
        <v>MET</v>
      </c>
      <c r="E66" s="35" t="str">
        <f>IF(COUNTIFS($M$5:$M$31,"11*",$N$5:$N$31,"*"),"MET","NOT MET")</f>
        <v>NOT MET</v>
      </c>
      <c r="F66" s="35" t="str">
        <f>IF(COUNTIFS($Q$5:$Q$31,"11*",$R$5:$R$31,"*"),"MET","NOT MET")</f>
        <v>MET</v>
      </c>
      <c r="G66" s="30"/>
      <c r="H66" s="135">
        <v>1100</v>
      </c>
      <c r="I66" s="35">
        <f>COUNTIFS($A$5:$A$31,"11*",$B$5:$B$31,"*")</f>
        <v>2</v>
      </c>
      <c r="J66" s="35">
        <f>COUNTIFS($E$5:$E$31,"11*",$F$5:$F$31,"*")</f>
        <v>2</v>
      </c>
      <c r="K66" s="35">
        <f>COUNTIFS($I$5:$I$31,"11*",$J$5:$J$31,"*")</f>
        <v>2</v>
      </c>
      <c r="L66" s="35">
        <f>COUNTIFS($M$5:$M$31,"11*",$N$5:$N$31,"*")</f>
        <v>0</v>
      </c>
      <c r="M66" s="35">
        <f>COUNTIFS($Q$5:$Q$31,"11*",$R$5:$R$31,"*")</f>
        <v>2</v>
      </c>
      <c r="N66" s="30"/>
      <c r="O66" s="42">
        <v>1100</v>
      </c>
      <c r="P66" s="35">
        <f>COUNTIFS($A$5:$A$31,"11*",$B$5:$B$31,"24hr")</f>
        <v>2</v>
      </c>
      <c r="Q66" s="35">
        <f>COUNTIFS($E$5:$E$31,"11*",$F$5:$F$31,"24hr")</f>
        <v>2</v>
      </c>
      <c r="R66" s="35">
        <f>COUNTIFS($I$5:$I$31,"11*",$J$5:$J$31,"24hr")</f>
        <v>2</v>
      </c>
      <c r="S66" s="35">
        <f>COUNTIFS($M$5:$M$31,"11*",$N$5:$N$31,"24hr")</f>
        <v>0</v>
      </c>
      <c r="T66" s="35">
        <f>COUNTIFS($Q$5:$Q$31,"11*",$R$5:$R$31,"24hr")</f>
        <v>2</v>
      </c>
      <c r="U66" s="30"/>
      <c r="V66" s="42">
        <v>1100</v>
      </c>
      <c r="W66" s="35">
        <f>COUNTIFS($A$5:$A$31,"11*",$B$5:$B$31,"ftr")</f>
        <v>0</v>
      </c>
      <c r="X66" s="35">
        <f>COUNTIFS($E$5:$E$31,"11*",$F$5:$F$31,"ftr")</f>
        <v>0</v>
      </c>
      <c r="Y66" s="35">
        <f>COUNTIFS($I$5:$I$31,"11*",$J$5:$J$31,"ftr")</f>
        <v>0</v>
      </c>
      <c r="Z66" s="35">
        <f>COUNTIFS($M$5:$M$31,"11*",$N$5:$N$31,"ftr")</f>
        <v>0</v>
      </c>
      <c r="AA66" s="35">
        <f>COUNTIFS($Q$5:$Q$31,"11*",$R$5:$R$31,"ftr")</f>
        <v>0</v>
      </c>
    </row>
    <row r="67" spans="1:27" ht="15" x14ac:dyDescent="0.25">
      <c r="A67" s="137">
        <v>1200</v>
      </c>
      <c r="B67" s="35" t="str">
        <f>IF(COUNTIFS(A5:A31,"12*",B5:B31,"*"),"MET","NOT MET")</f>
        <v>NOT MET</v>
      </c>
      <c r="C67" s="35" t="str">
        <f>IF(COUNTIFS(E5:E31,"12*",F5:F31,"*"),"MET","NOT MET")</f>
        <v>NOT MET</v>
      </c>
      <c r="D67" s="35" t="str">
        <f>IF(COUNTIFS($I$5:$I$31,"12*",$J$5:$J$31,"*"),"MET","NOT MET")</f>
        <v>NOT MET</v>
      </c>
      <c r="E67" s="35" t="str">
        <f>IF(COUNTIFS($M$5:$M$31,"12*",$N$5:$N$31,"*"),"MET","NOT MET")</f>
        <v>NOT MET</v>
      </c>
      <c r="F67" s="35" t="str">
        <f>IF(COUNTIFS($Q$5:$Q$31,"12*",$R$5:$R$31,"*"),"MET","NOT MET")</f>
        <v>NOT MET</v>
      </c>
      <c r="G67" s="30"/>
      <c r="H67" s="135">
        <v>1200</v>
      </c>
      <c r="I67" s="35">
        <f>COUNTIFS($A$5:$A$31,"12*",$B$5:$B$31,"*")</f>
        <v>0</v>
      </c>
      <c r="J67" s="35">
        <f>COUNTIFS($E$5:$E$31,"12*",$F$5:$F$31,"*")</f>
        <v>0</v>
      </c>
      <c r="K67" s="35">
        <f>COUNTIFS($I$5:$I$31,"12*",$J$5:$J$31,"*")</f>
        <v>0</v>
      </c>
      <c r="L67" s="35">
        <f>COUNTIFS($M$5:$M$31,"12*",$N$5:$N$31,"*")</f>
        <v>0</v>
      </c>
      <c r="M67" s="35">
        <f>COUNTIFS($Q$5:$Q$31,"12*",$R$5:$R$31,"*")</f>
        <v>0</v>
      </c>
      <c r="N67" s="30"/>
      <c r="O67" s="42">
        <v>1200</v>
      </c>
      <c r="P67" s="35">
        <f>COUNTIFS($A$5:$A$31,"12*",$B$5:$B$31,"24hr")</f>
        <v>0</v>
      </c>
      <c r="Q67" s="35">
        <f>COUNTIFS($E$5:$E$31,"12*",$F$5:$F$31,"24hr")</f>
        <v>0</v>
      </c>
      <c r="R67" s="35">
        <f>COUNTIFS($I$5:$I$31,"12*",$J$5:$J$31,"24hr")</f>
        <v>0</v>
      </c>
      <c r="S67" s="35">
        <f>COUNTIFS($M$5:$M$31,"12*",$N$5:$N$31,"24hr")</f>
        <v>0</v>
      </c>
      <c r="T67" s="35">
        <f>COUNTIFS($Q$5:$Q$31,"12*",$R$5:$R$31,"24hr")</f>
        <v>0</v>
      </c>
      <c r="U67" s="30"/>
      <c r="V67" s="42">
        <v>1200</v>
      </c>
      <c r="W67" s="35">
        <f>COUNTIFS($A$5:$A$31,"12*",$B$5:$B$31,"ftr")</f>
        <v>0</v>
      </c>
      <c r="X67" s="35">
        <f>COUNTIFS($E$5:$E$31,"12*",$F$5:$F$31,"ftr")</f>
        <v>0</v>
      </c>
      <c r="Y67" s="35">
        <f>COUNTIFS($I$5:$I$31,"12*",$J$5:$J$31,"ftr")</f>
        <v>0</v>
      </c>
      <c r="Z67" s="35">
        <f>COUNTIFS($M$5:$M$31,"12*",$N$5:$N$31,"ftr")</f>
        <v>0</v>
      </c>
      <c r="AA67" s="35">
        <f>COUNTIFS($Q$5:$Q$31,"12*",$R$5:$R$31,"ftr")</f>
        <v>0</v>
      </c>
    </row>
    <row r="68" spans="1:27" ht="15" x14ac:dyDescent="0.25">
      <c r="A68" s="137">
        <v>1300</v>
      </c>
      <c r="B68" s="35" t="str">
        <f>IF(COUNTIFS(A5:A31,"13*",B5:B31,"*"),"MET","NOT MET")</f>
        <v>MET</v>
      </c>
      <c r="C68" s="35" t="str">
        <f>IF(COUNTIFS(E5:E31,"13*",F5:F31,"*"),"MET","NOT MET")</f>
        <v>MET</v>
      </c>
      <c r="D68" s="35" t="str">
        <f>IF(COUNTIFS($I$5:$I$31,"13*",$J$5:$J$31,"*"),"MET","NOT MET")</f>
        <v>MET</v>
      </c>
      <c r="E68" s="35" t="str">
        <f>IF(COUNTIFS($M$5:$M$31,"13*",$N$5:$N$31,"*"),"MET","NOT MET")</f>
        <v>NOT MET</v>
      </c>
      <c r="F68" s="35" t="str">
        <f>IF(COUNTIFS($Q$5:$Q$31,"13*",$R$5:$R$31,"*"),"MET","NOT MET")</f>
        <v>MET</v>
      </c>
      <c r="G68" s="30"/>
      <c r="H68" s="135">
        <v>1300</v>
      </c>
      <c r="I68" s="35">
        <f>COUNTIFS($A$5:$A$31,"13*",$B$5:$B$31,"*")</f>
        <v>3</v>
      </c>
      <c r="J68" s="35">
        <f>COUNTIFS($E$5:$E$31,"13*",$F$5:$F$31,"*")</f>
        <v>2</v>
      </c>
      <c r="K68" s="35">
        <f>COUNTIFS($I$5:$I$31,"13*",$J$5:$J$31,"*")</f>
        <v>3</v>
      </c>
      <c r="L68" s="35">
        <f>COUNTIFS($M$5:$M$31,"13*",$N$5:$N$31,"*")</f>
        <v>0</v>
      </c>
      <c r="M68" s="35">
        <f>COUNTIFS($Q$5:$Q$31,"13*",$R$5:$R$31,"*")</f>
        <v>3</v>
      </c>
      <c r="N68" s="30"/>
      <c r="O68" s="42">
        <v>1300</v>
      </c>
      <c r="P68" s="35">
        <f>COUNTIFS($A$5:$A$31,"13*",$B$5:$B$31,"24hr")</f>
        <v>1</v>
      </c>
      <c r="Q68" s="35">
        <f>COUNTIFS($E$5:$E$31,"13*",$F$5:$F$31,"24hr")</f>
        <v>0</v>
      </c>
      <c r="R68" s="35">
        <f>COUNTIFS($I$5:$I$31,"13*",$J$5:$J$31,"24hr")</f>
        <v>1</v>
      </c>
      <c r="S68" s="35">
        <f>COUNTIFS($M$5:$M$31,"13*",$N$5:$N$31,"24hr")</f>
        <v>0</v>
      </c>
      <c r="T68" s="35">
        <f>COUNTIFS($Q$5:$Q$31,"13*",$R$5:$R$31,"24hr")</f>
        <v>1</v>
      </c>
      <c r="U68" s="30"/>
      <c r="V68" s="42">
        <v>1300</v>
      </c>
      <c r="W68" s="35">
        <f>COUNTIFS($A$5:$A$31,"13*",$B$5:$B$31,"ftr")</f>
        <v>2</v>
      </c>
      <c r="X68" s="35">
        <f>COUNTIFS($E$5:$E$31,"13*",$F$5:$F$31,"ftr")</f>
        <v>2</v>
      </c>
      <c r="Y68" s="35">
        <f>COUNTIFS($I$5:$I$31,"13*",$J$5:$J$31,"ftr")</f>
        <v>2</v>
      </c>
      <c r="Z68" s="35">
        <f>COUNTIFS($M$5:$M$31,"13*",$N$5:$N$31,"ftr")</f>
        <v>0</v>
      </c>
      <c r="AA68" s="35">
        <f>COUNTIFS($Q$5:$Q$31,"13*",$R$5:$R$31,"ftr")</f>
        <v>2</v>
      </c>
    </row>
    <row r="69" spans="1:27" ht="15" x14ac:dyDescent="0.25">
      <c r="A69" s="137">
        <v>1400</v>
      </c>
      <c r="B69" s="35" t="str">
        <f>IF(COUNTIFS(A5:A31,"14*",B5:B31,"*"),"MET","NOT MET")</f>
        <v>MET</v>
      </c>
      <c r="C69" s="35" t="str">
        <f>IF(COUNTIFS(E5:E31,"14*",F5:F31,"*"),"MET","NOT MET")</f>
        <v>NOT MET</v>
      </c>
      <c r="D69" s="35" t="str">
        <f>IF(COUNTIFS($I$5:$I$31,"14*",$J$5:$J$31,"*"),"MET","NOT MET")</f>
        <v>MET</v>
      </c>
      <c r="E69" s="35" t="str">
        <f>IF(COUNTIFS($M$5:$M$31,"14*",$N$5:$N$31,"*"),"MET","NOT MET")</f>
        <v>NOT MET</v>
      </c>
      <c r="F69" s="35" t="str">
        <f>IF(COUNTIFS($Q$5:$Q$31,"14*",$R$5:$R$31,"*"),"MET","NOT MET")</f>
        <v>MET</v>
      </c>
      <c r="G69" s="30"/>
      <c r="H69" s="135">
        <v>1400</v>
      </c>
      <c r="I69" s="35">
        <f>COUNTIFS($A$5:$A$31,"14*",$B$5:$B$31,"*")</f>
        <v>3</v>
      </c>
      <c r="J69" s="35">
        <f>COUNTIFS($E$5:$E$31,"14*",$F$5:$F$31,"*")</f>
        <v>0</v>
      </c>
      <c r="K69" s="35">
        <f>(COUNTIFS($I$5:$I$31,"14*",$J$5:$J$31,"*"))</f>
        <v>3</v>
      </c>
      <c r="L69" s="35">
        <f>COUNTIFS($M$5:$M$31,"14*",$N$5:$N$31,"*")</f>
        <v>0</v>
      </c>
      <c r="M69" s="35">
        <f>COUNTIFS($Q$5:$Q$31,"14*",$R$5:$R$31,"*")</f>
        <v>1</v>
      </c>
      <c r="N69" s="30"/>
      <c r="O69" s="42">
        <v>1400</v>
      </c>
      <c r="P69" s="35">
        <f>COUNTIFS($A$5:$A$31,"14*",$B$5:$B$31,"24hr")</f>
        <v>1</v>
      </c>
      <c r="Q69" s="35">
        <f>COUNTIFS($E$5:$E$31,"14*",$F$5:$F$31,"24hr")</f>
        <v>0</v>
      </c>
      <c r="R69" s="35">
        <f>(COUNTIFS($I$5:$I$31,"14*",$J$5:$J$31,"24hr"))</f>
        <v>1</v>
      </c>
      <c r="S69" s="35">
        <f>COUNTIFS($M$5:$M$31,"14*",$N$5:$N$31,"24hr")</f>
        <v>0</v>
      </c>
      <c r="T69" s="35">
        <f>COUNTIFS($Q$5:$Q$31,"14*",$R$5:$R$31,"24hr")</f>
        <v>1</v>
      </c>
      <c r="U69" s="30"/>
      <c r="V69" s="42">
        <v>1400</v>
      </c>
      <c r="W69" s="35">
        <f>COUNTIFS($A$5:$A$31,"14*",$B$5:$B$31,"ftr")</f>
        <v>2</v>
      </c>
      <c r="X69" s="35">
        <f>COUNTIFS($E$5:$E$31,"14*",$F$5:$F$31,"ftr")</f>
        <v>0</v>
      </c>
      <c r="Y69" s="35">
        <f>COUNTIFS($I$5:$I$31,"14*",$J$5:$J$31,"ftr")</f>
        <v>2</v>
      </c>
      <c r="Z69" s="35">
        <f>COUNTIFS($M$5:$M$31,"14*",$N$5:$N$31,"ftr")</f>
        <v>0</v>
      </c>
      <c r="AA69" s="35">
        <f>COUNTIFS($Q$5:$Q$31,"14*",$R$5:$R$31,"ftr")</f>
        <v>0</v>
      </c>
    </row>
    <row r="70" spans="1:27" ht="15" x14ac:dyDescent="0.25">
      <c r="A70" s="137">
        <v>1500</v>
      </c>
      <c r="B70" s="35" t="str">
        <f>IF(COUNTIFS(A5:A31,"15*",B5:B31,"*"),"MET","NOT MET")</f>
        <v>MET</v>
      </c>
      <c r="C70" s="35" t="str">
        <f>IF(COUNTIFS(E5:E31,"15*",F5:F31,"*"),"MET","NOT MET")</f>
        <v>NOT MET</v>
      </c>
      <c r="D70" s="35" t="str">
        <f>IF(COUNTIFS($I$5:$I$31,"15*",$J$5:$J$31,"*"),"MET","NOT MET")</f>
        <v>MET</v>
      </c>
      <c r="E70" s="35" t="str">
        <f>IF(COUNTIFS($M$5:$M$31,"15*",$N$5:$N$31,"*"),"MET","NOT MET")</f>
        <v>NOT MET</v>
      </c>
      <c r="F70" s="35" t="str">
        <f>IF(COUNTIFS($Q$5:$Q$31,"15*",$R$5:$R$31,"*"),"MET","NOT MET")</f>
        <v>NOT MET</v>
      </c>
      <c r="G70" s="30"/>
      <c r="H70" s="135">
        <v>1500</v>
      </c>
      <c r="I70" s="35">
        <f>COUNTIFS($A$5:$A$31,"15*",$B$5:$B$31,"*")</f>
        <v>1</v>
      </c>
      <c r="J70" s="35">
        <f>COUNTIFS($E$5:$E$31,"15*",$F$5:$F$31,"*")</f>
        <v>0</v>
      </c>
      <c r="K70" s="35">
        <f>COUNTIFS($I$5:$I$31,"15*",$J$5:$J$31,"*")</f>
        <v>1</v>
      </c>
      <c r="L70" s="35">
        <f>COUNTIFS($M$5:$M$31,"15*",$N$5:$N$31,"*")</f>
        <v>0</v>
      </c>
      <c r="M70" s="35">
        <f>COUNTIFS($Q$5:$Q$31,"15*",$R$5:$R$31,"*")</f>
        <v>0</v>
      </c>
      <c r="N70" s="30"/>
      <c r="O70" s="42">
        <v>1500</v>
      </c>
      <c r="P70" s="35">
        <f>COUNTIFS($A$5:$A$31,"15*",$B$5:$B$31,"24hr")</f>
        <v>0</v>
      </c>
      <c r="Q70" s="35">
        <f>COUNTIFS($E$5:$E$31,"15*",$F$5:$F$31,"24hr")</f>
        <v>0</v>
      </c>
      <c r="R70" s="35">
        <f>COUNTIFS($I$5:$I$31,"15*",$J$5:$J$31,"24hr")</f>
        <v>0</v>
      </c>
      <c r="S70" s="35">
        <f>COUNTIFS($M$5:$M$31,"15*",$N$5:$N$31,"24hr")</f>
        <v>0</v>
      </c>
      <c r="T70" s="35">
        <f>COUNTIFS($Q$5:$Q$31,"15*",$R$5:$R$31,"24hr")</f>
        <v>0</v>
      </c>
      <c r="U70" s="30"/>
      <c r="V70" s="42">
        <v>1500</v>
      </c>
      <c r="W70" s="35">
        <f>COUNTIFS($A$5:$A$31,"15*",$B$5:$B$31,"ftr")</f>
        <v>1</v>
      </c>
      <c r="X70" s="35">
        <f>COUNTIFS($E$5:$E$31,"15*",$F$5:$F$31,"ftr")</f>
        <v>0</v>
      </c>
      <c r="Y70" s="35">
        <f>COUNTIFS($I$5:$I$31,"15*",$J$5:$J$31,"ftr")</f>
        <v>1</v>
      </c>
      <c r="Z70" s="35">
        <f>COUNTIFS($M$5:$M$31,"15*",$N$5:$N$31,"ftr")</f>
        <v>0</v>
      </c>
      <c r="AA70" s="35">
        <f>COUNTIFS($Q$5:$Q$31,"15*",$R$5:$R$31,"ftr")</f>
        <v>0</v>
      </c>
    </row>
    <row r="71" spans="1:27" ht="15" x14ac:dyDescent="0.25">
      <c r="A71" s="137">
        <v>1600</v>
      </c>
      <c r="B71" s="35" t="str">
        <f>IF(COUNTIFS(A5:A31,"16*",B5:B31,"*"),"MET","NOT MET")</f>
        <v>NOT MET</v>
      </c>
      <c r="C71" s="35" t="str">
        <f>IF(COUNTIFS(E5:E31,"16*",F5:F31,"*"),"MET","NOT MET")</f>
        <v>NOT MET</v>
      </c>
      <c r="D71" s="35" t="str">
        <f>IF(COUNTIFS($I$5:$I$31,"16*",$J$5:$J$31,"*"),"MET","NOT MET")</f>
        <v>NOT MET</v>
      </c>
      <c r="E71" s="35" t="str">
        <f>IF(COUNTIFS($M$5:$M$31,"16*",$N$5:$N$31,"*"),"MET","NOT MET")</f>
        <v>NOT MET</v>
      </c>
      <c r="F71" s="35" t="str">
        <f>IF(COUNTIFS($Q$5:$Q$31,"16*",$R$5:$R$31,"*"),"MET","NOT MET")</f>
        <v>NOT MET</v>
      </c>
      <c r="G71" s="30"/>
      <c r="H71" s="135">
        <v>1600</v>
      </c>
      <c r="I71" s="35">
        <f>COUNTIFS($A$5:$A$31,"16*",$B$5:$B$31,"*")</f>
        <v>0</v>
      </c>
      <c r="J71" s="35">
        <f>COUNTIFS($E$5:$E$31,"16*",$F$5:$F$31,"*")</f>
        <v>0</v>
      </c>
      <c r="K71" s="35">
        <f>COUNTIFS($I$5:$I$31,"16*",$J$5:$J$31,"*")</f>
        <v>0</v>
      </c>
      <c r="L71" s="35">
        <f>COUNTIFS($M$5:$M$31,"16*",$N$5:$N$31,"*")</f>
        <v>0</v>
      </c>
      <c r="M71" s="35">
        <f>COUNTIFS($Q$5:$Q$31,"16*",$R$5:$R$31,"*")</f>
        <v>0</v>
      </c>
      <c r="N71" s="30"/>
      <c r="O71" s="42">
        <v>1600</v>
      </c>
      <c r="P71" s="35">
        <f>COUNTIFS($A$5:$A$31,"16*",$B$5:$B$31,"24hr")</f>
        <v>0</v>
      </c>
      <c r="Q71" s="35">
        <f>COUNTIFS($E$5:$E$31,"16*",$F$5:$F$31,"24hr")</f>
        <v>0</v>
      </c>
      <c r="R71" s="35">
        <f>COUNTIFS($I$5:$I$31,"16*",$J$5:$J$31,"24hr")</f>
        <v>0</v>
      </c>
      <c r="S71" s="35">
        <f>COUNTIFS($M$5:$M$31,"16*",$N$5:$N$31,"24hr")</f>
        <v>0</v>
      </c>
      <c r="T71" s="35">
        <f>COUNTIFS($Q$5:$Q$31,"16*",$R$5:$R$31,"24hr")</f>
        <v>0</v>
      </c>
      <c r="U71" s="30"/>
      <c r="V71" s="42">
        <v>1600</v>
      </c>
      <c r="W71" s="35">
        <f>COUNTIFS($A$5:$A$31,"16*",$B$5:$B$31,"ftr")</f>
        <v>0</v>
      </c>
      <c r="X71" s="35">
        <f>COUNTIFS($E$5:$E$31,"16*",$F$5:$F$31,"ftr")</f>
        <v>0</v>
      </c>
      <c r="Y71" s="35">
        <f>COUNTIFS($I$5:$I$31,"16*",$J$5:$J$31,"ftr")</f>
        <v>0</v>
      </c>
      <c r="Z71" s="35">
        <f>COUNTIFS($M$5:$M$31,"16*",$N$5:$N$31,"ftr")</f>
        <v>0</v>
      </c>
      <c r="AA71" s="35">
        <f>COUNTIFS($Q$5:$Q$31,"16*",$R$5:$R$31,"ftr")</f>
        <v>0</v>
      </c>
    </row>
  </sheetData>
  <mergeCells count="90">
    <mergeCell ref="N37:O37"/>
    <mergeCell ref="N38:O38"/>
    <mergeCell ref="R37:S37"/>
    <mergeCell ref="R38:S38"/>
    <mergeCell ref="B37:C37"/>
    <mergeCell ref="B38:C38"/>
    <mergeCell ref="F37:G37"/>
    <mergeCell ref="F38:G38"/>
    <mergeCell ref="J37:K37"/>
    <mergeCell ref="J38:K38"/>
    <mergeCell ref="U32:W32"/>
    <mergeCell ref="W60:AA60"/>
    <mergeCell ref="E40:H40"/>
    <mergeCell ref="F41:G41"/>
    <mergeCell ref="F42:G42"/>
    <mergeCell ref="N53:T53"/>
    <mergeCell ref="I60:M60"/>
    <mergeCell ref="P60:T60"/>
    <mergeCell ref="R56:T56"/>
    <mergeCell ref="R55:T55"/>
    <mergeCell ref="R54:T54"/>
    <mergeCell ref="N54:Q54"/>
    <mergeCell ref="H56:J56"/>
    <mergeCell ref="K56:M56"/>
    <mergeCell ref="N55:Q55"/>
    <mergeCell ref="N56:Q56"/>
    <mergeCell ref="B60:F60"/>
    <mergeCell ref="A56:B56"/>
    <mergeCell ref="C56:G56"/>
    <mergeCell ref="A55:B55"/>
    <mergeCell ref="C55:G55"/>
    <mergeCell ref="A1:T1"/>
    <mergeCell ref="A2:T2"/>
    <mergeCell ref="A3:D3"/>
    <mergeCell ref="E3:H3"/>
    <mergeCell ref="I3:L3"/>
    <mergeCell ref="M3:P3"/>
    <mergeCell ref="Q3:T3"/>
    <mergeCell ref="A32:D32"/>
    <mergeCell ref="E32:H32"/>
    <mergeCell ref="I32:L32"/>
    <mergeCell ref="M32:P32"/>
    <mergeCell ref="Q32:T32"/>
    <mergeCell ref="B34:C34"/>
    <mergeCell ref="F34:G34"/>
    <mergeCell ref="J34:K34"/>
    <mergeCell ref="N34:O34"/>
    <mergeCell ref="R34:S34"/>
    <mergeCell ref="B33:C33"/>
    <mergeCell ref="F33:G33"/>
    <mergeCell ref="J33:K33"/>
    <mergeCell ref="N33:O33"/>
    <mergeCell ref="R33:S33"/>
    <mergeCell ref="B35:C35"/>
    <mergeCell ref="F35:G35"/>
    <mergeCell ref="J35:K35"/>
    <mergeCell ref="N35:O35"/>
    <mergeCell ref="R35:S35"/>
    <mergeCell ref="B36:C36"/>
    <mergeCell ref="F36:G36"/>
    <mergeCell ref="J36:K36"/>
    <mergeCell ref="N36:O36"/>
    <mergeCell ref="R36:S36"/>
    <mergeCell ref="B39:C39"/>
    <mergeCell ref="F39:G39"/>
    <mergeCell ref="J39:K39"/>
    <mergeCell ref="N39:O39"/>
    <mergeCell ref="R39:S39"/>
    <mergeCell ref="H55:J55"/>
    <mergeCell ref="K55:M55"/>
    <mergeCell ref="A40:D40"/>
    <mergeCell ref="A53:G53"/>
    <mergeCell ref="H53:M53"/>
    <mergeCell ref="A54:B54"/>
    <mergeCell ref="C54:G54"/>
    <mergeCell ref="H54:J54"/>
    <mergeCell ref="K54:M54"/>
    <mergeCell ref="B41:C41"/>
    <mergeCell ref="B42:C42"/>
    <mergeCell ref="B43:C43"/>
    <mergeCell ref="B44:C44"/>
    <mergeCell ref="V1:AA3"/>
    <mergeCell ref="AA5:AA8"/>
    <mergeCell ref="AA10:AA13"/>
    <mergeCell ref="AA15:AA18"/>
    <mergeCell ref="AA20:AA23"/>
    <mergeCell ref="V5:Z8"/>
    <mergeCell ref="V10:Z13"/>
    <mergeCell ref="V15:Z18"/>
    <mergeCell ref="V20:Z23"/>
  </mergeCells>
  <conditionalFormatting sqref="A4:T4">
    <cfRule type="containsText" dxfId="983" priority="581" operator="containsText" text="24hr">
      <formula>NOT(ISERROR(SEARCH("24hr",A4)))</formula>
    </cfRule>
    <cfRule type="containsText" dxfId="982" priority="582" operator="containsText" text="ftr">
      <formula>NOT(ISERROR(SEARCH("ftr",A4)))</formula>
    </cfRule>
  </conditionalFormatting>
  <conditionalFormatting sqref="A4:T4 T33:W33 T39:W39">
    <cfRule type="containsText" dxfId="981" priority="580" operator="containsText" text="24HR">
      <formula>NOT(ISERROR(SEARCH("24HR",A4)))</formula>
    </cfRule>
  </conditionalFormatting>
  <conditionalFormatting sqref="U31:Y31 A34:A38 U73:XFD1048576 A72:T1048576 U1:U30 A4:T4 D34:E38 H34:I38 L34:M38 P34:Q38 T34:W38 AF1:XFD40 X32:Y40">
    <cfRule type="containsText" dxfId="980" priority="578" operator="containsText" text="ftr">
      <formula>NOT(ISERROR(SEARCH("ftr",A1)))</formula>
    </cfRule>
    <cfRule type="containsText" dxfId="979" priority="579" operator="containsText" text="24hr">
      <formula>NOT(ISERROR(SEARCH("24hr",A1)))</formula>
    </cfRule>
  </conditionalFormatting>
  <conditionalFormatting sqref="A33 D33:E33 H33:I33 L33:M33 P33:Q33">
    <cfRule type="containsText" dxfId="978" priority="574" operator="containsText" text="24HR">
      <formula>NOT(ISERROR(SEARCH("24HR",A33)))</formula>
    </cfRule>
  </conditionalFormatting>
  <conditionalFormatting sqref="A39:B39 D39:E39 L39:M39 H39:I39 P39:Q39">
    <cfRule type="containsText" dxfId="977" priority="570" operator="containsText" text="24HR">
      <formula>NOT(ISERROR(SEARCH("24HR",A39)))</formula>
    </cfRule>
  </conditionalFormatting>
  <conditionalFormatting sqref="R34">
    <cfRule type="containsText" dxfId="976" priority="544" operator="containsText" text="ftr">
      <formula>NOT(ISERROR(SEARCH("ftr",R34)))</formula>
    </cfRule>
    <cfRule type="containsText" dxfId="975" priority="545" operator="containsText" text="24hr">
      <formula>NOT(ISERROR(SEARCH("24hr",R34)))</formula>
    </cfRule>
  </conditionalFormatting>
  <conditionalFormatting sqref="F34">
    <cfRule type="containsText" dxfId="974" priority="550" operator="containsText" text="ftr">
      <formula>NOT(ISERROR(SEARCH("ftr",F34)))</formula>
    </cfRule>
    <cfRule type="containsText" dxfId="973" priority="551" operator="containsText" text="24hr">
      <formula>NOT(ISERROR(SEARCH("24hr",F34)))</formula>
    </cfRule>
  </conditionalFormatting>
  <conditionalFormatting sqref="B35:B37">
    <cfRule type="containsText" dxfId="972" priority="552" operator="containsText" text="ftr">
      <formula>NOT(ISERROR(SEARCH("ftr",B35)))</formula>
    </cfRule>
    <cfRule type="containsText" dxfId="971" priority="553" operator="containsText" text="24hr">
      <formula>NOT(ISERROR(SEARCH("24hr",B35)))</formula>
    </cfRule>
  </conditionalFormatting>
  <conditionalFormatting sqref="B33">
    <cfRule type="containsText" dxfId="970" priority="556" operator="containsText" text="24HR">
      <formula>NOT(ISERROR(SEARCH("24HR",B33)))</formula>
    </cfRule>
  </conditionalFormatting>
  <conditionalFormatting sqref="B34">
    <cfRule type="containsText" dxfId="969" priority="554" operator="containsText" text="ftr">
      <formula>NOT(ISERROR(SEARCH("ftr",B34)))</formula>
    </cfRule>
    <cfRule type="containsText" dxfId="968" priority="555" operator="containsText" text="24hr">
      <formula>NOT(ISERROR(SEARCH("24hr",B34)))</formula>
    </cfRule>
  </conditionalFormatting>
  <conditionalFormatting sqref="J34">
    <cfRule type="containsText" dxfId="967" priority="548" operator="containsText" text="ftr">
      <formula>NOT(ISERROR(SEARCH("ftr",J34)))</formula>
    </cfRule>
    <cfRule type="containsText" dxfId="966" priority="549" operator="containsText" text="24hr">
      <formula>NOT(ISERROR(SEARCH("24hr",J34)))</formula>
    </cfRule>
  </conditionalFormatting>
  <conditionalFormatting sqref="N34">
    <cfRule type="containsText" dxfId="965" priority="546" operator="containsText" text="ftr">
      <formula>NOT(ISERROR(SEARCH("ftr",N34)))</formula>
    </cfRule>
    <cfRule type="containsText" dxfId="964" priority="547" operator="containsText" text="24hr">
      <formula>NOT(ISERROR(SEARCH("24hr",N34)))</formula>
    </cfRule>
  </conditionalFormatting>
  <conditionalFormatting sqref="F35">
    <cfRule type="containsText" dxfId="963" priority="542" operator="containsText" text="ftr">
      <formula>NOT(ISERROR(SEARCH("ftr",F35)))</formula>
    </cfRule>
    <cfRule type="containsText" dxfId="962" priority="543" operator="containsText" text="24hr">
      <formula>NOT(ISERROR(SEARCH("24hr",F35)))</formula>
    </cfRule>
  </conditionalFormatting>
  <conditionalFormatting sqref="J35">
    <cfRule type="containsText" dxfId="961" priority="540" operator="containsText" text="ftr">
      <formula>NOT(ISERROR(SEARCH("ftr",J35)))</formula>
    </cfRule>
    <cfRule type="containsText" dxfId="960" priority="541" operator="containsText" text="24hr">
      <formula>NOT(ISERROR(SEARCH("24hr",J35)))</formula>
    </cfRule>
  </conditionalFormatting>
  <conditionalFormatting sqref="N35">
    <cfRule type="containsText" dxfId="959" priority="538" operator="containsText" text="ftr">
      <formula>NOT(ISERROR(SEARCH("ftr",N35)))</formula>
    </cfRule>
    <cfRule type="containsText" dxfId="958" priority="539" operator="containsText" text="24hr">
      <formula>NOT(ISERROR(SEARCH("24hr",N35)))</formula>
    </cfRule>
  </conditionalFormatting>
  <conditionalFormatting sqref="R35">
    <cfRule type="containsText" dxfId="957" priority="536" operator="containsText" text="ftr">
      <formula>NOT(ISERROR(SEARCH("ftr",R35)))</formula>
    </cfRule>
    <cfRule type="containsText" dxfId="956" priority="537" operator="containsText" text="24hr">
      <formula>NOT(ISERROR(SEARCH("24hr",R35)))</formula>
    </cfRule>
  </conditionalFormatting>
  <conditionalFormatting sqref="F33">
    <cfRule type="containsText" dxfId="955" priority="532" operator="containsText" text="24HR">
      <formula>NOT(ISERROR(SEARCH("24HR",F33)))</formula>
    </cfRule>
  </conditionalFormatting>
  <conditionalFormatting sqref="J33">
    <cfRule type="containsText" dxfId="954" priority="528" operator="containsText" text="24HR">
      <formula>NOT(ISERROR(SEARCH("24HR",J33)))</formula>
    </cfRule>
  </conditionalFormatting>
  <conditionalFormatting sqref="N33">
    <cfRule type="containsText" dxfId="953" priority="524" operator="containsText" text="24HR">
      <formula>NOT(ISERROR(SEARCH("24HR",N33)))</formula>
    </cfRule>
  </conditionalFormatting>
  <conditionalFormatting sqref="R33">
    <cfRule type="containsText" dxfId="952" priority="520" operator="containsText" text="24HR">
      <formula>NOT(ISERROR(SEARCH("24HR",R33)))</formula>
    </cfRule>
  </conditionalFormatting>
  <conditionalFormatting sqref="A2">
    <cfRule type="containsText" dxfId="951" priority="508" operator="containsText" text="24hr">
      <formula>NOT(ISERROR(SEARCH("24hr",A2)))</formula>
    </cfRule>
    <cfRule type="containsText" dxfId="950" priority="509" operator="containsText" text="ftr">
      <formula>NOT(ISERROR(SEARCH("ftr",A2)))</formula>
    </cfRule>
  </conditionalFormatting>
  <conditionalFormatting sqref="A2">
    <cfRule type="containsText" dxfId="949" priority="507" operator="containsText" text="24HR">
      <formula>NOT(ISERROR(SEARCH("24HR",A2)))</formula>
    </cfRule>
  </conditionalFormatting>
  <conditionalFormatting sqref="A2">
    <cfRule type="containsText" dxfId="948" priority="505" operator="containsText" text="FTR">
      <formula>NOT(ISERROR(SEARCH("FTR",A2)))</formula>
    </cfRule>
    <cfRule type="containsText" dxfId="947" priority="506" operator="containsText" text="24HR">
      <formula>NOT(ISERROR(SEARCH("24HR",A2)))</formula>
    </cfRule>
  </conditionalFormatting>
  <conditionalFormatting sqref="A1">
    <cfRule type="containsText" dxfId="946" priority="503" operator="containsText" text="24hr">
      <formula>NOT(ISERROR(SEARCH("24hr",A1)))</formula>
    </cfRule>
    <cfRule type="containsText" dxfId="945" priority="504" operator="containsText" text="ftr">
      <formula>NOT(ISERROR(SEARCH("ftr",A1)))</formula>
    </cfRule>
  </conditionalFormatting>
  <conditionalFormatting sqref="A1">
    <cfRule type="containsText" dxfId="944" priority="502" operator="containsText" text="24HR">
      <formula>NOT(ISERROR(SEARCH("24HR",A1)))</formula>
    </cfRule>
  </conditionalFormatting>
  <conditionalFormatting sqref="A1">
    <cfRule type="containsText" dxfId="943" priority="500" operator="containsText" text="FTR">
      <formula>NOT(ISERROR(SEARCH("FTR",A1)))</formula>
    </cfRule>
    <cfRule type="containsText" dxfId="942" priority="501" operator="containsText" text="24HR">
      <formula>NOT(ISERROR(SEARCH("24HR",A1)))</formula>
    </cfRule>
  </conditionalFormatting>
  <conditionalFormatting sqref="A3:T3">
    <cfRule type="containsText" dxfId="941" priority="498" operator="containsText" text="24hr">
      <formula>NOT(ISERROR(SEARCH("24hr",A3)))</formula>
    </cfRule>
    <cfRule type="containsText" dxfId="940" priority="499" operator="containsText" text="ftr">
      <formula>NOT(ISERROR(SEARCH("ftr",A3)))</formula>
    </cfRule>
  </conditionalFormatting>
  <conditionalFormatting sqref="A3:T3">
    <cfRule type="containsText" dxfId="939" priority="497" operator="containsText" text="24HR">
      <formula>NOT(ISERROR(SEARCH("24HR",A3)))</formula>
    </cfRule>
  </conditionalFormatting>
  <conditionalFormatting sqref="A3:T3">
    <cfRule type="containsText" dxfId="938" priority="495" operator="containsText" text="FTR">
      <formula>NOT(ISERROR(SEARCH("FTR",A3)))</formula>
    </cfRule>
    <cfRule type="containsText" dxfId="937" priority="496" operator="containsText" text="24HR">
      <formula>NOT(ISERROR(SEARCH("24HR",A3)))</formula>
    </cfRule>
  </conditionalFormatting>
  <conditionalFormatting sqref="A32:T32">
    <cfRule type="containsText" dxfId="936" priority="493" operator="containsText" text="24hr">
      <formula>NOT(ISERROR(SEARCH("24hr",A32)))</formula>
    </cfRule>
    <cfRule type="containsText" dxfId="935" priority="494" operator="containsText" text="ftr">
      <formula>NOT(ISERROR(SEARCH("ftr",A32)))</formula>
    </cfRule>
  </conditionalFormatting>
  <conditionalFormatting sqref="A32:T32">
    <cfRule type="containsText" dxfId="934" priority="492" operator="containsText" text="24HR">
      <formula>NOT(ISERROR(SEARCH("24HR",A32)))</formula>
    </cfRule>
  </conditionalFormatting>
  <conditionalFormatting sqref="A32:T32">
    <cfRule type="containsText" dxfId="933" priority="490" operator="containsText" text="FTR">
      <formula>NOT(ISERROR(SEARCH("FTR",A32)))</formula>
    </cfRule>
    <cfRule type="containsText" dxfId="932" priority="491" operator="containsText" text="24HR">
      <formula>NOT(ISERROR(SEARCH("24HR",A32)))</formula>
    </cfRule>
  </conditionalFormatting>
  <conditionalFormatting sqref="U32">
    <cfRule type="containsText" dxfId="931" priority="488" operator="containsText" text="24hr">
      <formula>NOT(ISERROR(SEARCH("24hr",U32)))</formula>
    </cfRule>
    <cfRule type="containsText" dxfId="930" priority="489" operator="containsText" text="ftr">
      <formula>NOT(ISERROR(SEARCH("ftr",U32)))</formula>
    </cfRule>
  </conditionalFormatting>
  <conditionalFormatting sqref="U32">
    <cfRule type="containsText" dxfId="929" priority="487" operator="containsText" text="24HR">
      <formula>NOT(ISERROR(SEARCH("24HR",U32)))</formula>
    </cfRule>
  </conditionalFormatting>
  <conditionalFormatting sqref="U32">
    <cfRule type="containsText" dxfId="928" priority="485" operator="containsText" text="FTR">
      <formula>NOT(ISERROR(SEARCH("FTR",U32)))</formula>
    </cfRule>
    <cfRule type="containsText" dxfId="927" priority="486" operator="containsText" text="24HR">
      <formula>NOT(ISERROR(SEARCH("24HR",U32)))</formula>
    </cfRule>
  </conditionalFormatting>
  <conditionalFormatting sqref="F36">
    <cfRule type="containsText" dxfId="926" priority="345" operator="containsText" text="ftr">
      <formula>NOT(ISERROR(SEARCH("ftr",F36)))</formula>
    </cfRule>
    <cfRule type="containsText" dxfId="925" priority="346" operator="containsText" text="24hr">
      <formula>NOT(ISERROR(SEARCH("24hr",F36)))</formula>
    </cfRule>
  </conditionalFormatting>
  <conditionalFormatting sqref="J36">
    <cfRule type="containsText" dxfId="924" priority="343" operator="containsText" text="ftr">
      <formula>NOT(ISERROR(SEARCH("ftr",J36)))</formula>
    </cfRule>
    <cfRule type="containsText" dxfId="923" priority="344" operator="containsText" text="24hr">
      <formula>NOT(ISERROR(SEARCH("24hr",J36)))</formula>
    </cfRule>
  </conditionalFormatting>
  <conditionalFormatting sqref="N36">
    <cfRule type="containsText" dxfId="922" priority="341" operator="containsText" text="ftr">
      <formula>NOT(ISERROR(SEARCH("ftr",N36)))</formula>
    </cfRule>
    <cfRule type="containsText" dxfId="921" priority="342" operator="containsText" text="24hr">
      <formula>NOT(ISERROR(SEARCH("24hr",N36)))</formula>
    </cfRule>
  </conditionalFormatting>
  <conditionalFormatting sqref="R36">
    <cfRule type="containsText" dxfId="920" priority="339" operator="containsText" text="ftr">
      <formula>NOT(ISERROR(SEARCH("ftr",R36)))</formula>
    </cfRule>
    <cfRule type="containsText" dxfId="919" priority="340" operator="containsText" text="24hr">
      <formula>NOT(ISERROR(SEARCH("24hr",R36)))</formula>
    </cfRule>
  </conditionalFormatting>
  <conditionalFormatting sqref="F39">
    <cfRule type="containsText" dxfId="918" priority="335" operator="containsText" text="24HR">
      <formula>NOT(ISERROR(SEARCH("24HR",F39)))</formula>
    </cfRule>
  </conditionalFormatting>
  <conditionalFormatting sqref="J39">
    <cfRule type="containsText" dxfId="917" priority="331" operator="containsText" text="24HR">
      <formula>NOT(ISERROR(SEARCH("24HR",J39)))</formula>
    </cfRule>
  </conditionalFormatting>
  <conditionalFormatting sqref="N39">
    <cfRule type="containsText" dxfId="916" priority="327" operator="containsText" text="24HR">
      <formula>NOT(ISERROR(SEARCH("24HR",N39)))</formula>
    </cfRule>
  </conditionalFormatting>
  <conditionalFormatting sqref="R39">
    <cfRule type="containsText" dxfId="915" priority="323" operator="containsText" text="24HR">
      <formula>NOT(ISERROR(SEARCH("24HR",R39)))</formula>
    </cfRule>
  </conditionalFormatting>
  <conditionalFormatting sqref="A32:U32 A33:W36 A37:B37 A38 D37:E38 H37:I38 L37:M38 P37:Q38 T37:W38 A39:W39">
    <cfRule type="containsText" dxfId="914" priority="321" operator="containsText" text="SPEC">
      <formula>NOT(ISERROR(SEARCH("SPEC",A32)))</formula>
    </cfRule>
  </conditionalFormatting>
  <conditionalFormatting sqref="I40 L40:M40 P40:S40">
    <cfRule type="containsText" dxfId="913" priority="317" operator="containsText" text="24HR">
      <formula>NOT(ISERROR(SEARCH("24HR",I40)))</formula>
    </cfRule>
  </conditionalFormatting>
  <conditionalFormatting sqref="J40">
    <cfRule type="containsText" dxfId="912" priority="313" operator="containsText" text="24HR">
      <formula>NOT(ISERROR(SEARCH("24HR",J40)))</formula>
    </cfRule>
  </conditionalFormatting>
  <conditionalFormatting sqref="N40">
    <cfRule type="containsText" dxfId="911" priority="309" operator="containsText" text="24HR">
      <formula>NOT(ISERROR(SEARCH("24HR",N40)))</formula>
    </cfRule>
  </conditionalFormatting>
  <conditionalFormatting sqref="I40:S40">
    <cfRule type="containsText" dxfId="910" priority="304" operator="containsText" text="PROC">
      <formula>NOT(ISERROR(SEARCH("PROC",I40)))</formula>
    </cfRule>
  </conditionalFormatting>
  <conditionalFormatting sqref="A63:A71">
    <cfRule type="containsText" dxfId="909" priority="302" operator="containsText" text="ftr">
      <formula>NOT(ISERROR(SEARCH("ftr",A63)))</formula>
    </cfRule>
    <cfRule type="containsText" dxfId="908" priority="303" operator="containsText" text="24hr">
      <formula>NOT(ISERROR(SEARCH("24hr",A63)))</formula>
    </cfRule>
  </conditionalFormatting>
  <conditionalFormatting sqref="A63:A71">
    <cfRule type="containsText" dxfId="907" priority="301" operator="containsText" text="PROC">
      <formula>NOT(ISERROR(SEARCH("PROC",A63)))</formula>
    </cfRule>
  </conditionalFormatting>
  <conditionalFormatting sqref="H63:H71">
    <cfRule type="containsText" dxfId="906" priority="299" operator="containsText" text="ftr">
      <formula>NOT(ISERROR(SEARCH("ftr",H63)))</formula>
    </cfRule>
    <cfRule type="containsText" dxfId="905" priority="300" operator="containsText" text="24hr">
      <formula>NOT(ISERROR(SEARCH("24hr",H63)))</formula>
    </cfRule>
  </conditionalFormatting>
  <conditionalFormatting sqref="H63:H71">
    <cfRule type="containsText" dxfId="904" priority="298" operator="containsText" text="PROC">
      <formula>NOT(ISERROR(SEARCH("PROC",H63)))</formula>
    </cfRule>
  </conditionalFormatting>
  <conditionalFormatting sqref="O63:O71">
    <cfRule type="containsText" dxfId="903" priority="296" operator="containsText" text="ftr">
      <formula>NOT(ISERROR(SEARCH("ftr",O63)))</formula>
    </cfRule>
    <cfRule type="containsText" dxfId="902" priority="297" operator="containsText" text="24hr">
      <formula>NOT(ISERROR(SEARCH("24hr",O63)))</formula>
    </cfRule>
  </conditionalFormatting>
  <conditionalFormatting sqref="O63:O71">
    <cfRule type="containsText" dxfId="901" priority="295" operator="containsText" text="PROC">
      <formula>NOT(ISERROR(SEARCH("PROC",O63)))</formula>
    </cfRule>
  </conditionalFormatting>
  <conditionalFormatting sqref="V63:V71">
    <cfRule type="containsText" dxfId="900" priority="293" operator="containsText" text="ftr">
      <formula>NOT(ISERROR(SEARCH("ftr",V63)))</formula>
    </cfRule>
    <cfRule type="containsText" dxfId="899" priority="294" operator="containsText" text="24hr">
      <formula>NOT(ISERROR(SEARCH("24hr",V63)))</formula>
    </cfRule>
  </conditionalFormatting>
  <conditionalFormatting sqref="V63:V71">
    <cfRule type="containsText" dxfId="898" priority="292" operator="containsText" text="PROC">
      <formula>NOT(ISERROR(SEARCH("PROC",V63)))</formula>
    </cfRule>
  </conditionalFormatting>
  <conditionalFormatting sqref="B62:F71">
    <cfRule type="containsText" dxfId="897" priority="290" operator="containsText" text="NOT MET">
      <formula>NOT(ISERROR(SEARCH("NOT MET",B62)))</formula>
    </cfRule>
    <cfRule type="containsText" dxfId="896" priority="291" operator="containsText" text="MET">
      <formula>NOT(ISERROR(SEARCH("MET",B62)))</formula>
    </cfRule>
  </conditionalFormatting>
  <conditionalFormatting sqref="B41 D41">
    <cfRule type="containsText" dxfId="895" priority="289" operator="containsText" text="24HR">
      <formula>NOT(ISERROR(SEARCH("24HR",B41)))</formula>
    </cfRule>
  </conditionalFormatting>
  <conditionalFormatting sqref="A43:B43 A42:D42 E46:H46 D43">
    <cfRule type="containsText" dxfId="894" priority="275" operator="containsText" text="SPEC">
      <formula>NOT(ISERROR(SEARCH("SPEC",A42)))</formula>
    </cfRule>
    <cfRule type="containsText" dxfId="893" priority="276" operator="containsText" text="ftr">
      <formula>NOT(ISERROR(SEARCH("ftr",A42)))</formula>
    </cfRule>
    <cfRule type="containsText" dxfId="892" priority="277" operator="containsText" text="24HR">
      <formula>NOT(ISERROR(SEARCH("24HR",A42)))</formula>
    </cfRule>
  </conditionalFormatting>
  <conditionalFormatting sqref="A40:D40">
    <cfRule type="containsText" dxfId="891" priority="267" operator="containsText" text="24hr">
      <formula>NOT(ISERROR(SEARCH("24hr",A40)))</formula>
    </cfRule>
    <cfRule type="containsText" dxfId="890" priority="268" operator="containsText" text="ftr">
      <formula>NOT(ISERROR(SEARCH("ftr",A40)))</formula>
    </cfRule>
  </conditionalFormatting>
  <conditionalFormatting sqref="A40:D40">
    <cfRule type="containsText" dxfId="889" priority="266" operator="containsText" text="24HR">
      <formula>NOT(ISERROR(SEARCH("24HR",A40)))</formula>
    </cfRule>
  </conditionalFormatting>
  <conditionalFormatting sqref="A40:D40">
    <cfRule type="containsText" dxfId="888" priority="264" operator="containsText" text="FTR">
      <formula>NOT(ISERROR(SEARCH("FTR",A40)))</formula>
    </cfRule>
    <cfRule type="containsText" dxfId="887" priority="265" operator="containsText" text="24HR">
      <formula>NOT(ISERROR(SEARCH("24HR",A40)))</formula>
    </cfRule>
  </conditionalFormatting>
  <conditionalFormatting sqref="A40:D40">
    <cfRule type="containsText" dxfId="886" priority="263" operator="containsText" text="SPEC">
      <formula>NOT(ISERROR(SEARCH("SPEC",A40)))</formula>
    </cfRule>
  </conditionalFormatting>
  <conditionalFormatting sqref="I62:M71">
    <cfRule type="containsText" dxfId="885" priority="179" operator="containsText" text="NOT MET">
      <formula>NOT(ISERROR(SEARCH("NOT MET",I62)))</formula>
    </cfRule>
    <cfRule type="containsText" dxfId="884" priority="180" operator="containsText" text="MET">
      <formula>NOT(ISERROR(SEARCH("MET",I62)))</formula>
    </cfRule>
  </conditionalFormatting>
  <conditionalFormatting sqref="P62:P71">
    <cfRule type="containsText" dxfId="883" priority="171" operator="containsText" text="NOT MET">
      <formula>NOT(ISERROR(SEARCH("NOT MET",P62)))</formula>
    </cfRule>
    <cfRule type="containsText" dxfId="882" priority="172" operator="containsText" text="MET">
      <formula>NOT(ISERROR(SEARCH("MET",P62)))</formula>
    </cfRule>
  </conditionalFormatting>
  <conditionalFormatting sqref="Q62:T71">
    <cfRule type="containsText" dxfId="881" priority="169" operator="containsText" text="NOT MET">
      <formula>NOT(ISERROR(SEARCH("NOT MET",Q62)))</formula>
    </cfRule>
    <cfRule type="containsText" dxfId="880" priority="170" operator="containsText" text="MET">
      <formula>NOT(ISERROR(SEARCH("MET",Q62)))</formula>
    </cfRule>
  </conditionalFormatting>
  <conditionalFormatting sqref="W62:W71">
    <cfRule type="containsText" dxfId="879" priority="167" operator="containsText" text="NOT MET">
      <formula>NOT(ISERROR(SEARCH("NOT MET",W62)))</formula>
    </cfRule>
    <cfRule type="containsText" dxfId="878" priority="168" operator="containsText" text="MET">
      <formula>NOT(ISERROR(SEARCH("MET",W62)))</formula>
    </cfRule>
  </conditionalFormatting>
  <conditionalFormatting sqref="X62:AA71">
    <cfRule type="containsText" dxfId="877" priority="165" operator="containsText" text="NOT MET">
      <formula>NOT(ISERROR(SEARCH("NOT MET",X62)))</formula>
    </cfRule>
    <cfRule type="containsText" dxfId="876" priority="166" operator="containsText" text="MET">
      <formula>NOT(ISERROR(SEARCH("MET",X62)))</formula>
    </cfRule>
  </conditionalFormatting>
  <conditionalFormatting sqref="I62:M71 P62:T71 W62:AA71">
    <cfRule type="cellIs" dxfId="875" priority="159" operator="equal">
      <formula>0</formula>
    </cfRule>
  </conditionalFormatting>
  <conditionalFormatting sqref="N55:N56">
    <cfRule type="containsText" dxfId="874" priority="158" operator="containsText" text="24HR">
      <formula>NOT(ISERROR(SEARCH("24HR",N55)))</formula>
    </cfRule>
  </conditionalFormatting>
  <conditionalFormatting sqref="N55:N56">
    <cfRule type="containsText" dxfId="873" priority="157" operator="containsText" text="PROC">
      <formula>NOT(ISERROR(SEARCH("PROC",N55)))</formula>
    </cfRule>
  </conditionalFormatting>
  <conditionalFormatting sqref="R56">
    <cfRule type="containsText" dxfId="872" priority="150" operator="containsText" text="over">
      <formula>NOT(ISERROR(SEARCH("over",R56)))</formula>
    </cfRule>
    <cfRule type="containsText" dxfId="871" priority="151" operator="containsText" text="Provider">
      <formula>NOT(ISERROR(SEARCH("Provider",R56)))</formula>
    </cfRule>
    <cfRule type="containsText" dxfId="870" priority="153" operator="containsText" text="short">
      <formula>NOT(ISERROR(SEARCH("short",R56)))</formula>
    </cfRule>
  </conditionalFormatting>
  <conditionalFormatting sqref="A44:D44">
    <cfRule type="containsText" dxfId="869" priority="146" operator="containsText" text="SPEC">
      <formula>NOT(ISERROR(SEARCH("SPEC",A44)))</formula>
    </cfRule>
    <cfRule type="containsText" dxfId="868" priority="147" operator="containsText" text="ftr">
      <formula>NOT(ISERROR(SEARCH("ftr",A44)))</formula>
    </cfRule>
    <cfRule type="containsText" dxfId="867" priority="148" operator="containsText" text="24HR">
      <formula>NOT(ISERROR(SEARCH("24HR",A44)))</formula>
    </cfRule>
  </conditionalFormatting>
  <conditionalFormatting sqref="H42">
    <cfRule type="cellIs" dxfId="866" priority="117" operator="greaterThan">
      <formula>0.05</formula>
    </cfRule>
  </conditionalFormatting>
  <conditionalFormatting sqref="F41 H41">
    <cfRule type="containsText" dxfId="865" priority="130" operator="containsText" text="24HR">
      <formula>NOT(ISERROR(SEARCH("24HR",F41)))</formula>
    </cfRule>
  </conditionalFormatting>
  <conditionalFormatting sqref="E42:H42">
    <cfRule type="containsText" dxfId="864" priority="127" operator="containsText" text="SPEC">
      <formula>NOT(ISERROR(SEARCH("SPEC",E42)))</formula>
    </cfRule>
    <cfRule type="containsText" dxfId="863" priority="128" operator="containsText" text="ftr">
      <formula>NOT(ISERROR(SEARCH("ftr",E42)))</formula>
    </cfRule>
    <cfRule type="containsText" dxfId="862" priority="129" operator="containsText" text="24HR">
      <formula>NOT(ISERROR(SEARCH("24HR",E42)))</formula>
    </cfRule>
  </conditionalFormatting>
  <conditionalFormatting sqref="E40:H40">
    <cfRule type="containsText" dxfId="861" priority="125" operator="containsText" text="24hr">
      <formula>NOT(ISERROR(SEARCH("24hr",E40)))</formula>
    </cfRule>
    <cfRule type="containsText" dxfId="860" priority="126" operator="containsText" text="ftr">
      <formula>NOT(ISERROR(SEARCH("ftr",E40)))</formula>
    </cfRule>
  </conditionalFormatting>
  <conditionalFormatting sqref="E40:H40">
    <cfRule type="containsText" dxfId="859" priority="124" operator="containsText" text="24HR">
      <formula>NOT(ISERROR(SEARCH("24HR",E40)))</formula>
    </cfRule>
  </conditionalFormatting>
  <conditionalFormatting sqref="E40:H40">
    <cfRule type="containsText" dxfId="858" priority="122" operator="containsText" text="FTR">
      <formula>NOT(ISERROR(SEARCH("FTR",E40)))</formula>
    </cfRule>
    <cfRule type="containsText" dxfId="857" priority="123" operator="containsText" text="24HR">
      <formula>NOT(ISERROR(SEARCH("24HR",E40)))</formula>
    </cfRule>
  </conditionalFormatting>
  <conditionalFormatting sqref="E40:H40">
    <cfRule type="containsText" dxfId="856" priority="121" operator="containsText" text="SPEC">
      <formula>NOT(ISERROR(SEARCH("SPEC",E40)))</formula>
    </cfRule>
  </conditionalFormatting>
  <conditionalFormatting sqref="A5:T31">
    <cfRule type="containsText" dxfId="855" priority="1" operator="containsText" text="GRP">
      <formula>NOT(ISERROR(SEARCH("GRP",A5)))</formula>
    </cfRule>
    <cfRule type="containsText" dxfId="854" priority="2" operator="containsText" text="PROC">
      <formula>NOT(ISERROR(SEARCH("PROC",A5)))</formula>
    </cfRule>
    <cfRule type="containsText" dxfId="853" priority="114" operator="containsText" text="SPEC">
      <formula>NOT(ISERROR(SEARCH("SPEC",A5)))</formula>
    </cfRule>
    <cfRule type="containsText" dxfId="852" priority="115" operator="containsText" text="FTR">
      <formula>NOT(ISERROR(SEARCH("FTR",A5)))</formula>
    </cfRule>
    <cfRule type="containsText" dxfId="851" priority="116" operator="containsText" text="24HR">
      <formula>NOT(ISERROR(SEARCH("24HR",A5)))</formula>
    </cfRule>
  </conditionalFormatting>
  <conditionalFormatting sqref="A38 A37:B37 D37:E38 H37:I38 L37:M38 P37:Q38 T37:W38">
    <cfRule type="containsText" dxfId="850" priority="112" operator="containsText" text="GRP">
      <formula>NOT(ISERROR(SEARCH("GRP",A37)))</formula>
    </cfRule>
    <cfRule type="containsText" dxfId="849" priority="113" operator="containsText" text="PROC">
      <formula>NOT(ISERROR(SEARCH("PROC",A37)))</formula>
    </cfRule>
  </conditionalFormatting>
  <conditionalFormatting sqref="B38">
    <cfRule type="containsText" dxfId="848" priority="110" operator="containsText" text="ftr">
      <formula>NOT(ISERROR(SEARCH("ftr",B38)))</formula>
    </cfRule>
    <cfRule type="containsText" dxfId="847" priority="111" operator="containsText" text="24hr">
      <formula>NOT(ISERROR(SEARCH("24hr",B38)))</formula>
    </cfRule>
  </conditionalFormatting>
  <conditionalFormatting sqref="B38">
    <cfRule type="containsText" dxfId="846" priority="109" operator="containsText" text="SPEC">
      <formula>NOT(ISERROR(SEARCH("SPEC",B38)))</formula>
    </cfRule>
  </conditionalFormatting>
  <conditionalFormatting sqref="B38">
    <cfRule type="containsText" dxfId="845" priority="107" operator="containsText" text="GRP">
      <formula>NOT(ISERROR(SEARCH("GRP",B38)))</formula>
    </cfRule>
    <cfRule type="containsText" dxfId="844" priority="108" operator="containsText" text="PROC">
      <formula>NOT(ISERROR(SEARCH("PROC",B38)))</formula>
    </cfRule>
  </conditionalFormatting>
  <conditionalFormatting sqref="F37">
    <cfRule type="containsText" dxfId="843" priority="80" operator="containsText" text="ftr">
      <formula>NOT(ISERROR(SEARCH("ftr",F37)))</formula>
    </cfRule>
    <cfRule type="containsText" dxfId="842" priority="81" operator="containsText" text="24hr">
      <formula>NOT(ISERROR(SEARCH("24hr",F37)))</formula>
    </cfRule>
  </conditionalFormatting>
  <conditionalFormatting sqref="F37:G37">
    <cfRule type="containsText" dxfId="841" priority="79" operator="containsText" text="SPEC">
      <formula>NOT(ISERROR(SEARCH("SPEC",F37)))</formula>
    </cfRule>
  </conditionalFormatting>
  <conditionalFormatting sqref="R38:S38">
    <cfRule type="containsText" dxfId="840" priority="55" operator="containsText" text="SPEC">
      <formula>NOT(ISERROR(SEARCH("SPEC",R38)))</formula>
    </cfRule>
  </conditionalFormatting>
  <conditionalFormatting sqref="F38">
    <cfRule type="containsText" dxfId="839" priority="77" operator="containsText" text="ftr">
      <formula>NOT(ISERROR(SEARCH("ftr",F38)))</formula>
    </cfRule>
    <cfRule type="containsText" dxfId="838" priority="78" operator="containsText" text="24hr">
      <formula>NOT(ISERROR(SEARCH("24hr",F38)))</formula>
    </cfRule>
  </conditionalFormatting>
  <conditionalFormatting sqref="F38:G38">
    <cfRule type="containsText" dxfId="837" priority="76" operator="containsText" text="SPEC">
      <formula>NOT(ISERROR(SEARCH("SPEC",F38)))</formula>
    </cfRule>
  </conditionalFormatting>
  <conditionalFormatting sqref="R38">
    <cfRule type="containsText" dxfId="836" priority="56" operator="containsText" text="ftr">
      <formula>NOT(ISERROR(SEARCH("ftr",R38)))</formula>
    </cfRule>
    <cfRule type="containsText" dxfId="835" priority="57" operator="containsText" text="24hr">
      <formula>NOT(ISERROR(SEARCH("24hr",R38)))</formula>
    </cfRule>
  </conditionalFormatting>
  <conditionalFormatting sqref="J37">
    <cfRule type="containsText" dxfId="834" priority="71" operator="containsText" text="ftr">
      <formula>NOT(ISERROR(SEARCH("ftr",J37)))</formula>
    </cfRule>
    <cfRule type="containsText" dxfId="833" priority="72" operator="containsText" text="24hr">
      <formula>NOT(ISERROR(SEARCH("24hr",J37)))</formula>
    </cfRule>
  </conditionalFormatting>
  <conditionalFormatting sqref="J37:K37">
    <cfRule type="containsText" dxfId="832" priority="70" operator="containsText" text="SPEC">
      <formula>NOT(ISERROR(SEARCH("SPEC",J37)))</formula>
    </cfRule>
  </conditionalFormatting>
  <conditionalFormatting sqref="J38">
    <cfRule type="containsText" dxfId="831" priority="68" operator="containsText" text="ftr">
      <formula>NOT(ISERROR(SEARCH("ftr",J38)))</formula>
    </cfRule>
    <cfRule type="containsText" dxfId="830" priority="69" operator="containsText" text="24hr">
      <formula>NOT(ISERROR(SEARCH("24hr",J38)))</formula>
    </cfRule>
  </conditionalFormatting>
  <conditionalFormatting sqref="J38:K38">
    <cfRule type="containsText" dxfId="829" priority="67" operator="containsText" text="SPEC">
      <formula>NOT(ISERROR(SEARCH("SPEC",J38)))</formula>
    </cfRule>
  </conditionalFormatting>
  <conditionalFormatting sqref="N37">
    <cfRule type="containsText" dxfId="828" priority="65" operator="containsText" text="ftr">
      <formula>NOT(ISERROR(SEARCH("ftr",N37)))</formula>
    </cfRule>
    <cfRule type="containsText" dxfId="827" priority="66" operator="containsText" text="24hr">
      <formula>NOT(ISERROR(SEARCH("24hr",N37)))</formula>
    </cfRule>
  </conditionalFormatting>
  <conditionalFormatting sqref="N37:O37">
    <cfRule type="containsText" dxfId="826" priority="64" operator="containsText" text="SPEC">
      <formula>NOT(ISERROR(SEARCH("SPEC",N37)))</formula>
    </cfRule>
  </conditionalFormatting>
  <conditionalFormatting sqref="N38">
    <cfRule type="containsText" dxfId="825" priority="62" operator="containsText" text="ftr">
      <formula>NOT(ISERROR(SEARCH("ftr",N38)))</formula>
    </cfRule>
    <cfRule type="containsText" dxfId="824" priority="63" operator="containsText" text="24hr">
      <formula>NOT(ISERROR(SEARCH("24hr",N38)))</formula>
    </cfRule>
  </conditionalFormatting>
  <conditionalFormatting sqref="N38:O38">
    <cfRule type="containsText" dxfId="823" priority="61" operator="containsText" text="SPEC">
      <formula>NOT(ISERROR(SEARCH("SPEC",N38)))</formula>
    </cfRule>
  </conditionalFormatting>
  <conditionalFormatting sqref="R37">
    <cfRule type="containsText" dxfId="822" priority="59" operator="containsText" text="ftr">
      <formula>NOT(ISERROR(SEARCH("ftr",R37)))</formula>
    </cfRule>
    <cfRule type="containsText" dxfId="821" priority="60" operator="containsText" text="24hr">
      <formula>NOT(ISERROR(SEARCH("24hr",R37)))</formula>
    </cfRule>
  </conditionalFormatting>
  <conditionalFormatting sqref="R37:S37">
    <cfRule type="containsText" dxfId="820" priority="58" operator="containsText" text="SPEC">
      <formula>NOT(ISERROR(SEARCH("SPEC",R37)))</formula>
    </cfRule>
  </conditionalFormatting>
  <conditionalFormatting sqref="W39">
    <cfRule type="cellIs" dxfId="819" priority="21" operator="lessThan">
      <formula>100%</formula>
    </cfRule>
  </conditionalFormatting>
  <conditionalFormatting sqref="J39">
    <cfRule type="containsText" dxfId="818" priority="20" operator="containsText" text="24HR">
      <formula>NOT(ISERROR(SEARCH("24HR",J39)))</formula>
    </cfRule>
  </conditionalFormatting>
  <conditionalFormatting sqref="N39">
    <cfRule type="containsText" dxfId="817" priority="19" operator="containsText" text="24HR">
      <formula>NOT(ISERROR(SEARCH("24HR",N39)))</formula>
    </cfRule>
  </conditionalFormatting>
  <conditionalFormatting sqref="R39">
    <cfRule type="containsText" dxfId="816" priority="18" operator="containsText" text="24HR">
      <formula>NOT(ISERROR(SEARCH("24HR",R39)))</formula>
    </cfRule>
  </conditionalFormatting>
  <conditionalFormatting sqref="AA5:AA8">
    <cfRule type="cellIs" dxfId="815" priority="14" operator="lessThan">
      <formula>0.1</formula>
    </cfRule>
    <cfRule type="cellIs" dxfId="814" priority="15" operator="between">
      <formula>0.1</formula>
      <formula>0.15</formula>
    </cfRule>
    <cfRule type="cellIs" dxfId="813" priority="16" operator="between">
      <formula>0.15</formula>
      <formula>0.2</formula>
    </cfRule>
    <cfRule type="cellIs" dxfId="812" priority="17" operator="greaterThanOrEqual">
      <formula>0.2</formula>
    </cfRule>
  </conditionalFormatting>
  <conditionalFormatting sqref="AA10:AA13">
    <cfRule type="cellIs" dxfId="811" priority="10" operator="lessThan">
      <formula>40%</formula>
    </cfRule>
    <cfRule type="cellIs" dxfId="810" priority="11" operator="between">
      <formula>0.4</formula>
      <formula>0.5</formula>
    </cfRule>
    <cfRule type="cellIs" dxfId="809" priority="12" operator="between">
      <formula>0.5</formula>
      <formula>0.6</formula>
    </cfRule>
    <cfRule type="cellIs" dxfId="808" priority="13" operator="greaterThanOrEqual">
      <formula>0.6</formula>
    </cfRule>
  </conditionalFormatting>
  <conditionalFormatting sqref="AA15:AA18">
    <cfRule type="cellIs" dxfId="807" priority="5" operator="greaterThan">
      <formula>0.07</formula>
    </cfRule>
    <cfRule type="cellIs" dxfId="806" priority="6" operator="between">
      <formula>0.05</formula>
      <formula>0.07</formula>
    </cfRule>
    <cfRule type="cellIs" dxfId="805" priority="8" operator="between">
      <formula>0.02</formula>
      <formula>0.05</formula>
    </cfRule>
    <cfRule type="cellIs" dxfId="804" priority="9" operator="lessThan">
      <formula>0.02</formula>
    </cfRule>
  </conditionalFormatting>
  <conditionalFormatting sqref="AA20:AA23">
    <cfRule type="cellIs" dxfId="803" priority="3" operator="lessThan">
      <formula>0.9</formula>
    </cfRule>
    <cfRule type="cellIs" dxfId="802" priority="4" operator="greaterThanOrEqual">
      <formula>0.9</formula>
    </cfRule>
  </conditionalFormatting>
  <dataValidations count="5">
    <dataValidation type="list" allowBlank="1" showInputMessage="1" showErrorMessage="1" sqref="C54:G54">
      <formula1>Specialty</formula1>
    </dataValidation>
    <dataValidation type="list" allowBlank="1" showInputMessage="1" showErrorMessage="1" sqref="C55:G55">
      <formula1>INDIRECT(SUBSTITUTE(C54," ",""))</formula1>
    </dataValidation>
    <dataValidation type="list" allowBlank="1" showInputMessage="1" showErrorMessage="1" sqref="K54">
      <formula1>TypeofCare</formula1>
    </dataValidation>
    <dataValidation type="list" allowBlank="1" showInputMessage="1" showErrorMessage="1" sqref="K55">
      <formula1>INDIRECT(K54)</formula1>
    </dataValidation>
    <dataValidation type="list" allowBlank="1" showDropDown="1" showInputMessage="1" showErrorMessage="1" error="The appointment type you entered is not approved by DHA. Please choose one of the following approved appointment types: 24HR, FTR, SPEC, PROC, or GRP." sqref="B5:B31 F5:F31 J5:J31 N5:N31 R5:R31">
      <formula1>ApprovedApptTypes</formula1>
    </dataValidation>
  </dataValidations>
  <hyperlinks>
    <hyperlink ref="V20:Z23" location="'%24HR_FTR TOL Appt'!A1" display="% 24HR and FTR TOL Availability"/>
    <hyperlink ref="V15:Z18" location="'Restrictive Detail Code %'!A1" display="% Restrictive Detail Code"/>
    <hyperlink ref="V10:Z13" location="'%24HR_F2F Appts'!A1" display="% 24HR F2F Appointments"/>
    <hyperlink ref="V5:Z8" location="'%Plan Appts &gt;= 1500 Hrs'!A1" display="% Planned Appointments &gt;= 1500"/>
    <hyperlink ref="V1:AA3" location="'Table of Contents'!A1" display="Click here to return to table of contents."/>
  </hyperlinks>
  <pageMargins left="0.7" right="0.7" top="0.75" bottom="0.75" header="0.3" footer="0.3"/>
  <pageSetup orientation="portrait" r:id="rId1"/>
  <ignoredErrors>
    <ignoredError sqref="A5:A11" numberStoredAsText="1"/>
    <ignoredError sqref="F37" formula="1"/>
  </ignoredError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5"/>
  </sheetPr>
  <dimension ref="A1:AE72"/>
  <sheetViews>
    <sheetView zoomScale="85" zoomScaleNormal="85" workbookViewId="0">
      <selection activeCell="O22" sqref="O22"/>
    </sheetView>
  </sheetViews>
  <sheetFormatPr defaultRowHeight="14.25" x14ac:dyDescent="0.2"/>
  <cols>
    <col min="1" max="1" width="8.375" customWidth="1"/>
    <col min="2" max="2" width="10.25" customWidth="1"/>
    <col min="3" max="3" width="10.625" customWidth="1"/>
    <col min="4" max="4" width="13.625" customWidth="1"/>
    <col min="5" max="5" width="11.625" customWidth="1"/>
    <col min="6" max="6" width="9" customWidth="1"/>
    <col min="7" max="7" width="9.625" customWidth="1"/>
    <col min="8" max="8" width="9.875" customWidth="1"/>
    <col min="9" max="9" width="10.25" customWidth="1"/>
    <col min="10" max="10" width="10.625" customWidth="1"/>
    <col min="11" max="11" width="13.625" customWidth="1"/>
    <col min="12" max="12" width="11.625" customWidth="1"/>
    <col min="13" max="13" width="8.875" customWidth="1"/>
    <col min="14" max="14" width="6.625" customWidth="1"/>
    <col min="15" max="15" width="9.625" customWidth="1"/>
    <col min="16" max="16" width="10.25" customWidth="1"/>
    <col min="17" max="17" width="10.625" customWidth="1"/>
    <col min="18" max="18" width="13.625" customWidth="1"/>
    <col min="19" max="19" width="11.625" customWidth="1"/>
    <col min="20" max="20" width="9.875" customWidth="1"/>
    <col min="21" max="21" width="8.375" customWidth="1"/>
    <col min="22" max="22" width="7.25" customWidth="1"/>
    <col min="23" max="23" width="10.25" customWidth="1"/>
    <col min="24" max="24" width="10.625" customWidth="1"/>
    <col min="25" max="25" width="13.625" customWidth="1"/>
    <col min="26" max="26" width="11.625" customWidth="1"/>
    <col min="27" max="27" width="11.75" customWidth="1"/>
  </cols>
  <sheetData>
    <row r="1" spans="1:27" ht="18" x14ac:dyDescent="0.25">
      <c r="A1" s="275" t="s">
        <v>79</v>
      </c>
      <c r="B1" s="275"/>
      <c r="C1" s="275"/>
      <c r="D1" s="275"/>
      <c r="E1" s="275"/>
      <c r="F1" s="275"/>
      <c r="G1" s="275"/>
      <c r="H1" s="275"/>
      <c r="I1" s="275"/>
      <c r="J1" s="275"/>
      <c r="K1" s="275"/>
      <c r="L1" s="275"/>
      <c r="M1" s="275"/>
      <c r="N1" s="275"/>
      <c r="O1" s="275"/>
      <c r="P1" s="275"/>
      <c r="Q1" s="275"/>
      <c r="R1" s="275"/>
      <c r="S1" s="275"/>
      <c r="T1" s="276"/>
      <c r="V1" s="245" t="s">
        <v>415</v>
      </c>
      <c r="W1" s="245"/>
      <c r="X1" s="245"/>
      <c r="Y1" s="245"/>
      <c r="Z1" s="245"/>
      <c r="AA1" s="245"/>
    </row>
    <row r="2" spans="1:27" ht="18.75" thickBot="1" x14ac:dyDescent="0.3">
      <c r="A2" s="277" t="s">
        <v>1</v>
      </c>
      <c r="B2" s="277"/>
      <c r="C2" s="277"/>
      <c r="D2" s="277"/>
      <c r="E2" s="277"/>
      <c r="F2" s="277"/>
      <c r="G2" s="277"/>
      <c r="H2" s="277"/>
      <c r="I2" s="277"/>
      <c r="J2" s="277"/>
      <c r="K2" s="277"/>
      <c r="L2" s="277"/>
      <c r="M2" s="277"/>
      <c r="N2" s="277"/>
      <c r="O2" s="277"/>
      <c r="P2" s="277"/>
      <c r="Q2" s="277"/>
      <c r="R2" s="277"/>
      <c r="S2" s="277"/>
      <c r="T2" s="278"/>
      <c r="V2" s="245"/>
      <c r="W2" s="245"/>
      <c r="X2" s="245"/>
      <c r="Y2" s="245"/>
      <c r="Z2" s="245"/>
      <c r="AA2" s="245"/>
    </row>
    <row r="3" spans="1:27" ht="15.75" thickBot="1" x14ac:dyDescent="0.3">
      <c r="A3" s="272" t="s">
        <v>2</v>
      </c>
      <c r="B3" s="273"/>
      <c r="C3" s="273"/>
      <c r="D3" s="274"/>
      <c r="E3" s="272" t="s">
        <v>3</v>
      </c>
      <c r="F3" s="273"/>
      <c r="G3" s="273"/>
      <c r="H3" s="274"/>
      <c r="I3" s="272" t="s">
        <v>4</v>
      </c>
      <c r="J3" s="273"/>
      <c r="K3" s="273"/>
      <c r="L3" s="274"/>
      <c r="M3" s="272" t="s">
        <v>5</v>
      </c>
      <c r="N3" s="273"/>
      <c r="O3" s="273"/>
      <c r="P3" s="274"/>
      <c r="Q3" s="272" t="s">
        <v>6</v>
      </c>
      <c r="R3" s="273"/>
      <c r="S3" s="273"/>
      <c r="T3" s="274"/>
      <c r="V3" s="245"/>
      <c r="W3" s="245"/>
      <c r="X3" s="245"/>
      <c r="Y3" s="245"/>
      <c r="Z3" s="245"/>
      <c r="AA3" s="245"/>
    </row>
    <row r="4" spans="1:27" ht="15" thickBot="1" x14ac:dyDescent="0.25">
      <c r="A4" s="1" t="s">
        <v>7</v>
      </c>
      <c r="B4" s="1" t="s">
        <v>8</v>
      </c>
      <c r="C4" s="2" t="s">
        <v>9</v>
      </c>
      <c r="D4" s="2" t="s">
        <v>10</v>
      </c>
      <c r="E4" s="1" t="s">
        <v>7</v>
      </c>
      <c r="F4" s="1" t="s">
        <v>8</v>
      </c>
      <c r="G4" s="2" t="s">
        <v>9</v>
      </c>
      <c r="H4" s="2" t="s">
        <v>10</v>
      </c>
      <c r="I4" s="1" t="s">
        <v>7</v>
      </c>
      <c r="J4" s="1" t="s">
        <v>8</v>
      </c>
      <c r="K4" s="2" t="s">
        <v>9</v>
      </c>
      <c r="L4" s="2" t="s">
        <v>10</v>
      </c>
      <c r="M4" s="1" t="s">
        <v>7</v>
      </c>
      <c r="N4" s="1" t="s">
        <v>8</v>
      </c>
      <c r="O4" s="2" t="s">
        <v>9</v>
      </c>
      <c r="P4" s="2" t="s">
        <v>10</v>
      </c>
      <c r="Q4" s="3" t="s">
        <v>7</v>
      </c>
      <c r="R4" s="1" t="s">
        <v>8</v>
      </c>
      <c r="S4" s="2" t="s">
        <v>9</v>
      </c>
      <c r="T4" s="2" t="s">
        <v>10</v>
      </c>
    </row>
    <row r="5" spans="1:27" ht="15" thickTop="1" x14ac:dyDescent="0.2">
      <c r="A5" s="69" t="s">
        <v>419</v>
      </c>
      <c r="B5" s="31" t="s">
        <v>14</v>
      </c>
      <c r="C5" s="51"/>
      <c r="D5" s="5">
        <v>20</v>
      </c>
      <c r="E5" s="69" t="s">
        <v>419</v>
      </c>
      <c r="F5" s="31" t="s">
        <v>14</v>
      </c>
      <c r="G5" s="51"/>
      <c r="H5" s="5">
        <v>20</v>
      </c>
      <c r="I5" s="69" t="s">
        <v>419</v>
      </c>
      <c r="J5" s="31" t="s">
        <v>14</v>
      </c>
      <c r="K5" s="51"/>
      <c r="L5" s="5">
        <v>20</v>
      </c>
      <c r="M5" s="69" t="s">
        <v>419</v>
      </c>
      <c r="N5" s="31" t="s">
        <v>14</v>
      </c>
      <c r="O5" s="51"/>
      <c r="P5" s="5">
        <v>20</v>
      </c>
      <c r="Q5" s="69" t="s">
        <v>419</v>
      </c>
      <c r="R5" s="31" t="s">
        <v>14</v>
      </c>
      <c r="S5" s="51"/>
      <c r="T5" s="5">
        <v>20</v>
      </c>
      <c r="V5" s="245" t="s">
        <v>414</v>
      </c>
      <c r="W5" s="245"/>
      <c r="X5" s="245"/>
      <c r="Y5" s="245"/>
      <c r="Z5" s="249"/>
      <c r="AA5" s="246">
        <f>'%Plan Appts &gt;= 1500 Hrs'!F25</f>
        <v>7.4999999999999997E-2</v>
      </c>
    </row>
    <row r="6" spans="1:27" x14ac:dyDescent="0.2">
      <c r="A6" s="70" t="s">
        <v>418</v>
      </c>
      <c r="B6" s="31" t="s">
        <v>13</v>
      </c>
      <c r="C6" s="52"/>
      <c r="D6" s="5">
        <v>20</v>
      </c>
      <c r="E6" s="70" t="s">
        <v>418</v>
      </c>
      <c r="F6" s="31" t="s">
        <v>13</v>
      </c>
      <c r="G6" s="52"/>
      <c r="H6" s="5">
        <v>20</v>
      </c>
      <c r="I6" s="70" t="s">
        <v>418</v>
      </c>
      <c r="J6" s="31" t="s">
        <v>13</v>
      </c>
      <c r="K6" s="52"/>
      <c r="L6" s="5">
        <v>20</v>
      </c>
      <c r="M6" s="70" t="s">
        <v>418</v>
      </c>
      <c r="N6" s="31" t="s">
        <v>13</v>
      </c>
      <c r="O6" s="52"/>
      <c r="P6" s="5">
        <v>20</v>
      </c>
      <c r="Q6" s="70" t="s">
        <v>418</v>
      </c>
      <c r="R6" s="31" t="s">
        <v>13</v>
      </c>
      <c r="S6" s="52"/>
      <c r="T6" s="5">
        <v>20</v>
      </c>
      <c r="V6" s="245"/>
      <c r="W6" s="245"/>
      <c r="X6" s="245"/>
      <c r="Y6" s="245"/>
      <c r="Z6" s="249"/>
      <c r="AA6" s="304"/>
    </row>
    <row r="7" spans="1:27" x14ac:dyDescent="0.2">
      <c r="A7" s="70" t="s">
        <v>420</v>
      </c>
      <c r="B7" s="31" t="s">
        <v>13</v>
      </c>
      <c r="C7" s="52"/>
      <c r="D7" s="5">
        <v>20</v>
      </c>
      <c r="E7" s="70" t="s">
        <v>420</v>
      </c>
      <c r="F7" s="31" t="s">
        <v>13</v>
      </c>
      <c r="G7" s="52"/>
      <c r="H7" s="5">
        <v>20</v>
      </c>
      <c r="I7" s="70" t="s">
        <v>420</v>
      </c>
      <c r="J7" s="31" t="s">
        <v>13</v>
      </c>
      <c r="K7" s="52"/>
      <c r="L7" s="5">
        <v>20</v>
      </c>
      <c r="M7" s="70" t="s">
        <v>420</v>
      </c>
      <c r="N7" s="31" t="s">
        <v>13</v>
      </c>
      <c r="O7" s="52"/>
      <c r="P7" s="5">
        <v>20</v>
      </c>
      <c r="Q7" s="70" t="s">
        <v>420</v>
      </c>
      <c r="R7" s="31" t="s">
        <v>13</v>
      </c>
      <c r="S7" s="52"/>
      <c r="T7" s="5">
        <v>20</v>
      </c>
      <c r="V7" s="245"/>
      <c r="W7" s="245"/>
      <c r="X7" s="245"/>
      <c r="Y7" s="245"/>
      <c r="Z7" s="249"/>
      <c r="AA7" s="304"/>
    </row>
    <row r="8" spans="1:27" ht="15" thickBot="1" x14ac:dyDescent="0.25">
      <c r="A8" s="70" t="s">
        <v>421</v>
      </c>
      <c r="B8" s="7" t="s">
        <v>14</v>
      </c>
      <c r="C8" s="117"/>
      <c r="D8" s="5">
        <v>20</v>
      </c>
      <c r="E8" s="70" t="s">
        <v>421</v>
      </c>
      <c r="F8" s="7" t="s">
        <v>14</v>
      </c>
      <c r="G8" s="227"/>
      <c r="H8" s="5">
        <v>20</v>
      </c>
      <c r="I8" s="70" t="s">
        <v>421</v>
      </c>
      <c r="J8" s="7" t="s">
        <v>14</v>
      </c>
      <c r="K8" s="227"/>
      <c r="L8" s="5">
        <v>20</v>
      </c>
      <c r="M8" s="70" t="s">
        <v>421</v>
      </c>
      <c r="N8" s="7" t="s">
        <v>14</v>
      </c>
      <c r="O8" s="227"/>
      <c r="P8" s="5">
        <v>20</v>
      </c>
      <c r="Q8" s="70" t="s">
        <v>421</v>
      </c>
      <c r="R8" s="7" t="s">
        <v>14</v>
      </c>
      <c r="S8" s="227"/>
      <c r="T8" s="5">
        <v>20</v>
      </c>
      <c r="V8" s="245"/>
      <c r="W8" s="245"/>
      <c r="X8" s="245"/>
      <c r="Y8" s="245"/>
      <c r="Z8" s="249"/>
      <c r="AA8" s="305"/>
    </row>
    <row r="9" spans="1:27" ht="21.75" thickTop="1" thickBot="1" x14ac:dyDescent="0.25">
      <c r="A9" s="70" t="s">
        <v>422</v>
      </c>
      <c r="B9" s="7" t="s">
        <v>13</v>
      </c>
      <c r="C9" s="117"/>
      <c r="D9" s="5">
        <v>20</v>
      </c>
      <c r="E9" s="70" t="s">
        <v>422</v>
      </c>
      <c r="F9" s="7" t="s">
        <v>13</v>
      </c>
      <c r="G9" s="227"/>
      <c r="H9" s="5">
        <v>20</v>
      </c>
      <c r="I9" s="70" t="s">
        <v>422</v>
      </c>
      <c r="J9" s="7" t="s">
        <v>13</v>
      </c>
      <c r="K9" s="227"/>
      <c r="L9" s="5">
        <v>20</v>
      </c>
      <c r="M9" s="70" t="s">
        <v>422</v>
      </c>
      <c r="N9" s="7" t="s">
        <v>13</v>
      </c>
      <c r="O9" s="227"/>
      <c r="P9" s="5">
        <v>20</v>
      </c>
      <c r="Q9" s="70" t="s">
        <v>422</v>
      </c>
      <c r="R9" s="7" t="s">
        <v>13</v>
      </c>
      <c r="S9" s="227"/>
      <c r="T9" s="5">
        <v>20</v>
      </c>
      <c r="V9" s="218"/>
      <c r="W9" s="219"/>
      <c r="X9" s="219"/>
      <c r="Y9" s="219"/>
      <c r="Z9" s="219"/>
      <c r="AA9" s="221"/>
    </row>
    <row r="10" spans="1:27" ht="15" thickTop="1" x14ac:dyDescent="0.2">
      <c r="A10" s="70" t="s">
        <v>423</v>
      </c>
      <c r="B10" s="7" t="s">
        <v>14</v>
      </c>
      <c r="C10" s="117"/>
      <c r="D10" s="5">
        <v>20</v>
      </c>
      <c r="E10" s="70" t="s">
        <v>423</v>
      </c>
      <c r="F10" s="7" t="s">
        <v>14</v>
      </c>
      <c r="G10" s="227"/>
      <c r="H10" s="5">
        <v>20</v>
      </c>
      <c r="I10" s="70" t="s">
        <v>423</v>
      </c>
      <c r="J10" s="7" t="s">
        <v>14</v>
      </c>
      <c r="K10" s="227"/>
      <c r="L10" s="5">
        <v>20</v>
      </c>
      <c r="M10" s="70" t="s">
        <v>423</v>
      </c>
      <c r="N10" s="7" t="s">
        <v>14</v>
      </c>
      <c r="O10" s="227"/>
      <c r="P10" s="5">
        <v>20</v>
      </c>
      <c r="Q10" s="70" t="s">
        <v>423</v>
      </c>
      <c r="R10" s="7" t="s">
        <v>14</v>
      </c>
      <c r="S10" s="227"/>
      <c r="T10" s="5">
        <v>20</v>
      </c>
      <c r="V10" s="245" t="s">
        <v>413</v>
      </c>
      <c r="W10" s="245"/>
      <c r="X10" s="245"/>
      <c r="Y10" s="245"/>
      <c r="Z10" s="249"/>
      <c r="AA10" s="246">
        <f>'%24HR_F2F Appts'!F26</f>
        <v>1</v>
      </c>
    </row>
    <row r="11" spans="1:27" x14ac:dyDescent="0.2">
      <c r="A11" s="70" t="s">
        <v>424</v>
      </c>
      <c r="B11" s="7" t="s">
        <v>14</v>
      </c>
      <c r="C11" s="117"/>
      <c r="D11" s="5">
        <v>20</v>
      </c>
      <c r="E11" s="70" t="s">
        <v>424</v>
      </c>
      <c r="F11" s="7" t="s">
        <v>14</v>
      </c>
      <c r="G11" s="227"/>
      <c r="H11" s="5">
        <v>20</v>
      </c>
      <c r="I11" s="70" t="s">
        <v>424</v>
      </c>
      <c r="J11" s="7" t="s">
        <v>14</v>
      </c>
      <c r="K11" s="227"/>
      <c r="L11" s="5">
        <v>20</v>
      </c>
      <c r="M11" s="70" t="s">
        <v>424</v>
      </c>
      <c r="N11" s="7" t="s">
        <v>14</v>
      </c>
      <c r="O11" s="227"/>
      <c r="P11" s="5">
        <v>20</v>
      </c>
      <c r="Q11" s="70" t="s">
        <v>424</v>
      </c>
      <c r="R11" s="7" t="s">
        <v>14</v>
      </c>
      <c r="S11" s="227"/>
      <c r="T11" s="5">
        <v>20</v>
      </c>
      <c r="U11" s="133"/>
      <c r="V11" s="245"/>
      <c r="W11" s="245"/>
      <c r="X11" s="245"/>
      <c r="Y11" s="245"/>
      <c r="Z11" s="249"/>
      <c r="AA11" s="304"/>
    </row>
    <row r="12" spans="1:27" x14ac:dyDescent="0.2">
      <c r="A12" s="70" t="s">
        <v>425</v>
      </c>
      <c r="B12" s="117" t="s">
        <v>14</v>
      </c>
      <c r="C12" s="117"/>
      <c r="D12" s="5">
        <v>20</v>
      </c>
      <c r="E12" s="70" t="s">
        <v>425</v>
      </c>
      <c r="F12" s="227" t="s">
        <v>14</v>
      </c>
      <c r="G12" s="227"/>
      <c r="H12" s="5">
        <v>20</v>
      </c>
      <c r="I12" s="70" t="s">
        <v>425</v>
      </c>
      <c r="J12" s="227" t="s">
        <v>14</v>
      </c>
      <c r="K12" s="227"/>
      <c r="L12" s="5">
        <v>20</v>
      </c>
      <c r="M12" s="70" t="s">
        <v>425</v>
      </c>
      <c r="N12" s="227" t="s">
        <v>14</v>
      </c>
      <c r="O12" s="227"/>
      <c r="P12" s="5">
        <v>20</v>
      </c>
      <c r="Q12" s="70" t="s">
        <v>425</v>
      </c>
      <c r="R12" s="227" t="s">
        <v>14</v>
      </c>
      <c r="S12" s="227"/>
      <c r="T12" s="5">
        <v>20</v>
      </c>
      <c r="U12" s="133"/>
      <c r="V12" s="245"/>
      <c r="W12" s="245"/>
      <c r="X12" s="245"/>
      <c r="Y12" s="245"/>
      <c r="Z12" s="249"/>
      <c r="AA12" s="304"/>
    </row>
    <row r="13" spans="1:27" ht="15" thickBot="1" x14ac:dyDescent="0.25">
      <c r="A13" s="70" t="s">
        <v>426</v>
      </c>
      <c r="B13" s="117" t="s">
        <v>14</v>
      </c>
      <c r="C13" s="117"/>
      <c r="D13" s="5">
        <v>20</v>
      </c>
      <c r="E13" s="70" t="s">
        <v>426</v>
      </c>
      <c r="F13" s="227" t="s">
        <v>14</v>
      </c>
      <c r="G13" s="227"/>
      <c r="H13" s="5">
        <v>20</v>
      </c>
      <c r="I13" s="70" t="s">
        <v>426</v>
      </c>
      <c r="J13" s="227" t="s">
        <v>14</v>
      </c>
      <c r="K13" s="227"/>
      <c r="L13" s="5">
        <v>20</v>
      </c>
      <c r="M13" s="70" t="s">
        <v>426</v>
      </c>
      <c r="N13" s="227" t="s">
        <v>14</v>
      </c>
      <c r="O13" s="227"/>
      <c r="P13" s="5">
        <v>20</v>
      </c>
      <c r="Q13" s="70" t="s">
        <v>426</v>
      </c>
      <c r="R13" s="227" t="s">
        <v>14</v>
      </c>
      <c r="S13" s="227"/>
      <c r="T13" s="5">
        <v>20</v>
      </c>
      <c r="V13" s="245"/>
      <c r="W13" s="245"/>
      <c r="X13" s="245"/>
      <c r="Y13" s="245"/>
      <c r="Z13" s="249"/>
      <c r="AA13" s="305"/>
    </row>
    <row r="14" spans="1:27" ht="21.75" thickTop="1" thickBot="1" x14ac:dyDescent="0.25">
      <c r="A14" s="70"/>
      <c r="B14" s="117"/>
      <c r="C14" s="117"/>
      <c r="D14" s="5"/>
      <c r="E14" s="70"/>
      <c r="F14" s="227"/>
      <c r="G14" s="227"/>
      <c r="H14" s="5"/>
      <c r="I14" s="70"/>
      <c r="J14" s="227"/>
      <c r="K14" s="227"/>
      <c r="L14" s="5"/>
      <c r="M14" s="70" t="s">
        <v>436</v>
      </c>
      <c r="N14" s="227" t="s">
        <v>13</v>
      </c>
      <c r="O14" s="227"/>
      <c r="P14" s="5">
        <v>20</v>
      </c>
      <c r="Q14" s="70" t="s">
        <v>436</v>
      </c>
      <c r="R14" s="227" t="s">
        <v>13</v>
      </c>
      <c r="S14" s="227"/>
      <c r="T14" s="5">
        <v>20</v>
      </c>
      <c r="V14" s="217"/>
      <c r="W14" s="217"/>
      <c r="X14" s="217"/>
      <c r="Y14" s="217"/>
      <c r="Z14" s="217"/>
      <c r="AA14" s="221"/>
    </row>
    <row r="15" spans="1:27" ht="15" thickTop="1" x14ac:dyDescent="0.2">
      <c r="A15" s="68"/>
      <c r="B15" s="117"/>
      <c r="C15" s="117"/>
      <c r="D15" s="5"/>
      <c r="E15" s="68"/>
      <c r="F15" s="227"/>
      <c r="G15" s="227"/>
      <c r="H15" s="5"/>
      <c r="I15" s="68"/>
      <c r="J15" s="227"/>
      <c r="K15" s="227"/>
      <c r="L15" s="5"/>
      <c r="M15" s="68" t="s">
        <v>437</v>
      </c>
      <c r="N15" s="227" t="s">
        <v>12</v>
      </c>
      <c r="O15" s="227" t="s">
        <v>439</v>
      </c>
      <c r="P15" s="5">
        <v>20</v>
      </c>
      <c r="Q15" s="68" t="s">
        <v>437</v>
      </c>
      <c r="R15" s="227" t="s">
        <v>12</v>
      </c>
      <c r="S15" s="227" t="s">
        <v>439</v>
      </c>
      <c r="T15" s="5">
        <v>20</v>
      </c>
      <c r="V15" s="245" t="s">
        <v>86</v>
      </c>
      <c r="W15" s="245"/>
      <c r="X15" s="245"/>
      <c r="Y15" s="245"/>
      <c r="Z15" s="249"/>
      <c r="AA15" s="246">
        <f>'Restrictive Detail Code %'!F26</f>
        <v>2.5000000000000001E-2</v>
      </c>
    </row>
    <row r="16" spans="1:27" x14ac:dyDescent="0.2">
      <c r="A16" s="68"/>
      <c r="B16" s="117"/>
      <c r="C16" s="117"/>
      <c r="D16" s="5"/>
      <c r="E16" s="68"/>
      <c r="F16" s="227"/>
      <c r="G16" s="227"/>
      <c r="H16" s="5"/>
      <c r="I16" s="68"/>
      <c r="J16" s="227"/>
      <c r="K16" s="227"/>
      <c r="L16" s="5"/>
      <c r="M16" s="68" t="s">
        <v>438</v>
      </c>
      <c r="N16" s="227" t="s">
        <v>12</v>
      </c>
      <c r="O16" s="227" t="s">
        <v>439</v>
      </c>
      <c r="P16" s="5">
        <v>20</v>
      </c>
      <c r="Q16" s="68" t="s">
        <v>438</v>
      </c>
      <c r="R16" s="227" t="s">
        <v>12</v>
      </c>
      <c r="S16" s="227" t="s">
        <v>439</v>
      </c>
      <c r="T16" s="5">
        <v>20</v>
      </c>
      <c r="V16" s="245"/>
      <c r="W16" s="245"/>
      <c r="X16" s="245"/>
      <c r="Y16" s="245"/>
      <c r="Z16" s="249"/>
      <c r="AA16" s="304"/>
    </row>
    <row r="17" spans="1:31" x14ac:dyDescent="0.2">
      <c r="A17" s="68"/>
      <c r="B17" s="117"/>
      <c r="C17" s="117"/>
      <c r="D17" s="5"/>
      <c r="E17" s="68"/>
      <c r="F17" s="227"/>
      <c r="G17" s="227"/>
      <c r="H17" s="5"/>
      <c r="I17" s="68"/>
      <c r="J17" s="227"/>
      <c r="K17" s="227"/>
      <c r="L17" s="5"/>
      <c r="M17" s="68"/>
      <c r="N17" s="227"/>
      <c r="O17" s="227"/>
      <c r="P17" s="5"/>
      <c r="Q17" s="68"/>
      <c r="R17" s="227"/>
      <c r="S17" s="227"/>
      <c r="T17" s="5"/>
      <c r="V17" s="245"/>
      <c r="W17" s="245"/>
      <c r="X17" s="245"/>
      <c r="Y17" s="245"/>
      <c r="Z17" s="249"/>
      <c r="AA17" s="304"/>
    </row>
    <row r="18" spans="1:31" ht="15" thickBot="1" x14ac:dyDescent="0.25">
      <c r="A18" s="68" t="s">
        <v>427</v>
      </c>
      <c r="B18" s="117" t="s">
        <v>12</v>
      </c>
      <c r="C18" s="117" t="s">
        <v>439</v>
      </c>
      <c r="D18" s="5">
        <v>20</v>
      </c>
      <c r="E18" s="68" t="s">
        <v>427</v>
      </c>
      <c r="F18" s="227" t="s">
        <v>12</v>
      </c>
      <c r="G18" s="227" t="s">
        <v>439</v>
      </c>
      <c r="H18" s="5">
        <v>20</v>
      </c>
      <c r="I18" s="68" t="s">
        <v>427</v>
      </c>
      <c r="J18" s="227" t="s">
        <v>12</v>
      </c>
      <c r="K18" s="227" t="s">
        <v>439</v>
      </c>
      <c r="L18" s="5">
        <v>20</v>
      </c>
      <c r="M18" s="68"/>
      <c r="N18" s="227"/>
      <c r="O18" s="227"/>
      <c r="P18" s="5"/>
      <c r="Q18" s="68"/>
      <c r="R18" s="227"/>
      <c r="S18" s="227"/>
      <c r="T18" s="5"/>
      <c r="V18" s="245"/>
      <c r="W18" s="245"/>
      <c r="X18" s="245"/>
      <c r="Y18" s="245"/>
      <c r="Z18" s="249"/>
      <c r="AA18" s="305"/>
    </row>
    <row r="19" spans="1:31" ht="21.75" thickTop="1" thickBot="1" x14ac:dyDescent="0.25">
      <c r="A19" s="68" t="s">
        <v>428</v>
      </c>
      <c r="B19" s="117" t="s">
        <v>12</v>
      </c>
      <c r="C19" s="117" t="s">
        <v>439</v>
      </c>
      <c r="D19" s="5">
        <v>20</v>
      </c>
      <c r="E19" s="68" t="s">
        <v>428</v>
      </c>
      <c r="F19" s="227" t="s">
        <v>12</v>
      </c>
      <c r="G19" s="227" t="s">
        <v>439</v>
      </c>
      <c r="H19" s="5">
        <v>20</v>
      </c>
      <c r="I19" s="68" t="s">
        <v>428</v>
      </c>
      <c r="J19" s="227" t="s">
        <v>12</v>
      </c>
      <c r="K19" s="227" t="s">
        <v>439</v>
      </c>
      <c r="L19" s="5">
        <v>20</v>
      </c>
      <c r="M19" s="68"/>
      <c r="N19" s="227"/>
      <c r="O19" s="227"/>
      <c r="P19" s="5"/>
      <c r="Q19" s="68" t="s">
        <v>57</v>
      </c>
      <c r="R19" s="227" t="s">
        <v>403</v>
      </c>
      <c r="S19" s="227" t="s">
        <v>440</v>
      </c>
      <c r="T19" s="5">
        <v>60</v>
      </c>
      <c r="AA19" s="221"/>
    </row>
    <row r="20" spans="1:31" ht="15.75" thickTop="1" x14ac:dyDescent="0.2">
      <c r="A20" s="68" t="s">
        <v>429</v>
      </c>
      <c r="B20" s="31" t="s">
        <v>13</v>
      </c>
      <c r="C20" s="63"/>
      <c r="D20" s="5">
        <v>20</v>
      </c>
      <c r="E20" s="68" t="s">
        <v>429</v>
      </c>
      <c r="F20" s="31" t="s">
        <v>13</v>
      </c>
      <c r="G20" s="63"/>
      <c r="H20" s="5">
        <v>20</v>
      </c>
      <c r="I20" s="68" t="s">
        <v>429</v>
      </c>
      <c r="J20" s="31" t="s">
        <v>13</v>
      </c>
      <c r="K20" s="63"/>
      <c r="L20" s="5">
        <v>20</v>
      </c>
      <c r="M20" s="68"/>
      <c r="N20" s="31"/>
      <c r="O20" s="63"/>
      <c r="P20" s="8"/>
      <c r="Q20" s="68" t="s">
        <v>46</v>
      </c>
      <c r="R20" s="31" t="s">
        <v>403</v>
      </c>
      <c r="S20" s="71" t="s">
        <v>440</v>
      </c>
      <c r="T20" s="8">
        <v>60</v>
      </c>
      <c r="V20" s="245" t="s">
        <v>412</v>
      </c>
      <c r="W20" s="245"/>
      <c r="X20" s="245"/>
      <c r="Y20" s="245"/>
      <c r="Z20" s="249"/>
      <c r="AA20" s="246">
        <f>'%24HR_FTR TOL Appt'!I25</f>
        <v>0.87179487179487181</v>
      </c>
      <c r="AD20" s="65"/>
      <c r="AE20" s="65"/>
    </row>
    <row r="21" spans="1:31" ht="15" x14ac:dyDescent="0.2">
      <c r="A21" s="68" t="s">
        <v>430</v>
      </c>
      <c r="B21" s="31" t="s">
        <v>14</v>
      </c>
      <c r="C21" s="63"/>
      <c r="D21" s="5">
        <v>20</v>
      </c>
      <c r="E21" s="68" t="s">
        <v>430</v>
      </c>
      <c r="F21" s="31" t="s">
        <v>14</v>
      </c>
      <c r="G21" s="63"/>
      <c r="H21" s="5">
        <v>20</v>
      </c>
      <c r="I21" s="68" t="s">
        <v>430</v>
      </c>
      <c r="J21" s="31" t="s">
        <v>14</v>
      </c>
      <c r="K21" s="63"/>
      <c r="L21" s="5">
        <v>20</v>
      </c>
      <c r="M21" s="68"/>
      <c r="N21" s="31"/>
      <c r="O21" s="63"/>
      <c r="P21" s="5"/>
      <c r="Q21" s="68"/>
      <c r="R21" s="31"/>
      <c r="S21" s="63"/>
      <c r="T21" s="5"/>
      <c r="V21" s="245"/>
      <c r="W21" s="245"/>
      <c r="X21" s="245"/>
      <c r="Y21" s="245"/>
      <c r="Z21" s="249"/>
      <c r="AA21" s="304"/>
      <c r="AD21" s="65"/>
      <c r="AE21" s="65"/>
    </row>
    <row r="22" spans="1:31" ht="15" x14ac:dyDescent="0.2">
      <c r="A22" s="68" t="s">
        <v>431</v>
      </c>
      <c r="B22" s="7" t="s">
        <v>14</v>
      </c>
      <c r="C22" s="52"/>
      <c r="D22" s="5">
        <v>20</v>
      </c>
      <c r="E22" s="68" t="s">
        <v>431</v>
      </c>
      <c r="F22" s="7" t="s">
        <v>14</v>
      </c>
      <c r="G22" s="52"/>
      <c r="H22" s="5">
        <v>20</v>
      </c>
      <c r="I22" s="68" t="s">
        <v>431</v>
      </c>
      <c r="J22" s="7" t="s">
        <v>14</v>
      </c>
      <c r="K22" s="52"/>
      <c r="L22" s="5">
        <v>20</v>
      </c>
      <c r="M22" s="68"/>
      <c r="N22" s="7"/>
      <c r="O22" s="52"/>
      <c r="P22" s="5"/>
      <c r="Q22" s="68"/>
      <c r="R22" s="7"/>
      <c r="S22" s="52"/>
      <c r="T22" s="5"/>
      <c r="V22" s="245"/>
      <c r="W22" s="245"/>
      <c r="X22" s="245"/>
      <c r="Y22" s="245"/>
      <c r="Z22" s="249"/>
      <c r="AA22" s="304"/>
      <c r="AD22" s="65"/>
      <c r="AE22" s="65"/>
    </row>
    <row r="23" spans="1:31" ht="15.75" thickBot="1" x14ac:dyDescent="0.25">
      <c r="A23" s="68" t="s">
        <v>432</v>
      </c>
      <c r="B23" s="7" t="s">
        <v>14</v>
      </c>
      <c r="C23" s="52"/>
      <c r="D23" s="5">
        <v>20</v>
      </c>
      <c r="E23" s="68" t="s">
        <v>432</v>
      </c>
      <c r="F23" s="7" t="s">
        <v>14</v>
      </c>
      <c r="G23" s="52"/>
      <c r="H23" s="5">
        <v>20</v>
      </c>
      <c r="I23" s="68" t="s">
        <v>432</v>
      </c>
      <c r="J23" s="7" t="s">
        <v>14</v>
      </c>
      <c r="K23" s="52"/>
      <c r="L23" s="5">
        <v>20</v>
      </c>
      <c r="M23" s="68"/>
      <c r="N23" s="7"/>
      <c r="O23" s="52"/>
      <c r="P23" s="5"/>
      <c r="Q23" s="68"/>
      <c r="R23" s="7"/>
      <c r="S23" s="52"/>
      <c r="T23" s="5"/>
      <c r="V23" s="245"/>
      <c r="W23" s="245"/>
      <c r="X23" s="245"/>
      <c r="Y23" s="245"/>
      <c r="Z23" s="249"/>
      <c r="AA23" s="305"/>
      <c r="AD23" s="65"/>
      <c r="AE23" s="65"/>
    </row>
    <row r="24" spans="1:31" ht="15.75" thickTop="1" x14ac:dyDescent="0.2">
      <c r="A24" s="68" t="s">
        <v>433</v>
      </c>
      <c r="B24" s="7" t="s">
        <v>13</v>
      </c>
      <c r="C24" s="52"/>
      <c r="D24" s="5">
        <v>20</v>
      </c>
      <c r="E24" s="68" t="s">
        <v>433</v>
      </c>
      <c r="F24" s="7" t="s">
        <v>13</v>
      </c>
      <c r="G24" s="52"/>
      <c r="H24" s="5">
        <v>20</v>
      </c>
      <c r="I24" s="68" t="s">
        <v>433</v>
      </c>
      <c r="J24" s="7" t="s">
        <v>13</v>
      </c>
      <c r="K24" s="52"/>
      <c r="L24" s="5">
        <v>20</v>
      </c>
      <c r="M24" s="68"/>
      <c r="N24" s="7"/>
      <c r="O24" s="52"/>
      <c r="P24" s="5"/>
      <c r="Q24" s="68"/>
      <c r="R24" s="7"/>
      <c r="S24" s="52"/>
      <c r="T24" s="5"/>
      <c r="AD24" s="65"/>
      <c r="AE24" s="65"/>
    </row>
    <row r="25" spans="1:31" ht="15" x14ac:dyDescent="0.2">
      <c r="A25" s="68" t="s">
        <v>434</v>
      </c>
      <c r="B25" s="7" t="s">
        <v>13</v>
      </c>
      <c r="C25" s="117"/>
      <c r="D25" s="5">
        <v>20</v>
      </c>
      <c r="E25" s="68" t="s">
        <v>434</v>
      </c>
      <c r="F25" s="7" t="s">
        <v>13</v>
      </c>
      <c r="G25" s="227"/>
      <c r="H25" s="5">
        <v>20</v>
      </c>
      <c r="I25" s="68" t="s">
        <v>434</v>
      </c>
      <c r="J25" s="7" t="s">
        <v>13</v>
      </c>
      <c r="K25" s="227"/>
      <c r="L25" s="5">
        <v>20</v>
      </c>
      <c r="M25" s="68"/>
      <c r="N25" s="7"/>
      <c r="O25" s="227"/>
      <c r="P25" s="5"/>
      <c r="Q25" s="68"/>
      <c r="R25" s="7"/>
      <c r="S25" s="227"/>
      <c r="T25" s="5"/>
      <c r="AD25" s="65"/>
      <c r="AE25" s="65"/>
    </row>
    <row r="26" spans="1:31" ht="15" x14ac:dyDescent="0.2">
      <c r="A26" s="68" t="s">
        <v>435</v>
      </c>
      <c r="B26" s="7" t="s">
        <v>14</v>
      </c>
      <c r="C26" s="117"/>
      <c r="D26" s="5">
        <v>20</v>
      </c>
      <c r="E26" s="68" t="s">
        <v>435</v>
      </c>
      <c r="F26" s="7" t="s">
        <v>14</v>
      </c>
      <c r="G26" s="227"/>
      <c r="H26" s="5">
        <v>20</v>
      </c>
      <c r="I26" s="68" t="s">
        <v>435</v>
      </c>
      <c r="J26" s="7" t="s">
        <v>14</v>
      </c>
      <c r="K26" s="227"/>
      <c r="L26" s="5">
        <v>20</v>
      </c>
      <c r="M26" s="68"/>
      <c r="N26" s="7"/>
      <c r="O26" s="227"/>
      <c r="P26" s="5"/>
      <c r="Q26" s="68"/>
      <c r="R26" s="7"/>
      <c r="S26" s="227"/>
      <c r="T26" s="5"/>
      <c r="AD26" s="65"/>
      <c r="AE26" s="65"/>
    </row>
    <row r="27" spans="1:31" ht="15" x14ac:dyDescent="0.2">
      <c r="A27" s="68"/>
      <c r="B27" s="7"/>
      <c r="C27" s="117"/>
      <c r="D27" s="5"/>
      <c r="E27" s="68"/>
      <c r="F27" s="7"/>
      <c r="G27" s="227"/>
      <c r="H27" s="5"/>
      <c r="I27" s="68"/>
      <c r="J27" s="7"/>
      <c r="K27" s="227"/>
      <c r="L27" s="5"/>
      <c r="M27" s="68"/>
      <c r="N27" s="7"/>
      <c r="O27" s="227"/>
      <c r="P27" s="5"/>
      <c r="Q27" s="68"/>
      <c r="R27" s="7"/>
      <c r="S27" s="227"/>
      <c r="T27" s="5"/>
      <c r="AD27" s="65"/>
      <c r="AE27" s="65"/>
    </row>
    <row r="28" spans="1:31" ht="15" x14ac:dyDescent="0.2">
      <c r="A28" s="68"/>
      <c r="B28" s="7"/>
      <c r="C28" s="117"/>
      <c r="D28" s="5"/>
      <c r="E28" s="68"/>
      <c r="F28" s="7"/>
      <c r="G28" s="227"/>
      <c r="H28" s="5"/>
      <c r="I28" s="68"/>
      <c r="J28" s="7"/>
      <c r="K28" s="227"/>
      <c r="L28" s="5"/>
      <c r="M28" s="68"/>
      <c r="N28" s="7"/>
      <c r="O28" s="227"/>
      <c r="P28" s="5"/>
      <c r="Q28" s="68"/>
      <c r="R28" s="7"/>
      <c r="S28" s="227"/>
      <c r="T28" s="5"/>
      <c r="AD28" s="65"/>
      <c r="AE28" s="65"/>
    </row>
    <row r="29" spans="1:31" ht="15" x14ac:dyDescent="0.2">
      <c r="A29" s="68"/>
      <c r="B29" s="50"/>
      <c r="C29" s="117"/>
      <c r="D29" s="5"/>
      <c r="E29" s="68"/>
      <c r="F29" s="50"/>
      <c r="G29" s="227"/>
      <c r="H29" s="5"/>
      <c r="I29" s="68"/>
      <c r="J29" s="50"/>
      <c r="K29" s="227"/>
      <c r="L29" s="5"/>
      <c r="M29" s="68"/>
      <c r="N29" s="50"/>
      <c r="O29" s="227"/>
      <c r="P29" s="5"/>
      <c r="Q29" s="68"/>
      <c r="R29" s="50"/>
      <c r="S29" s="227"/>
      <c r="T29" s="5"/>
      <c r="AD29" s="65"/>
      <c r="AE29" s="65"/>
    </row>
    <row r="30" spans="1:31" ht="15" x14ac:dyDescent="0.2">
      <c r="A30" s="68"/>
      <c r="B30" s="50"/>
      <c r="C30" s="117"/>
      <c r="D30" s="5"/>
      <c r="E30" s="68"/>
      <c r="F30" s="50"/>
      <c r="G30" s="227"/>
      <c r="H30" s="5"/>
      <c r="I30" s="68"/>
      <c r="J30" s="50"/>
      <c r="K30" s="227"/>
      <c r="L30" s="5"/>
      <c r="M30" s="68"/>
      <c r="N30" s="50"/>
      <c r="O30" s="227"/>
      <c r="P30" s="5"/>
      <c r="Q30" s="68"/>
      <c r="R30" s="50"/>
      <c r="S30" s="227"/>
      <c r="T30" s="5"/>
      <c r="AD30" s="65"/>
      <c r="AE30" s="65"/>
    </row>
    <row r="31" spans="1:31" ht="15.75" thickBot="1" x14ac:dyDescent="0.25">
      <c r="A31" s="68"/>
      <c r="B31" s="49"/>
      <c r="C31" s="117"/>
      <c r="D31" s="5"/>
      <c r="E31" s="68"/>
      <c r="F31" s="49"/>
      <c r="G31" s="227"/>
      <c r="H31" s="5"/>
      <c r="I31" s="68"/>
      <c r="J31" s="49"/>
      <c r="K31" s="227"/>
      <c r="L31" s="5"/>
      <c r="M31" s="68"/>
      <c r="N31" s="49"/>
      <c r="O31" s="227"/>
      <c r="P31" s="5"/>
      <c r="Q31" s="68"/>
      <c r="R31" s="49"/>
      <c r="S31" s="227"/>
      <c r="T31" s="5"/>
      <c r="Z31" s="65"/>
      <c r="AA31" s="65"/>
      <c r="AB31" s="65"/>
      <c r="AC31" s="65"/>
      <c r="AD31" s="65"/>
      <c r="AE31" s="65"/>
    </row>
    <row r="32" spans="1:31" ht="15.75" thickBot="1" x14ac:dyDescent="0.3">
      <c r="A32" s="272" t="s">
        <v>2</v>
      </c>
      <c r="B32" s="273"/>
      <c r="C32" s="273"/>
      <c r="D32" s="274"/>
      <c r="E32" s="272" t="s">
        <v>3</v>
      </c>
      <c r="F32" s="273"/>
      <c r="G32" s="273"/>
      <c r="H32" s="274"/>
      <c r="I32" s="272" t="s">
        <v>4</v>
      </c>
      <c r="J32" s="273"/>
      <c r="K32" s="273"/>
      <c r="L32" s="274"/>
      <c r="M32" s="272" t="s">
        <v>5</v>
      </c>
      <c r="N32" s="273"/>
      <c r="O32" s="273"/>
      <c r="P32" s="274"/>
      <c r="Q32" s="272" t="s">
        <v>6</v>
      </c>
      <c r="R32" s="273"/>
      <c r="S32" s="273"/>
      <c r="T32" s="274"/>
      <c r="U32" s="272" t="s">
        <v>15</v>
      </c>
      <c r="V32" s="273"/>
      <c r="W32" s="274"/>
      <c r="Z32" s="65"/>
      <c r="AA32" s="65"/>
      <c r="AB32" s="65"/>
      <c r="AC32" s="65"/>
      <c r="AD32" s="65"/>
      <c r="AE32" s="65"/>
    </row>
    <row r="33" spans="1:31" ht="15.75" thickBot="1" x14ac:dyDescent="0.3">
      <c r="A33" s="10" t="s">
        <v>8</v>
      </c>
      <c r="B33" s="268" t="s">
        <v>16</v>
      </c>
      <c r="C33" s="269"/>
      <c r="D33" s="10" t="s">
        <v>17</v>
      </c>
      <c r="E33" s="10" t="s">
        <v>8</v>
      </c>
      <c r="F33" s="268" t="s">
        <v>16</v>
      </c>
      <c r="G33" s="269"/>
      <c r="H33" s="10" t="s">
        <v>17</v>
      </c>
      <c r="I33" s="10" t="s">
        <v>8</v>
      </c>
      <c r="J33" s="268" t="s">
        <v>16</v>
      </c>
      <c r="K33" s="269"/>
      <c r="L33" s="10" t="s">
        <v>17</v>
      </c>
      <c r="M33" s="10" t="s">
        <v>8</v>
      </c>
      <c r="N33" s="268" t="s">
        <v>16</v>
      </c>
      <c r="O33" s="269"/>
      <c r="P33" s="10" t="s">
        <v>17</v>
      </c>
      <c r="Q33" s="10" t="s">
        <v>8</v>
      </c>
      <c r="R33" s="268" t="s">
        <v>16</v>
      </c>
      <c r="S33" s="269"/>
      <c r="T33" s="10" t="s">
        <v>17</v>
      </c>
      <c r="U33" s="10" t="s">
        <v>8</v>
      </c>
      <c r="V33" s="10" t="s">
        <v>16</v>
      </c>
      <c r="W33" s="10" t="s">
        <v>17</v>
      </c>
      <c r="Z33" s="65"/>
      <c r="AA33" s="65"/>
      <c r="AB33" s="65"/>
      <c r="AC33" s="65"/>
      <c r="AD33" s="65"/>
      <c r="AE33" s="91"/>
    </row>
    <row r="34" spans="1:31" ht="15" x14ac:dyDescent="0.2">
      <c r="A34" s="15" t="s">
        <v>13</v>
      </c>
      <c r="B34" s="270">
        <f>COUNTIF(A5:D31,"24HR")</f>
        <v>6</v>
      </c>
      <c r="C34" s="271"/>
      <c r="D34" s="16">
        <f>B34/B39</f>
        <v>0.33333333333333331</v>
      </c>
      <c r="E34" s="15" t="s">
        <v>13</v>
      </c>
      <c r="F34" s="270">
        <f>COUNTIF(E5:H31,"24HR")</f>
        <v>6</v>
      </c>
      <c r="G34" s="271"/>
      <c r="H34" s="17">
        <f>F34/F$39</f>
        <v>0.33333333333333331</v>
      </c>
      <c r="I34" s="15" t="s">
        <v>13</v>
      </c>
      <c r="J34" s="270">
        <f>COUNTIF(I5:L31,"24HR")</f>
        <v>6</v>
      </c>
      <c r="K34" s="271"/>
      <c r="L34" s="17">
        <f>J34/J$39</f>
        <v>0.33333333333333331</v>
      </c>
      <c r="M34" s="116" t="s">
        <v>13</v>
      </c>
      <c r="N34" s="270">
        <f>COUNTIF(M5:P31,"24HR")</f>
        <v>4</v>
      </c>
      <c r="O34" s="271"/>
      <c r="P34" s="17">
        <f>N34/N$39</f>
        <v>0.33333333333333331</v>
      </c>
      <c r="Q34" s="116" t="s">
        <v>13</v>
      </c>
      <c r="R34" s="270">
        <f>COUNTIF(Q5:T31,"24HR")</f>
        <v>4</v>
      </c>
      <c r="S34" s="271"/>
      <c r="T34" s="17">
        <f>R34/R$39</f>
        <v>0.2857142857142857</v>
      </c>
      <c r="U34" s="116" t="s">
        <v>13</v>
      </c>
      <c r="V34" s="15">
        <f t="shared" ref="V34:V38" si="0">SUM(B34,F34,J34,N34,R34)</f>
        <v>26</v>
      </c>
      <c r="W34" s="17">
        <f>V34/V39</f>
        <v>0.32500000000000001</v>
      </c>
      <c r="Z34" s="65"/>
      <c r="AA34" s="65"/>
      <c r="AB34" s="65"/>
      <c r="AC34" s="65"/>
      <c r="AD34" s="65"/>
      <c r="AE34" s="91"/>
    </row>
    <row r="35" spans="1:31" ht="15" x14ac:dyDescent="0.2">
      <c r="A35" s="11" t="s">
        <v>14</v>
      </c>
      <c r="B35" s="263">
        <f>COUNTIF(A5:D31,"FTR")</f>
        <v>10</v>
      </c>
      <c r="C35" s="264"/>
      <c r="D35" s="13">
        <f>B35/B$39</f>
        <v>0.55555555555555558</v>
      </c>
      <c r="E35" s="11" t="s">
        <v>14</v>
      </c>
      <c r="F35" s="263">
        <f>COUNTIF(E5:H31,"FTR")</f>
        <v>10</v>
      </c>
      <c r="G35" s="264"/>
      <c r="H35" s="12">
        <f>F35/F$39</f>
        <v>0.55555555555555558</v>
      </c>
      <c r="I35" s="11" t="s">
        <v>14</v>
      </c>
      <c r="J35" s="263">
        <f>COUNTIF(I5:L31,"FTR")</f>
        <v>10</v>
      </c>
      <c r="K35" s="264"/>
      <c r="L35" s="12">
        <f>J35/J$39</f>
        <v>0.55555555555555558</v>
      </c>
      <c r="M35" s="115" t="s">
        <v>14</v>
      </c>
      <c r="N35" s="263">
        <f>COUNTIF(M5:P31,"FTR")</f>
        <v>6</v>
      </c>
      <c r="O35" s="264"/>
      <c r="P35" s="12">
        <f>N35/N$39</f>
        <v>0.5</v>
      </c>
      <c r="Q35" s="115" t="s">
        <v>14</v>
      </c>
      <c r="R35" s="263">
        <f>COUNTIF(Q5:T31,"FTR")</f>
        <v>6</v>
      </c>
      <c r="S35" s="264"/>
      <c r="T35" s="12">
        <f>R35/R$39</f>
        <v>0.42857142857142855</v>
      </c>
      <c r="U35" s="115" t="s">
        <v>14</v>
      </c>
      <c r="V35" s="11">
        <f t="shared" si="0"/>
        <v>42</v>
      </c>
      <c r="W35" s="12">
        <f>V35/V39</f>
        <v>0.52500000000000002</v>
      </c>
      <c r="Z35" s="65"/>
      <c r="AA35" s="65"/>
      <c r="AB35" s="65"/>
      <c r="AC35" s="65"/>
      <c r="AD35" s="65"/>
      <c r="AE35" s="65"/>
    </row>
    <row r="36" spans="1:31" ht="15" x14ac:dyDescent="0.2">
      <c r="A36" s="11" t="s">
        <v>12</v>
      </c>
      <c r="B36" s="263">
        <f>COUNTIF(A5:D31,"SPEC")</f>
        <v>2</v>
      </c>
      <c r="C36" s="264"/>
      <c r="D36" s="13">
        <f>B36/B39</f>
        <v>0.1111111111111111</v>
      </c>
      <c r="E36" s="11" t="s">
        <v>12</v>
      </c>
      <c r="F36" s="263">
        <f>COUNTIF(E5:H31,"SPEC")</f>
        <v>2</v>
      </c>
      <c r="G36" s="264"/>
      <c r="H36" s="12">
        <f>F36/F39</f>
        <v>0.1111111111111111</v>
      </c>
      <c r="I36" s="11" t="s">
        <v>12</v>
      </c>
      <c r="J36" s="263">
        <f>COUNTIF(I5:L31,"SPEC")</f>
        <v>2</v>
      </c>
      <c r="K36" s="264"/>
      <c r="L36" s="12">
        <f>J36/J39</f>
        <v>0.1111111111111111</v>
      </c>
      <c r="M36" s="115" t="s">
        <v>12</v>
      </c>
      <c r="N36" s="263">
        <f>COUNTIF(M5:P31,"SPEC")</f>
        <v>2</v>
      </c>
      <c r="O36" s="264"/>
      <c r="P36" s="12">
        <f>N36/N39</f>
        <v>0.16666666666666666</v>
      </c>
      <c r="Q36" s="115" t="s">
        <v>12</v>
      </c>
      <c r="R36" s="263">
        <f>COUNTIF(Q5:T31,"SPEC")</f>
        <v>2</v>
      </c>
      <c r="S36" s="264"/>
      <c r="T36" s="12">
        <f>R36/R39</f>
        <v>0.14285714285714285</v>
      </c>
      <c r="U36" s="115" t="s">
        <v>12</v>
      </c>
      <c r="V36" s="11">
        <f t="shared" si="0"/>
        <v>10</v>
      </c>
      <c r="W36" s="12">
        <f>V36/V39</f>
        <v>0.125</v>
      </c>
      <c r="Z36" s="65"/>
      <c r="AA36" s="65"/>
      <c r="AB36" s="65"/>
      <c r="AC36" s="65"/>
      <c r="AD36" s="65"/>
      <c r="AE36" s="65"/>
    </row>
    <row r="37" spans="1:31" ht="15" x14ac:dyDescent="0.2">
      <c r="A37" s="143" t="s">
        <v>403</v>
      </c>
      <c r="B37" s="263">
        <f>COUNTIF(B5:B31,"PROC")</f>
        <v>0</v>
      </c>
      <c r="C37" s="264"/>
      <c r="D37" s="12">
        <f>B37/B39</f>
        <v>0</v>
      </c>
      <c r="E37" s="117" t="s">
        <v>403</v>
      </c>
      <c r="F37" s="263">
        <f>COUNTIF(E5:H31,"PROC")</f>
        <v>0</v>
      </c>
      <c r="G37" s="264"/>
      <c r="H37" s="12">
        <f>F37/F39</f>
        <v>0</v>
      </c>
      <c r="I37" s="117" t="s">
        <v>403</v>
      </c>
      <c r="J37" s="263">
        <f>COUNTIF(I5:L31,"PROC")</f>
        <v>0</v>
      </c>
      <c r="K37" s="264"/>
      <c r="L37" s="12">
        <f>J37/J39</f>
        <v>0</v>
      </c>
      <c r="M37" s="117" t="s">
        <v>403</v>
      </c>
      <c r="N37" s="263">
        <f>COUNTIF(M5:P31,"proc")</f>
        <v>0</v>
      </c>
      <c r="O37" s="264"/>
      <c r="P37" s="12">
        <f>N37/N39</f>
        <v>0</v>
      </c>
      <c r="Q37" s="117" t="s">
        <v>403</v>
      </c>
      <c r="R37" s="263">
        <f>COUNTIF(Q5:T31,"proc")</f>
        <v>2</v>
      </c>
      <c r="S37" s="264"/>
      <c r="T37" s="12">
        <f>R37/R39</f>
        <v>0.14285714285714285</v>
      </c>
      <c r="U37" s="11" t="s">
        <v>403</v>
      </c>
      <c r="V37" s="11">
        <f t="shared" si="0"/>
        <v>2</v>
      </c>
      <c r="W37" s="13">
        <f>V37/V39</f>
        <v>2.5000000000000001E-2</v>
      </c>
      <c r="Z37" s="65"/>
      <c r="AA37" s="65"/>
      <c r="AB37" s="65"/>
      <c r="AC37" s="65"/>
      <c r="AD37" s="65"/>
      <c r="AE37" s="65"/>
    </row>
    <row r="38" spans="1:31" ht="15.75" thickBot="1" x14ac:dyDescent="0.25">
      <c r="A38" s="143" t="s">
        <v>404</v>
      </c>
      <c r="B38" s="263">
        <f>COUNTIF(B5:B31,"GRP")</f>
        <v>0</v>
      </c>
      <c r="C38" s="264"/>
      <c r="D38" s="12">
        <f>B38/B39</f>
        <v>0</v>
      </c>
      <c r="E38" s="117" t="s">
        <v>404</v>
      </c>
      <c r="F38" s="263">
        <f>COUNTIF(E5:H31,"GRP")</f>
        <v>0</v>
      </c>
      <c r="G38" s="264"/>
      <c r="H38" s="12">
        <f>F38/F39</f>
        <v>0</v>
      </c>
      <c r="I38" s="117" t="s">
        <v>404</v>
      </c>
      <c r="J38" s="263">
        <f>COUNTIF(I5:L31,"GRP")</f>
        <v>0</v>
      </c>
      <c r="K38" s="264"/>
      <c r="L38" s="12">
        <f>J38/J39</f>
        <v>0</v>
      </c>
      <c r="M38" s="117" t="s">
        <v>404</v>
      </c>
      <c r="N38" s="263">
        <f>COUNTIF(M5:P31,"GRP")</f>
        <v>0</v>
      </c>
      <c r="O38" s="264"/>
      <c r="P38" s="12">
        <f>N38/N39</f>
        <v>0</v>
      </c>
      <c r="Q38" s="11" t="s">
        <v>404</v>
      </c>
      <c r="R38" s="301">
        <f>COUNTIF(Q5:T31,"grp")</f>
        <v>0</v>
      </c>
      <c r="S38" s="264"/>
      <c r="T38" s="12">
        <f>R38/R39</f>
        <v>0</v>
      </c>
      <c r="U38" s="11" t="s">
        <v>404</v>
      </c>
      <c r="V38" s="11">
        <f t="shared" si="0"/>
        <v>0</v>
      </c>
      <c r="W38" s="13">
        <f>V38/V39</f>
        <v>0</v>
      </c>
      <c r="Z38" s="65"/>
      <c r="AA38" s="65"/>
      <c r="AB38" s="65"/>
      <c r="AC38" s="65"/>
      <c r="AD38" s="65"/>
      <c r="AE38" s="65"/>
    </row>
    <row r="39" spans="1:31" ht="16.5" thickTop="1" thickBot="1" x14ac:dyDescent="0.25">
      <c r="A39" s="198" t="s">
        <v>18</v>
      </c>
      <c r="B39" s="266">
        <f>SUM(B34:C38)</f>
        <v>18</v>
      </c>
      <c r="C39" s="267"/>
      <c r="D39" s="19">
        <f>SUM(D34:D38)</f>
        <v>1</v>
      </c>
      <c r="E39" s="148" t="s">
        <v>18</v>
      </c>
      <c r="F39" s="266">
        <f>SUM(F34:G38)</f>
        <v>18</v>
      </c>
      <c r="G39" s="267"/>
      <c r="H39" s="19">
        <f>SUM(H34:H38)</f>
        <v>1</v>
      </c>
      <c r="I39" s="23" t="s">
        <v>18</v>
      </c>
      <c r="J39" s="266">
        <f>SUM(J34:K38)</f>
        <v>18</v>
      </c>
      <c r="K39" s="267"/>
      <c r="L39" s="19">
        <f>SUM(L34:L38)</f>
        <v>1</v>
      </c>
      <c r="M39" s="148" t="s">
        <v>18</v>
      </c>
      <c r="N39" s="266">
        <f>SUM(N34:O38)</f>
        <v>12</v>
      </c>
      <c r="O39" s="267"/>
      <c r="P39" s="19">
        <f>SUM(P34:P38)</f>
        <v>0.99999999999999989</v>
      </c>
      <c r="Q39" s="23" t="s">
        <v>18</v>
      </c>
      <c r="R39" s="266">
        <f>SUM(R34:S38)</f>
        <v>14</v>
      </c>
      <c r="S39" s="267"/>
      <c r="T39" s="19">
        <f>SUM(T34:T38)</f>
        <v>0.99999999999999978</v>
      </c>
      <c r="U39" s="20" t="s">
        <v>18</v>
      </c>
      <c r="V39" s="21">
        <f>SUM(V34:V38)</f>
        <v>80</v>
      </c>
      <c r="W39" s="22">
        <f>SUM(W34:W38)</f>
        <v>1</v>
      </c>
      <c r="Z39" s="65"/>
      <c r="AA39" s="65"/>
      <c r="AB39" s="65"/>
      <c r="AC39" s="65"/>
      <c r="AD39" s="65"/>
      <c r="AE39" s="65"/>
    </row>
    <row r="40" spans="1:31" ht="16.5" thickTop="1" thickBot="1" x14ac:dyDescent="0.3">
      <c r="A40" s="253" t="s">
        <v>365</v>
      </c>
      <c r="B40" s="254"/>
      <c r="C40" s="254"/>
      <c r="D40" s="255"/>
      <c r="E40" s="253" t="s">
        <v>366</v>
      </c>
      <c r="F40" s="254"/>
      <c r="G40" s="254"/>
      <c r="H40" s="255"/>
      <c r="I40" s="88"/>
      <c r="J40" s="88"/>
      <c r="K40" s="88"/>
      <c r="L40" s="89"/>
      <c r="M40" s="88"/>
      <c r="N40" s="88"/>
      <c r="O40" s="88"/>
      <c r="P40" s="89"/>
      <c r="Q40" s="7"/>
      <c r="R40" s="7"/>
      <c r="S40" s="24"/>
      <c r="T40" s="25"/>
      <c r="Z40" s="65"/>
      <c r="AA40" s="65"/>
      <c r="AB40" s="65"/>
      <c r="AC40" s="65"/>
      <c r="AD40" s="65"/>
      <c r="AE40" s="65"/>
    </row>
    <row r="41" spans="1:31" s="25" customFormat="1" ht="15.75" thickBot="1" x14ac:dyDescent="0.3">
      <c r="A41" s="26" t="s">
        <v>8</v>
      </c>
      <c r="B41" s="261" t="s">
        <v>16</v>
      </c>
      <c r="C41" s="262"/>
      <c r="D41" s="27" t="s">
        <v>17</v>
      </c>
      <c r="E41" s="26" t="s">
        <v>8</v>
      </c>
      <c r="F41" s="261" t="s">
        <v>16</v>
      </c>
      <c r="G41" s="262"/>
      <c r="H41" s="27" t="s">
        <v>17</v>
      </c>
      <c r="I41"/>
      <c r="J41"/>
      <c r="K41"/>
      <c r="L41"/>
      <c r="M41"/>
      <c r="N41"/>
      <c r="O41"/>
      <c r="P41"/>
      <c r="Q41"/>
      <c r="R41"/>
      <c r="S41"/>
      <c r="T41"/>
      <c r="V41" s="65"/>
      <c r="W41" s="65"/>
      <c r="X41" s="65"/>
      <c r="Y41" s="65"/>
      <c r="Z41" s="65"/>
      <c r="AA41" s="65"/>
    </row>
    <row r="42" spans="1:31" s="25" customFormat="1" ht="15.75" thickBot="1" x14ac:dyDescent="0.25">
      <c r="A42" s="28" t="s">
        <v>362</v>
      </c>
      <c r="B42" s="263">
        <f>COUNTIF(A3:T31,"HC*")</f>
        <v>0</v>
      </c>
      <c r="C42" s="264"/>
      <c r="D42" s="13">
        <f>B42/B44</f>
        <v>0</v>
      </c>
      <c r="E42" s="141" t="s">
        <v>363</v>
      </c>
      <c r="F42" s="286">
        <f>COUNTIF(A4:X31,"*WEX*")+COUNTIF(A4:X31,"*PBO*")</f>
        <v>2</v>
      </c>
      <c r="G42" s="287"/>
      <c r="H42" s="142">
        <f>F42/B44</f>
        <v>2.9411764705882353E-2</v>
      </c>
      <c r="I42"/>
      <c r="J42"/>
      <c r="K42"/>
      <c r="L42"/>
      <c r="M42"/>
      <c r="N42"/>
      <c r="P42"/>
      <c r="Q42"/>
      <c r="R42"/>
      <c r="S42"/>
      <c r="T42"/>
      <c r="U42"/>
      <c r="V42"/>
      <c r="W42"/>
      <c r="X42" s="65"/>
      <c r="Y42" s="65"/>
    </row>
    <row r="43" spans="1:31" s="25" customFormat="1" ht="15.75" thickBot="1" x14ac:dyDescent="0.25">
      <c r="A43" s="132" t="s">
        <v>364</v>
      </c>
      <c r="B43" s="263">
        <f>COUNTIFS(N5:N31,"*",O5:O31,"&lt;&gt;*")+COUNTIFS(R5:R31,"*",S5:S31,"&lt;&gt;*")+COUNTIFS(J5:J31,"*",K5:K31,"&lt;&gt;*")+COUNTIFS(F5:F31,"*",G5:G31,"&lt;&gt;*")+COUNTIFS(B5:B31,"*",C5:C31,"&lt;&gt;*")</f>
        <v>68</v>
      </c>
      <c r="C43" s="264"/>
      <c r="D43" s="13">
        <f>B43/B44</f>
        <v>1</v>
      </c>
      <c r="E43"/>
      <c r="K43"/>
      <c r="L43"/>
      <c r="M43"/>
      <c r="N43"/>
      <c r="O43"/>
      <c r="P43"/>
      <c r="Q43"/>
      <c r="R43"/>
      <c r="S43"/>
      <c r="T43"/>
      <c r="U43"/>
      <c r="V43"/>
      <c r="W43"/>
      <c r="X43"/>
      <c r="Y43"/>
      <c r="Z43"/>
      <c r="AA43" s="65"/>
    </row>
    <row r="44" spans="1:31" s="25" customFormat="1" ht="15" thickBot="1" x14ac:dyDescent="0.25">
      <c r="A44" s="29" t="s">
        <v>18</v>
      </c>
      <c r="B44" s="265">
        <f>SUM(B42:C43)</f>
        <v>68</v>
      </c>
      <c r="C44" s="265"/>
      <c r="D44" s="67">
        <f>SUM(D42:D43)</f>
        <v>1</v>
      </c>
      <c r="E44"/>
      <c r="K44"/>
      <c r="L44"/>
      <c r="M44"/>
      <c r="N44"/>
      <c r="O44"/>
      <c r="P44"/>
      <c r="Q44"/>
      <c r="R44"/>
      <c r="S44"/>
      <c r="T44"/>
      <c r="U44"/>
      <c r="V44"/>
      <c r="W44"/>
      <c r="X44"/>
      <c r="Y44"/>
      <c r="Z44"/>
    </row>
    <row r="45" spans="1:31" x14ac:dyDescent="0.2">
      <c r="F45" s="25"/>
      <c r="G45" s="25"/>
      <c r="H45" s="25"/>
      <c r="I45" s="25"/>
      <c r="J45" s="25"/>
    </row>
    <row r="46" spans="1:31" x14ac:dyDescent="0.2">
      <c r="E46" s="138"/>
      <c r="F46" s="7"/>
      <c r="G46" s="7"/>
      <c r="H46" s="197"/>
      <c r="I46" s="25"/>
      <c r="J46" s="25"/>
    </row>
    <row r="47" spans="1:31" x14ac:dyDescent="0.2">
      <c r="F47" s="25"/>
      <c r="G47" s="25"/>
      <c r="H47" s="25"/>
      <c r="I47" s="25"/>
      <c r="J47" s="25"/>
    </row>
    <row r="48" spans="1:31" x14ac:dyDescent="0.2">
      <c r="F48" s="25"/>
      <c r="G48" s="25"/>
      <c r="H48" s="25"/>
      <c r="I48" s="25"/>
      <c r="J48" s="25"/>
    </row>
    <row r="49" spans="1:27" x14ac:dyDescent="0.2">
      <c r="F49" s="25"/>
      <c r="G49" s="25"/>
      <c r="H49" s="25"/>
      <c r="I49" s="25"/>
      <c r="J49" s="25"/>
    </row>
    <row r="52" spans="1:27" ht="15" thickBot="1" x14ac:dyDescent="0.25"/>
    <row r="53" spans="1:27" x14ac:dyDescent="0.2">
      <c r="A53" s="256" t="s">
        <v>149</v>
      </c>
      <c r="B53" s="257"/>
      <c r="C53" s="257"/>
      <c r="D53" s="257"/>
      <c r="E53" s="257"/>
      <c r="F53" s="257"/>
      <c r="G53" s="258"/>
      <c r="H53" s="256" t="s">
        <v>150</v>
      </c>
      <c r="I53" s="257"/>
      <c r="J53" s="257"/>
      <c r="K53" s="257"/>
      <c r="L53" s="257"/>
      <c r="M53" s="259"/>
      <c r="N53" s="288" t="s">
        <v>348</v>
      </c>
      <c r="O53" s="289"/>
      <c r="P53" s="289"/>
      <c r="Q53" s="289"/>
      <c r="R53" s="289"/>
      <c r="S53" s="289"/>
      <c r="T53" s="290"/>
    </row>
    <row r="54" spans="1:27" ht="15" x14ac:dyDescent="0.2">
      <c r="A54" s="250" t="s">
        <v>106</v>
      </c>
      <c r="B54" s="251"/>
      <c r="C54" s="251" t="s">
        <v>107</v>
      </c>
      <c r="D54" s="251"/>
      <c r="E54" s="251"/>
      <c r="F54" s="251"/>
      <c r="G54" s="260"/>
      <c r="H54" s="250" t="s">
        <v>344</v>
      </c>
      <c r="I54" s="251"/>
      <c r="J54" s="251"/>
      <c r="K54" s="251" t="s">
        <v>152</v>
      </c>
      <c r="L54" s="251"/>
      <c r="M54" s="252"/>
      <c r="N54" s="294" t="s">
        <v>349</v>
      </c>
      <c r="O54" s="295"/>
      <c r="P54" s="295"/>
      <c r="Q54" s="295"/>
      <c r="R54" s="279">
        <f>K56</f>
        <v>80</v>
      </c>
      <c r="S54" s="279"/>
      <c r="T54" s="293"/>
    </row>
    <row r="55" spans="1:27" ht="15" x14ac:dyDescent="0.25">
      <c r="A55" s="250" t="s">
        <v>114</v>
      </c>
      <c r="B55" s="251"/>
      <c r="C55" s="251" t="s">
        <v>119</v>
      </c>
      <c r="D55" s="251"/>
      <c r="E55" s="251"/>
      <c r="F55" s="251"/>
      <c r="G55" s="260"/>
      <c r="H55" s="250" t="s">
        <v>347</v>
      </c>
      <c r="I55" s="251"/>
      <c r="J55" s="251"/>
      <c r="K55" s="251" t="s">
        <v>154</v>
      </c>
      <c r="L55" s="251"/>
      <c r="M55" s="252"/>
      <c r="N55" s="297" t="s">
        <v>357</v>
      </c>
      <c r="O55" s="298"/>
      <c r="P55" s="298"/>
      <c r="Q55" s="298"/>
      <c r="R55" s="291">
        <f>IFERROR(R54-(R54*C56),R54)</f>
        <v>80</v>
      </c>
      <c r="S55" s="291"/>
      <c r="T55" s="292"/>
    </row>
    <row r="56" spans="1:27" ht="15" thickBot="1" x14ac:dyDescent="0.25">
      <c r="A56" s="280" t="s">
        <v>144</v>
      </c>
      <c r="B56" s="281"/>
      <c r="C56" s="281" t="str">
        <f>VLOOKUP(Williams_80!C55,'Standard Adjustments'!B3:C36,2,FALSE)</f>
        <v>No Adjustment</v>
      </c>
      <c r="D56" s="281"/>
      <c r="E56" s="281"/>
      <c r="F56" s="281"/>
      <c r="G56" s="282"/>
      <c r="H56" s="280" t="s">
        <v>150</v>
      </c>
      <c r="I56" s="281"/>
      <c r="J56" s="281"/>
      <c r="K56" s="281">
        <f>VLOOKUP(K55,'Appointment Targets'!B153:C154,2,FALSE)</f>
        <v>80</v>
      </c>
      <c r="L56" s="281"/>
      <c r="M56" s="296"/>
      <c r="N56" s="299" t="s">
        <v>350</v>
      </c>
      <c r="O56" s="300"/>
      <c r="P56" s="300"/>
      <c r="Q56" s="300"/>
      <c r="R56" s="281" t="str">
        <f>IF(V39=R55,"Provider at appointment standard.",IF(V39&gt;R55,"Over"&amp;" "&amp;V39-R55&amp;" "&amp;"appointments","Short"&amp;" "&amp;ABS(V39-R55)&amp;" "&amp;"appointments"))</f>
        <v>Provider at appointment standard.</v>
      </c>
      <c r="S56" s="281"/>
      <c r="T56" s="282"/>
    </row>
    <row r="60" spans="1:27" ht="15" x14ac:dyDescent="0.2">
      <c r="A60" s="117"/>
      <c r="B60" s="279" t="s">
        <v>19</v>
      </c>
      <c r="C60" s="279"/>
      <c r="D60" s="279"/>
      <c r="E60" s="279"/>
      <c r="F60" s="279"/>
      <c r="G60" s="30"/>
      <c r="H60" s="31"/>
      <c r="I60" s="279" t="s">
        <v>20</v>
      </c>
      <c r="J60" s="279"/>
      <c r="K60" s="279"/>
      <c r="L60" s="279"/>
      <c r="M60" s="279"/>
      <c r="N60" s="30"/>
      <c r="P60" s="279" t="s">
        <v>21</v>
      </c>
      <c r="Q60" s="279"/>
      <c r="R60" s="279"/>
      <c r="S60" s="279"/>
      <c r="T60" s="279"/>
      <c r="U60" s="30"/>
      <c r="W60" s="283" t="s">
        <v>22</v>
      </c>
      <c r="X60" s="284"/>
      <c r="Y60" s="284"/>
      <c r="Z60" s="284"/>
      <c r="AA60" s="285"/>
    </row>
    <row r="61" spans="1:27" ht="15" x14ac:dyDescent="0.2">
      <c r="A61" s="117"/>
      <c r="B61" s="32" t="s">
        <v>2</v>
      </c>
      <c r="C61" s="33" t="s">
        <v>3</v>
      </c>
      <c r="D61" s="32" t="s">
        <v>4</v>
      </c>
      <c r="E61" s="32" t="s">
        <v>5</v>
      </c>
      <c r="F61" s="32" t="s">
        <v>6</v>
      </c>
      <c r="G61" s="30"/>
      <c r="H61" s="31"/>
      <c r="I61" s="32" t="s">
        <v>2</v>
      </c>
      <c r="J61" s="32" t="s">
        <v>3</v>
      </c>
      <c r="K61" s="32" t="s">
        <v>4</v>
      </c>
      <c r="L61" s="32" t="s">
        <v>5</v>
      </c>
      <c r="M61" s="32" t="s">
        <v>6</v>
      </c>
      <c r="N61" s="30"/>
      <c r="P61" s="32" t="s">
        <v>2</v>
      </c>
      <c r="Q61" s="32" t="s">
        <v>3</v>
      </c>
      <c r="R61" s="32" t="s">
        <v>4</v>
      </c>
      <c r="S61" s="32" t="s">
        <v>5</v>
      </c>
      <c r="T61" s="32" t="s">
        <v>6</v>
      </c>
      <c r="U61" s="30"/>
      <c r="W61" s="32" t="s">
        <v>2</v>
      </c>
      <c r="X61" s="32" t="s">
        <v>3</v>
      </c>
      <c r="Y61" s="32" t="s">
        <v>4</v>
      </c>
      <c r="Z61" s="32" t="s">
        <v>5</v>
      </c>
      <c r="AA61" s="32" t="s">
        <v>6</v>
      </c>
    </row>
    <row r="62" spans="1:27" ht="15" x14ac:dyDescent="0.25">
      <c r="A62" s="136">
        <v>700</v>
      </c>
      <c r="B62" s="35" t="str">
        <f>IF(COUNTIFS(A5:A31,"7*",B5:B31,"*"),"MET","NOT MET")</f>
        <v>MET</v>
      </c>
      <c r="C62" s="35" t="str">
        <f>IF(COUNTIFS(E5:E31,"7*",F5:F31,"*"),"MET","NOT MET")</f>
        <v>MET</v>
      </c>
      <c r="D62" s="35" t="str">
        <f>IF(COUNTIFS(I5:I31,"7*",J5:J31,"*"),"MET","NOT MET")</f>
        <v>MET</v>
      </c>
      <c r="E62" s="35" t="str">
        <f>IF(COUNTIFS(M5:M31,"7*",N5:N31,"*"),"MET","NOT MET")</f>
        <v>MET</v>
      </c>
      <c r="F62" s="35" t="str">
        <f>IF(COUNTIFS(Q5:Q31,"7*",R5:R31,"*"),"MET","NOT MET")</f>
        <v>MET</v>
      </c>
      <c r="G62" s="30"/>
      <c r="H62" s="134">
        <v>700</v>
      </c>
      <c r="I62" s="35">
        <f>COUNTIFS(A5:A31,"7*",B5:B31,"*")</f>
        <v>2</v>
      </c>
      <c r="J62" s="35">
        <f>COUNTIFS(E5:E31,"7*",F5:F31,"*")</f>
        <v>2</v>
      </c>
      <c r="K62" s="35">
        <f>COUNTIFS(I5:I31,"7*",J5:J31,"*")</f>
        <v>2</v>
      </c>
      <c r="L62" s="35">
        <f>COUNTIFS(M5:M31,"7*",N5:N31,"*")</f>
        <v>2</v>
      </c>
      <c r="M62" s="35">
        <f>(COUNTIFS($Q$5:$Q$31,"7*",$R$5:$R$31,"*"))</f>
        <v>2</v>
      </c>
      <c r="N62" s="30"/>
      <c r="O62" s="38">
        <v>700</v>
      </c>
      <c r="P62" s="35">
        <f>COUNTIFS($A$5:$A$31,"7*",$B$5:$B$31,"24hr")</f>
        <v>1</v>
      </c>
      <c r="Q62" s="35">
        <f>COUNTIFS($E$5:$E$31,"7*",$F$5:$F$31,"24hr")</f>
        <v>1</v>
      </c>
      <c r="R62" s="35">
        <f>COUNTIFS($I$5:$I$31,"7*",$J$5:$J$31,"24hr")</f>
        <v>1</v>
      </c>
      <c r="S62" s="35">
        <f>COUNTIFS($M$5:$M$31,"7*",$N$5:$N$31,"24hr")</f>
        <v>1</v>
      </c>
      <c r="T62" s="35">
        <f>COUNTIFS($Q$5:$Q$31,"7*",$R$5:$R$31,"24hr")</f>
        <v>1</v>
      </c>
      <c r="U62" s="30"/>
      <c r="V62" s="38">
        <v>700</v>
      </c>
      <c r="W62" s="35">
        <f>COUNTIFS($A$5:$A$31,"7*",$B$5:$B$31,"ftr")</f>
        <v>1</v>
      </c>
      <c r="X62" s="35">
        <f>COUNTIFS($E$5:$E$31,"7*",$F$5:$F$31,"ftr")</f>
        <v>1</v>
      </c>
      <c r="Y62" s="35">
        <f>COUNTIFS($I$5:$I$31,"7*",$J$5:$J$31,"ftr")</f>
        <v>1</v>
      </c>
      <c r="Z62" s="35">
        <f>COUNTIFS($M$5:$M$31,"7*",$N$5:$N$31,"ftr")</f>
        <v>1</v>
      </c>
      <c r="AA62" s="35">
        <f>COUNTIFS($Q$5:$Q$31,"7*",$R$5:$R$31,"ftr")</f>
        <v>1</v>
      </c>
    </row>
    <row r="63" spans="1:27" ht="15" x14ac:dyDescent="0.25">
      <c r="A63" s="137">
        <v>800</v>
      </c>
      <c r="B63" s="35" t="str">
        <f>IF(COUNTIFS(A5:A31,"8*",B5:B31,"*"),"MET","NOT MET")</f>
        <v>MET</v>
      </c>
      <c r="C63" s="35" t="str">
        <f>IF(COUNTIFS(E5:E31,"8*",F5:F31,"*"),"MET","NOT MET")</f>
        <v>MET</v>
      </c>
      <c r="D63" s="35" t="str">
        <f>IF(COUNTIFS(I5:I31,"8*",J5:J31,"*"),"MET","NOT MET")</f>
        <v>MET</v>
      </c>
      <c r="E63" s="35" t="str">
        <f>IF(COUNTIFS(M5:M31,"8*",N5:N31,"*"),"MET","NOT MET")</f>
        <v>MET</v>
      </c>
      <c r="F63" s="35" t="str">
        <f>IF(COUNTIFS(Q5:Q31,"8*",R5:R31,"*"),"MET","NOT MET")</f>
        <v>MET</v>
      </c>
      <c r="G63" s="30"/>
      <c r="H63" s="135">
        <v>800</v>
      </c>
      <c r="I63" s="35">
        <f>COUNTIFS(A5:A32,"8*",B5:B32,"*")</f>
        <v>3</v>
      </c>
      <c r="J63" s="35">
        <f>COUNTIFS(E5:E31,"8*",F5:F31,"*")</f>
        <v>3</v>
      </c>
      <c r="K63" s="35">
        <f>COUNTIFS(I5:I31,"8*",J5:J31,"*")</f>
        <v>3</v>
      </c>
      <c r="L63" s="35">
        <f>COUNTIFS(M5:M31,"8*",N5:N31,"*")</f>
        <v>3</v>
      </c>
      <c r="M63" s="35">
        <f>COUNTIFS($Q$5:$Q$31,"8*",$R$5:$R$31,"*")</f>
        <v>3</v>
      </c>
      <c r="N63" s="30"/>
      <c r="O63" s="42">
        <v>800</v>
      </c>
      <c r="P63" s="35">
        <f>COUNTIFS($A$5:$A$31,"8*",$B$5:$B$31,"24hr")</f>
        <v>2</v>
      </c>
      <c r="Q63" s="35">
        <f>COUNTIFS($E$5:$E$31,"8*",$F$5:$F$31,"24hr")</f>
        <v>2</v>
      </c>
      <c r="R63" s="35">
        <f>COUNTIFS($I$5:$I$31,"8*",$J$5:$J$31,"24hr")</f>
        <v>2</v>
      </c>
      <c r="S63" s="35">
        <f>COUNTIFS($M$5:$M$31,"8*",$N$5:$N$31,"24hr")</f>
        <v>2</v>
      </c>
      <c r="T63" s="35">
        <f>COUNTIFS($Q$5:$Q$31,"8*",$R$5:$R$31,"24hr")</f>
        <v>2</v>
      </c>
      <c r="U63" s="30"/>
      <c r="V63" s="42">
        <v>800</v>
      </c>
      <c r="W63" s="35">
        <f>COUNTIFS($A$5:$A$31,"8*",$B$5:$B$31,"ftr")</f>
        <v>1</v>
      </c>
      <c r="X63" s="35">
        <f>COUNTIFS($E$5:$E$31,"8*",$F$5:$F$31,"ftr")</f>
        <v>1</v>
      </c>
      <c r="Y63" s="35">
        <f>COUNTIFS($I$5:$I$31,"8*",$J$5:$J$31,"ftr")</f>
        <v>1</v>
      </c>
      <c r="Z63" s="35">
        <f>COUNTIFS($M$5:$M$31,"8*",$N$5:$N$31,"ftr")</f>
        <v>1</v>
      </c>
      <c r="AA63" s="35">
        <f>COUNTIFS($Q$5:$Q$31,"8*",$R$5:$R$31,"ftr")</f>
        <v>1</v>
      </c>
    </row>
    <row r="64" spans="1:27" ht="15" x14ac:dyDescent="0.25">
      <c r="A64" s="137">
        <v>900</v>
      </c>
      <c r="B64" s="35" t="str">
        <f>IF(COUNTIFS(A5:A31,"9*",B5:B31,"*"),"MET","NOT MET")</f>
        <v>MET</v>
      </c>
      <c r="C64" s="35" t="str">
        <f>IF(COUNTIFS(E5:E31,"9*",F5:F31,"*"),"MET","NOT MET")</f>
        <v>MET</v>
      </c>
      <c r="D64" s="35" t="str">
        <f>IF(COUNTIFS(I5:I31,"9*",J5:J31,"*"),"MET","NOT MET")</f>
        <v>MET</v>
      </c>
      <c r="E64" s="35" t="str">
        <f>IF(COUNTIFS(M5:M31,"9*",N5:N31,"*"),"MET","NOT MET")</f>
        <v>MET</v>
      </c>
      <c r="F64" s="35" t="str">
        <f>IF(COUNTIFS(Q5:Q31,"9*",R5:R31,"*"),"MET","NOT MET")</f>
        <v>MET</v>
      </c>
      <c r="G64" s="30"/>
      <c r="H64" s="135">
        <v>900</v>
      </c>
      <c r="I64" s="35">
        <f>COUNTIFS(A5:A31,"9*",B5:B31,"*")</f>
        <v>3</v>
      </c>
      <c r="J64" s="35">
        <f>COUNTIFS(E5:E31,"9*",F5:F31,"*")</f>
        <v>3</v>
      </c>
      <c r="K64" s="35">
        <f>COUNTIFS(I5:I31,"9*",J5:J31,"*")</f>
        <v>3</v>
      </c>
      <c r="L64" s="35">
        <f>COUNTIFS(M5:M31,"9*",N5:N31,"*")</f>
        <v>3</v>
      </c>
      <c r="M64" s="35">
        <f>COUNTIFS($Q$5:$Q$31,"9*",$R$5:$R$31,"*")</f>
        <v>3</v>
      </c>
      <c r="N64" s="30"/>
      <c r="O64" s="42">
        <v>900</v>
      </c>
      <c r="P64" s="35">
        <f>COUNTIFS($A$5:$A$31,"9*",$B$5:$B$31,"24hr")</f>
        <v>0</v>
      </c>
      <c r="Q64" s="35">
        <f>COUNTIFS($E$5:$E$31,"9*",$F$5:$F$31,"24hr")</f>
        <v>0</v>
      </c>
      <c r="R64" s="35">
        <f>COUNTIFS($I$5:$I$31,"9*",$J$5:$J$31,"24hr")</f>
        <v>0</v>
      </c>
      <c r="S64" s="35">
        <f>COUNTIFS($M$5:$M$31,"9*",$N$5:$N$31,"24hr")</f>
        <v>0</v>
      </c>
      <c r="T64" s="35">
        <f>COUNTIFS($Q$5:$Q$31,"9*",$R$5:$R$31,"24hr")</f>
        <v>0</v>
      </c>
      <c r="U64" s="30"/>
      <c r="V64" s="42">
        <v>900</v>
      </c>
      <c r="W64" s="35">
        <f>COUNTIFS($A$5:$A$31,"9*",$B$5:$B$31,"ftr")</f>
        <v>3</v>
      </c>
      <c r="X64" s="35">
        <f>COUNTIFS($E$5:$E$31,"9*",$F$5:$F$31,"ftr")</f>
        <v>3</v>
      </c>
      <c r="Y64" s="35">
        <f>COUNTIFS($I$5:$I$31,"9*",$J$5:$J$31,"ftr")</f>
        <v>3</v>
      </c>
      <c r="Z64" s="35">
        <f>COUNTIFS($M$5:$M$31,"9*",$N$5:$N$31,"ftr")</f>
        <v>3</v>
      </c>
      <c r="AA64" s="35">
        <f>COUNTIFS($Q$5:$Q$31,"9*",$R$5:$R$31,"ftr")</f>
        <v>3</v>
      </c>
    </row>
    <row r="65" spans="1:27" ht="15" x14ac:dyDescent="0.25">
      <c r="A65" s="137">
        <v>1000</v>
      </c>
      <c r="B65" s="35" t="str">
        <f>IF(COUNTIFS(A5:A31,"10*",B5:B31,"*"),"MET","NOT MET")</f>
        <v>MET</v>
      </c>
      <c r="C65" s="35" t="str">
        <f>IF(COUNTIFS(E5:E31,"10*",F5:F31,"*"),"MET","NOT MET")</f>
        <v>MET</v>
      </c>
      <c r="D65" s="35" t="str">
        <f>IF(COUNTIFS(I5:I31,"10*",J5:J31,"*"),"MET","NOT MET")</f>
        <v>MET</v>
      </c>
      <c r="E65" s="35" t="str">
        <f>IF(COUNTIFS(M5:M31,"10*",N5:N31,"*"),"MET","NOT MET")</f>
        <v>MET</v>
      </c>
      <c r="F65" s="35" t="str">
        <f>IF(COUNTIFS(Q5:Q31,"10*",R5:R31,"*"),"MET","NOT MET")</f>
        <v>MET</v>
      </c>
      <c r="G65" s="30"/>
      <c r="H65" s="135">
        <v>1000</v>
      </c>
      <c r="I65" s="35">
        <f>COUNTIFS(A5:A31,"10*",B5:B31,"*")</f>
        <v>1</v>
      </c>
      <c r="J65" s="35">
        <f>COUNTIFS(E5:E31,"10*",F5:F31,"*")</f>
        <v>1</v>
      </c>
      <c r="K65" s="35">
        <f>COUNTIFS(I5:I31,"10*",J5:J31,"*")</f>
        <v>1</v>
      </c>
      <c r="L65" s="35">
        <f>COUNTIFS(M5:M31,"*10*",N5:N31,"*")</f>
        <v>3</v>
      </c>
      <c r="M65" s="35">
        <f>COUNTIFS($Q$5:$Q$31,"10*",$R$5:$R$31,"*")</f>
        <v>3</v>
      </c>
      <c r="N65" s="30"/>
      <c r="O65" s="42">
        <v>1000</v>
      </c>
      <c r="P65" s="35">
        <f>COUNTIFS($A$5:$A$31,"10*",$B$5:$B$31,"24hr")</f>
        <v>0</v>
      </c>
      <c r="Q65" s="35">
        <f>COUNTIFS($E$5:$E$31,"10*",$F$5:$F$31,"24hr")</f>
        <v>0</v>
      </c>
      <c r="R65" s="35">
        <f>COUNTIFS($I$5:$I$31,"10*",$J$5:$J$31,"24hr")</f>
        <v>0</v>
      </c>
      <c r="S65" s="35">
        <f>COUNTIFS($M$5:$M$31,"10*",$N$5:$N$31,"24hr")</f>
        <v>1</v>
      </c>
      <c r="T65" s="35">
        <f>COUNTIFS($Q$5:$Q$31,"10*",$R$5:$R$31,"24hr")</f>
        <v>1</v>
      </c>
      <c r="U65" s="30"/>
      <c r="V65" s="42">
        <v>1000</v>
      </c>
      <c r="W65" s="35">
        <f>COUNTIFS($A$5:$A$31,"10*",$B$5:$B$31,"ftr")</f>
        <v>1</v>
      </c>
      <c r="X65" s="35">
        <f>COUNTIFS($E$5:$E$31,"10*",$F$5:$F$31,"ftr")</f>
        <v>1</v>
      </c>
      <c r="Y65" s="35">
        <f>COUNTIFS($I$5:$I$31,"10*",$J$5:$J$31,"ftr")</f>
        <v>1</v>
      </c>
      <c r="Z65" s="35">
        <f>COUNTIFS($M$5:$M$31,"10*",$N$5:$N$31,"ftr")</f>
        <v>1</v>
      </c>
      <c r="AA65" s="35">
        <f>COUNTIFS($Q$5:$Q$31,"10*",$R$5:$R$31,"ftr")</f>
        <v>1</v>
      </c>
    </row>
    <row r="66" spans="1:27" ht="15" x14ac:dyDescent="0.25">
      <c r="A66" s="137">
        <v>1100</v>
      </c>
      <c r="B66" s="35" t="str">
        <f>IF(COUNTIFS(A5:A31,"11*",B5:B31,"*"),"MET","NOT MET")</f>
        <v>NOT MET</v>
      </c>
      <c r="C66" s="35" t="str">
        <f>IF(COUNTIFS(E5:E31,"11*",F5:F31,"*"),"MET","NOT MET")</f>
        <v>NOT MET</v>
      </c>
      <c r="D66" s="35" t="str">
        <f>IF(COUNTIFS(I5:I31,"11*",J5:J31,"*"),"MET","NOT MET")</f>
        <v>NOT MET</v>
      </c>
      <c r="E66" s="35" t="str">
        <f>IF(COUNTIFS(M5:M31,"11*",N5:N31,"*"),"MET","NOT MET")</f>
        <v>MET</v>
      </c>
      <c r="F66" s="35" t="str">
        <f>IF(COUNTIFS(Q5:Q31,"11*",R5:R31,"*"),"MET","NOT MET")</f>
        <v>MET</v>
      </c>
      <c r="G66" s="30"/>
      <c r="H66" s="135">
        <v>1100</v>
      </c>
      <c r="I66" s="35">
        <f>COUNTIFS(A5:A31,"11*",B5:B31,"*")</f>
        <v>0</v>
      </c>
      <c r="J66" s="35">
        <f>COUNTIFS(E5:E31,"11*",F5:F31,"*")</f>
        <v>0</v>
      </c>
      <c r="K66" s="35">
        <f>COUNTIFS(I5:I31,"11*",J5:J31,"*")</f>
        <v>0</v>
      </c>
      <c r="L66" s="35">
        <f>COUNTIFS(M5:M31,"11*",N5:N31,"*")</f>
        <v>1</v>
      </c>
      <c r="M66" s="35">
        <f>COUNTIFS($Q$5:$Q$31,"11*",$R$5:$R$31,"*")</f>
        <v>1</v>
      </c>
      <c r="N66" s="30"/>
      <c r="O66" s="42">
        <v>1100</v>
      </c>
      <c r="P66" s="35">
        <f>COUNTIFS($A$5:$A$31,"11*",$B$5:$B$31,"24hr")</f>
        <v>0</v>
      </c>
      <c r="Q66" s="35">
        <f>COUNTIFS($E$5:$E$31,"11*",$F$5:$F$31,"24hr")</f>
        <v>0</v>
      </c>
      <c r="R66" s="35">
        <f>COUNTIFS($I$5:$I$31,"11*",$J$5:$J$31,"24hr")</f>
        <v>0</v>
      </c>
      <c r="S66" s="35">
        <f>COUNTIFS($M$5:$M$31,"11*",$N$5:$N$31,"24hr")</f>
        <v>0</v>
      </c>
      <c r="T66" s="35">
        <f>COUNTIFS($Q$5:$Q$31,"11*",$R$5:$R$31,"24hr")</f>
        <v>0</v>
      </c>
      <c r="U66" s="30"/>
      <c r="V66" s="42">
        <v>1100</v>
      </c>
      <c r="W66" s="35">
        <f>COUNTIFS($A$5:$A$31,"11*",$B$5:$B$31,"ftr")</f>
        <v>0</v>
      </c>
      <c r="X66" s="35">
        <f>COUNTIFS($E$5:$E$31,"11*",$F$5:$F$31,"ftr")</f>
        <v>0</v>
      </c>
      <c r="Y66" s="35">
        <f>COUNTIFS($I$5:$I$31,"11*",$J$5:$J$31,"ftr")</f>
        <v>0</v>
      </c>
      <c r="Z66" s="35">
        <f>COUNTIFS($M$5:$M$31,"11*",$N$5:$N$31,"ftr")</f>
        <v>0</v>
      </c>
      <c r="AA66" s="35">
        <f>COUNTIFS($Q$5:$Q$31,"11*",$R$5:$R$31,"ftr")</f>
        <v>0</v>
      </c>
    </row>
    <row r="67" spans="1:27" ht="15" x14ac:dyDescent="0.25">
      <c r="A67" s="137">
        <v>1200</v>
      </c>
      <c r="B67" s="35" t="str">
        <f>IF(COUNTIFS(A5:A31,"12*",B5:B31,"*"),"MET","NOT MET")</f>
        <v>MET</v>
      </c>
      <c r="C67" s="35" t="str">
        <f>IF(COUNTIFS(E5:E31,"12*",F5:F31,"*"),"MET","NOT MET")</f>
        <v>MET</v>
      </c>
      <c r="D67" s="35" t="str">
        <f>IF(COUNTIFS(I5:I31,"12*",J5:J31,"*"),"MET","NOT MET")</f>
        <v>MET</v>
      </c>
      <c r="E67" s="35" t="str">
        <f>IF(COUNTIFS(M5:M31,"12*",N5:N31,"*"),"MET","NOT MET")</f>
        <v>NOT MET</v>
      </c>
      <c r="F67" s="35" t="str">
        <f>IF(COUNTIFS(Q5:Q31,"12*",R5:R31,"*"),"MET","NOT MET")</f>
        <v>NOT MET</v>
      </c>
      <c r="G67" s="30"/>
      <c r="H67" s="135">
        <v>1200</v>
      </c>
      <c r="I67" s="35">
        <f>COUNTIFS(A5:A31,"12*",B5:B31,"*")</f>
        <v>1</v>
      </c>
      <c r="J67" s="35">
        <f>COUNTIFS(E5:E31,"12*",F5:F31,"*")</f>
        <v>1</v>
      </c>
      <c r="K67" s="35">
        <f>COUNTIFS(I5:I31,"12*",J5:J31,"*")</f>
        <v>1</v>
      </c>
      <c r="L67" s="35">
        <f>COUNTIFS(M5:M31,"12*",N5:N31,"*")</f>
        <v>0</v>
      </c>
      <c r="M67" s="35">
        <f>COUNTIFS($Q$5:$Q$31,"12*",$R$5:$R$31,"*")</f>
        <v>0</v>
      </c>
      <c r="N67" s="30"/>
      <c r="O67" s="42">
        <v>1200</v>
      </c>
      <c r="P67" s="35">
        <f>COUNTIFS($A$5:$A$31,"12*",$B$5:$B$31,"24hr")</f>
        <v>0</v>
      </c>
      <c r="Q67" s="35">
        <f>COUNTIFS($E$5:$E$31,"12*",$F$5:$F$31,"24hr")</f>
        <v>0</v>
      </c>
      <c r="R67" s="35">
        <f>COUNTIFS($I$5:$I$31,"12*",$J$5:$J$31,"24hr")</f>
        <v>0</v>
      </c>
      <c r="S67" s="35">
        <f>COUNTIFS($M$5:$M$31,"12*",$N$5:$N$31,"24hr")</f>
        <v>0</v>
      </c>
      <c r="T67" s="35">
        <f>COUNTIFS($Q$5:$Q$31,"12*",$R$5:$R$31,"24hr")</f>
        <v>0</v>
      </c>
      <c r="U67" s="30"/>
      <c r="V67" s="42">
        <v>1200</v>
      </c>
      <c r="W67" s="35">
        <f>COUNTIFS($A$5:$A$31,"12*",$B$5:$B$31,"ftr")</f>
        <v>0</v>
      </c>
      <c r="X67" s="35">
        <f>COUNTIFS($E$5:$E$31,"12*",$F$5:$F$31,"ftr")</f>
        <v>0</v>
      </c>
      <c r="Y67" s="35">
        <f>COUNTIFS($I$5:$I$31,"12*",$J$5:$J$31,"ftr")</f>
        <v>0</v>
      </c>
      <c r="Z67" s="35">
        <f>COUNTIFS($M$5:$M$31,"12*",$N$5:$N$31,"ftr")</f>
        <v>0</v>
      </c>
      <c r="AA67" s="35">
        <f>COUNTIFS($Q$5:$Q$31,"12*",$R$5:$R$31,"ftr")</f>
        <v>0</v>
      </c>
    </row>
    <row r="68" spans="1:27" ht="15" x14ac:dyDescent="0.25">
      <c r="A68" s="137">
        <v>1300</v>
      </c>
      <c r="B68" s="35" t="str">
        <f>IF(COUNTIFS(A5:A31,"13*",B5:B31,"*"),"MET","NOT MET")</f>
        <v>MET</v>
      </c>
      <c r="C68" s="35" t="str">
        <f>IF(COUNTIFS(E5:E31,"13*",F5:F31,"*"),"MET","NOT MET")</f>
        <v>MET</v>
      </c>
      <c r="D68" s="35" t="str">
        <f>IF(COUNTIFS(I5:I31,"13*",J5:J31,"*"),"MET","NOT MET")</f>
        <v>MET</v>
      </c>
      <c r="E68" s="35" t="str">
        <f>IF(COUNTIFS(M5:M31,"13*",N5:N31,"*"),"MET","NOT MET")</f>
        <v>NOT MET</v>
      </c>
      <c r="F68" s="35" t="str">
        <f>IF(COUNTIFS(Q5:Q31,"13*",R5:R31,"*"),"MET","NOT MET")</f>
        <v>MET</v>
      </c>
      <c r="G68" s="30"/>
      <c r="H68" s="135">
        <v>1300</v>
      </c>
      <c r="I68" s="35">
        <f>COUNTIFS(A5:A31,"13*",B5:B31,"*")</f>
        <v>3</v>
      </c>
      <c r="J68" s="35">
        <f>COUNTIFS(E5:E31,"13*",F5:F31,"*")</f>
        <v>3</v>
      </c>
      <c r="K68" s="35">
        <f>COUNTIFS(I5:I31,"13*",J5:J31,"*")</f>
        <v>3</v>
      </c>
      <c r="L68" s="35">
        <f>COUNTIFS(M5:M31,"13*",N5:N31,"*")</f>
        <v>0</v>
      </c>
      <c r="M68" s="35">
        <f>COUNTIFS($Q$5:$Q$31,"13*",$R$5:$R$31,"*")</f>
        <v>1</v>
      </c>
      <c r="N68" s="30"/>
      <c r="O68" s="42">
        <v>1300</v>
      </c>
      <c r="P68" s="35">
        <f>COUNTIFS($A$5:$A$31,"13*",$B$5:$B$31,"24hr")</f>
        <v>1</v>
      </c>
      <c r="Q68" s="35">
        <f>COUNTIFS($E$5:$E$31,"13*",$F$5:$F$31,"24hr")</f>
        <v>1</v>
      </c>
      <c r="R68" s="35">
        <f>COUNTIFS($I$5:$I$31,"13*",$J$5:$J$31,"24hr")</f>
        <v>1</v>
      </c>
      <c r="S68" s="35">
        <f>COUNTIFS($M$5:$M$31,"13*",$N$5:$N$31,"24hr")</f>
        <v>0</v>
      </c>
      <c r="T68" s="35">
        <f>COUNTIFS($Q$5:$Q$31,"13*",$R$5:$R$31,"24hr")</f>
        <v>0</v>
      </c>
      <c r="U68" s="30"/>
      <c r="V68" s="42">
        <v>1300</v>
      </c>
      <c r="W68" s="35">
        <f>COUNTIFS($A$5:$A$31,"13*",$B$5:$B$31,"ftr")</f>
        <v>1</v>
      </c>
      <c r="X68" s="35">
        <f>COUNTIFS($E$5:$E$31,"13*",$F$5:$F$31,"ftr")</f>
        <v>1</v>
      </c>
      <c r="Y68" s="35">
        <f>COUNTIFS($I$5:$I$31,"13*",$J$5:$J$31,"ftr")</f>
        <v>1</v>
      </c>
      <c r="Z68" s="35">
        <f>COUNTIFS($M$5:$M$31,"13*",$N$5:$N$31,"ftr")</f>
        <v>0</v>
      </c>
      <c r="AA68" s="35">
        <f>COUNTIFS($Q$5:$Q$31,"13*",$R$5:$R$31,"ftr")</f>
        <v>0</v>
      </c>
    </row>
    <row r="69" spans="1:27" ht="15" x14ac:dyDescent="0.25">
      <c r="A69" s="137">
        <v>1400</v>
      </c>
      <c r="B69" s="35" t="str">
        <f>IF(COUNTIFS(A5:A31,"14*",B5:B31,"*"),"MET","NOT MET")</f>
        <v>MET</v>
      </c>
      <c r="C69" s="35" t="str">
        <f>IF(COUNTIFS(E5:E31,"14*",F5:F31,"*"),"MET","NOT MET")</f>
        <v>MET</v>
      </c>
      <c r="D69" s="35" t="str">
        <f>IF(COUNTIFS(I5:I31,"14*",J5:J31,"*"),"MET","NOT MET")</f>
        <v>MET</v>
      </c>
      <c r="E69" s="35" t="str">
        <f>IF(COUNTIFS(M5:M31,"14*",N5:N31,"*"),"MET","NOT MET")</f>
        <v>NOT MET</v>
      </c>
      <c r="F69" s="35" t="str">
        <f>IF(COUNTIFS(Q5:Q31,"14*",R5:R31,"*"),"MET","NOT MET")</f>
        <v>MET</v>
      </c>
      <c r="G69" s="30"/>
      <c r="H69" s="135">
        <v>1400</v>
      </c>
      <c r="I69" s="35">
        <f>COUNTIFS(A5:A31,"14*",B5:B31,"*")</f>
        <v>3</v>
      </c>
      <c r="J69" s="35">
        <f>COUNTIFS(E5:E31,"14*",F5:F31,"*")</f>
        <v>3</v>
      </c>
      <c r="K69" s="35">
        <f>(COUNTIFS(I5:I31,"14*",J5:J31,"*"))</f>
        <v>3</v>
      </c>
      <c r="L69" s="35">
        <f>COUNTIFS(M5:M31,"14*",N5:N31,"*")</f>
        <v>0</v>
      </c>
      <c r="M69" s="35">
        <f>COUNTIFS($Q$5:$Q$31,"14*",$R$5:$R$31,"*")</f>
        <v>1</v>
      </c>
      <c r="N69" s="30"/>
      <c r="O69" s="42">
        <v>1400</v>
      </c>
      <c r="P69" s="35">
        <f>COUNTIFS($A$5:$A$31,"14*",$B$5:$B$31,"24hr")</f>
        <v>1</v>
      </c>
      <c r="Q69" s="35">
        <f>COUNTIFS($E$5:$E$31,"14*",$F$5:$F$31,"24hr")</f>
        <v>1</v>
      </c>
      <c r="R69" s="35">
        <f>(COUNTIFS($I$5:$I$31,"14*",$J$5:$J$31,"24hr"))</f>
        <v>1</v>
      </c>
      <c r="S69" s="35">
        <f>COUNTIFS($M$5:$M$31,"14*",$N$5:$N$31,"24hr")</f>
        <v>0</v>
      </c>
      <c r="T69" s="35">
        <f>COUNTIFS($Q$5:$Q$31,"14*",$R$5:$R$31,"24hr")</f>
        <v>0</v>
      </c>
      <c r="U69" s="30"/>
      <c r="V69" s="42">
        <v>1400</v>
      </c>
      <c r="W69" s="35">
        <f>COUNTIFS($A$5:$A$31,"14*",$B$5:$B$31,"ftr")</f>
        <v>2</v>
      </c>
      <c r="X69" s="35">
        <f>COUNTIFS($E$5:$E$31,"14*",$F$5:$F$31,"ftr")</f>
        <v>2</v>
      </c>
      <c r="Y69" s="35">
        <f>COUNTIFS($I$5:$I$31,"14*",$J$5:$J$31,"ftr")</f>
        <v>2</v>
      </c>
      <c r="Z69" s="35">
        <f>COUNTIFS($M$5:$M$31,"14*",$N$5:$N$31,"ftr")</f>
        <v>0</v>
      </c>
      <c r="AA69" s="35">
        <f>COUNTIFS($Q$5:$Q$31,"14*",$R$5:$R$31,"ftr")</f>
        <v>0</v>
      </c>
    </row>
    <row r="70" spans="1:27" ht="15" x14ac:dyDescent="0.25">
      <c r="A70" s="137">
        <v>1500</v>
      </c>
      <c r="B70" s="35" t="str">
        <f>IF(COUNTIFS(A5:A31,"15*",B5:B31,"*"),"MET","NOT MET")</f>
        <v>MET</v>
      </c>
      <c r="C70" s="35" t="str">
        <f>IF(COUNTIFS(E5:E31,"15*",F5:F31,"*"),"MET","NOT MET")</f>
        <v>MET</v>
      </c>
      <c r="D70" s="35" t="str">
        <f>IF(COUNTIFS(I5:I31,"15*",J5:J31,"*"),"MET","NOT MET")</f>
        <v>MET</v>
      </c>
      <c r="E70" s="35" t="str">
        <f>IF(COUNTIFS(M5:M31,"15*",N5:N31,"*"),"MET","NOT MET")</f>
        <v>NOT MET</v>
      </c>
      <c r="F70" s="35" t="str">
        <f>IF(COUNTIFS(Q5:Q31,"15*",R5:R31,"*"),"MET","NOT MET")</f>
        <v>NOT MET</v>
      </c>
      <c r="G70" s="30"/>
      <c r="H70" s="135">
        <v>1500</v>
      </c>
      <c r="I70" s="35">
        <f>COUNTIFS(A5:A31,"15*",B5:B31,"*")</f>
        <v>2</v>
      </c>
      <c r="J70" s="35">
        <f>COUNTIFS(E5:E31,"15*",F5:F31,"*")</f>
        <v>2</v>
      </c>
      <c r="K70" s="35">
        <f>COUNTIFS(I5:I31,"15*",J5:J31,"*")</f>
        <v>2</v>
      </c>
      <c r="L70" s="35">
        <f>COUNTIFS(M5:M31,"15*",N5:N31,"*")</f>
        <v>0</v>
      </c>
      <c r="M70" s="35">
        <f>COUNTIFS($Q$5:$Q$31,"15*",$R$5:$R$31,"*")</f>
        <v>0</v>
      </c>
      <c r="N70" s="30"/>
      <c r="O70" s="42">
        <v>1500</v>
      </c>
      <c r="P70" s="35">
        <f>COUNTIFS($A$5:$A$31,"15*",$B$5:$B$31,"24hr")</f>
        <v>1</v>
      </c>
      <c r="Q70" s="35">
        <f>COUNTIFS($E$5:$E$31,"15*",$F$5:$F$31,"24hr")</f>
        <v>1</v>
      </c>
      <c r="R70" s="35">
        <f>COUNTIFS($I$5:$I$31,"15*",$J$5:$J$31,"24hr")</f>
        <v>1</v>
      </c>
      <c r="S70" s="35">
        <f>COUNTIFS($M$5:$M$31,"15*",$N$5:$N$31,"24hr")</f>
        <v>0</v>
      </c>
      <c r="T70" s="35">
        <f>COUNTIFS($Q$5:$Q$31,"15*",$R$5:$R$31,"24hr")</f>
        <v>0</v>
      </c>
      <c r="U70" s="30"/>
      <c r="V70" s="42">
        <v>1500</v>
      </c>
      <c r="W70" s="35">
        <f>COUNTIFS($A$5:$A$31,"15*",$B$5:$B$31,"ftr")</f>
        <v>1</v>
      </c>
      <c r="X70" s="35">
        <f>COUNTIFS($E$5:$E$31,"15*",$F$5:$F$31,"ftr")</f>
        <v>1</v>
      </c>
      <c r="Y70" s="35">
        <f>COUNTIFS($I$5:$I$31,"15*",$J$5:$J$31,"ftr")</f>
        <v>1</v>
      </c>
      <c r="Z70" s="35">
        <f>COUNTIFS($M$5:$M$31,"15*",$N$5:$N$31,"ftr")</f>
        <v>0</v>
      </c>
      <c r="AA70" s="35">
        <f>COUNTIFS($Q$5:$Q$31,"15*",$R$5:$R$31,"ftr")</f>
        <v>0</v>
      </c>
    </row>
    <row r="71" spans="1:27" ht="15" x14ac:dyDescent="0.25">
      <c r="A71" s="137">
        <v>1600</v>
      </c>
      <c r="B71" s="35" t="str">
        <f>IF(COUNTIFS(A5:A31,"16*",B5:B31,"*"),"MET","NOT MET")</f>
        <v>NOT MET</v>
      </c>
      <c r="C71" s="35" t="str">
        <f>IF(COUNTIFS(E5:E31,"16*",F5:F31,"*"),"MET","NOT MET")</f>
        <v>NOT MET</v>
      </c>
      <c r="D71" s="35" t="str">
        <f>IF(COUNTIFS(I5:I31,"16*",J5:J31,"*"),"MET","NOT MET")</f>
        <v>NOT MET</v>
      </c>
      <c r="E71" s="35" t="str">
        <f>IF(COUNTIFS(M5:M31,"16*",N5:N31,"*"),"MET","NOT MET")</f>
        <v>NOT MET</v>
      </c>
      <c r="F71" s="35" t="str">
        <f>IF(COUNTIFS(Q5:Q31,"16*",R5:R31,"*"),"MET","NOT MET")</f>
        <v>NOT MET</v>
      </c>
      <c r="G71" s="30"/>
      <c r="H71" s="135">
        <v>1600</v>
      </c>
      <c r="I71" s="35">
        <f>COUNTIFS(A5:A31,"16*",B5:B31,"*")</f>
        <v>0</v>
      </c>
      <c r="J71" s="35">
        <f>COUNTIFS(E5:E31,"16*",F5:F31,"*")</f>
        <v>0</v>
      </c>
      <c r="K71" s="35">
        <f>COUNTIFS(I5:I31,"16*",J5:J31,"*")</f>
        <v>0</v>
      </c>
      <c r="L71" s="35">
        <f>COUNTIFS(M5:M31,"16*",N5:N31,"*")</f>
        <v>0</v>
      </c>
      <c r="M71" s="35">
        <f>COUNTIFS($Q$5:$Q$31,"16*",$R$5:$R$31,"*")</f>
        <v>0</v>
      </c>
      <c r="N71" s="30"/>
      <c r="O71" s="42">
        <v>1600</v>
      </c>
      <c r="P71" s="35">
        <f>COUNTIFS($A$5:$A$31,"16*",$B$5:$B$31,"24hr")</f>
        <v>0</v>
      </c>
      <c r="Q71" s="35">
        <f>COUNTIFS($E$5:$E$31,"16*",$F$5:$F$31,"24hr")</f>
        <v>0</v>
      </c>
      <c r="R71" s="35">
        <f>COUNTIFS($I$5:$I$31,"16*",$J$5:$J$31,"24hr")</f>
        <v>0</v>
      </c>
      <c r="S71" s="35">
        <f>COUNTIFS($M$5:$M$31,"16*",$N$5:$N$31,"24hr")</f>
        <v>0</v>
      </c>
      <c r="T71" s="35">
        <f>COUNTIFS($Q$5:$Q$31,"16*",$R$5:$R$31,"24hr")</f>
        <v>0</v>
      </c>
      <c r="U71" s="30"/>
      <c r="V71" s="42">
        <v>1600</v>
      </c>
      <c r="W71" s="35">
        <f>COUNTIFS($A$5:$A$31,"16*",$B$5:$B$31,"ftr")</f>
        <v>0</v>
      </c>
      <c r="X71" s="35">
        <f>COUNTIFS($E$5:$E$31,"16*",$F$5:$F$31,"ftr")</f>
        <v>0</v>
      </c>
      <c r="Y71" s="35">
        <f>COUNTIFS($I$5:$I$31,"16*",$J$5:$J$31,"ftr")</f>
        <v>0</v>
      </c>
      <c r="Z71" s="35">
        <f>COUNTIFS($M$5:$M$31,"16*",$N$5:$N$31,"ftr")</f>
        <v>0</v>
      </c>
      <c r="AA71" s="35">
        <f>COUNTIFS($Q$5:$Q$31,"16*",$R$5:$R$31,"ftr")</f>
        <v>0</v>
      </c>
    </row>
    <row r="72" spans="1:27" x14ac:dyDescent="0.2">
      <c r="M72" s="25"/>
    </row>
  </sheetData>
  <mergeCells count="90">
    <mergeCell ref="N37:O37"/>
    <mergeCell ref="R37:S37"/>
    <mergeCell ref="B38:C38"/>
    <mergeCell ref="F38:G38"/>
    <mergeCell ref="J38:K38"/>
    <mergeCell ref="N38:O38"/>
    <mergeCell ref="R38:S38"/>
    <mergeCell ref="U32:W32"/>
    <mergeCell ref="A1:T1"/>
    <mergeCell ref="A2:T2"/>
    <mergeCell ref="A3:D3"/>
    <mergeCell ref="E3:H3"/>
    <mergeCell ref="I3:L3"/>
    <mergeCell ref="M3:P3"/>
    <mergeCell ref="Q3:T3"/>
    <mergeCell ref="A32:D32"/>
    <mergeCell ref="E32:H32"/>
    <mergeCell ref="I32:L32"/>
    <mergeCell ref="M32:P32"/>
    <mergeCell ref="Q32:T32"/>
    <mergeCell ref="V1:AA3"/>
    <mergeCell ref="AA5:AA8"/>
    <mergeCell ref="AA10:AA13"/>
    <mergeCell ref="B34:C34"/>
    <mergeCell ref="F34:G34"/>
    <mergeCell ref="J34:K34"/>
    <mergeCell ref="N34:O34"/>
    <mergeCell ref="R34:S34"/>
    <mergeCell ref="B33:C33"/>
    <mergeCell ref="F33:G33"/>
    <mergeCell ref="J33:K33"/>
    <mergeCell ref="N33:O33"/>
    <mergeCell ref="R33:S33"/>
    <mergeCell ref="R39:S39"/>
    <mergeCell ref="A40:D40"/>
    <mergeCell ref="E40:H40"/>
    <mergeCell ref="B35:C35"/>
    <mergeCell ref="F35:G35"/>
    <mergeCell ref="J35:K35"/>
    <mergeCell ref="N35:O35"/>
    <mergeCell ref="R35:S35"/>
    <mergeCell ref="B36:C36"/>
    <mergeCell ref="F36:G36"/>
    <mergeCell ref="J36:K36"/>
    <mergeCell ref="N36:O36"/>
    <mergeCell ref="R36:S36"/>
    <mergeCell ref="B37:C37"/>
    <mergeCell ref="F37:G37"/>
    <mergeCell ref="J37:K37"/>
    <mergeCell ref="B44:C44"/>
    <mergeCell ref="B39:C39"/>
    <mergeCell ref="F39:G39"/>
    <mergeCell ref="J39:K39"/>
    <mergeCell ref="N39:O39"/>
    <mergeCell ref="B41:C41"/>
    <mergeCell ref="F41:G41"/>
    <mergeCell ref="B42:C42"/>
    <mergeCell ref="F42:G42"/>
    <mergeCell ref="B43:C43"/>
    <mergeCell ref="R55:T55"/>
    <mergeCell ref="A53:G53"/>
    <mergeCell ref="H53:M53"/>
    <mergeCell ref="N53:T53"/>
    <mergeCell ref="A54:B54"/>
    <mergeCell ref="C54:G54"/>
    <mergeCell ref="H54:J54"/>
    <mergeCell ref="K54:M54"/>
    <mergeCell ref="N54:Q54"/>
    <mergeCell ref="R54:T54"/>
    <mergeCell ref="A55:B55"/>
    <mergeCell ref="C55:G55"/>
    <mergeCell ref="H55:J55"/>
    <mergeCell ref="K55:M55"/>
    <mergeCell ref="N55:Q55"/>
    <mergeCell ref="B60:F60"/>
    <mergeCell ref="I60:M60"/>
    <mergeCell ref="P60:T60"/>
    <mergeCell ref="W60:AA60"/>
    <mergeCell ref="A56:B56"/>
    <mergeCell ref="C56:G56"/>
    <mergeCell ref="H56:J56"/>
    <mergeCell ref="K56:M56"/>
    <mergeCell ref="N56:Q56"/>
    <mergeCell ref="R56:T56"/>
    <mergeCell ref="AA15:AA18"/>
    <mergeCell ref="AA20:AA23"/>
    <mergeCell ref="V5:Z8"/>
    <mergeCell ref="V10:Z13"/>
    <mergeCell ref="V15:Z18"/>
    <mergeCell ref="V20:Z23"/>
  </mergeCells>
  <conditionalFormatting sqref="A4:T4">
    <cfRule type="containsText" dxfId="801" priority="775" operator="containsText" text="24hr">
      <formula>NOT(ISERROR(SEARCH("24hr",A4)))</formula>
    </cfRule>
    <cfRule type="containsText" dxfId="800" priority="776" operator="containsText" text="ftr">
      <formula>NOT(ISERROR(SEARCH("ftr",A4)))</formula>
    </cfRule>
  </conditionalFormatting>
  <conditionalFormatting sqref="A4:T4 T33:W33">
    <cfRule type="containsText" dxfId="799" priority="774" operator="containsText" text="24HR">
      <formula>NOT(ISERROR(SEARCH("24HR",A4)))</formula>
    </cfRule>
  </conditionalFormatting>
  <conditionalFormatting sqref="U31:Y31 A34:A36 D34:E36 H34:I36 L34:M36 P34:Q36 T34:W36 U73:XFD1048576 A72:T1048576 U1:U30 A4:T4 AF1:XFD40 X32:Y40">
    <cfRule type="containsText" dxfId="798" priority="772" operator="containsText" text="ftr">
      <formula>NOT(ISERROR(SEARCH("ftr",A1)))</formula>
    </cfRule>
    <cfRule type="containsText" dxfId="797" priority="773" operator="containsText" text="24hr">
      <formula>NOT(ISERROR(SEARCH("24hr",A1)))</formula>
    </cfRule>
  </conditionalFormatting>
  <conditionalFormatting sqref="A33 D33:E33 H33:I33 L33:M33 P33:Q33">
    <cfRule type="containsText" dxfId="796" priority="771" operator="containsText" text="24HR">
      <formula>NOT(ISERROR(SEARCH("24HR",A33)))</formula>
    </cfRule>
  </conditionalFormatting>
  <conditionalFormatting sqref="R34">
    <cfRule type="containsText" dxfId="795" priority="747" operator="containsText" text="ftr">
      <formula>NOT(ISERROR(SEARCH("ftr",R34)))</formula>
    </cfRule>
    <cfRule type="containsText" dxfId="794" priority="748" operator="containsText" text="24hr">
      <formula>NOT(ISERROR(SEARCH("24hr",R34)))</formula>
    </cfRule>
  </conditionalFormatting>
  <conditionalFormatting sqref="F34">
    <cfRule type="containsText" dxfId="793" priority="753" operator="containsText" text="ftr">
      <formula>NOT(ISERROR(SEARCH("ftr",F34)))</formula>
    </cfRule>
    <cfRule type="containsText" dxfId="792" priority="754" operator="containsText" text="24hr">
      <formula>NOT(ISERROR(SEARCH("24hr",F34)))</formula>
    </cfRule>
  </conditionalFormatting>
  <conditionalFormatting sqref="B35:B36">
    <cfRule type="containsText" dxfId="791" priority="755" operator="containsText" text="ftr">
      <formula>NOT(ISERROR(SEARCH("ftr",B35)))</formula>
    </cfRule>
    <cfRule type="containsText" dxfId="790" priority="756" operator="containsText" text="24hr">
      <formula>NOT(ISERROR(SEARCH("24hr",B35)))</formula>
    </cfRule>
  </conditionalFormatting>
  <conditionalFormatting sqref="B33">
    <cfRule type="containsText" dxfId="789" priority="759" operator="containsText" text="24HR">
      <formula>NOT(ISERROR(SEARCH("24HR",B33)))</formula>
    </cfRule>
  </conditionalFormatting>
  <conditionalFormatting sqref="B34">
    <cfRule type="containsText" dxfId="788" priority="757" operator="containsText" text="ftr">
      <formula>NOT(ISERROR(SEARCH("ftr",B34)))</formula>
    </cfRule>
    <cfRule type="containsText" dxfId="787" priority="758" operator="containsText" text="24hr">
      <formula>NOT(ISERROR(SEARCH("24hr",B34)))</formula>
    </cfRule>
  </conditionalFormatting>
  <conditionalFormatting sqref="J34">
    <cfRule type="containsText" dxfId="786" priority="751" operator="containsText" text="ftr">
      <formula>NOT(ISERROR(SEARCH("ftr",J34)))</formula>
    </cfRule>
    <cfRule type="containsText" dxfId="785" priority="752" operator="containsText" text="24hr">
      <formula>NOT(ISERROR(SEARCH("24hr",J34)))</formula>
    </cfRule>
  </conditionalFormatting>
  <conditionalFormatting sqref="N34">
    <cfRule type="containsText" dxfId="784" priority="749" operator="containsText" text="ftr">
      <formula>NOT(ISERROR(SEARCH("ftr",N34)))</formula>
    </cfRule>
    <cfRule type="containsText" dxfId="783" priority="750" operator="containsText" text="24hr">
      <formula>NOT(ISERROR(SEARCH("24hr",N34)))</formula>
    </cfRule>
  </conditionalFormatting>
  <conditionalFormatting sqref="F35">
    <cfRule type="containsText" dxfId="782" priority="745" operator="containsText" text="ftr">
      <formula>NOT(ISERROR(SEARCH("ftr",F35)))</formula>
    </cfRule>
    <cfRule type="containsText" dxfId="781" priority="746" operator="containsText" text="24hr">
      <formula>NOT(ISERROR(SEARCH("24hr",F35)))</formula>
    </cfRule>
  </conditionalFormatting>
  <conditionalFormatting sqref="J35">
    <cfRule type="containsText" dxfId="780" priority="743" operator="containsText" text="ftr">
      <formula>NOT(ISERROR(SEARCH("ftr",J35)))</formula>
    </cfRule>
    <cfRule type="containsText" dxfId="779" priority="744" operator="containsText" text="24hr">
      <formula>NOT(ISERROR(SEARCH("24hr",J35)))</formula>
    </cfRule>
  </conditionalFormatting>
  <conditionalFormatting sqref="N35">
    <cfRule type="containsText" dxfId="778" priority="741" operator="containsText" text="ftr">
      <formula>NOT(ISERROR(SEARCH("ftr",N35)))</formula>
    </cfRule>
    <cfRule type="containsText" dxfId="777" priority="742" operator="containsText" text="24hr">
      <formula>NOT(ISERROR(SEARCH("24hr",N35)))</formula>
    </cfRule>
  </conditionalFormatting>
  <conditionalFormatting sqref="R35">
    <cfRule type="containsText" dxfId="776" priority="739" operator="containsText" text="ftr">
      <formula>NOT(ISERROR(SEARCH("ftr",R35)))</formula>
    </cfRule>
    <cfRule type="containsText" dxfId="775" priority="740" operator="containsText" text="24hr">
      <formula>NOT(ISERROR(SEARCH("24hr",R35)))</formula>
    </cfRule>
  </conditionalFormatting>
  <conditionalFormatting sqref="F33">
    <cfRule type="containsText" dxfId="774" priority="738" operator="containsText" text="24HR">
      <formula>NOT(ISERROR(SEARCH("24HR",F33)))</formula>
    </cfRule>
  </conditionalFormatting>
  <conditionalFormatting sqref="J33">
    <cfRule type="containsText" dxfId="773" priority="737" operator="containsText" text="24HR">
      <formula>NOT(ISERROR(SEARCH("24HR",J33)))</formula>
    </cfRule>
  </conditionalFormatting>
  <conditionalFormatting sqref="N33">
    <cfRule type="containsText" dxfId="772" priority="736" operator="containsText" text="24HR">
      <formula>NOT(ISERROR(SEARCH("24HR",N33)))</formula>
    </cfRule>
  </conditionalFormatting>
  <conditionalFormatting sqref="R33">
    <cfRule type="containsText" dxfId="771" priority="735" operator="containsText" text="24HR">
      <formula>NOT(ISERROR(SEARCH("24HR",R33)))</formula>
    </cfRule>
  </conditionalFormatting>
  <conditionalFormatting sqref="A2">
    <cfRule type="containsText" dxfId="770" priority="723" operator="containsText" text="24hr">
      <formula>NOT(ISERROR(SEARCH("24hr",A2)))</formula>
    </cfRule>
    <cfRule type="containsText" dxfId="769" priority="724" operator="containsText" text="ftr">
      <formula>NOT(ISERROR(SEARCH("ftr",A2)))</formula>
    </cfRule>
  </conditionalFormatting>
  <conditionalFormatting sqref="A2">
    <cfRule type="containsText" dxfId="768" priority="722" operator="containsText" text="24HR">
      <formula>NOT(ISERROR(SEARCH("24HR",A2)))</formula>
    </cfRule>
  </conditionalFormatting>
  <conditionalFormatting sqref="A2">
    <cfRule type="containsText" dxfId="767" priority="720" operator="containsText" text="FTR">
      <formula>NOT(ISERROR(SEARCH("FTR",A2)))</formula>
    </cfRule>
    <cfRule type="containsText" dxfId="766" priority="721" operator="containsText" text="24HR">
      <formula>NOT(ISERROR(SEARCH("24HR",A2)))</formula>
    </cfRule>
  </conditionalFormatting>
  <conditionalFormatting sqref="A1">
    <cfRule type="containsText" dxfId="765" priority="718" operator="containsText" text="24hr">
      <formula>NOT(ISERROR(SEARCH("24hr",A1)))</formula>
    </cfRule>
    <cfRule type="containsText" dxfId="764" priority="719" operator="containsText" text="ftr">
      <formula>NOT(ISERROR(SEARCH("ftr",A1)))</formula>
    </cfRule>
  </conditionalFormatting>
  <conditionalFormatting sqref="A1">
    <cfRule type="containsText" dxfId="763" priority="717" operator="containsText" text="24HR">
      <formula>NOT(ISERROR(SEARCH("24HR",A1)))</formula>
    </cfRule>
  </conditionalFormatting>
  <conditionalFormatting sqref="A1">
    <cfRule type="containsText" dxfId="762" priority="715" operator="containsText" text="FTR">
      <formula>NOT(ISERROR(SEARCH("FTR",A1)))</formula>
    </cfRule>
    <cfRule type="containsText" dxfId="761" priority="716" operator="containsText" text="24HR">
      <formula>NOT(ISERROR(SEARCH("24HR",A1)))</formula>
    </cfRule>
  </conditionalFormatting>
  <conditionalFormatting sqref="A3:T3">
    <cfRule type="containsText" dxfId="760" priority="713" operator="containsText" text="24hr">
      <formula>NOT(ISERROR(SEARCH("24hr",A3)))</formula>
    </cfRule>
    <cfRule type="containsText" dxfId="759" priority="714" operator="containsText" text="ftr">
      <formula>NOT(ISERROR(SEARCH("ftr",A3)))</formula>
    </cfRule>
  </conditionalFormatting>
  <conditionalFormatting sqref="A3:T3">
    <cfRule type="containsText" dxfId="758" priority="712" operator="containsText" text="24HR">
      <formula>NOT(ISERROR(SEARCH("24HR",A3)))</formula>
    </cfRule>
  </conditionalFormatting>
  <conditionalFormatting sqref="A3:T3">
    <cfRule type="containsText" dxfId="757" priority="710" operator="containsText" text="FTR">
      <formula>NOT(ISERROR(SEARCH("FTR",A3)))</formula>
    </cfRule>
    <cfRule type="containsText" dxfId="756" priority="711" operator="containsText" text="24HR">
      <formula>NOT(ISERROR(SEARCH("24HR",A3)))</formula>
    </cfRule>
  </conditionalFormatting>
  <conditionalFormatting sqref="A32:T32">
    <cfRule type="containsText" dxfId="755" priority="708" operator="containsText" text="24hr">
      <formula>NOT(ISERROR(SEARCH("24hr",A32)))</formula>
    </cfRule>
    <cfRule type="containsText" dxfId="754" priority="709" operator="containsText" text="ftr">
      <formula>NOT(ISERROR(SEARCH("ftr",A32)))</formula>
    </cfRule>
  </conditionalFormatting>
  <conditionalFormatting sqref="A32:T32">
    <cfRule type="containsText" dxfId="753" priority="707" operator="containsText" text="24HR">
      <formula>NOT(ISERROR(SEARCH("24HR",A32)))</formula>
    </cfRule>
  </conditionalFormatting>
  <conditionalFormatting sqref="A32:T32">
    <cfRule type="containsText" dxfId="752" priority="705" operator="containsText" text="FTR">
      <formula>NOT(ISERROR(SEARCH("FTR",A32)))</formula>
    </cfRule>
    <cfRule type="containsText" dxfId="751" priority="706" operator="containsText" text="24HR">
      <formula>NOT(ISERROR(SEARCH("24HR",A32)))</formula>
    </cfRule>
  </conditionalFormatting>
  <conditionalFormatting sqref="U32">
    <cfRule type="containsText" dxfId="750" priority="703" operator="containsText" text="24hr">
      <formula>NOT(ISERROR(SEARCH("24hr",U32)))</formula>
    </cfRule>
    <cfRule type="containsText" dxfId="749" priority="704" operator="containsText" text="ftr">
      <formula>NOT(ISERROR(SEARCH("ftr",U32)))</formula>
    </cfRule>
  </conditionalFormatting>
  <conditionalFormatting sqref="U32">
    <cfRule type="containsText" dxfId="748" priority="702" operator="containsText" text="24HR">
      <formula>NOT(ISERROR(SEARCH("24HR",U32)))</formula>
    </cfRule>
  </conditionalFormatting>
  <conditionalFormatting sqref="U32">
    <cfRule type="containsText" dxfId="747" priority="700" operator="containsText" text="FTR">
      <formula>NOT(ISERROR(SEARCH("FTR",U32)))</formula>
    </cfRule>
    <cfRule type="containsText" dxfId="746" priority="701" operator="containsText" text="24HR">
      <formula>NOT(ISERROR(SEARCH("24HR",U32)))</formula>
    </cfRule>
  </conditionalFormatting>
  <conditionalFormatting sqref="F36">
    <cfRule type="containsText" dxfId="745" priority="604" operator="containsText" text="ftr">
      <formula>NOT(ISERROR(SEARCH("ftr",F36)))</formula>
    </cfRule>
    <cfRule type="containsText" dxfId="744" priority="605" operator="containsText" text="24hr">
      <formula>NOT(ISERROR(SEARCH("24hr",F36)))</formula>
    </cfRule>
  </conditionalFormatting>
  <conditionalFormatting sqref="J36">
    <cfRule type="containsText" dxfId="743" priority="602" operator="containsText" text="ftr">
      <formula>NOT(ISERROR(SEARCH("ftr",J36)))</formula>
    </cfRule>
    <cfRule type="containsText" dxfId="742" priority="603" operator="containsText" text="24hr">
      <formula>NOT(ISERROR(SEARCH("24hr",J36)))</formula>
    </cfRule>
  </conditionalFormatting>
  <conditionalFormatting sqref="N36">
    <cfRule type="containsText" dxfId="741" priority="600" operator="containsText" text="ftr">
      <formula>NOT(ISERROR(SEARCH("ftr",N36)))</formula>
    </cfRule>
    <cfRule type="containsText" dxfId="740" priority="601" operator="containsText" text="24hr">
      <formula>NOT(ISERROR(SEARCH("24hr",N36)))</formula>
    </cfRule>
  </conditionalFormatting>
  <conditionalFormatting sqref="R36">
    <cfRule type="containsText" dxfId="739" priority="598" operator="containsText" text="ftr">
      <formula>NOT(ISERROR(SEARCH("ftr",R36)))</formula>
    </cfRule>
    <cfRule type="containsText" dxfId="738" priority="599" operator="containsText" text="24hr">
      <formula>NOT(ISERROR(SEARCH("24hr",R36)))</formula>
    </cfRule>
  </conditionalFormatting>
  <conditionalFormatting sqref="N40">
    <cfRule type="containsText" dxfId="737" priority="589" operator="containsText" text="24HR">
      <formula>NOT(ISERROR(SEARCH("24HR",N40)))</formula>
    </cfRule>
  </conditionalFormatting>
  <conditionalFormatting sqref="A33:W36 A32:U32">
    <cfRule type="containsText" dxfId="736" priority="592" operator="containsText" text="SPEC">
      <formula>NOT(ISERROR(SEARCH("SPEC",A32)))</formula>
    </cfRule>
  </conditionalFormatting>
  <conditionalFormatting sqref="I40 L40:M40 P40:S40">
    <cfRule type="containsText" dxfId="735" priority="591" operator="containsText" text="24HR">
      <formula>NOT(ISERROR(SEARCH("24HR",I40)))</formula>
    </cfRule>
  </conditionalFormatting>
  <conditionalFormatting sqref="J40">
    <cfRule type="containsText" dxfId="734" priority="590" operator="containsText" text="24HR">
      <formula>NOT(ISERROR(SEARCH("24HR",J40)))</formula>
    </cfRule>
  </conditionalFormatting>
  <conditionalFormatting sqref="I40:S40">
    <cfRule type="containsText" dxfId="733" priority="588" operator="containsText" text="PROC">
      <formula>NOT(ISERROR(SEARCH("PROC",I40)))</formula>
    </cfRule>
  </conditionalFormatting>
  <conditionalFormatting sqref="A63:A71">
    <cfRule type="containsText" dxfId="732" priority="586" operator="containsText" text="ftr">
      <formula>NOT(ISERROR(SEARCH("ftr",A63)))</formula>
    </cfRule>
    <cfRule type="containsText" dxfId="731" priority="587" operator="containsText" text="24hr">
      <formula>NOT(ISERROR(SEARCH("24hr",A63)))</formula>
    </cfRule>
  </conditionalFormatting>
  <conditionalFormatting sqref="A63:A71">
    <cfRule type="containsText" dxfId="730" priority="585" operator="containsText" text="PROC">
      <formula>NOT(ISERROR(SEARCH("PROC",A63)))</formula>
    </cfRule>
  </conditionalFormatting>
  <conditionalFormatting sqref="H63:H71">
    <cfRule type="containsText" dxfId="729" priority="583" operator="containsText" text="ftr">
      <formula>NOT(ISERROR(SEARCH("ftr",H63)))</formula>
    </cfRule>
    <cfRule type="containsText" dxfId="728" priority="584" operator="containsText" text="24hr">
      <formula>NOT(ISERROR(SEARCH("24hr",H63)))</formula>
    </cfRule>
  </conditionalFormatting>
  <conditionalFormatting sqref="H63:H71">
    <cfRule type="containsText" dxfId="727" priority="582" operator="containsText" text="PROC">
      <formula>NOT(ISERROR(SEARCH("PROC",H63)))</formula>
    </cfRule>
  </conditionalFormatting>
  <conditionalFormatting sqref="O63:O71">
    <cfRule type="containsText" dxfId="726" priority="580" operator="containsText" text="ftr">
      <formula>NOT(ISERROR(SEARCH("ftr",O63)))</formula>
    </cfRule>
    <cfRule type="containsText" dxfId="725" priority="581" operator="containsText" text="24hr">
      <formula>NOT(ISERROR(SEARCH("24hr",O63)))</formula>
    </cfRule>
  </conditionalFormatting>
  <conditionalFormatting sqref="O63:O71">
    <cfRule type="containsText" dxfId="724" priority="579" operator="containsText" text="PROC">
      <formula>NOT(ISERROR(SEARCH("PROC",O63)))</formula>
    </cfRule>
  </conditionalFormatting>
  <conditionalFormatting sqref="V63:V71">
    <cfRule type="containsText" dxfId="723" priority="577" operator="containsText" text="ftr">
      <formula>NOT(ISERROR(SEARCH("ftr",V63)))</formula>
    </cfRule>
    <cfRule type="containsText" dxfId="722" priority="578" operator="containsText" text="24hr">
      <formula>NOT(ISERROR(SEARCH("24hr",V63)))</formula>
    </cfRule>
  </conditionalFormatting>
  <conditionalFormatting sqref="V63:V71">
    <cfRule type="containsText" dxfId="721" priority="576" operator="containsText" text="PROC">
      <formula>NOT(ISERROR(SEARCH("PROC",V63)))</formula>
    </cfRule>
  </conditionalFormatting>
  <conditionalFormatting sqref="B62:F71">
    <cfRule type="containsText" dxfId="720" priority="574" operator="containsText" text="NOT MET">
      <formula>NOT(ISERROR(SEARCH("NOT MET",B62)))</formula>
    </cfRule>
    <cfRule type="containsText" dxfId="719" priority="575" operator="containsText" text="MET">
      <formula>NOT(ISERROR(SEARCH("MET",B62)))</formula>
    </cfRule>
  </conditionalFormatting>
  <conditionalFormatting sqref="B41 D41">
    <cfRule type="containsText" dxfId="718" priority="573" operator="containsText" text="24HR">
      <formula>NOT(ISERROR(SEARCH("24HR",B41)))</formula>
    </cfRule>
  </conditionalFormatting>
  <conditionalFormatting sqref="A43:B43 A42:D42 E46:H46 D43">
    <cfRule type="containsText" dxfId="717" priority="570" operator="containsText" text="SPEC">
      <formula>NOT(ISERROR(SEARCH("SPEC",A42)))</formula>
    </cfRule>
    <cfRule type="containsText" dxfId="716" priority="571" operator="containsText" text="ftr">
      <formula>NOT(ISERROR(SEARCH("ftr",A42)))</formula>
    </cfRule>
    <cfRule type="containsText" dxfId="715" priority="572" operator="containsText" text="24HR">
      <formula>NOT(ISERROR(SEARCH("24HR",A42)))</formula>
    </cfRule>
  </conditionalFormatting>
  <conditionalFormatting sqref="A40:D40">
    <cfRule type="containsText" dxfId="714" priority="568" operator="containsText" text="24hr">
      <formula>NOT(ISERROR(SEARCH("24hr",A40)))</formula>
    </cfRule>
    <cfRule type="containsText" dxfId="713" priority="569" operator="containsText" text="ftr">
      <formula>NOT(ISERROR(SEARCH("ftr",A40)))</formula>
    </cfRule>
  </conditionalFormatting>
  <conditionalFormatting sqref="A40:D40">
    <cfRule type="containsText" dxfId="712" priority="567" operator="containsText" text="24HR">
      <formula>NOT(ISERROR(SEARCH("24HR",A40)))</formula>
    </cfRule>
  </conditionalFormatting>
  <conditionalFormatting sqref="A40:D40">
    <cfRule type="containsText" dxfId="711" priority="565" operator="containsText" text="FTR">
      <formula>NOT(ISERROR(SEARCH("FTR",A40)))</formula>
    </cfRule>
    <cfRule type="containsText" dxfId="710" priority="566" operator="containsText" text="24HR">
      <formula>NOT(ISERROR(SEARCH("24HR",A40)))</formula>
    </cfRule>
  </conditionalFormatting>
  <conditionalFormatting sqref="A40:D40">
    <cfRule type="containsText" dxfId="709" priority="564" operator="containsText" text="SPEC">
      <formula>NOT(ISERROR(SEARCH("SPEC",A40)))</formula>
    </cfRule>
  </conditionalFormatting>
  <conditionalFormatting sqref="I62:M71">
    <cfRule type="containsText" dxfId="708" priority="544" operator="containsText" text="NOT MET">
      <formula>NOT(ISERROR(SEARCH("NOT MET",I62)))</formula>
    </cfRule>
    <cfRule type="containsText" dxfId="707" priority="545" operator="containsText" text="MET">
      <formula>NOT(ISERROR(SEARCH("MET",I62)))</formula>
    </cfRule>
  </conditionalFormatting>
  <conditionalFormatting sqref="P62:P71">
    <cfRule type="containsText" dxfId="706" priority="542" operator="containsText" text="NOT MET">
      <formula>NOT(ISERROR(SEARCH("NOT MET",P62)))</formula>
    </cfRule>
    <cfRule type="containsText" dxfId="705" priority="543" operator="containsText" text="MET">
      <formula>NOT(ISERROR(SEARCH("MET",P62)))</formula>
    </cfRule>
  </conditionalFormatting>
  <conditionalFormatting sqref="Q62:T71">
    <cfRule type="containsText" dxfId="704" priority="540" operator="containsText" text="NOT MET">
      <formula>NOT(ISERROR(SEARCH("NOT MET",Q62)))</formula>
    </cfRule>
    <cfRule type="containsText" dxfId="703" priority="541" operator="containsText" text="MET">
      <formula>NOT(ISERROR(SEARCH("MET",Q62)))</formula>
    </cfRule>
  </conditionalFormatting>
  <conditionalFormatting sqref="W62:W71">
    <cfRule type="containsText" dxfId="702" priority="538" operator="containsText" text="NOT MET">
      <formula>NOT(ISERROR(SEARCH("NOT MET",W62)))</formula>
    </cfRule>
    <cfRule type="containsText" dxfId="701" priority="539" operator="containsText" text="MET">
      <formula>NOT(ISERROR(SEARCH("MET",W62)))</formula>
    </cfRule>
  </conditionalFormatting>
  <conditionalFormatting sqref="X62:AA71">
    <cfRule type="containsText" dxfId="700" priority="536" operator="containsText" text="NOT MET">
      <formula>NOT(ISERROR(SEARCH("NOT MET",X62)))</formula>
    </cfRule>
    <cfRule type="containsText" dxfId="699" priority="537" operator="containsText" text="MET">
      <formula>NOT(ISERROR(SEARCH("MET",X62)))</formula>
    </cfRule>
  </conditionalFormatting>
  <conditionalFormatting sqref="I62:M71 P62:T71 W62:AA71">
    <cfRule type="cellIs" dxfId="698" priority="534" operator="equal">
      <formula>0</formula>
    </cfRule>
  </conditionalFormatting>
  <conditionalFormatting sqref="N55:N56">
    <cfRule type="containsText" dxfId="697" priority="533" operator="containsText" text="24HR">
      <formula>NOT(ISERROR(SEARCH("24HR",N55)))</formula>
    </cfRule>
  </conditionalFormatting>
  <conditionalFormatting sqref="N55:N56">
    <cfRule type="containsText" dxfId="696" priority="532" operator="containsText" text="PROC">
      <formula>NOT(ISERROR(SEARCH("PROC",N55)))</formula>
    </cfRule>
  </conditionalFormatting>
  <conditionalFormatting sqref="R56">
    <cfRule type="containsText" dxfId="695" priority="529" operator="containsText" text="over">
      <formula>NOT(ISERROR(SEARCH("over",R56)))</formula>
    </cfRule>
    <cfRule type="containsText" dxfId="694" priority="530" operator="containsText" text="Provider">
      <formula>NOT(ISERROR(SEARCH("Provider",R56)))</formula>
    </cfRule>
    <cfRule type="containsText" dxfId="693" priority="531" operator="containsText" text="short">
      <formula>NOT(ISERROR(SEARCH("short",R56)))</formula>
    </cfRule>
  </conditionalFormatting>
  <conditionalFormatting sqref="A44:D44">
    <cfRule type="containsText" dxfId="692" priority="525" operator="containsText" text="SPEC">
      <formula>NOT(ISERROR(SEARCH("SPEC",A44)))</formula>
    </cfRule>
    <cfRule type="containsText" dxfId="691" priority="526" operator="containsText" text="ftr">
      <formula>NOT(ISERROR(SEARCH("ftr",A44)))</formula>
    </cfRule>
    <cfRule type="containsText" dxfId="690" priority="527" operator="containsText" text="24HR">
      <formula>NOT(ISERROR(SEARCH("24HR",A44)))</formula>
    </cfRule>
  </conditionalFormatting>
  <conditionalFormatting sqref="H42">
    <cfRule type="cellIs" dxfId="689" priority="514" operator="greaterThan">
      <formula>0.05</formula>
    </cfRule>
  </conditionalFormatting>
  <conditionalFormatting sqref="F41 H41">
    <cfRule type="containsText" dxfId="688" priority="524" operator="containsText" text="24HR">
      <formula>NOT(ISERROR(SEARCH("24HR",F41)))</formula>
    </cfRule>
  </conditionalFormatting>
  <conditionalFormatting sqref="E42:H42">
    <cfRule type="containsText" dxfId="687" priority="521" operator="containsText" text="SPEC">
      <formula>NOT(ISERROR(SEARCH("SPEC",E42)))</formula>
    </cfRule>
    <cfRule type="containsText" dxfId="686" priority="522" operator="containsText" text="ftr">
      <formula>NOT(ISERROR(SEARCH("ftr",E42)))</formula>
    </cfRule>
    <cfRule type="containsText" dxfId="685" priority="523" operator="containsText" text="24HR">
      <formula>NOT(ISERROR(SEARCH("24HR",E42)))</formula>
    </cfRule>
  </conditionalFormatting>
  <conditionalFormatting sqref="E40:H40">
    <cfRule type="containsText" dxfId="684" priority="519" operator="containsText" text="24hr">
      <formula>NOT(ISERROR(SEARCH("24hr",E40)))</formula>
    </cfRule>
    <cfRule type="containsText" dxfId="683" priority="520" operator="containsText" text="ftr">
      <formula>NOT(ISERROR(SEARCH("ftr",E40)))</formula>
    </cfRule>
  </conditionalFormatting>
  <conditionalFormatting sqref="E40:H40">
    <cfRule type="containsText" dxfId="682" priority="518" operator="containsText" text="24HR">
      <formula>NOT(ISERROR(SEARCH("24HR",E40)))</formula>
    </cfRule>
  </conditionalFormatting>
  <conditionalFormatting sqref="E40:H40">
    <cfRule type="containsText" dxfId="681" priority="516" operator="containsText" text="FTR">
      <formula>NOT(ISERROR(SEARCH("FTR",E40)))</formula>
    </cfRule>
    <cfRule type="containsText" dxfId="680" priority="517" operator="containsText" text="24HR">
      <formula>NOT(ISERROR(SEARCH("24HR",E40)))</formula>
    </cfRule>
  </conditionalFormatting>
  <conditionalFormatting sqref="E40:H40">
    <cfRule type="containsText" dxfId="679" priority="515" operator="containsText" text="SPEC">
      <formula>NOT(ISERROR(SEARCH("SPEC",E40)))</formula>
    </cfRule>
  </conditionalFormatting>
  <conditionalFormatting sqref="A5:T31">
    <cfRule type="containsText" dxfId="678" priority="1" operator="containsText" text="GRP">
      <formula>NOT(ISERROR(SEARCH("GRP",A5)))</formula>
    </cfRule>
    <cfRule type="containsText" dxfId="677" priority="2" operator="containsText" text="PROC">
      <formula>NOT(ISERROR(SEARCH("PROC",A5)))</formula>
    </cfRule>
    <cfRule type="containsText" dxfId="676" priority="86" operator="containsText" text="spec">
      <formula>NOT(ISERROR(SEARCH("spec",A5)))</formula>
    </cfRule>
    <cfRule type="containsText" dxfId="675" priority="87" operator="containsText" text="ftr">
      <formula>NOT(ISERROR(SEARCH("ftr",A5)))</formula>
    </cfRule>
    <cfRule type="containsText" dxfId="674" priority="88" operator="containsText" text="24hr">
      <formula>NOT(ISERROR(SEARCH("24hr",A5)))</formula>
    </cfRule>
  </conditionalFormatting>
  <conditionalFormatting sqref="A37:A38 D37:E38 H37:I38 L37:M38 P37:Q38 T37:W38">
    <cfRule type="containsText" dxfId="673" priority="84" operator="containsText" text="ftr">
      <formula>NOT(ISERROR(SEARCH("ftr",A37)))</formula>
    </cfRule>
    <cfRule type="containsText" dxfId="672" priority="85" operator="containsText" text="24hr">
      <formula>NOT(ISERROR(SEARCH("24hr",A37)))</formula>
    </cfRule>
  </conditionalFormatting>
  <conditionalFormatting sqref="B37">
    <cfRule type="containsText" dxfId="671" priority="82" operator="containsText" text="ftr">
      <formula>NOT(ISERROR(SEARCH("ftr",B37)))</formula>
    </cfRule>
    <cfRule type="containsText" dxfId="670" priority="83" operator="containsText" text="24hr">
      <formula>NOT(ISERROR(SEARCH("24hr",B37)))</formula>
    </cfRule>
  </conditionalFormatting>
  <conditionalFormatting sqref="A37:B37 A38 D37:E38 H37:I38 L37:M38 P37:Q38 T37:W38">
    <cfRule type="containsText" dxfId="669" priority="81" operator="containsText" text="SPEC">
      <formula>NOT(ISERROR(SEARCH("SPEC",A37)))</formula>
    </cfRule>
  </conditionalFormatting>
  <conditionalFormatting sqref="A38 A37:B37 D37:E38 H37:I38 L37:M38 P37:Q38 T37:W38">
    <cfRule type="containsText" dxfId="668" priority="79" operator="containsText" text="GRP">
      <formula>NOT(ISERROR(SEARCH("GRP",A37)))</formula>
    </cfRule>
    <cfRule type="containsText" dxfId="667" priority="80" operator="containsText" text="PROC">
      <formula>NOT(ISERROR(SEARCH("PROC",A37)))</formula>
    </cfRule>
  </conditionalFormatting>
  <conditionalFormatting sqref="B38">
    <cfRule type="containsText" dxfId="666" priority="77" operator="containsText" text="ftr">
      <formula>NOT(ISERROR(SEARCH("ftr",B38)))</formula>
    </cfRule>
    <cfRule type="containsText" dxfId="665" priority="78" operator="containsText" text="24hr">
      <formula>NOT(ISERROR(SEARCH("24hr",B38)))</formula>
    </cfRule>
  </conditionalFormatting>
  <conditionalFormatting sqref="B38">
    <cfRule type="containsText" dxfId="664" priority="76" operator="containsText" text="SPEC">
      <formula>NOT(ISERROR(SEARCH("SPEC",B38)))</formula>
    </cfRule>
  </conditionalFormatting>
  <conditionalFormatting sqref="B38">
    <cfRule type="containsText" dxfId="663" priority="74" operator="containsText" text="GRP">
      <formula>NOT(ISERROR(SEARCH("GRP",B38)))</formula>
    </cfRule>
    <cfRule type="containsText" dxfId="662" priority="75" operator="containsText" text="PROC">
      <formula>NOT(ISERROR(SEARCH("PROC",B38)))</formula>
    </cfRule>
  </conditionalFormatting>
  <conditionalFormatting sqref="F37">
    <cfRule type="containsText" dxfId="661" priority="72" operator="containsText" text="ftr">
      <formula>NOT(ISERROR(SEARCH("ftr",F37)))</formula>
    </cfRule>
    <cfRule type="containsText" dxfId="660" priority="73" operator="containsText" text="24hr">
      <formula>NOT(ISERROR(SEARCH("24hr",F37)))</formula>
    </cfRule>
  </conditionalFormatting>
  <conditionalFormatting sqref="F37:G37">
    <cfRule type="containsText" dxfId="659" priority="71" operator="containsText" text="SPEC">
      <formula>NOT(ISERROR(SEARCH("SPEC",F37)))</formula>
    </cfRule>
  </conditionalFormatting>
  <conditionalFormatting sqref="R38:S38">
    <cfRule type="containsText" dxfId="658" priority="50" operator="containsText" text="SPEC">
      <formula>NOT(ISERROR(SEARCH("SPEC",R38)))</formula>
    </cfRule>
  </conditionalFormatting>
  <conditionalFormatting sqref="F38">
    <cfRule type="containsText" dxfId="657" priority="69" operator="containsText" text="ftr">
      <formula>NOT(ISERROR(SEARCH("ftr",F38)))</formula>
    </cfRule>
    <cfRule type="containsText" dxfId="656" priority="70" operator="containsText" text="24hr">
      <formula>NOT(ISERROR(SEARCH("24hr",F38)))</formula>
    </cfRule>
  </conditionalFormatting>
  <conditionalFormatting sqref="F38:G38">
    <cfRule type="containsText" dxfId="655" priority="68" operator="containsText" text="SPEC">
      <formula>NOT(ISERROR(SEARCH("SPEC",F38)))</formula>
    </cfRule>
  </conditionalFormatting>
  <conditionalFormatting sqref="R38">
    <cfRule type="containsText" dxfId="654" priority="51" operator="containsText" text="ftr">
      <formula>NOT(ISERROR(SEARCH("ftr",R38)))</formula>
    </cfRule>
    <cfRule type="containsText" dxfId="653" priority="52" operator="containsText" text="24hr">
      <formula>NOT(ISERROR(SEARCH("24hr",R38)))</formula>
    </cfRule>
  </conditionalFormatting>
  <conditionalFormatting sqref="J37">
    <cfRule type="containsText" dxfId="652" priority="66" operator="containsText" text="ftr">
      <formula>NOT(ISERROR(SEARCH("ftr",J37)))</formula>
    </cfRule>
    <cfRule type="containsText" dxfId="651" priority="67" operator="containsText" text="24hr">
      <formula>NOT(ISERROR(SEARCH("24hr",J37)))</formula>
    </cfRule>
  </conditionalFormatting>
  <conditionalFormatting sqref="J37:K37">
    <cfRule type="containsText" dxfId="650" priority="65" operator="containsText" text="SPEC">
      <formula>NOT(ISERROR(SEARCH("SPEC",J37)))</formula>
    </cfRule>
  </conditionalFormatting>
  <conditionalFormatting sqref="J38">
    <cfRule type="containsText" dxfId="649" priority="63" operator="containsText" text="ftr">
      <formula>NOT(ISERROR(SEARCH("ftr",J38)))</formula>
    </cfRule>
    <cfRule type="containsText" dxfId="648" priority="64" operator="containsText" text="24hr">
      <formula>NOT(ISERROR(SEARCH("24hr",J38)))</formula>
    </cfRule>
  </conditionalFormatting>
  <conditionalFormatting sqref="J38:K38">
    <cfRule type="containsText" dxfId="647" priority="62" operator="containsText" text="SPEC">
      <formula>NOT(ISERROR(SEARCH("SPEC",J38)))</formula>
    </cfRule>
  </conditionalFormatting>
  <conditionalFormatting sqref="N37">
    <cfRule type="containsText" dxfId="646" priority="60" operator="containsText" text="ftr">
      <formula>NOT(ISERROR(SEARCH("ftr",N37)))</formula>
    </cfRule>
    <cfRule type="containsText" dxfId="645" priority="61" operator="containsText" text="24hr">
      <formula>NOT(ISERROR(SEARCH("24hr",N37)))</formula>
    </cfRule>
  </conditionalFormatting>
  <conditionalFormatting sqref="N37:O37">
    <cfRule type="containsText" dxfId="644" priority="59" operator="containsText" text="SPEC">
      <formula>NOT(ISERROR(SEARCH("SPEC",N37)))</formula>
    </cfRule>
  </conditionalFormatting>
  <conditionalFormatting sqref="N38">
    <cfRule type="containsText" dxfId="643" priority="57" operator="containsText" text="ftr">
      <formula>NOT(ISERROR(SEARCH("ftr",N38)))</formula>
    </cfRule>
    <cfRule type="containsText" dxfId="642" priority="58" operator="containsText" text="24hr">
      <formula>NOT(ISERROR(SEARCH("24hr",N38)))</formula>
    </cfRule>
  </conditionalFormatting>
  <conditionalFormatting sqref="N38:O38">
    <cfRule type="containsText" dxfId="641" priority="56" operator="containsText" text="SPEC">
      <formula>NOT(ISERROR(SEARCH("SPEC",N38)))</formula>
    </cfRule>
  </conditionalFormatting>
  <conditionalFormatting sqref="R37">
    <cfRule type="containsText" dxfId="640" priority="54" operator="containsText" text="ftr">
      <formula>NOT(ISERROR(SEARCH("ftr",R37)))</formula>
    </cfRule>
    <cfRule type="containsText" dxfId="639" priority="55" operator="containsText" text="24hr">
      <formula>NOT(ISERROR(SEARCH("24hr",R37)))</formula>
    </cfRule>
  </conditionalFormatting>
  <conditionalFormatting sqref="R37:S37">
    <cfRule type="containsText" dxfId="638" priority="53" operator="containsText" text="SPEC">
      <formula>NOT(ISERROR(SEARCH("SPEC",R37)))</formula>
    </cfRule>
  </conditionalFormatting>
  <conditionalFormatting sqref="T39:W39">
    <cfRule type="containsText" dxfId="637" priority="28" operator="containsText" text="24HR">
      <formula>NOT(ISERROR(SEARCH("24HR",T39)))</formula>
    </cfRule>
  </conditionalFormatting>
  <conditionalFormatting sqref="A39:B39 D39:E39 L39:M39 H39:I39 P39:Q39">
    <cfRule type="containsText" dxfId="636" priority="27" operator="containsText" text="24HR">
      <formula>NOT(ISERROR(SEARCH("24HR",A39)))</formula>
    </cfRule>
  </conditionalFormatting>
  <conditionalFormatting sqref="F39">
    <cfRule type="containsText" dxfId="635" priority="26" operator="containsText" text="24HR">
      <formula>NOT(ISERROR(SEARCH("24HR",F39)))</formula>
    </cfRule>
  </conditionalFormatting>
  <conditionalFormatting sqref="J39">
    <cfRule type="containsText" dxfId="634" priority="25" operator="containsText" text="24HR">
      <formula>NOT(ISERROR(SEARCH("24HR",J39)))</formula>
    </cfRule>
  </conditionalFormatting>
  <conditionalFormatting sqref="N39">
    <cfRule type="containsText" dxfId="633" priority="24" operator="containsText" text="24HR">
      <formula>NOT(ISERROR(SEARCH("24HR",N39)))</formula>
    </cfRule>
  </conditionalFormatting>
  <conditionalFormatting sqref="R39">
    <cfRule type="containsText" dxfId="632" priority="23" operator="containsText" text="24HR">
      <formula>NOT(ISERROR(SEARCH("24HR",R39)))</formula>
    </cfRule>
  </conditionalFormatting>
  <conditionalFormatting sqref="A39:W39">
    <cfRule type="containsText" dxfId="631" priority="22" operator="containsText" text="SPEC">
      <formula>NOT(ISERROR(SEARCH("SPEC",A39)))</formula>
    </cfRule>
  </conditionalFormatting>
  <conditionalFormatting sqref="W39">
    <cfRule type="cellIs" dxfId="630" priority="21" operator="lessThan">
      <formula>100%</formula>
    </cfRule>
  </conditionalFormatting>
  <conditionalFormatting sqref="F39">
    <cfRule type="containsText" dxfId="629" priority="20" operator="containsText" text="24HR">
      <formula>NOT(ISERROR(SEARCH("24HR",F39)))</formula>
    </cfRule>
  </conditionalFormatting>
  <conditionalFormatting sqref="J39">
    <cfRule type="containsText" dxfId="628" priority="19" operator="containsText" text="24HR">
      <formula>NOT(ISERROR(SEARCH("24HR",J39)))</formula>
    </cfRule>
  </conditionalFormatting>
  <conditionalFormatting sqref="N39">
    <cfRule type="containsText" dxfId="627" priority="18" operator="containsText" text="24HR">
      <formula>NOT(ISERROR(SEARCH("24HR",N39)))</formula>
    </cfRule>
  </conditionalFormatting>
  <conditionalFormatting sqref="R39">
    <cfRule type="containsText" dxfId="626" priority="17" operator="containsText" text="24HR">
      <formula>NOT(ISERROR(SEARCH("24HR",R39)))</formula>
    </cfRule>
  </conditionalFormatting>
  <conditionalFormatting sqref="AA5:AA8">
    <cfRule type="cellIs" dxfId="625" priority="13" operator="lessThan">
      <formula>0.1</formula>
    </cfRule>
    <cfRule type="cellIs" dxfId="624" priority="14" operator="between">
      <formula>0.1</formula>
      <formula>0.15</formula>
    </cfRule>
    <cfRule type="cellIs" dxfId="623" priority="15" operator="between">
      <formula>0.15</formula>
      <formula>0.2</formula>
    </cfRule>
    <cfRule type="cellIs" dxfId="622" priority="16" operator="greaterThanOrEqual">
      <formula>0.2</formula>
    </cfRule>
  </conditionalFormatting>
  <conditionalFormatting sqref="AA10:AA13">
    <cfRule type="cellIs" dxfId="621" priority="9" operator="lessThan">
      <formula>0.4</formula>
    </cfRule>
    <cfRule type="cellIs" dxfId="620" priority="10" operator="between">
      <formula>0.4</formula>
      <formula>0.5</formula>
    </cfRule>
    <cfRule type="cellIs" dxfId="619" priority="11" operator="between">
      <formula>0.5</formula>
      <formula>0.6</formula>
    </cfRule>
    <cfRule type="cellIs" dxfId="618" priority="12" operator="greaterThanOrEqual">
      <formula>0.6</formula>
    </cfRule>
  </conditionalFormatting>
  <conditionalFormatting sqref="AA15:AA18">
    <cfRule type="cellIs" dxfId="617" priority="5" operator="greaterThan">
      <formula>"7&amp;"</formula>
    </cfRule>
    <cfRule type="cellIs" dxfId="616" priority="6" operator="between">
      <formula>0.05</formula>
      <formula>0.07</formula>
    </cfRule>
    <cfRule type="cellIs" dxfId="615" priority="7" operator="between">
      <formula>0.02</formula>
      <formula>0.05</formula>
    </cfRule>
    <cfRule type="cellIs" dxfId="614" priority="8" operator="lessThan">
      <formula>0.02</formula>
    </cfRule>
  </conditionalFormatting>
  <conditionalFormatting sqref="AA20:AA23">
    <cfRule type="cellIs" dxfId="613" priority="3" operator="lessThan">
      <formula>0.9</formula>
    </cfRule>
    <cfRule type="cellIs" dxfId="612" priority="4" operator="greaterThanOrEqual">
      <formula>0.9</formula>
    </cfRule>
  </conditionalFormatting>
  <dataValidations count="5">
    <dataValidation type="list" allowBlank="1" showInputMessage="1" showErrorMessage="1" sqref="K55">
      <formula1>INDIRECT(K54)</formula1>
    </dataValidation>
    <dataValidation type="list" allowBlank="1" showInputMessage="1" showErrorMessage="1" sqref="K54">
      <formula1>TypeofCare</formula1>
    </dataValidation>
    <dataValidation type="list" allowBlank="1" showInputMessage="1" showErrorMessage="1" sqref="C55:G55">
      <formula1>INDIRECT(SUBSTITUTE(C54," ",""))</formula1>
    </dataValidation>
    <dataValidation type="list" allowBlank="1" showInputMessage="1" showErrorMessage="1" sqref="C54:G54">
      <formula1>Specialty</formula1>
    </dataValidation>
    <dataValidation type="list" allowBlank="1" showDropDown="1" showInputMessage="1" showErrorMessage="1" error="The appointment type you entered is not approved by DHA. Please choose one of the following approved appointment types: 24HR, FTR, SPEC, PROC, or GRP." sqref="B5:B31 N5:N31 R5:R31 F5:F31 J5:J31">
      <formula1>ApprovedApptTypes</formula1>
    </dataValidation>
  </dataValidations>
  <hyperlinks>
    <hyperlink ref="V20:Z23" location="'%24HR_FTR TOL Appt'!A1" display="% 24HR and FTR TOL Availability"/>
    <hyperlink ref="V15:Z18" location="'Restrictive Detail Code %'!A1" display="% Restrictive Detail Code"/>
    <hyperlink ref="V10:Z13" location="'%24HR_F2F Appts'!A1" display="% 24HR F2F Appointments"/>
    <hyperlink ref="V5:Z8" location="'%Plan Appts &gt;= 1500 Hrs'!A1" display="% Planned Appointments &gt;= 1500"/>
    <hyperlink ref="V1:AA3" location="'Table of Contents'!A1" display="Click here to return to table of contents."/>
  </hyperlinks>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theme="5"/>
  </sheetPr>
  <dimension ref="A1:AE71"/>
  <sheetViews>
    <sheetView zoomScale="85" zoomScaleNormal="85" workbookViewId="0">
      <selection activeCell="S27" sqref="S27"/>
    </sheetView>
  </sheetViews>
  <sheetFormatPr defaultRowHeight="14.25" x14ac:dyDescent="0.2"/>
  <cols>
    <col min="1" max="1" width="6.5" customWidth="1"/>
    <col min="2" max="3" width="9.25" customWidth="1"/>
    <col min="4" max="4" width="11.5" customWidth="1"/>
    <col min="5" max="5" width="10" customWidth="1"/>
    <col min="6" max="7" width="9.25" customWidth="1"/>
    <col min="8" max="8" width="9" customWidth="1"/>
    <col min="9" max="9" width="8" customWidth="1"/>
    <col min="10" max="10" width="8.625" customWidth="1"/>
    <col min="11" max="11" width="11.5" customWidth="1"/>
    <col min="12" max="12" width="9.375" customWidth="1"/>
    <col min="13" max="13" width="6.5" customWidth="1"/>
    <col min="14" max="14" width="6.25" customWidth="1"/>
    <col min="15" max="15" width="9.25" customWidth="1"/>
    <col min="16" max="16" width="9" customWidth="1"/>
    <col min="17" max="17" width="8.625" customWidth="1"/>
    <col min="18" max="18" width="11.5" customWidth="1"/>
    <col min="19" max="19" width="9.375" customWidth="1"/>
    <col min="20" max="20" width="9" customWidth="1"/>
    <col min="21" max="21" width="6.5" customWidth="1"/>
    <col min="22" max="22" width="5.5" customWidth="1"/>
    <col min="23" max="23" width="8" customWidth="1"/>
    <col min="24" max="24" width="8.625" customWidth="1"/>
    <col min="25" max="25" width="11.5" customWidth="1"/>
    <col min="26" max="26" width="9.375" customWidth="1"/>
    <col min="27" max="27" width="13" customWidth="1"/>
  </cols>
  <sheetData>
    <row r="1" spans="1:27" ht="18" x14ac:dyDescent="0.25">
      <c r="A1" s="275" t="s">
        <v>70</v>
      </c>
      <c r="B1" s="275"/>
      <c r="C1" s="275"/>
      <c r="D1" s="275"/>
      <c r="E1" s="275"/>
      <c r="F1" s="275"/>
      <c r="G1" s="275"/>
      <c r="H1" s="275"/>
      <c r="I1" s="275"/>
      <c r="J1" s="275"/>
      <c r="K1" s="275"/>
      <c r="L1" s="275"/>
      <c r="M1" s="275"/>
      <c r="N1" s="275"/>
      <c r="O1" s="275"/>
      <c r="P1" s="275"/>
      <c r="Q1" s="275"/>
      <c r="R1" s="275"/>
      <c r="S1" s="275"/>
      <c r="T1" s="276"/>
      <c r="V1" s="245" t="s">
        <v>415</v>
      </c>
      <c r="W1" s="245"/>
      <c r="X1" s="245"/>
      <c r="Y1" s="245"/>
      <c r="Z1" s="245"/>
      <c r="AA1" s="245"/>
    </row>
    <row r="2" spans="1:27" ht="18.75" thickBot="1" x14ac:dyDescent="0.3">
      <c r="A2" s="277" t="s">
        <v>1</v>
      </c>
      <c r="B2" s="277"/>
      <c r="C2" s="277"/>
      <c r="D2" s="277"/>
      <c r="E2" s="277"/>
      <c r="F2" s="277"/>
      <c r="G2" s="277"/>
      <c r="H2" s="277"/>
      <c r="I2" s="277"/>
      <c r="J2" s="277"/>
      <c r="K2" s="277"/>
      <c r="L2" s="277"/>
      <c r="M2" s="277"/>
      <c r="N2" s="277"/>
      <c r="O2" s="277"/>
      <c r="P2" s="277"/>
      <c r="Q2" s="277"/>
      <c r="R2" s="277"/>
      <c r="S2" s="277"/>
      <c r="T2" s="278"/>
      <c r="V2" s="245"/>
      <c r="W2" s="245"/>
      <c r="X2" s="245"/>
      <c r="Y2" s="245"/>
      <c r="Z2" s="245"/>
      <c r="AA2" s="245"/>
    </row>
    <row r="3" spans="1:27" ht="15.75" thickBot="1" x14ac:dyDescent="0.3">
      <c r="A3" s="272" t="s">
        <v>2</v>
      </c>
      <c r="B3" s="273"/>
      <c r="C3" s="273"/>
      <c r="D3" s="274"/>
      <c r="E3" s="272" t="s">
        <v>3</v>
      </c>
      <c r="F3" s="273"/>
      <c r="G3" s="273"/>
      <c r="H3" s="274"/>
      <c r="I3" s="272" t="s">
        <v>4</v>
      </c>
      <c r="J3" s="273"/>
      <c r="K3" s="273"/>
      <c r="L3" s="274"/>
      <c r="M3" s="272" t="s">
        <v>5</v>
      </c>
      <c r="N3" s="273"/>
      <c r="O3" s="273"/>
      <c r="P3" s="274"/>
      <c r="Q3" s="272" t="s">
        <v>6</v>
      </c>
      <c r="R3" s="273"/>
      <c r="S3" s="273"/>
      <c r="T3" s="274"/>
      <c r="V3" s="245"/>
      <c r="W3" s="245"/>
      <c r="X3" s="245"/>
      <c r="Y3" s="245"/>
      <c r="Z3" s="245"/>
      <c r="AA3" s="245"/>
    </row>
    <row r="4" spans="1:27" ht="15" thickBot="1" x14ac:dyDescent="0.25">
      <c r="A4" s="1" t="s">
        <v>7</v>
      </c>
      <c r="B4" s="1" t="s">
        <v>8</v>
      </c>
      <c r="C4" s="2" t="s">
        <v>9</v>
      </c>
      <c r="D4" s="2" t="s">
        <v>10</v>
      </c>
      <c r="E4" s="1" t="s">
        <v>7</v>
      </c>
      <c r="F4" s="1" t="s">
        <v>8</v>
      </c>
      <c r="G4" s="2" t="s">
        <v>9</v>
      </c>
      <c r="H4" s="2" t="s">
        <v>10</v>
      </c>
      <c r="I4" s="1" t="s">
        <v>7</v>
      </c>
      <c r="J4" s="1" t="s">
        <v>8</v>
      </c>
      <c r="K4" s="2" t="s">
        <v>9</v>
      </c>
      <c r="L4" s="2" t="s">
        <v>10</v>
      </c>
      <c r="M4" s="1" t="s">
        <v>7</v>
      </c>
      <c r="N4" s="1" t="s">
        <v>8</v>
      </c>
      <c r="O4" s="2" t="s">
        <v>9</v>
      </c>
      <c r="P4" s="2" t="s">
        <v>10</v>
      </c>
      <c r="Q4" s="3" t="s">
        <v>7</v>
      </c>
      <c r="R4" s="1" t="s">
        <v>8</v>
      </c>
      <c r="S4" s="2" t="s">
        <v>9</v>
      </c>
      <c r="T4" s="2" t="s">
        <v>10</v>
      </c>
    </row>
    <row r="5" spans="1:27" ht="14.25" customHeight="1" thickTop="1" x14ac:dyDescent="0.2">
      <c r="A5" s="213" t="s">
        <v>33</v>
      </c>
      <c r="B5" s="31"/>
      <c r="C5" s="31"/>
      <c r="D5" s="5"/>
      <c r="E5" s="213" t="s">
        <v>33</v>
      </c>
      <c r="F5" s="31"/>
      <c r="G5" s="31"/>
      <c r="H5" s="5"/>
      <c r="I5" s="213" t="s">
        <v>33</v>
      </c>
      <c r="J5" s="31"/>
      <c r="K5" s="31"/>
      <c r="L5" s="5"/>
      <c r="M5" s="213" t="s">
        <v>33</v>
      </c>
      <c r="N5" s="31"/>
      <c r="O5" s="31"/>
      <c r="P5" s="5"/>
      <c r="Q5" s="213" t="s">
        <v>33</v>
      </c>
      <c r="R5" s="31"/>
      <c r="S5" s="31"/>
      <c r="T5" s="5"/>
      <c r="V5" s="245" t="s">
        <v>414</v>
      </c>
      <c r="W5" s="245"/>
      <c r="X5" s="245"/>
      <c r="Y5" s="245"/>
      <c r="Z5" s="249"/>
      <c r="AA5" s="246">
        <f>'%Plan Appts &gt;= 1500 Hrs'!F37</f>
        <v>0</v>
      </c>
    </row>
    <row r="6" spans="1:27" ht="14.25" customHeight="1" x14ac:dyDescent="0.2">
      <c r="A6" s="70" t="s">
        <v>34</v>
      </c>
      <c r="B6" s="31" t="s">
        <v>13</v>
      </c>
      <c r="C6" s="31"/>
      <c r="D6" s="5"/>
      <c r="E6" s="70" t="s">
        <v>34</v>
      </c>
      <c r="F6" s="31" t="s">
        <v>13</v>
      </c>
      <c r="G6" s="31"/>
      <c r="H6" s="5"/>
      <c r="I6" s="70" t="s">
        <v>34</v>
      </c>
      <c r="J6" s="31" t="s">
        <v>13</v>
      </c>
      <c r="K6" s="31"/>
      <c r="L6" s="5"/>
      <c r="M6" s="70" t="s">
        <v>34</v>
      </c>
      <c r="N6" s="31" t="s">
        <v>13</v>
      </c>
      <c r="O6" s="31"/>
      <c r="P6" s="5"/>
      <c r="Q6" s="70" t="s">
        <v>34</v>
      </c>
      <c r="R6" s="31" t="s">
        <v>13</v>
      </c>
      <c r="S6" s="31"/>
      <c r="T6" s="5"/>
      <c r="V6" s="245"/>
      <c r="W6" s="245"/>
      <c r="X6" s="245"/>
      <c r="Y6" s="245"/>
      <c r="Z6" s="249"/>
      <c r="AA6" s="247"/>
    </row>
    <row r="7" spans="1:27" ht="14.25" customHeight="1" x14ac:dyDescent="0.2">
      <c r="A7" s="70" t="s">
        <v>35</v>
      </c>
      <c r="B7" s="7" t="s">
        <v>13</v>
      </c>
      <c r="C7" s="117"/>
      <c r="D7" s="5"/>
      <c r="E7" s="70" t="s">
        <v>35</v>
      </c>
      <c r="F7" s="7" t="s">
        <v>13</v>
      </c>
      <c r="G7" s="225"/>
      <c r="H7" s="5"/>
      <c r="I7" s="70" t="s">
        <v>35</v>
      </c>
      <c r="J7" s="7" t="s">
        <v>13</v>
      </c>
      <c r="K7" s="225"/>
      <c r="L7" s="5"/>
      <c r="M7" s="70" t="s">
        <v>35</v>
      </c>
      <c r="N7" s="7" t="s">
        <v>13</v>
      </c>
      <c r="O7" s="225"/>
      <c r="P7" s="5"/>
      <c r="Q7" s="70" t="s">
        <v>35</v>
      </c>
      <c r="R7" s="7" t="s">
        <v>13</v>
      </c>
      <c r="S7" s="225"/>
      <c r="T7" s="5"/>
      <c r="V7" s="245"/>
      <c r="W7" s="245"/>
      <c r="X7" s="245"/>
      <c r="Y7" s="245"/>
      <c r="Z7" s="249"/>
      <c r="AA7" s="247"/>
    </row>
    <row r="8" spans="1:27" ht="14.25" customHeight="1" thickBot="1" x14ac:dyDescent="0.25">
      <c r="A8" s="70" t="s">
        <v>36</v>
      </c>
      <c r="B8" s="7" t="s">
        <v>13</v>
      </c>
      <c r="C8" s="117"/>
      <c r="D8" s="5"/>
      <c r="E8" s="70" t="s">
        <v>36</v>
      </c>
      <c r="F8" s="7" t="s">
        <v>13</v>
      </c>
      <c r="G8" s="225"/>
      <c r="H8" s="5"/>
      <c r="I8" s="70" t="s">
        <v>36</v>
      </c>
      <c r="J8" s="7" t="s">
        <v>13</v>
      </c>
      <c r="K8" s="225"/>
      <c r="L8" s="5"/>
      <c r="M8" s="70" t="s">
        <v>36</v>
      </c>
      <c r="N8" s="7" t="s">
        <v>13</v>
      </c>
      <c r="O8" s="225"/>
      <c r="P8" s="5"/>
      <c r="Q8" s="70" t="s">
        <v>36</v>
      </c>
      <c r="R8" s="7" t="s">
        <v>13</v>
      </c>
      <c r="S8" s="225"/>
      <c r="T8" s="5"/>
      <c r="V8" s="245"/>
      <c r="W8" s="245"/>
      <c r="X8" s="245"/>
      <c r="Y8" s="245"/>
      <c r="Z8" s="249"/>
      <c r="AA8" s="248"/>
    </row>
    <row r="9" spans="1:27" ht="14.25" customHeight="1" thickTop="1" thickBot="1" x14ac:dyDescent="0.25">
      <c r="A9" s="70" t="s">
        <v>37</v>
      </c>
      <c r="B9" s="117" t="s">
        <v>14</v>
      </c>
      <c r="C9" s="117"/>
      <c r="D9" s="5"/>
      <c r="E9" s="70" t="s">
        <v>37</v>
      </c>
      <c r="F9" s="225" t="s">
        <v>14</v>
      </c>
      <c r="G9" s="225"/>
      <c r="H9" s="5"/>
      <c r="I9" s="70" t="s">
        <v>37</v>
      </c>
      <c r="J9" s="225" t="s">
        <v>14</v>
      </c>
      <c r="K9" s="225"/>
      <c r="L9" s="5"/>
      <c r="M9" s="70" t="s">
        <v>37</v>
      </c>
      <c r="N9" s="225" t="s">
        <v>14</v>
      </c>
      <c r="O9" s="225"/>
      <c r="P9" s="5"/>
      <c r="Q9" s="70" t="s">
        <v>37</v>
      </c>
      <c r="R9" s="225" t="s">
        <v>14</v>
      </c>
      <c r="S9" s="225"/>
      <c r="T9" s="5"/>
      <c r="V9" s="218"/>
      <c r="W9" s="219"/>
      <c r="X9" s="219"/>
      <c r="Y9" s="219"/>
      <c r="Z9" s="219"/>
      <c r="AA9" s="220"/>
    </row>
    <row r="10" spans="1:27" ht="14.25" customHeight="1" thickTop="1" x14ac:dyDescent="0.2">
      <c r="A10" s="70" t="s">
        <v>38</v>
      </c>
      <c r="B10" s="117"/>
      <c r="C10" s="117"/>
      <c r="D10" s="5"/>
      <c r="E10" s="70" t="s">
        <v>38</v>
      </c>
      <c r="F10" s="225"/>
      <c r="G10" s="225"/>
      <c r="H10" s="5"/>
      <c r="I10" s="70" t="s">
        <v>38</v>
      </c>
      <c r="J10" s="225"/>
      <c r="K10" s="225"/>
      <c r="L10" s="5"/>
      <c r="M10" s="70" t="s">
        <v>38</v>
      </c>
      <c r="N10" s="225"/>
      <c r="O10" s="225"/>
      <c r="P10" s="5"/>
      <c r="Q10" s="70" t="s">
        <v>38</v>
      </c>
      <c r="R10" s="225"/>
      <c r="S10" s="225"/>
      <c r="T10" s="5"/>
      <c r="V10" s="245" t="s">
        <v>413</v>
      </c>
      <c r="W10" s="245"/>
      <c r="X10" s="245"/>
      <c r="Y10" s="245"/>
      <c r="Z10" s="249"/>
      <c r="AA10" s="246">
        <f>'%24HR_F2F Appts'!F38</f>
        <v>1</v>
      </c>
    </row>
    <row r="11" spans="1:27" ht="14.25" customHeight="1" x14ac:dyDescent="0.2">
      <c r="A11" s="70" t="s">
        <v>39</v>
      </c>
      <c r="B11" s="117" t="s">
        <v>14</v>
      </c>
      <c r="C11" s="117"/>
      <c r="D11" s="5"/>
      <c r="E11" s="70" t="s">
        <v>39</v>
      </c>
      <c r="F11" s="225" t="s">
        <v>14</v>
      </c>
      <c r="G11" s="225"/>
      <c r="H11" s="5"/>
      <c r="I11" s="70" t="s">
        <v>39</v>
      </c>
      <c r="J11" s="225" t="s">
        <v>14</v>
      </c>
      <c r="K11" s="225"/>
      <c r="L11" s="5"/>
      <c r="M11" s="70" t="s">
        <v>39</v>
      </c>
      <c r="N11" s="225" t="s">
        <v>14</v>
      </c>
      <c r="O11" s="225"/>
      <c r="P11" s="5"/>
      <c r="Q11" s="70" t="s">
        <v>39</v>
      </c>
      <c r="R11" s="225" t="s">
        <v>14</v>
      </c>
      <c r="S11" s="225"/>
      <c r="T11" s="5"/>
      <c r="U11" s="133"/>
      <c r="V11" s="245"/>
      <c r="W11" s="245"/>
      <c r="X11" s="245"/>
      <c r="Y11" s="245"/>
      <c r="Z11" s="249"/>
      <c r="AA11" s="247"/>
    </row>
    <row r="12" spans="1:27" ht="14.25" customHeight="1" x14ac:dyDescent="0.2">
      <c r="A12" s="70" t="s">
        <v>40</v>
      </c>
      <c r="B12" s="7" t="s">
        <v>14</v>
      </c>
      <c r="C12" s="117"/>
      <c r="D12" s="5"/>
      <c r="E12" s="70" t="s">
        <v>40</v>
      </c>
      <c r="F12" s="7" t="s">
        <v>14</v>
      </c>
      <c r="G12" s="225"/>
      <c r="H12" s="5"/>
      <c r="I12" s="70" t="s">
        <v>40</v>
      </c>
      <c r="J12" s="7" t="s">
        <v>14</v>
      </c>
      <c r="K12" s="225"/>
      <c r="L12" s="5"/>
      <c r="M12" s="70" t="s">
        <v>40</v>
      </c>
      <c r="N12" s="7" t="s">
        <v>14</v>
      </c>
      <c r="O12" s="225"/>
      <c r="P12" s="5"/>
      <c r="Q12" s="70" t="s">
        <v>40</v>
      </c>
      <c r="R12" s="7" t="s">
        <v>14</v>
      </c>
      <c r="S12" s="225"/>
      <c r="T12" s="5"/>
      <c r="U12" s="133"/>
      <c r="V12" s="245"/>
      <c r="W12" s="245"/>
      <c r="X12" s="245"/>
      <c r="Y12" s="245"/>
      <c r="Z12" s="249"/>
      <c r="AA12" s="247"/>
    </row>
    <row r="13" spans="1:27" ht="14.25" customHeight="1" thickBot="1" x14ac:dyDescent="0.25">
      <c r="A13" s="70" t="s">
        <v>41</v>
      </c>
      <c r="B13" s="7" t="s">
        <v>14</v>
      </c>
      <c r="C13" s="117"/>
      <c r="D13" s="5"/>
      <c r="E13" s="70" t="s">
        <v>41</v>
      </c>
      <c r="F13" s="7" t="s">
        <v>14</v>
      </c>
      <c r="G13" s="225"/>
      <c r="H13" s="5"/>
      <c r="I13" s="70" t="s">
        <v>41</v>
      </c>
      <c r="J13" s="7" t="s">
        <v>14</v>
      </c>
      <c r="K13" s="225"/>
      <c r="L13" s="5"/>
      <c r="M13" s="70" t="s">
        <v>41</v>
      </c>
      <c r="N13" s="7" t="s">
        <v>14</v>
      </c>
      <c r="O13" s="225"/>
      <c r="P13" s="5"/>
      <c r="Q13" s="70" t="s">
        <v>41</v>
      </c>
      <c r="R13" s="7" t="s">
        <v>14</v>
      </c>
      <c r="S13" s="225"/>
      <c r="T13" s="5"/>
      <c r="V13" s="245"/>
      <c r="W13" s="245"/>
      <c r="X13" s="245"/>
      <c r="Y13" s="245"/>
      <c r="Z13" s="249"/>
      <c r="AA13" s="248"/>
    </row>
    <row r="14" spans="1:27" ht="14.25" customHeight="1" thickTop="1" thickBot="1" x14ac:dyDescent="0.25">
      <c r="A14" s="70" t="s">
        <v>42</v>
      </c>
      <c r="B14" s="7" t="s">
        <v>14</v>
      </c>
      <c r="C14" s="117"/>
      <c r="D14" s="5"/>
      <c r="E14" s="70" t="s">
        <v>42</v>
      </c>
      <c r="F14" s="7" t="s">
        <v>14</v>
      </c>
      <c r="G14" s="225"/>
      <c r="H14" s="5"/>
      <c r="I14" s="70" t="s">
        <v>42</v>
      </c>
      <c r="J14" s="7" t="s">
        <v>14</v>
      </c>
      <c r="K14" s="225"/>
      <c r="L14" s="5"/>
      <c r="M14" s="70" t="s">
        <v>42</v>
      </c>
      <c r="N14" s="7" t="s">
        <v>14</v>
      </c>
      <c r="O14" s="225"/>
      <c r="P14" s="5"/>
      <c r="Q14" s="70" t="s">
        <v>42</v>
      </c>
      <c r="R14" s="7" t="s">
        <v>14</v>
      </c>
      <c r="S14" s="225"/>
      <c r="T14" s="5"/>
      <c r="V14" s="217"/>
      <c r="W14" s="217"/>
      <c r="X14" s="217"/>
      <c r="Y14" s="217"/>
      <c r="Z14" s="217"/>
      <c r="AA14" s="220"/>
    </row>
    <row r="15" spans="1:27" ht="14.25" customHeight="1" thickTop="1" x14ac:dyDescent="0.2">
      <c r="A15" s="68" t="s">
        <v>43</v>
      </c>
      <c r="B15" s="7" t="s">
        <v>13</v>
      </c>
      <c r="C15" s="117"/>
      <c r="D15" s="5"/>
      <c r="E15" s="68" t="s">
        <v>43</v>
      </c>
      <c r="F15" s="7" t="s">
        <v>13</v>
      </c>
      <c r="G15" s="225"/>
      <c r="H15" s="5"/>
      <c r="I15" s="68" t="s">
        <v>43</v>
      </c>
      <c r="J15" s="7" t="s">
        <v>13</v>
      </c>
      <c r="K15" s="225"/>
      <c r="L15" s="5"/>
      <c r="M15" s="68" t="s">
        <v>43</v>
      </c>
      <c r="N15" s="7" t="s">
        <v>13</v>
      </c>
      <c r="O15" s="225"/>
      <c r="P15" s="5"/>
      <c r="Q15" s="68" t="s">
        <v>43</v>
      </c>
      <c r="R15" s="7" t="s">
        <v>13</v>
      </c>
      <c r="S15" s="225"/>
      <c r="T15" s="5"/>
      <c r="V15" s="245" t="s">
        <v>86</v>
      </c>
      <c r="W15" s="245"/>
      <c r="X15" s="245"/>
      <c r="Y15" s="245"/>
      <c r="Z15" s="249"/>
      <c r="AA15" s="246">
        <f>'Restrictive Detail Code %'!F38</f>
        <v>0</v>
      </c>
    </row>
    <row r="16" spans="1:27" ht="14.25" customHeight="1" x14ac:dyDescent="0.2">
      <c r="A16" s="68" t="s">
        <v>44</v>
      </c>
      <c r="B16" s="7" t="s">
        <v>13</v>
      </c>
      <c r="C16" s="117"/>
      <c r="D16" s="5"/>
      <c r="E16" s="68" t="s">
        <v>44</v>
      </c>
      <c r="F16" s="7" t="s">
        <v>13</v>
      </c>
      <c r="G16" s="225"/>
      <c r="H16" s="5"/>
      <c r="I16" s="68" t="s">
        <v>44</v>
      </c>
      <c r="J16" s="7" t="s">
        <v>13</v>
      </c>
      <c r="K16" s="225"/>
      <c r="L16" s="5"/>
      <c r="M16" s="68" t="s">
        <v>44</v>
      </c>
      <c r="N16" s="7"/>
      <c r="O16" s="225"/>
      <c r="P16" s="5"/>
      <c r="Q16" s="68" t="s">
        <v>44</v>
      </c>
      <c r="R16" s="7" t="s">
        <v>13</v>
      </c>
      <c r="S16" s="225"/>
      <c r="T16" s="5"/>
      <c r="V16" s="245"/>
      <c r="W16" s="245"/>
      <c r="X16" s="245"/>
      <c r="Y16" s="245"/>
      <c r="Z16" s="249"/>
      <c r="AA16" s="247"/>
    </row>
    <row r="17" spans="1:31" ht="14.25" customHeight="1" x14ac:dyDescent="0.2">
      <c r="A17" s="68"/>
      <c r="B17" s="7"/>
      <c r="C17" s="117"/>
      <c r="D17" s="5"/>
      <c r="E17" s="68"/>
      <c r="F17" s="7"/>
      <c r="G17" s="225"/>
      <c r="H17" s="5"/>
      <c r="I17" s="68"/>
      <c r="J17" s="7"/>
      <c r="K17" s="225"/>
      <c r="L17" s="5"/>
      <c r="M17" s="68"/>
      <c r="N17" s="7"/>
      <c r="O17" s="225"/>
      <c r="P17" s="5"/>
      <c r="Q17" s="68" t="s">
        <v>53</v>
      </c>
      <c r="R17" s="7" t="s">
        <v>13</v>
      </c>
      <c r="S17" s="225"/>
      <c r="T17" s="5"/>
      <c r="V17" s="245"/>
      <c r="W17" s="245"/>
      <c r="X17" s="245"/>
      <c r="Y17" s="245"/>
      <c r="Z17" s="249"/>
      <c r="AA17" s="247"/>
    </row>
    <row r="18" spans="1:31" ht="14.25" customHeight="1" thickBot="1" x14ac:dyDescent="0.25">
      <c r="A18" s="68"/>
      <c r="B18" s="9"/>
      <c r="C18" s="9"/>
      <c r="D18" s="5"/>
      <c r="E18" s="68"/>
      <c r="F18" s="9"/>
      <c r="G18" s="9"/>
      <c r="H18" s="5"/>
      <c r="I18" s="68"/>
      <c r="J18" s="9"/>
      <c r="K18" s="9"/>
      <c r="L18" s="5"/>
      <c r="M18" s="68"/>
      <c r="N18" s="9"/>
      <c r="O18" s="9"/>
      <c r="P18" s="5"/>
      <c r="Q18" s="68"/>
      <c r="R18" s="9"/>
      <c r="S18" s="9"/>
      <c r="T18" s="5"/>
      <c r="V18" s="245"/>
      <c r="W18" s="245"/>
      <c r="X18" s="245"/>
      <c r="Y18" s="245"/>
      <c r="Z18" s="249"/>
      <c r="AA18" s="248"/>
    </row>
    <row r="19" spans="1:31" ht="14.25" customHeight="1" thickTop="1" thickBot="1" x14ac:dyDescent="0.25">
      <c r="A19" s="68"/>
      <c r="B19" s="9"/>
      <c r="C19" s="9"/>
      <c r="D19" s="5"/>
      <c r="E19" s="68"/>
      <c r="F19" s="9"/>
      <c r="G19" s="9"/>
      <c r="H19" s="5"/>
      <c r="I19" s="68"/>
      <c r="J19" s="9"/>
      <c r="K19" s="9"/>
      <c r="L19" s="5"/>
      <c r="M19" s="68"/>
      <c r="N19" s="9"/>
      <c r="O19" s="9"/>
      <c r="P19" s="5"/>
      <c r="Q19" s="68"/>
      <c r="R19" s="9"/>
      <c r="S19" s="9"/>
      <c r="T19" s="5"/>
      <c r="AA19" s="220"/>
    </row>
    <row r="20" spans="1:31" ht="15" customHeight="1" thickTop="1" x14ac:dyDescent="0.2">
      <c r="A20" s="68"/>
      <c r="B20" s="117"/>
      <c r="C20" s="117"/>
      <c r="D20" s="5"/>
      <c r="E20" s="68"/>
      <c r="F20" s="225"/>
      <c r="G20" s="225"/>
      <c r="H20" s="5"/>
      <c r="I20" s="68"/>
      <c r="J20" s="225"/>
      <c r="K20" s="225"/>
      <c r="L20" s="5"/>
      <c r="M20" s="68"/>
      <c r="N20" s="225"/>
      <c r="O20" s="225"/>
      <c r="P20" s="5"/>
      <c r="Q20" s="68"/>
      <c r="R20" s="225"/>
      <c r="S20" s="225"/>
      <c r="T20" s="5"/>
      <c r="V20" s="245" t="s">
        <v>412</v>
      </c>
      <c r="W20" s="245"/>
      <c r="X20" s="245"/>
      <c r="Y20" s="245"/>
      <c r="Z20" s="249"/>
      <c r="AA20" s="246">
        <f>'%24HR_FTR TOL Appt'!I37</f>
        <v>1</v>
      </c>
      <c r="AD20" s="65"/>
      <c r="AE20" s="65"/>
    </row>
    <row r="21" spans="1:31" ht="15" customHeight="1" x14ac:dyDescent="0.2">
      <c r="A21" s="68"/>
      <c r="B21" s="7"/>
      <c r="C21" s="117"/>
      <c r="D21" s="8"/>
      <c r="E21" s="68"/>
      <c r="F21" s="7"/>
      <c r="G21" s="225"/>
      <c r="H21" s="8"/>
      <c r="I21" s="68"/>
      <c r="J21" s="7"/>
      <c r="K21" s="225"/>
      <c r="L21" s="8"/>
      <c r="M21" s="68"/>
      <c r="N21" s="7"/>
      <c r="O21" s="225"/>
      <c r="P21" s="8"/>
      <c r="Q21" s="68"/>
      <c r="R21" s="7"/>
      <c r="S21" s="225"/>
      <c r="T21" s="8"/>
      <c r="V21" s="245"/>
      <c r="W21" s="245"/>
      <c r="X21" s="245"/>
      <c r="Y21" s="245"/>
      <c r="Z21" s="249"/>
      <c r="AA21" s="247"/>
      <c r="AD21" s="65"/>
      <c r="AE21" s="65"/>
    </row>
    <row r="22" spans="1:31" ht="15" customHeight="1" x14ac:dyDescent="0.2">
      <c r="A22" s="68" t="s">
        <v>57</v>
      </c>
      <c r="B22" s="117" t="s">
        <v>14</v>
      </c>
      <c r="C22" s="117"/>
      <c r="D22" s="5"/>
      <c r="E22" s="68" t="s">
        <v>57</v>
      </c>
      <c r="F22" s="225" t="s">
        <v>14</v>
      </c>
      <c r="G22" s="225"/>
      <c r="H22" s="5"/>
      <c r="I22" s="68" t="s">
        <v>57</v>
      </c>
      <c r="J22" s="225" t="s">
        <v>14</v>
      </c>
      <c r="K22" s="225"/>
      <c r="L22" s="5"/>
      <c r="M22" s="68" t="s">
        <v>57</v>
      </c>
      <c r="N22" s="225"/>
      <c r="O22" s="225"/>
      <c r="P22" s="5"/>
      <c r="Q22" s="68" t="s">
        <v>57</v>
      </c>
      <c r="R22" s="225" t="s">
        <v>14</v>
      </c>
      <c r="S22" s="225"/>
      <c r="T22" s="5"/>
      <c r="V22" s="245"/>
      <c r="W22" s="245"/>
      <c r="X22" s="245"/>
      <c r="Y22" s="245"/>
      <c r="Z22" s="249"/>
      <c r="AA22" s="247"/>
      <c r="AD22" s="65"/>
      <c r="AE22" s="65"/>
    </row>
    <row r="23" spans="1:31" ht="15" customHeight="1" thickBot="1" x14ac:dyDescent="0.25">
      <c r="A23" s="68" t="s">
        <v>58</v>
      </c>
      <c r="B23" s="7" t="s">
        <v>14</v>
      </c>
      <c r="C23" s="117"/>
      <c r="D23" s="5"/>
      <c r="E23" s="68" t="s">
        <v>58</v>
      </c>
      <c r="F23" s="7" t="s">
        <v>14</v>
      </c>
      <c r="G23" s="225"/>
      <c r="H23" s="5"/>
      <c r="I23" s="68" t="s">
        <v>58</v>
      </c>
      <c r="J23" s="7" t="s">
        <v>14</v>
      </c>
      <c r="K23" s="225"/>
      <c r="L23" s="5"/>
      <c r="M23" s="68" t="s">
        <v>58</v>
      </c>
      <c r="N23" s="7"/>
      <c r="O23" s="225"/>
      <c r="P23" s="5"/>
      <c r="Q23" s="68" t="s">
        <v>58</v>
      </c>
      <c r="R23" s="7" t="s">
        <v>14</v>
      </c>
      <c r="S23" s="225"/>
      <c r="T23" s="5"/>
      <c r="V23" s="245"/>
      <c r="W23" s="245"/>
      <c r="X23" s="245"/>
      <c r="Y23" s="245"/>
      <c r="Z23" s="249"/>
      <c r="AA23" s="248"/>
      <c r="AD23" s="65"/>
      <c r="AE23" s="65"/>
    </row>
    <row r="24" spans="1:31" ht="15.75" thickTop="1" x14ac:dyDescent="0.2">
      <c r="A24" s="68" t="s">
        <v>45</v>
      </c>
      <c r="B24" s="7" t="s">
        <v>13</v>
      </c>
      <c r="C24" s="117"/>
      <c r="D24" s="5"/>
      <c r="E24" s="68" t="s">
        <v>45</v>
      </c>
      <c r="F24" s="7" t="s">
        <v>13</v>
      </c>
      <c r="G24" s="225"/>
      <c r="H24" s="5"/>
      <c r="I24" s="68" t="s">
        <v>45</v>
      </c>
      <c r="J24" s="7" t="s">
        <v>13</v>
      </c>
      <c r="K24" s="225"/>
      <c r="L24" s="5"/>
      <c r="M24" s="68" t="s">
        <v>45</v>
      </c>
      <c r="N24" s="7"/>
      <c r="O24" s="225"/>
      <c r="P24" s="5"/>
      <c r="Q24" s="68" t="s">
        <v>45</v>
      </c>
      <c r="R24" s="7" t="s">
        <v>14</v>
      </c>
      <c r="S24" s="225"/>
      <c r="T24" s="5"/>
      <c r="Z24" s="64"/>
      <c r="AD24" s="65"/>
      <c r="AE24" s="65"/>
    </row>
    <row r="25" spans="1:31" ht="15" x14ac:dyDescent="0.2">
      <c r="A25" s="68" t="s">
        <v>46</v>
      </c>
      <c r="B25" s="7" t="s">
        <v>13</v>
      </c>
      <c r="C25" s="117"/>
      <c r="D25" s="5"/>
      <c r="E25" s="68" t="s">
        <v>46</v>
      </c>
      <c r="F25" s="7" t="s">
        <v>14</v>
      </c>
      <c r="G25" s="225"/>
      <c r="H25" s="5"/>
      <c r="I25" s="68" t="s">
        <v>46</v>
      </c>
      <c r="J25" s="7" t="s">
        <v>14</v>
      </c>
      <c r="K25" s="225"/>
      <c r="L25" s="5"/>
      <c r="M25" s="68" t="s">
        <v>46</v>
      </c>
      <c r="N25" s="7"/>
      <c r="O25" s="225"/>
      <c r="P25" s="5"/>
      <c r="Q25" s="68" t="s">
        <v>46</v>
      </c>
      <c r="R25" s="7"/>
      <c r="S25" s="225"/>
      <c r="T25" s="5"/>
      <c r="AD25" s="65"/>
      <c r="AE25" s="65"/>
    </row>
    <row r="26" spans="1:31" ht="15" x14ac:dyDescent="0.2">
      <c r="A26" s="68" t="s">
        <v>47</v>
      </c>
      <c r="B26" s="7" t="s">
        <v>14</v>
      </c>
      <c r="E26" s="68" t="s">
        <v>47</v>
      </c>
      <c r="F26" s="7" t="s">
        <v>14</v>
      </c>
      <c r="I26" s="68" t="s">
        <v>47</v>
      </c>
      <c r="J26" s="7" t="s">
        <v>14</v>
      </c>
      <c r="M26" s="68" t="s">
        <v>47</v>
      </c>
      <c r="N26" s="7"/>
      <c r="Q26" s="68" t="s">
        <v>47</v>
      </c>
      <c r="R26" s="7"/>
      <c r="T26" s="5"/>
      <c r="AD26" s="65"/>
      <c r="AE26" s="65"/>
    </row>
    <row r="27" spans="1:31" ht="15" x14ac:dyDescent="0.2">
      <c r="A27" s="68" t="s">
        <v>48</v>
      </c>
      <c r="B27" s="7" t="s">
        <v>14</v>
      </c>
      <c r="C27" s="9"/>
      <c r="D27" s="5"/>
      <c r="E27" s="68" t="s">
        <v>48</v>
      </c>
      <c r="F27" s="7" t="s">
        <v>14</v>
      </c>
      <c r="G27" s="9"/>
      <c r="H27" s="5"/>
      <c r="I27" s="68" t="s">
        <v>48</v>
      </c>
      <c r="J27" s="7" t="s">
        <v>14</v>
      </c>
      <c r="K27" s="9"/>
      <c r="L27" s="5"/>
      <c r="M27" s="68" t="s">
        <v>48</v>
      </c>
      <c r="N27" s="9"/>
      <c r="O27" s="9"/>
      <c r="P27" s="5"/>
      <c r="Q27" s="68" t="s">
        <v>48</v>
      </c>
      <c r="R27" s="9"/>
      <c r="S27" s="9"/>
      <c r="T27" s="5"/>
      <c r="AD27" s="65"/>
      <c r="AE27" s="65"/>
    </row>
    <row r="28" spans="1:31" ht="15" x14ac:dyDescent="0.2">
      <c r="A28" s="68" t="s">
        <v>49</v>
      </c>
      <c r="B28" s="9"/>
      <c r="C28" s="9"/>
      <c r="D28" s="5"/>
      <c r="E28" s="68" t="s">
        <v>49</v>
      </c>
      <c r="F28" s="9"/>
      <c r="G28" s="9"/>
      <c r="H28" s="5"/>
      <c r="I28" s="68" t="s">
        <v>49</v>
      </c>
      <c r="J28" s="9"/>
      <c r="K28" s="9"/>
      <c r="L28" s="5"/>
      <c r="M28" s="68" t="s">
        <v>49</v>
      </c>
      <c r="N28" s="9"/>
      <c r="O28" s="9"/>
      <c r="P28" s="5"/>
      <c r="Q28" s="68" t="s">
        <v>49</v>
      </c>
      <c r="R28" s="9"/>
      <c r="S28" s="9"/>
      <c r="T28" s="5"/>
      <c r="AD28" s="65"/>
      <c r="AE28" s="65"/>
    </row>
    <row r="29" spans="1:31" ht="15" x14ac:dyDescent="0.2">
      <c r="A29" s="68" t="s">
        <v>50</v>
      </c>
      <c r="B29" s="4"/>
      <c r="C29" s="4"/>
      <c r="D29" s="5"/>
      <c r="E29" s="68" t="s">
        <v>50</v>
      </c>
      <c r="F29" s="4"/>
      <c r="G29" s="4"/>
      <c r="H29" s="5"/>
      <c r="I29" s="68" t="s">
        <v>50</v>
      </c>
      <c r="J29" s="4"/>
      <c r="K29" s="4"/>
      <c r="L29" s="5"/>
      <c r="M29" s="68" t="s">
        <v>50</v>
      </c>
      <c r="N29" s="4"/>
      <c r="O29" s="4"/>
      <c r="P29" s="5"/>
      <c r="Q29" s="68" t="s">
        <v>50</v>
      </c>
      <c r="R29" s="4"/>
      <c r="S29" s="4"/>
      <c r="T29" s="5"/>
      <c r="AD29" s="65"/>
      <c r="AE29" s="65"/>
    </row>
    <row r="30" spans="1:31" ht="15" x14ac:dyDescent="0.2">
      <c r="A30" s="68" t="s">
        <v>51</v>
      </c>
      <c r="B30" s="50"/>
      <c r="C30" s="117"/>
      <c r="D30" s="5"/>
      <c r="E30" s="68" t="s">
        <v>51</v>
      </c>
      <c r="F30" s="50"/>
      <c r="G30" s="225"/>
      <c r="H30" s="5"/>
      <c r="I30" s="68" t="s">
        <v>51</v>
      </c>
      <c r="J30" s="50"/>
      <c r="K30" s="225"/>
      <c r="L30" s="5"/>
      <c r="M30" s="68" t="s">
        <v>51</v>
      </c>
      <c r="N30" s="50"/>
      <c r="O30" s="225"/>
      <c r="P30" s="5"/>
      <c r="Q30" s="68" t="s">
        <v>51</v>
      </c>
      <c r="R30" s="50"/>
      <c r="S30" s="225"/>
      <c r="T30" s="5"/>
      <c r="AD30" s="65"/>
      <c r="AE30" s="65"/>
    </row>
    <row r="31" spans="1:31" ht="15.75" thickBot="1" x14ac:dyDescent="0.25">
      <c r="A31" s="68" t="s">
        <v>52</v>
      </c>
      <c r="B31" s="49"/>
      <c r="C31" s="117"/>
      <c r="D31" s="5"/>
      <c r="E31" s="68" t="s">
        <v>52</v>
      </c>
      <c r="F31" s="49"/>
      <c r="G31" s="225"/>
      <c r="H31" s="5"/>
      <c r="I31" s="68" t="s">
        <v>52</v>
      </c>
      <c r="J31" s="49"/>
      <c r="K31" s="225"/>
      <c r="L31" s="5"/>
      <c r="M31" s="68" t="s">
        <v>52</v>
      </c>
      <c r="N31" s="49"/>
      <c r="O31" s="225"/>
      <c r="P31" s="5"/>
      <c r="Q31" s="68" t="s">
        <v>52</v>
      </c>
      <c r="R31" s="49"/>
      <c r="S31" s="225"/>
      <c r="T31" s="5"/>
      <c r="Z31" s="65"/>
      <c r="AA31" s="65"/>
      <c r="AB31" s="65"/>
      <c r="AC31" s="65"/>
      <c r="AD31" s="65"/>
      <c r="AE31" s="65"/>
    </row>
    <row r="32" spans="1:31" ht="15.75" thickBot="1" x14ac:dyDescent="0.3">
      <c r="A32" s="272" t="s">
        <v>2</v>
      </c>
      <c r="B32" s="273"/>
      <c r="C32" s="273"/>
      <c r="D32" s="274"/>
      <c r="E32" s="272" t="s">
        <v>3</v>
      </c>
      <c r="F32" s="273"/>
      <c r="G32" s="273"/>
      <c r="H32" s="274"/>
      <c r="I32" s="272" t="s">
        <v>4</v>
      </c>
      <c r="J32" s="273"/>
      <c r="K32" s="273"/>
      <c r="L32" s="274"/>
      <c r="M32" s="272" t="s">
        <v>5</v>
      </c>
      <c r="N32" s="273"/>
      <c r="O32" s="273"/>
      <c r="P32" s="274"/>
      <c r="Q32" s="272" t="s">
        <v>6</v>
      </c>
      <c r="R32" s="273"/>
      <c r="S32" s="273"/>
      <c r="T32" s="274"/>
      <c r="U32" s="272" t="s">
        <v>15</v>
      </c>
      <c r="V32" s="273"/>
      <c r="W32" s="274"/>
      <c r="Z32" s="65"/>
      <c r="AA32" s="65"/>
      <c r="AB32" s="65"/>
      <c r="AC32" s="65"/>
      <c r="AD32" s="65"/>
      <c r="AE32" s="65"/>
    </row>
    <row r="33" spans="1:31" ht="15.75" thickBot="1" x14ac:dyDescent="0.3">
      <c r="A33" s="10" t="s">
        <v>8</v>
      </c>
      <c r="B33" s="268" t="s">
        <v>16</v>
      </c>
      <c r="C33" s="269"/>
      <c r="D33" s="10" t="s">
        <v>17</v>
      </c>
      <c r="E33" s="10" t="s">
        <v>8</v>
      </c>
      <c r="F33" s="268" t="s">
        <v>16</v>
      </c>
      <c r="G33" s="269"/>
      <c r="H33" s="10" t="s">
        <v>17</v>
      </c>
      <c r="I33" s="10" t="s">
        <v>8</v>
      </c>
      <c r="J33" s="268" t="s">
        <v>16</v>
      </c>
      <c r="K33" s="269"/>
      <c r="L33" s="10" t="s">
        <v>17</v>
      </c>
      <c r="M33" s="10" t="s">
        <v>8</v>
      </c>
      <c r="N33" s="268" t="s">
        <v>16</v>
      </c>
      <c r="O33" s="269"/>
      <c r="P33" s="10" t="s">
        <v>17</v>
      </c>
      <c r="Q33" s="10" t="s">
        <v>8</v>
      </c>
      <c r="R33" s="268" t="s">
        <v>16</v>
      </c>
      <c r="S33" s="269"/>
      <c r="T33" s="10" t="s">
        <v>17</v>
      </c>
      <c r="U33" s="10" t="s">
        <v>8</v>
      </c>
      <c r="V33" s="10" t="s">
        <v>16</v>
      </c>
      <c r="W33" s="10" t="s">
        <v>17</v>
      </c>
      <c r="Z33" s="65"/>
      <c r="AA33" s="65"/>
      <c r="AB33" s="65"/>
      <c r="AC33" s="65"/>
      <c r="AD33" s="65"/>
      <c r="AE33" s="91"/>
    </row>
    <row r="34" spans="1:31" ht="15" x14ac:dyDescent="0.2">
      <c r="A34" s="15" t="s">
        <v>13</v>
      </c>
      <c r="B34" s="270">
        <f>COUNTIF(A5:D31,"24HR")</f>
        <v>7</v>
      </c>
      <c r="C34" s="271"/>
      <c r="D34" s="16">
        <f>B34/B39</f>
        <v>0.4375</v>
      </c>
      <c r="E34" s="15" t="s">
        <v>13</v>
      </c>
      <c r="F34" s="270">
        <f>COUNTIF(E5:H31,"24HR")</f>
        <v>6</v>
      </c>
      <c r="G34" s="271"/>
      <c r="H34" s="17">
        <f>F34/F$39</f>
        <v>0.375</v>
      </c>
      <c r="I34" s="15" t="s">
        <v>13</v>
      </c>
      <c r="J34" s="270">
        <f>COUNTIF(I5:L31,"24HR")</f>
        <v>6</v>
      </c>
      <c r="K34" s="271"/>
      <c r="L34" s="17">
        <f>J34/J$39</f>
        <v>0.375</v>
      </c>
      <c r="M34" s="116" t="s">
        <v>13</v>
      </c>
      <c r="N34" s="270">
        <f>COUNTIF(M5:P31,"24HR")</f>
        <v>4</v>
      </c>
      <c r="O34" s="271"/>
      <c r="P34" s="17">
        <f>N34/N$39</f>
        <v>0.44444444444444442</v>
      </c>
      <c r="Q34" s="116" t="s">
        <v>13</v>
      </c>
      <c r="R34" s="270">
        <f>COUNTIF(Q5:T31,"24HR")</f>
        <v>6</v>
      </c>
      <c r="S34" s="271"/>
      <c r="T34" s="17">
        <f>R34/R$39</f>
        <v>0.42857142857142855</v>
      </c>
      <c r="U34" s="150" t="s">
        <v>13</v>
      </c>
      <c r="V34" s="15">
        <f t="shared" ref="V34:V38" si="0">SUM(B34,F34,J34,N34,R34)</f>
        <v>29</v>
      </c>
      <c r="W34" s="17">
        <f>V34/V39</f>
        <v>0.40845070422535212</v>
      </c>
      <c r="Z34" s="65"/>
      <c r="AA34" s="65"/>
      <c r="AB34" s="65"/>
      <c r="AC34" s="65"/>
      <c r="AD34" s="65"/>
      <c r="AE34" s="91"/>
    </row>
    <row r="35" spans="1:31" ht="15" x14ac:dyDescent="0.2">
      <c r="A35" s="11" t="s">
        <v>14</v>
      </c>
      <c r="B35" s="263">
        <f>COUNTIF(A5:D31,"FTR")</f>
        <v>9</v>
      </c>
      <c r="C35" s="264"/>
      <c r="D35" s="13">
        <f>B35/B$39</f>
        <v>0.5625</v>
      </c>
      <c r="E35" s="11" t="s">
        <v>14</v>
      </c>
      <c r="F35" s="263">
        <f>COUNTIF(E5:H31,"FTR")</f>
        <v>10</v>
      </c>
      <c r="G35" s="264"/>
      <c r="H35" s="12">
        <f>F35/F$39</f>
        <v>0.625</v>
      </c>
      <c r="I35" s="11" t="s">
        <v>14</v>
      </c>
      <c r="J35" s="263">
        <f>COUNTIF(I5:L31,"FTR")</f>
        <v>10</v>
      </c>
      <c r="K35" s="264"/>
      <c r="L35" s="12">
        <f>J35/J$39</f>
        <v>0.625</v>
      </c>
      <c r="M35" s="115" t="s">
        <v>14</v>
      </c>
      <c r="N35" s="263">
        <f>COUNTIF(M5:P31,"FTR")</f>
        <v>5</v>
      </c>
      <c r="O35" s="264"/>
      <c r="P35" s="12">
        <f>N35/N$39</f>
        <v>0.55555555555555558</v>
      </c>
      <c r="Q35" s="115" t="s">
        <v>14</v>
      </c>
      <c r="R35" s="263">
        <f>COUNTIF(Q5:T31,"FTR")</f>
        <v>8</v>
      </c>
      <c r="S35" s="264"/>
      <c r="T35" s="12">
        <f>R35/R$39</f>
        <v>0.5714285714285714</v>
      </c>
      <c r="U35" s="149" t="s">
        <v>14</v>
      </c>
      <c r="V35" s="11">
        <f t="shared" si="0"/>
        <v>42</v>
      </c>
      <c r="W35" s="12">
        <f>V35/V39</f>
        <v>0.59154929577464788</v>
      </c>
      <c r="Z35" s="65"/>
      <c r="AA35" s="65"/>
      <c r="AB35" s="65"/>
      <c r="AC35" s="65"/>
      <c r="AD35" s="65"/>
      <c r="AE35" s="65"/>
    </row>
    <row r="36" spans="1:31" ht="15" x14ac:dyDescent="0.2">
      <c r="A36" s="11" t="s">
        <v>12</v>
      </c>
      <c r="B36" s="263">
        <f>COUNTIF(A5:D31,"SPEC")</f>
        <v>0</v>
      </c>
      <c r="C36" s="264"/>
      <c r="D36" s="13">
        <f>B36/B39</f>
        <v>0</v>
      </c>
      <c r="E36" s="11" t="s">
        <v>12</v>
      </c>
      <c r="F36" s="263">
        <f>COUNTIF(E5:H31,"SPEC")</f>
        <v>0</v>
      </c>
      <c r="G36" s="264"/>
      <c r="H36" s="12">
        <f>F36/F39</f>
        <v>0</v>
      </c>
      <c r="I36" s="11" t="s">
        <v>12</v>
      </c>
      <c r="J36" s="263">
        <f>COUNTIF(I5:L31,"SPEC")</f>
        <v>0</v>
      </c>
      <c r="K36" s="264"/>
      <c r="L36" s="12">
        <f>J36/J39</f>
        <v>0</v>
      </c>
      <c r="M36" s="115" t="s">
        <v>12</v>
      </c>
      <c r="N36" s="263">
        <f>COUNTIF(M5:P31,"SPEC")</f>
        <v>0</v>
      </c>
      <c r="O36" s="264"/>
      <c r="P36" s="12">
        <f>N36/N39</f>
        <v>0</v>
      </c>
      <c r="Q36" s="115" t="s">
        <v>12</v>
      </c>
      <c r="R36" s="263">
        <f>COUNTIF(Q5:T31,"SPEC")</f>
        <v>0</v>
      </c>
      <c r="S36" s="264"/>
      <c r="T36" s="12">
        <f>R36/R39</f>
        <v>0</v>
      </c>
      <c r="U36" s="149" t="s">
        <v>12</v>
      </c>
      <c r="V36" s="11">
        <f t="shared" si="0"/>
        <v>0</v>
      </c>
      <c r="W36" s="12">
        <f>V36/V39</f>
        <v>0</v>
      </c>
      <c r="Z36" s="65"/>
      <c r="AA36" s="65"/>
      <c r="AB36" s="65"/>
      <c r="AC36" s="65"/>
      <c r="AD36" s="65"/>
      <c r="AE36" s="65"/>
    </row>
    <row r="37" spans="1:31" ht="15" x14ac:dyDescent="0.2">
      <c r="A37" s="143" t="s">
        <v>403</v>
      </c>
      <c r="B37" s="263">
        <f>COUNTIF(B5:B31,"PROC")</f>
        <v>0</v>
      </c>
      <c r="C37" s="264"/>
      <c r="D37" s="12">
        <f>B37/B39</f>
        <v>0</v>
      </c>
      <c r="E37" s="117" t="s">
        <v>403</v>
      </c>
      <c r="F37" s="263">
        <f>COUNTIF(E5:H31,"PROC")</f>
        <v>0</v>
      </c>
      <c r="G37" s="264"/>
      <c r="H37" s="12">
        <f>F37/F39</f>
        <v>0</v>
      </c>
      <c r="I37" s="117" t="s">
        <v>403</v>
      </c>
      <c r="J37" s="263">
        <f>COUNTIF(I5:L31,"PROC")</f>
        <v>0</v>
      </c>
      <c r="K37" s="264"/>
      <c r="L37" s="12">
        <f>J37/J39</f>
        <v>0</v>
      </c>
      <c r="M37" s="117" t="s">
        <v>403</v>
      </c>
      <c r="N37" s="263">
        <f>COUNTIF(M5:P31,"proc")</f>
        <v>0</v>
      </c>
      <c r="O37" s="264"/>
      <c r="P37" s="12">
        <f>N37/N39</f>
        <v>0</v>
      </c>
      <c r="Q37" s="117" t="s">
        <v>403</v>
      </c>
      <c r="R37" s="263">
        <f>COUNTIF(Q5:T31,"proc")</f>
        <v>0</v>
      </c>
      <c r="S37" s="264"/>
      <c r="T37" s="12">
        <f>R37/R39</f>
        <v>0</v>
      </c>
      <c r="U37" s="11" t="s">
        <v>403</v>
      </c>
      <c r="V37" s="11">
        <f t="shared" si="0"/>
        <v>0</v>
      </c>
      <c r="W37" s="13">
        <f>V37/V39</f>
        <v>0</v>
      </c>
      <c r="Z37" s="65"/>
      <c r="AA37" s="65"/>
      <c r="AB37" s="65"/>
      <c r="AC37" s="65"/>
      <c r="AD37" s="65"/>
      <c r="AE37" s="65"/>
    </row>
    <row r="38" spans="1:31" ht="15.75" thickBot="1" x14ac:dyDescent="0.25">
      <c r="A38" s="143" t="s">
        <v>404</v>
      </c>
      <c r="B38" s="263">
        <f>COUNTIF(B5:B31,"GRP")</f>
        <v>0</v>
      </c>
      <c r="C38" s="264"/>
      <c r="D38" s="12">
        <f>B38/B39</f>
        <v>0</v>
      </c>
      <c r="E38" s="117" t="s">
        <v>404</v>
      </c>
      <c r="F38" s="263">
        <f>COUNTIF(E5:H31,"GRP")</f>
        <v>0</v>
      </c>
      <c r="G38" s="264"/>
      <c r="H38" s="12">
        <f>F38/F39</f>
        <v>0</v>
      </c>
      <c r="I38" s="117" t="s">
        <v>404</v>
      </c>
      <c r="J38" s="263">
        <f>COUNTIF(I5:L31,"GRP")</f>
        <v>0</v>
      </c>
      <c r="K38" s="264"/>
      <c r="L38" s="12">
        <f>J38/J39</f>
        <v>0</v>
      </c>
      <c r="M38" s="117" t="s">
        <v>404</v>
      </c>
      <c r="N38" s="263">
        <f>COUNTIF(M5:P31,"GRP")</f>
        <v>0</v>
      </c>
      <c r="O38" s="264"/>
      <c r="P38" s="12">
        <f>N38/N39</f>
        <v>0</v>
      </c>
      <c r="Q38" s="11" t="s">
        <v>404</v>
      </c>
      <c r="R38" s="301">
        <f>COUNTIF(Q5:T31,"grp")</f>
        <v>0</v>
      </c>
      <c r="S38" s="264"/>
      <c r="T38" s="12">
        <f>R38/R39</f>
        <v>0</v>
      </c>
      <c r="U38" s="11" t="s">
        <v>404</v>
      </c>
      <c r="V38" s="11">
        <f t="shared" si="0"/>
        <v>0</v>
      </c>
      <c r="W38" s="13">
        <f>V38/V39</f>
        <v>0</v>
      </c>
      <c r="Z38" s="65"/>
      <c r="AA38" s="65"/>
      <c r="AB38" s="65"/>
      <c r="AC38" s="65"/>
      <c r="AD38" s="65"/>
      <c r="AE38" s="65"/>
    </row>
    <row r="39" spans="1:31" ht="16.5" thickTop="1" thickBot="1" x14ac:dyDescent="0.25">
      <c r="A39" s="198" t="s">
        <v>18</v>
      </c>
      <c r="B39" s="266">
        <f>SUM(B34:C38)</f>
        <v>16</v>
      </c>
      <c r="C39" s="267"/>
      <c r="D39" s="19">
        <f>SUM(D34:D38)</f>
        <v>1</v>
      </c>
      <c r="E39" s="23" t="s">
        <v>18</v>
      </c>
      <c r="F39" s="266">
        <f>SUM(F34:G38)</f>
        <v>16</v>
      </c>
      <c r="G39" s="267"/>
      <c r="H39" s="19">
        <f>SUM(H34:H38)</f>
        <v>1</v>
      </c>
      <c r="I39" s="23" t="s">
        <v>18</v>
      </c>
      <c r="J39" s="266">
        <f>SUM(J34:K38)</f>
        <v>16</v>
      </c>
      <c r="K39" s="267"/>
      <c r="L39" s="19">
        <f>SUM(L34:L38)</f>
        <v>1</v>
      </c>
      <c r="M39" s="23" t="s">
        <v>18</v>
      </c>
      <c r="N39" s="266">
        <f>SUM(N34:O38)</f>
        <v>9</v>
      </c>
      <c r="O39" s="267"/>
      <c r="P39" s="19">
        <f>SUM(P34:P38)</f>
        <v>1</v>
      </c>
      <c r="Q39" s="23" t="s">
        <v>18</v>
      </c>
      <c r="R39" s="266">
        <f>SUM(R34:S38)</f>
        <v>14</v>
      </c>
      <c r="S39" s="267"/>
      <c r="T39" s="19">
        <f>SUM(T34:T38)</f>
        <v>1</v>
      </c>
      <c r="U39" s="20" t="s">
        <v>18</v>
      </c>
      <c r="V39" s="21">
        <f>SUM(V34:V38)</f>
        <v>71</v>
      </c>
      <c r="W39" s="22">
        <f>SUM(W34:W38)</f>
        <v>1</v>
      </c>
      <c r="Z39" s="65"/>
      <c r="AA39" s="65"/>
      <c r="AB39" s="65"/>
      <c r="AC39" s="65"/>
      <c r="AD39" s="65"/>
      <c r="AE39" s="65"/>
    </row>
    <row r="40" spans="1:31" ht="16.5" thickTop="1" thickBot="1" x14ac:dyDescent="0.3">
      <c r="A40" s="272" t="s">
        <v>365</v>
      </c>
      <c r="B40" s="273"/>
      <c r="C40" s="273"/>
      <c r="D40" s="274"/>
      <c r="E40" s="272" t="s">
        <v>366</v>
      </c>
      <c r="F40" s="273"/>
      <c r="G40" s="273"/>
      <c r="H40" s="274"/>
      <c r="I40" s="88"/>
      <c r="J40" s="88"/>
      <c r="K40" s="88"/>
      <c r="L40" s="89"/>
      <c r="M40" s="88"/>
      <c r="N40" s="88"/>
      <c r="O40" s="88"/>
      <c r="P40" s="89"/>
      <c r="Q40" s="7"/>
      <c r="R40" s="7"/>
      <c r="S40" s="24"/>
      <c r="T40" s="25"/>
      <c r="Z40" s="65"/>
      <c r="AA40" s="65"/>
      <c r="AB40" s="65"/>
      <c r="AC40" s="65"/>
      <c r="AD40" s="65"/>
      <c r="AE40" s="65"/>
    </row>
    <row r="41" spans="1:31" s="25" customFormat="1" ht="15.75" thickBot="1" x14ac:dyDescent="0.3">
      <c r="A41" s="26" t="s">
        <v>8</v>
      </c>
      <c r="B41" s="261" t="s">
        <v>16</v>
      </c>
      <c r="C41" s="262"/>
      <c r="D41" s="27" t="s">
        <v>17</v>
      </c>
      <c r="E41" s="26" t="s">
        <v>8</v>
      </c>
      <c r="F41" s="261" t="s">
        <v>16</v>
      </c>
      <c r="G41" s="262"/>
      <c r="H41" s="27" t="s">
        <v>17</v>
      </c>
      <c r="I41"/>
      <c r="J41"/>
      <c r="K41"/>
      <c r="L41"/>
      <c r="M41"/>
      <c r="N41"/>
      <c r="O41"/>
      <c r="P41"/>
      <c r="Q41"/>
      <c r="R41"/>
      <c r="S41"/>
      <c r="T41"/>
      <c r="V41" s="65"/>
      <c r="W41" s="65"/>
      <c r="X41" s="65"/>
      <c r="Y41" s="65"/>
      <c r="Z41" s="65"/>
      <c r="AA41" s="65"/>
    </row>
    <row r="42" spans="1:31" s="25" customFormat="1" ht="15.75" thickBot="1" x14ac:dyDescent="0.25">
      <c r="A42" s="28" t="s">
        <v>362</v>
      </c>
      <c r="B42" s="263">
        <f>COUNTIF(A3:T31,"HC*")</f>
        <v>0</v>
      </c>
      <c r="C42" s="264"/>
      <c r="D42" s="13">
        <f>B42/B44</f>
        <v>0</v>
      </c>
      <c r="E42" s="141" t="s">
        <v>363</v>
      </c>
      <c r="F42" s="286">
        <f>COUNTIF(A4:X31,"*WEX*")+COUNTIF(A4:X31,"*PBO*")</f>
        <v>0</v>
      </c>
      <c r="G42" s="287"/>
      <c r="H42" s="142">
        <f>F42/B44</f>
        <v>0</v>
      </c>
      <c r="I42"/>
      <c r="J42"/>
      <c r="K42"/>
      <c r="L42"/>
      <c r="M42"/>
      <c r="N42"/>
      <c r="P42"/>
      <c r="Q42"/>
      <c r="R42"/>
      <c r="S42"/>
      <c r="T42"/>
      <c r="U42"/>
      <c r="V42"/>
      <c r="W42"/>
      <c r="X42" s="65"/>
      <c r="Y42" s="65"/>
    </row>
    <row r="43" spans="1:31" s="25" customFormat="1" ht="15.75" thickBot="1" x14ac:dyDescent="0.25">
      <c r="A43" s="132" t="s">
        <v>364</v>
      </c>
      <c r="B43" s="263">
        <f>COUNTIFS(N5:N31,"*",O5:O31,"&lt;&gt;*")+COUNTIFS(R5:R31,"*",S5:S31,"&lt;&gt;*")+COUNTIFS(J5:J31,"*",K5:K31,"&lt;&gt;*")+COUNTIFS(F5:F31,"*",G5:G31,"&lt;&gt;*")+COUNTIFS(B5:B31,"*",C5:C31,"&lt;&gt;*")</f>
        <v>71</v>
      </c>
      <c r="C43" s="264"/>
      <c r="D43" s="13">
        <f>B43/B44</f>
        <v>1</v>
      </c>
      <c r="E43"/>
      <c r="F43"/>
      <c r="G43"/>
      <c r="H43"/>
      <c r="I43"/>
      <c r="J43"/>
      <c r="K43"/>
      <c r="L43"/>
      <c r="M43"/>
      <c r="N43"/>
      <c r="O43"/>
      <c r="P43"/>
      <c r="Q43"/>
      <c r="R43"/>
      <c r="S43"/>
      <c r="T43"/>
      <c r="U43"/>
      <c r="V43"/>
      <c r="W43"/>
      <c r="X43" s="65"/>
      <c r="Y43" s="65"/>
      <c r="Z43" s="65"/>
      <c r="AA43" s="65"/>
    </row>
    <row r="44" spans="1:31" s="25" customFormat="1" ht="15" thickBot="1" x14ac:dyDescent="0.25">
      <c r="A44" s="29" t="s">
        <v>18</v>
      </c>
      <c r="B44" s="265">
        <f>SUM(B42:C43)</f>
        <v>71</v>
      </c>
      <c r="C44" s="265"/>
      <c r="D44" s="67">
        <f>SUM(D42:D43)</f>
        <v>1</v>
      </c>
      <c r="E44"/>
      <c r="F44"/>
      <c r="G44"/>
      <c r="H44"/>
      <c r="I44"/>
      <c r="J44"/>
      <c r="K44"/>
      <c r="L44"/>
      <c r="M44"/>
      <c r="N44"/>
      <c r="O44"/>
      <c r="P44"/>
      <c r="Q44"/>
      <c r="R44"/>
      <c r="S44"/>
      <c r="T44"/>
      <c r="U44"/>
      <c r="V44"/>
      <c r="W44"/>
    </row>
    <row r="46" spans="1:31" x14ac:dyDescent="0.2">
      <c r="E46" s="138"/>
      <c r="F46" s="139"/>
      <c r="G46" s="139"/>
      <c r="H46" s="140"/>
    </row>
    <row r="52" spans="1:27" ht="15" thickBot="1" x14ac:dyDescent="0.25"/>
    <row r="53" spans="1:27" x14ac:dyDescent="0.2">
      <c r="A53" s="256" t="s">
        <v>149</v>
      </c>
      <c r="B53" s="257"/>
      <c r="C53" s="257"/>
      <c r="D53" s="257"/>
      <c r="E53" s="257"/>
      <c r="F53" s="257"/>
      <c r="G53" s="258"/>
      <c r="H53" s="256" t="s">
        <v>150</v>
      </c>
      <c r="I53" s="257"/>
      <c r="J53" s="257"/>
      <c r="K53" s="257"/>
      <c r="L53" s="257"/>
      <c r="M53" s="259"/>
      <c r="N53" s="288" t="s">
        <v>348</v>
      </c>
      <c r="O53" s="289"/>
      <c r="P53" s="289"/>
      <c r="Q53" s="289"/>
      <c r="R53" s="289"/>
      <c r="S53" s="289"/>
      <c r="T53" s="290"/>
    </row>
    <row r="54" spans="1:27" ht="15" x14ac:dyDescent="0.2">
      <c r="A54" s="250" t="s">
        <v>106</v>
      </c>
      <c r="B54" s="251"/>
      <c r="C54" s="251" t="s">
        <v>107</v>
      </c>
      <c r="D54" s="251"/>
      <c r="E54" s="251"/>
      <c r="F54" s="251"/>
      <c r="G54" s="260"/>
      <c r="H54" s="250" t="s">
        <v>344</v>
      </c>
      <c r="I54" s="251"/>
      <c r="J54" s="251"/>
      <c r="K54" s="251" t="s">
        <v>152</v>
      </c>
      <c r="L54" s="251"/>
      <c r="M54" s="252"/>
      <c r="N54" s="294" t="s">
        <v>349</v>
      </c>
      <c r="O54" s="295"/>
      <c r="P54" s="295"/>
      <c r="Q54" s="295"/>
      <c r="R54" s="279">
        <f>K56</f>
        <v>80</v>
      </c>
      <c r="S54" s="279"/>
      <c r="T54" s="293"/>
    </row>
    <row r="55" spans="1:27" ht="15" x14ac:dyDescent="0.25">
      <c r="A55" s="250" t="s">
        <v>114</v>
      </c>
      <c r="B55" s="251"/>
      <c r="C55" s="251" t="s">
        <v>122</v>
      </c>
      <c r="D55" s="251"/>
      <c r="E55" s="251"/>
      <c r="F55" s="251"/>
      <c r="G55" s="260"/>
      <c r="H55" s="250" t="s">
        <v>347</v>
      </c>
      <c r="I55" s="251"/>
      <c r="J55" s="251"/>
      <c r="K55" s="251" t="s">
        <v>154</v>
      </c>
      <c r="L55" s="251"/>
      <c r="M55" s="252"/>
      <c r="N55" s="297" t="s">
        <v>357</v>
      </c>
      <c r="O55" s="298"/>
      <c r="P55" s="298"/>
      <c r="Q55" s="298"/>
      <c r="R55" s="291">
        <f>IFERROR(R54-(R54*C56),R54)</f>
        <v>72</v>
      </c>
      <c r="S55" s="291"/>
      <c r="T55" s="292"/>
    </row>
    <row r="56" spans="1:27" ht="15" thickBot="1" x14ac:dyDescent="0.25">
      <c r="A56" s="280" t="s">
        <v>144</v>
      </c>
      <c r="B56" s="281"/>
      <c r="C56" s="281">
        <f>VLOOKUP(Holzer_72!C55,'Standard Adjustments'!B3:C36,2,FALSE)</f>
        <v>0.1</v>
      </c>
      <c r="D56" s="281"/>
      <c r="E56" s="281"/>
      <c r="F56" s="281"/>
      <c r="G56" s="282"/>
      <c r="H56" s="280" t="s">
        <v>150</v>
      </c>
      <c r="I56" s="281"/>
      <c r="J56" s="281"/>
      <c r="K56" s="281">
        <f>VLOOKUP(K55,'Appointment Targets'!B153:C154,2,FALSE)</f>
        <v>80</v>
      </c>
      <c r="L56" s="281"/>
      <c r="M56" s="296"/>
      <c r="N56" s="299" t="s">
        <v>350</v>
      </c>
      <c r="O56" s="300"/>
      <c r="P56" s="300"/>
      <c r="Q56" s="300"/>
      <c r="R56" s="281" t="str">
        <f>IF(V39=R55,"Provider at appointment standard.",IF(V39&gt;R55,"Over"&amp;" "&amp;V39-R55&amp;" "&amp;"appointments","Short"&amp;" "&amp;ABS(V39-R55)&amp;" "&amp;"appointments"))</f>
        <v>Short 1 appointments</v>
      </c>
      <c r="S56" s="281"/>
      <c r="T56" s="282"/>
    </row>
    <row r="60" spans="1:27" ht="15" x14ac:dyDescent="0.2">
      <c r="A60" s="117"/>
      <c r="B60" s="279" t="s">
        <v>19</v>
      </c>
      <c r="C60" s="279"/>
      <c r="D60" s="279"/>
      <c r="E60" s="279"/>
      <c r="F60" s="279"/>
      <c r="G60" s="30"/>
      <c r="H60" s="31"/>
      <c r="I60" s="279" t="s">
        <v>20</v>
      </c>
      <c r="J60" s="279"/>
      <c r="K60" s="279"/>
      <c r="L60" s="279"/>
      <c r="M60" s="279"/>
      <c r="N60" s="30"/>
      <c r="P60" s="279" t="s">
        <v>21</v>
      </c>
      <c r="Q60" s="279"/>
      <c r="R60" s="279"/>
      <c r="S60" s="279"/>
      <c r="T60" s="279"/>
      <c r="U60" s="30"/>
      <c r="W60" s="283" t="s">
        <v>22</v>
      </c>
      <c r="X60" s="284"/>
      <c r="Y60" s="284"/>
      <c r="Z60" s="284"/>
      <c r="AA60" s="285"/>
    </row>
    <row r="61" spans="1:27" ht="15" x14ac:dyDescent="0.2">
      <c r="A61" s="117"/>
      <c r="B61" s="32" t="s">
        <v>2</v>
      </c>
      <c r="C61" s="33" t="s">
        <v>3</v>
      </c>
      <c r="D61" s="32" t="s">
        <v>4</v>
      </c>
      <c r="E61" s="32" t="s">
        <v>5</v>
      </c>
      <c r="F61" s="32" t="s">
        <v>6</v>
      </c>
      <c r="G61" s="30"/>
      <c r="H61" s="31"/>
      <c r="I61" s="32" t="s">
        <v>2</v>
      </c>
      <c r="J61" s="32" t="s">
        <v>3</v>
      </c>
      <c r="K61" s="32" t="s">
        <v>4</v>
      </c>
      <c r="L61" s="32" t="s">
        <v>5</v>
      </c>
      <c r="M61" s="32" t="s">
        <v>6</v>
      </c>
      <c r="N61" s="30"/>
      <c r="P61" s="32" t="s">
        <v>2</v>
      </c>
      <c r="Q61" s="32" t="s">
        <v>3</v>
      </c>
      <c r="R61" s="32" t="s">
        <v>4</v>
      </c>
      <c r="S61" s="32" t="s">
        <v>5</v>
      </c>
      <c r="T61" s="32" t="s">
        <v>6</v>
      </c>
      <c r="U61" s="30"/>
      <c r="W61" s="32" t="s">
        <v>2</v>
      </c>
      <c r="X61" s="32" t="s">
        <v>3</v>
      </c>
      <c r="Y61" s="32" t="s">
        <v>4</v>
      </c>
      <c r="Z61" s="32" t="s">
        <v>5</v>
      </c>
      <c r="AA61" s="32" t="s">
        <v>6</v>
      </c>
    </row>
    <row r="62" spans="1:27" ht="15" x14ac:dyDescent="0.25">
      <c r="A62" s="136">
        <v>700</v>
      </c>
      <c r="B62" s="35" t="str">
        <f>IF(COUNTIFS($A$5:$A$31,"7*",$B$5:$B$31,"*"),"MET","NOT MET")</f>
        <v>NOT MET</v>
      </c>
      <c r="C62" s="35" t="str">
        <f>IF(COUNTIFS($E$5:$E$31,"7*",$F$5:$F$31,"*"),"MET","NOT MET")</f>
        <v>NOT MET</v>
      </c>
      <c r="D62" s="35" t="str">
        <f>IF(COUNTIFS($I$5:$I$31,"7*",$J$5:$J$31,"*"),"MET","NOT MET")</f>
        <v>NOT MET</v>
      </c>
      <c r="E62" s="35" t="str">
        <f>IF(COUNTIFS($M$5:$M$31,"7*",$N$5:$N$31,"*"),"MET","NOT MET")</f>
        <v>NOT MET</v>
      </c>
      <c r="F62" s="35" t="str">
        <f>IF(COUNTIFS($Q$5:$Q$31,"7*",$R$5:$R$31,"*"),"MET","NOT MET")</f>
        <v>NOT MET</v>
      </c>
      <c r="G62" s="30"/>
      <c r="H62" s="134">
        <v>700</v>
      </c>
      <c r="I62" s="35">
        <f>COUNTIFS($A$5:$A$31,"7*",$B$5:$B$31,"*")</f>
        <v>0</v>
      </c>
      <c r="J62" s="35">
        <f>COUNTIFS($E$5:$E$31,"7*",$F$5:$F$31,"*")</f>
        <v>0</v>
      </c>
      <c r="K62" s="35">
        <f>COUNTIFS($I$5:$I$31,"7*",$J$5:$J$31,"*")</f>
        <v>0</v>
      </c>
      <c r="L62" s="35">
        <f>COUNTIFS($M$5:$M$31,"7*",$N$5:$N$31,"*")</f>
        <v>0</v>
      </c>
      <c r="M62" s="35">
        <f>(COUNTIFS($Q$5:$Q$31,"7*",$R$5:$R$31,"*"))</f>
        <v>0</v>
      </c>
      <c r="N62" s="30"/>
      <c r="O62" s="38">
        <v>700</v>
      </c>
      <c r="P62" s="35">
        <f>COUNTIFS($A$5:$A$31,"7*",$B$5:$B$31,"24hr")</f>
        <v>0</v>
      </c>
      <c r="Q62" s="35">
        <f>COUNTIFS($E$5:$E$31,"7*",$F$5:$F$31,"24hr")</f>
        <v>0</v>
      </c>
      <c r="R62" s="35">
        <f>COUNTIFS($I$5:$I$31,"7*",$J$5:$J$31,"24hr")</f>
        <v>0</v>
      </c>
      <c r="S62" s="35">
        <f>COUNTIFS($M$5:$M$31,"7*",$N$5:$N$31,"24hr")</f>
        <v>0</v>
      </c>
      <c r="T62" s="35">
        <f>COUNTIFS($Q$5:$Q$31,"7*",$R$5:$R$31,"24hr")</f>
        <v>0</v>
      </c>
      <c r="U62" s="30"/>
      <c r="V62" s="38">
        <v>700</v>
      </c>
      <c r="W62" s="35">
        <f>COUNTIFS($A$5:$A$31,"7*",$B$5:$B$31,"ftr")</f>
        <v>0</v>
      </c>
      <c r="X62" s="35">
        <f>COUNTIFS($E$5:$E$31,"7*",$F$5:$F$31,"ftr")</f>
        <v>0</v>
      </c>
      <c r="Y62" s="35">
        <f>COUNTIFS($I$5:$I$31,"7*",$J$5:$J$31,"ftr")</f>
        <v>0</v>
      </c>
      <c r="Z62" s="35">
        <f>COUNTIFS($M$5:$M$31,"7*",$N$5:$N$31,"ftr")</f>
        <v>0</v>
      </c>
      <c r="AA62" s="35">
        <f>COUNTIFS($Q$5:$Q$31,"7*",$R$5:$R$31,"ftr")</f>
        <v>0</v>
      </c>
    </row>
    <row r="63" spans="1:27" ht="15" x14ac:dyDescent="0.25">
      <c r="A63" s="137">
        <v>800</v>
      </c>
      <c r="B63" s="35" t="str">
        <f>IF(COUNTIFS($A$5:$A$31,"8*",$B$5:$B$31,"*"),"MET","NOT MET")</f>
        <v>MET</v>
      </c>
      <c r="C63" s="35" t="str">
        <f>IF(COUNTIFS($E$5:$E$31,"8*",$F$5:$F$31,"*"),"MET","NOT MET")</f>
        <v>MET</v>
      </c>
      <c r="D63" s="35" t="str">
        <f>IF(COUNTIFS($I$5:$I$31,"8*",$J$5:$J$31,"*"),"MET","NOT MET")</f>
        <v>MET</v>
      </c>
      <c r="E63" s="35" t="str">
        <f>IF(COUNTIFS($M$5:$M$31,"8*",$N$5:$N$31,"*"),"MET","NOT MET")</f>
        <v>MET</v>
      </c>
      <c r="F63" s="35" t="str">
        <f>IF(COUNTIFS($Q$5:$Q$31,"8*",$R$5:$R$31,"*"),"MET","NOT MET")</f>
        <v>MET</v>
      </c>
      <c r="G63" s="30"/>
      <c r="H63" s="135">
        <v>800</v>
      </c>
      <c r="I63" s="35">
        <f>COUNTIFS($A$5:$A$32,"8*",$B$5:$B$32,"*")</f>
        <v>3</v>
      </c>
      <c r="J63" s="35">
        <f>COUNTIFS($E$5:$E$31,"8*",$F$5:$F$31,"*")</f>
        <v>3</v>
      </c>
      <c r="K63" s="35">
        <f>COUNTIFS($I$5:$I$31,"8*",$J$5:$J$31,"*")</f>
        <v>3</v>
      </c>
      <c r="L63" s="35">
        <f>COUNTIFS($M$5:$M$31,"8*",$N$5:$N$31,"*")</f>
        <v>3</v>
      </c>
      <c r="M63" s="35">
        <f>COUNTIFS($Q$5:$Q$31,"8*",$R$5:$R$31,"*")</f>
        <v>3</v>
      </c>
      <c r="N63" s="30"/>
      <c r="O63" s="42">
        <v>800</v>
      </c>
      <c r="P63" s="35">
        <f>COUNTIFS($A$5:$A$31,"8*",$B$5:$B$31,"24hr")</f>
        <v>3</v>
      </c>
      <c r="Q63" s="35">
        <f>COUNTIFS($E$5:$E$31,"8*",$F$5:$F$31,"24hr")</f>
        <v>3</v>
      </c>
      <c r="R63" s="35">
        <f>COUNTIFS($I$5:$I$31,"8*",$J$5:$J$31,"24hr")</f>
        <v>3</v>
      </c>
      <c r="S63" s="35">
        <f>COUNTIFS($M$5:$M$31,"8*",$N$5:$N$31,"24hr")</f>
        <v>3</v>
      </c>
      <c r="T63" s="35">
        <f>COUNTIFS($Q$5:$Q$31,"8*",$R$5:$R$31,"24hr")</f>
        <v>3</v>
      </c>
      <c r="U63" s="30"/>
      <c r="V63" s="42">
        <v>800</v>
      </c>
      <c r="W63" s="35">
        <f>COUNTIFS($A$5:$A$31,"8*",$B$5:$B$31,"ftr")</f>
        <v>0</v>
      </c>
      <c r="X63" s="35">
        <f>COUNTIFS($E$5:$E$31,"8*",$F$5:$F$31,"ftr")</f>
        <v>0</v>
      </c>
      <c r="Y63" s="35">
        <f>COUNTIFS($I$5:$I$31,"8*",$J$5:$J$31,"ftr")</f>
        <v>0</v>
      </c>
      <c r="Z63" s="35">
        <f>COUNTIFS($M$5:$M$31,"8*",$N$5:$N$31,"ftr")</f>
        <v>0</v>
      </c>
      <c r="AA63" s="35">
        <f>COUNTIFS($Q$5:$Q$31,"8*",$R$5:$R$31,"ftr")</f>
        <v>0</v>
      </c>
    </row>
    <row r="64" spans="1:27" ht="15" x14ac:dyDescent="0.25">
      <c r="A64" s="137">
        <v>900</v>
      </c>
      <c r="B64" s="35" t="str">
        <f>IF(COUNTIFS($A$5:$A$31,"9*",$B$5:$B$31,"*"),"MET","NOT MET")</f>
        <v>MET</v>
      </c>
      <c r="C64" s="35" t="str">
        <f>IF(COUNTIFS($E$5:$E$31,"9*",$F$5:$F$31,"*"),"MET","NOT MET")</f>
        <v>MET</v>
      </c>
      <c r="D64" s="35" t="str">
        <f>IF(COUNTIFS($I$5:$I$31,"9*",$J$5:$J$31,"*"),"MET","NOT MET")</f>
        <v>MET</v>
      </c>
      <c r="E64" s="35" t="str">
        <f>IF(COUNTIFS($M$5:$M$31,"9*",$N$5:$N$31,"*"),"MET","NOT MET")</f>
        <v>MET</v>
      </c>
      <c r="F64" s="35" t="str">
        <f>IF(COUNTIFS($Q$5:$Q$31,"9*",$R$5:$R$31,"*"),"MET","NOT MET")</f>
        <v>MET</v>
      </c>
      <c r="G64" s="30"/>
      <c r="H64" s="135">
        <v>900</v>
      </c>
      <c r="I64" s="35">
        <f>COUNTIFS($A$5:$A$31,"9*",$B$5:$B$31,"*")</f>
        <v>2</v>
      </c>
      <c r="J64" s="35">
        <f>COUNTIFS($E$5:$E$31,"9*",$F$5:$F$31,"*")</f>
        <v>2</v>
      </c>
      <c r="K64" s="35">
        <f>COUNTIFS($I$5:$I$31,"9*",$J$5:$J$31,"*")</f>
        <v>2</v>
      </c>
      <c r="L64" s="35">
        <f>COUNTIFS($M$5:$M$31,"9*",$N$5:$N$31,"*")</f>
        <v>2</v>
      </c>
      <c r="M64" s="35">
        <f>COUNTIFS($Q$5:$Q$31,"9*",$R$5:$R$31,"*")</f>
        <v>2</v>
      </c>
      <c r="N64" s="30"/>
      <c r="O64" s="42">
        <v>900</v>
      </c>
      <c r="P64" s="35">
        <f>COUNTIFS($A$5:$A$31,"9*",$B$5:$B$31,"24hr")</f>
        <v>0</v>
      </c>
      <c r="Q64" s="35">
        <f>COUNTIFS($E$5:$E$31,"9*",$F$5:$F$31,"24hr")</f>
        <v>0</v>
      </c>
      <c r="R64" s="35">
        <f>COUNTIFS($I$5:$I$31,"9*",$J$5:$J$31,"24hr")</f>
        <v>0</v>
      </c>
      <c r="S64" s="35">
        <f>COUNTIFS($M$5:$M$31,"9*",$N$5:$N$31,"24hr")</f>
        <v>0</v>
      </c>
      <c r="T64" s="35">
        <f>COUNTIFS($Q$5:$Q$31,"9*",$R$5:$R$31,"24hr")</f>
        <v>0</v>
      </c>
      <c r="U64" s="30"/>
      <c r="V64" s="42">
        <v>900</v>
      </c>
      <c r="W64" s="35">
        <f>COUNTIFS($A$5:$A$31,"9*",$B$5:$B$31,"ftr")</f>
        <v>2</v>
      </c>
      <c r="X64" s="35">
        <f>COUNTIFS($E$5:$E$31,"9*",$F$5:$F$31,"ftr")</f>
        <v>2</v>
      </c>
      <c r="Y64" s="35">
        <f>COUNTIFS($I$5:$I$31,"9*",$J$5:$J$31,"ftr")</f>
        <v>2</v>
      </c>
      <c r="Z64" s="35">
        <f>COUNTIFS($M$5:$M$31,"9*",$N$5:$N$31,"ftr")</f>
        <v>2</v>
      </c>
      <c r="AA64" s="35">
        <f>COUNTIFS($Q$5:$Q$31,"9*",$R$5:$R$31,"ftr")</f>
        <v>2</v>
      </c>
    </row>
    <row r="65" spans="1:27" ht="15" x14ac:dyDescent="0.25">
      <c r="A65" s="137">
        <v>1000</v>
      </c>
      <c r="B65" s="35" t="str">
        <f>IF(COUNTIFS($A$5:$A$31,"10*",$B$5:$B$31,"*"),"MET","NOT MET")</f>
        <v>MET</v>
      </c>
      <c r="C65" s="35" t="str">
        <f>IF(COUNTIFS($E$5:$E$31,"10*",$F$5:$F$31,"*"),"MET","NOT MET")</f>
        <v>MET</v>
      </c>
      <c r="D65" s="35" t="str">
        <f>IF(COUNTIFS($I$5:$I$31,"10*",$J$5:$J$31,"*"),"MET","NOT MET")</f>
        <v>MET</v>
      </c>
      <c r="E65" s="35" t="str">
        <f>IF(COUNTIFS($M$5:$M$31,"10*",$N$5:$N$31,"*"),"MET","NOT MET")</f>
        <v>MET</v>
      </c>
      <c r="F65" s="35" t="str">
        <f>IF(COUNTIFS($Q$5:$Q$31,"10*",$R$5:$R$31,"*"),"MET","NOT MET")</f>
        <v>MET</v>
      </c>
      <c r="G65" s="30"/>
      <c r="H65" s="135">
        <v>1000</v>
      </c>
      <c r="I65" s="35">
        <f>COUNTIFS($A$5:$A$31,"10*",$B$5:$B$31,"*")</f>
        <v>3</v>
      </c>
      <c r="J65" s="35">
        <f>COUNTIFS($E$5:$E$31,"10*",$F$5:$F$31,"*")</f>
        <v>3</v>
      </c>
      <c r="K65" s="35">
        <f>COUNTIFS($I$5:$I$31,"10*",$J$5:$J$31,"*")</f>
        <v>3</v>
      </c>
      <c r="L65" s="35">
        <f>COUNTIFS($M$5:$M$31,"*10*",$N$5:$N$31,"*")</f>
        <v>4</v>
      </c>
      <c r="M65" s="35">
        <f>COUNTIFS($Q$5:$Q$31,"10*",$R$5:$R$31,"*")</f>
        <v>3</v>
      </c>
      <c r="N65" s="30"/>
      <c r="O65" s="42">
        <v>1000</v>
      </c>
      <c r="P65" s="35">
        <f>COUNTIFS($A$5:$A$31,"10*",$B$5:$B$31,"24hr")</f>
        <v>0</v>
      </c>
      <c r="Q65" s="35">
        <f>COUNTIFS($E$5:$E$31,"10*",$F$5:$F$31,"24hr")</f>
        <v>0</v>
      </c>
      <c r="R65" s="35">
        <f>COUNTIFS($I$5:$I$31,"10*",$J$5:$J$31,"24hr")</f>
        <v>0</v>
      </c>
      <c r="S65" s="35">
        <f>COUNTIFS($M$5:$M$31,"10*",$N$5:$N$31,"24hr")</f>
        <v>0</v>
      </c>
      <c r="T65" s="35">
        <f>COUNTIFS($Q$5:$Q$31,"10*",$R$5:$R$31,"24hr")</f>
        <v>0</v>
      </c>
      <c r="U65" s="30"/>
      <c r="V65" s="42">
        <v>1000</v>
      </c>
      <c r="W65" s="35">
        <f>COUNTIFS($A$5:$A$31,"10*",$B$5:$B$31,"ftr")</f>
        <v>3</v>
      </c>
      <c r="X65" s="35">
        <f>COUNTIFS($E$5:$E$31,"10*",$F$5:$F$31,"ftr")</f>
        <v>3</v>
      </c>
      <c r="Y65" s="35">
        <f>COUNTIFS($I$5:$I$31,"10*",$J$5:$J$31,"ftr")</f>
        <v>3</v>
      </c>
      <c r="Z65" s="35">
        <f>COUNTIFS($M$5:$M$31,"10*",$N$5:$N$31,"ftr")</f>
        <v>3</v>
      </c>
      <c r="AA65" s="35">
        <f>COUNTIFS($Q$5:$Q$31,"10*",$R$5:$R$31,"ftr")</f>
        <v>3</v>
      </c>
    </row>
    <row r="66" spans="1:27" ht="15" x14ac:dyDescent="0.25">
      <c r="A66" s="137">
        <v>1100</v>
      </c>
      <c r="B66" s="35" t="str">
        <f>IF(COUNTIFS($A$5:$A$31,"11*",$B$5:$B$31,"*"),"MET","NOT MET")</f>
        <v>MET</v>
      </c>
      <c r="C66" s="35" t="str">
        <f>IF(COUNTIFS($E$5:$E$31,"11*",$F$5:$F$31,"*"),"MET","NOT MET")</f>
        <v>MET</v>
      </c>
      <c r="D66" s="35" t="str">
        <f>IF(COUNTIFS($I$5:$I$31,"11*",$J$5:$J$31,"*"),"MET","NOT MET")</f>
        <v>MET</v>
      </c>
      <c r="E66" s="35" t="str">
        <f>IF(COUNTIFS($M$5:$M$31,"11*",$N$5:$N$31,"*"),"MET","NOT MET")</f>
        <v>MET</v>
      </c>
      <c r="F66" s="35" t="str">
        <f>IF(COUNTIFS($Q$5:$Q$31,"11*",$R$5:$R$31,"*"),"MET","NOT MET")</f>
        <v>MET</v>
      </c>
      <c r="G66" s="30"/>
      <c r="H66" s="135">
        <v>1100</v>
      </c>
      <c r="I66" s="35">
        <f>COUNTIFS($A$5:$A$31,"11*",$B$5:$B$31,"*")</f>
        <v>2</v>
      </c>
      <c r="J66" s="35">
        <f>COUNTIFS($E$5:$E$31,"11*",$F$5:$F$31,"*")</f>
        <v>2</v>
      </c>
      <c r="K66" s="35">
        <f>COUNTIFS($I$5:$I$31,"11*",$J$5:$J$31,"*")</f>
        <v>2</v>
      </c>
      <c r="L66" s="35">
        <f>COUNTIFS($M$5:$M$31,"11*",$N$5:$N$31,"*")</f>
        <v>1</v>
      </c>
      <c r="M66" s="35">
        <f>COUNTIFS($Q$5:$Q$31,"11*",$R$5:$R$31,"*")</f>
        <v>3</v>
      </c>
      <c r="N66" s="30"/>
      <c r="O66" s="42">
        <v>1100</v>
      </c>
      <c r="P66" s="35">
        <f>COUNTIFS($A$5:$A$31,"11*",$B$5:$B$31,"24hr")</f>
        <v>2</v>
      </c>
      <c r="Q66" s="35">
        <f>COUNTIFS($E$5:$E$31,"11*",$F$5:$F$31,"24hr")</f>
        <v>2</v>
      </c>
      <c r="R66" s="35">
        <f>COUNTIFS($I$5:$I$31,"11*",$J$5:$J$31,"24hr")</f>
        <v>2</v>
      </c>
      <c r="S66" s="35">
        <f>COUNTIFS($M$5:$M$31,"11*",$N$5:$N$31,"24hr")</f>
        <v>1</v>
      </c>
      <c r="T66" s="35">
        <f>COUNTIFS($Q$5:$Q$31,"11*",$R$5:$R$31,"24hr")</f>
        <v>3</v>
      </c>
      <c r="U66" s="30"/>
      <c r="V66" s="42">
        <v>1100</v>
      </c>
      <c r="W66" s="35">
        <f>COUNTIFS($A$5:$A$31,"11*",$B$5:$B$31,"ftr")</f>
        <v>0</v>
      </c>
      <c r="X66" s="35">
        <f>COUNTIFS($E$5:$E$31,"11*",$F$5:$F$31,"ftr")</f>
        <v>0</v>
      </c>
      <c r="Y66" s="35">
        <f>COUNTIFS($I$5:$I$31,"11*",$J$5:$J$31,"ftr")</f>
        <v>0</v>
      </c>
      <c r="Z66" s="35">
        <f>COUNTIFS($M$5:$M$31,"11*",$N$5:$N$31,"ftr")</f>
        <v>0</v>
      </c>
      <c r="AA66" s="35">
        <f>COUNTIFS($Q$5:$Q$31,"11*",$R$5:$R$31,"ftr")</f>
        <v>0</v>
      </c>
    </row>
    <row r="67" spans="1:27" ht="15" x14ac:dyDescent="0.25">
      <c r="A67" s="137">
        <v>1200</v>
      </c>
      <c r="B67" s="35" t="str">
        <f>IF(COUNTIFS($A$5:$A$31,"12*",$B$5:$B$31,"*"),"MET","NOT MET")</f>
        <v>NOT MET</v>
      </c>
      <c r="C67" s="35" t="str">
        <f>IF(COUNTIFS($E$5:$E$31,"12*",$F$5:$F$31,"*"),"MET","NOT MET")</f>
        <v>NOT MET</v>
      </c>
      <c r="D67" s="35" t="str">
        <f>IF(COUNTIFS($I$5:$I$31,"12*",$J$5:$J$31,"*"),"MET","NOT MET")</f>
        <v>NOT MET</v>
      </c>
      <c r="E67" s="35" t="str">
        <f>IF(COUNTIFS($M$5:$M$31,"12*",$N$5:$N$31,"*"),"MET","NOT MET")</f>
        <v>NOT MET</v>
      </c>
      <c r="F67" s="35" t="str">
        <f>IF(COUNTIFS($Q$5:$Q$31,"12*",$R$5:$R$31,"*"),"MET","NOT MET")</f>
        <v>NOT MET</v>
      </c>
      <c r="G67" s="30"/>
      <c r="H67" s="135">
        <v>1200</v>
      </c>
      <c r="I67" s="35">
        <f>COUNTIFS($A$5:$A$31,"12*",$B$5:$B$31,"*")</f>
        <v>0</v>
      </c>
      <c r="J67" s="35">
        <f>COUNTIFS($E$5:$E$31,"12*",$F$5:$F$31,"*")</f>
        <v>0</v>
      </c>
      <c r="K67" s="35">
        <f>COUNTIFS($I$5:$I$31,"12*",$J$5:$J$31,"*")</f>
        <v>0</v>
      </c>
      <c r="L67" s="35">
        <f>COUNTIFS($M$5:$M$31,"12*",$N$5:$N$31,"*")</f>
        <v>0</v>
      </c>
      <c r="M67" s="35">
        <f>COUNTIFS($Q$5:$Q$31,"12*",$R$5:$R$31,"*")</f>
        <v>0</v>
      </c>
      <c r="N67" s="30"/>
      <c r="O67" s="42">
        <v>1200</v>
      </c>
      <c r="P67" s="35">
        <f>COUNTIFS($A$5:$A$31,"12*",$B$5:$B$31,"24hr")</f>
        <v>0</v>
      </c>
      <c r="Q67" s="35">
        <f>COUNTIFS($E$5:$E$31,"12*",$F$5:$F$31,"24hr")</f>
        <v>0</v>
      </c>
      <c r="R67" s="35">
        <f>COUNTIFS($I$5:$I$31,"12*",$J$5:$J$31,"24hr")</f>
        <v>0</v>
      </c>
      <c r="S67" s="35">
        <f>COUNTIFS($M$5:$M$31,"12*",$N$5:$N$31,"24hr")</f>
        <v>0</v>
      </c>
      <c r="T67" s="35">
        <f>COUNTIFS($Q$5:$Q$31,"12*",$R$5:$R$31,"24hr")</f>
        <v>0</v>
      </c>
      <c r="U67" s="30"/>
      <c r="V67" s="42">
        <v>1200</v>
      </c>
      <c r="W67" s="35">
        <f>COUNTIFS($A$5:$A$31,"12*",$B$5:$B$31,"ftr")</f>
        <v>0</v>
      </c>
      <c r="X67" s="35">
        <f>COUNTIFS($E$5:$E$31,"12*",$F$5:$F$31,"ftr")</f>
        <v>0</v>
      </c>
      <c r="Y67" s="35">
        <f>COUNTIFS($I$5:$I$31,"12*",$J$5:$J$31,"ftr")</f>
        <v>0</v>
      </c>
      <c r="Z67" s="35">
        <f>COUNTIFS($M$5:$M$31,"12*",$N$5:$N$31,"ftr")</f>
        <v>0</v>
      </c>
      <c r="AA67" s="35">
        <f>COUNTIFS($Q$5:$Q$31,"12*",$R$5:$R$31,"ftr")</f>
        <v>0</v>
      </c>
    </row>
    <row r="68" spans="1:27" ht="15" x14ac:dyDescent="0.25">
      <c r="A68" s="137">
        <v>1300</v>
      </c>
      <c r="B68" s="35" t="str">
        <f>IF(COUNTIFS($A$5:$A$31,"13*",$B$5:$B$31,"*"),"MET","NOT MET")</f>
        <v>MET</v>
      </c>
      <c r="C68" s="35" t="str">
        <f>IF(COUNTIFS($E$5:$E$31,"13*",$F$5:$F$31,"*"),"MET","NOT MET")</f>
        <v>MET</v>
      </c>
      <c r="D68" s="35" t="str">
        <f>IF(COUNTIFS($I$5:$I$31,"13*",$J$5:$J$31,"*"),"MET","NOT MET")</f>
        <v>MET</v>
      </c>
      <c r="E68" s="35" t="str">
        <f>IF(COUNTIFS($M$5:$M$31,"13*",$N$5:$N$31,"*"),"MET","NOT MET")</f>
        <v>NOT MET</v>
      </c>
      <c r="F68" s="35" t="str">
        <f>IF(COUNTIFS($Q$5:$Q$31,"13*",$R$5:$R$31,"*"),"MET","NOT MET")</f>
        <v>MET</v>
      </c>
      <c r="G68" s="30"/>
      <c r="H68" s="135">
        <v>1300</v>
      </c>
      <c r="I68" s="35">
        <f>COUNTIFS($A$5:$A$31,"13*",$B$5:$B$31,"*")</f>
        <v>3</v>
      </c>
      <c r="J68" s="35">
        <f>COUNTIFS($E$5:$E$31,"13*",$F$5:$F$31,"*")</f>
        <v>3</v>
      </c>
      <c r="K68" s="35">
        <f>COUNTIFS($I$5:$I$31,"13*",$J$5:$J$31,"*")</f>
        <v>3</v>
      </c>
      <c r="L68" s="35">
        <f>COUNTIFS($M$5:$M$31,"13*",$N$5:$N$31,"*")</f>
        <v>0</v>
      </c>
      <c r="M68" s="35">
        <f>COUNTIFS($Q$5:$Q$31,"13*",$R$5:$R$31,"*")</f>
        <v>3</v>
      </c>
      <c r="N68" s="30"/>
      <c r="O68" s="42">
        <v>1300</v>
      </c>
      <c r="P68" s="35">
        <f>COUNTIFS($A$5:$A$31,"13*",$B$5:$B$31,"24hr")</f>
        <v>1</v>
      </c>
      <c r="Q68" s="35">
        <f>COUNTIFS($E$5:$E$31,"13*",$F$5:$F$31,"24hr")</f>
        <v>1</v>
      </c>
      <c r="R68" s="35">
        <f>COUNTIFS($I$5:$I$31,"13*",$J$5:$J$31,"24hr")</f>
        <v>1</v>
      </c>
      <c r="S68" s="35">
        <f>COUNTIFS($M$5:$M$31,"13*",$N$5:$N$31,"24hr")</f>
        <v>0</v>
      </c>
      <c r="T68" s="35">
        <f>COUNTIFS($Q$5:$Q$31,"13*",$R$5:$R$31,"24hr")</f>
        <v>0</v>
      </c>
      <c r="U68" s="30"/>
      <c r="V68" s="42">
        <v>1300</v>
      </c>
      <c r="W68" s="35">
        <f>COUNTIFS($A$5:$A$31,"13*",$B$5:$B$31,"ftr")</f>
        <v>2</v>
      </c>
      <c r="X68" s="35">
        <f>COUNTIFS($E$5:$E$31,"13*",$F$5:$F$31,"ftr")</f>
        <v>2</v>
      </c>
      <c r="Y68" s="35">
        <f>COUNTIFS($I$5:$I$31,"13*",$J$5:$J$31,"ftr")</f>
        <v>2</v>
      </c>
      <c r="Z68" s="35">
        <f>COUNTIFS($M$5:$M$31,"13*",$N$5:$N$31,"ftr")</f>
        <v>0</v>
      </c>
      <c r="AA68" s="35">
        <f>COUNTIFS($Q$5:$Q$31,"13*",$R$5:$R$31,"ftr")</f>
        <v>3</v>
      </c>
    </row>
    <row r="69" spans="1:27" ht="15" x14ac:dyDescent="0.25">
      <c r="A69" s="137">
        <v>1400</v>
      </c>
      <c r="B69" s="35" t="str">
        <f>IF(COUNTIFS($A$5:$A31,"14*",$B$5:$B$31,"*"),"MET","NOT MET")</f>
        <v>MET</v>
      </c>
      <c r="C69" s="35" t="str">
        <f>IF(COUNTIFS($E$5:$E$31,"14*",$F$5:$F$31,"*"),"MET","NOT MET")</f>
        <v>MET</v>
      </c>
      <c r="D69" s="35" t="str">
        <f>IF(COUNTIFS($I$5:$I$31,"14*",$J$5:$J$31,"*"),"MET","NOT MET")</f>
        <v>MET</v>
      </c>
      <c r="E69" s="35" t="str">
        <f>IF(COUNTIFS($M$5:$M$31,"14*",$N$5:$N$31,"*"),"MET","NOT MET")</f>
        <v>NOT MET</v>
      </c>
      <c r="F69" s="35" t="str">
        <f>IF(COUNTIFS($Q$5:$Q$31,"14*",$R$5:$R$31,"*"),"MET","NOT MET")</f>
        <v>NOT MET</v>
      </c>
      <c r="G69" s="30"/>
      <c r="H69" s="135">
        <v>1400</v>
      </c>
      <c r="I69" s="35">
        <f>COUNTIFS($A$5:$A$31,"14*",$B$5:$B$31,"*")</f>
        <v>3</v>
      </c>
      <c r="J69" s="35">
        <f>COUNTIFS($E$5:$E$31,"14*",$F$5:$F$31,"*")</f>
        <v>3</v>
      </c>
      <c r="K69" s="35">
        <f>(COUNTIFS($I$5:$I$31,"14*",$J$5:$J$31,"*"))</f>
        <v>3</v>
      </c>
      <c r="L69" s="35">
        <f>COUNTIFS($M$5:$M$31,"14*",$N$5:$N$31,"*")</f>
        <v>0</v>
      </c>
      <c r="M69" s="35">
        <f>COUNTIFS($Q$5:$Q$31,"14*",$R$5:$R$31,"*")</f>
        <v>0</v>
      </c>
      <c r="N69" s="30"/>
      <c r="O69" s="42">
        <v>1400</v>
      </c>
      <c r="P69" s="35">
        <f>COUNTIFS($A$5:$A$31,"14*",$B$5:$B$31,"24hr")</f>
        <v>1</v>
      </c>
      <c r="Q69" s="35">
        <f>COUNTIFS($E$5:$E$31,"14*",$F$5:$F$31,"24hr")</f>
        <v>0</v>
      </c>
      <c r="R69" s="35">
        <f>(COUNTIFS($I$5:$I$31,"14*",$J$5:$J$31,"24hr"))</f>
        <v>0</v>
      </c>
      <c r="S69" s="35">
        <f>COUNTIFS($M$5:$M$31,"14*",$N$5:$N$31,"24hr")</f>
        <v>0</v>
      </c>
      <c r="T69" s="35">
        <f>COUNTIFS($Q$5:$Q$31,"14*",$R$5:$R$31,"24hr")</f>
        <v>0</v>
      </c>
      <c r="U69" s="30"/>
      <c r="V69" s="42">
        <v>1400</v>
      </c>
      <c r="W69" s="35">
        <f>COUNTIFS($A$5:$A$31,"14*",$B$5:$B$31,"ftr")</f>
        <v>2</v>
      </c>
      <c r="X69" s="35">
        <f>COUNTIFS($E$5:$E$31,"14*",$F$5:$F$31,"ftr")</f>
        <v>3</v>
      </c>
      <c r="Y69" s="35">
        <f>COUNTIFS($I$5:$I$31,"14*",$J$5:$J$31,"ftr")</f>
        <v>3</v>
      </c>
      <c r="Z69" s="35">
        <f>COUNTIFS($M$5:$M$31,"14*",$N$5:$N$31,"ftr")</f>
        <v>0</v>
      </c>
      <c r="AA69" s="35">
        <f>COUNTIFS($Q$5:$Q$31,"14*",$R$5:$R$31,"ftr")</f>
        <v>0</v>
      </c>
    </row>
    <row r="70" spans="1:27" ht="15" x14ac:dyDescent="0.25">
      <c r="A70" s="137">
        <v>1500</v>
      </c>
      <c r="B70" s="35" t="str">
        <f>IF(COUNTIFS($A$5:$A$31,"15*",$B$5:$B$31,"*"),"MET","NOT MET")</f>
        <v>NOT MET</v>
      </c>
      <c r="C70" s="35" t="str">
        <f>IF(COUNTIFS($E$5:$E$31,"15*",$F$5:$F$31,"*"),"MET","NOT MET")</f>
        <v>NOT MET</v>
      </c>
      <c r="D70" s="35" t="str">
        <f>IF(COUNTIFS($I$5:$I$31,"15*",$J$5:$J$31,"*"),"MET","NOT MET")</f>
        <v>NOT MET</v>
      </c>
      <c r="E70" s="35" t="str">
        <f>IF(COUNTIFS($M$5:$M$31,"15*",$N$5:$N$31,"*"),"MET","NOT MET")</f>
        <v>NOT MET</v>
      </c>
      <c r="F70" s="35" t="str">
        <f>IF(COUNTIFS($Q$5:$Q$31,"15*",$R$5:$R$31,"*"),"MET","NOT MET")</f>
        <v>NOT MET</v>
      </c>
      <c r="G70" s="30"/>
      <c r="H70" s="135">
        <v>1500</v>
      </c>
      <c r="I70" s="35">
        <f>COUNTIFS($A$5:$A$31,"15*",$B$5:$B$31,"*")</f>
        <v>0</v>
      </c>
      <c r="J70" s="35">
        <f>COUNTIFS($E$5:$E$31,"15*",$F$5:$F$31,"*")</f>
        <v>0</v>
      </c>
      <c r="K70" s="35">
        <f>COUNTIFS($I$5:$I$31,"15*",$J$5:$J$31,"*")</f>
        <v>0</v>
      </c>
      <c r="L70" s="35">
        <f>COUNTIFS($M$5:$M$31,"15*",$N$5:$N$31,"*")</f>
        <v>0</v>
      </c>
      <c r="M70" s="35">
        <f>COUNTIFS($Q$5:$Q$31,"15*",$R$5:$R$31,"*")</f>
        <v>0</v>
      </c>
      <c r="N70" s="30"/>
      <c r="O70" s="42">
        <v>1500</v>
      </c>
      <c r="P70" s="35">
        <f>COUNTIFS($A$5:$A$31,"15*",$B$5:$B$31,"24hr")</f>
        <v>0</v>
      </c>
      <c r="Q70" s="35">
        <f>COUNTIFS($E$5:$E$31,"15*",$F$5:$F$31,"24hr")</f>
        <v>0</v>
      </c>
      <c r="R70" s="35">
        <f>COUNTIFS($I$5:$I$31,"15*",$J$5:$J$31,"24hr")</f>
        <v>0</v>
      </c>
      <c r="S70" s="35">
        <f>COUNTIFS($M$5:$M$31,"15*",$N$5:$N$31,"24hr")</f>
        <v>0</v>
      </c>
      <c r="T70" s="35">
        <f>COUNTIFS($Q$5:$Q$31,"15*",$R$5:$R$31,"24hr")</f>
        <v>0</v>
      </c>
      <c r="U70" s="30"/>
      <c r="V70" s="42">
        <v>1500</v>
      </c>
      <c r="W70" s="35">
        <f>COUNTIFS($A$5:$A$31,"15*",$B$5:$B$31,"ftr")</f>
        <v>0</v>
      </c>
      <c r="X70" s="35">
        <f>COUNTIFS($E$5:$E$31,"15*",$F$5:$F$31,"ftr")</f>
        <v>0</v>
      </c>
      <c r="Y70" s="35">
        <f>COUNTIFS($I$5:$I$31,"15*",$J$5:$J$31,"ftr")</f>
        <v>0</v>
      </c>
      <c r="Z70" s="35">
        <f>COUNTIFS($M$5:$M$31,"15*",$N$5:$N$31,"ftr")</f>
        <v>0</v>
      </c>
      <c r="AA70" s="35">
        <f>COUNTIFS($Q$5:$Q$31,"15*",$R$5:$R$31,"ftr")</f>
        <v>0</v>
      </c>
    </row>
    <row r="71" spans="1:27" ht="15" x14ac:dyDescent="0.25">
      <c r="A71" s="137">
        <v>1600</v>
      </c>
      <c r="B71" s="35" t="str">
        <f>IF(COUNTIFS($A$5:$A$31,"16*",$B$5:$B$31,"*"),"MET","NOT MET")</f>
        <v>NOT MET</v>
      </c>
      <c r="C71" s="35" t="str">
        <f>IF(COUNTIFS($E$5:$E$31,"16*",$F$5:$F$31,"*"),"MET","NOT MET")</f>
        <v>NOT MET</v>
      </c>
      <c r="D71" s="35" t="str">
        <f>IF(COUNTIFS($I$5:$I$31,"16*",$J$5:$J$31,"*"),"MET","NOT MET")</f>
        <v>NOT MET</v>
      </c>
      <c r="E71" s="35" t="str">
        <f>IF(COUNTIFS($M$5:$M$31,"16*",$N$5:$N$31,"*"),"MET","NOT MET")</f>
        <v>NOT MET</v>
      </c>
      <c r="F71" s="35" t="str">
        <f>IF(COUNTIFS($Q$5:$Q$31,"16*",$R$5:$R$31,"*"),"MET","NOT MET")</f>
        <v>NOT MET</v>
      </c>
      <c r="G71" s="30"/>
      <c r="H71" s="135">
        <v>1600</v>
      </c>
      <c r="I71" s="35">
        <f>COUNTIFS($A$5:$A$31,"16*",$B$5:$B$31,"*")</f>
        <v>0</v>
      </c>
      <c r="J71" s="35">
        <f>COUNTIFS($E$5:$E$31,"16*",$F$5:$F$31,"*")</f>
        <v>0</v>
      </c>
      <c r="K71" s="35">
        <f>COUNTIFS($I$5:$I$31,"16*",$J$5:$J$31,"*")</f>
        <v>0</v>
      </c>
      <c r="L71" s="35">
        <f>COUNTIFS($M$5:$M$31,"16*",$N$5:$N$31,"*")</f>
        <v>0</v>
      </c>
      <c r="M71" s="35">
        <f>COUNTIFS($Q$5:$Q$31,"16*",$R$5:$R$31,"*")</f>
        <v>0</v>
      </c>
      <c r="N71" s="30"/>
      <c r="O71" s="42">
        <v>1600</v>
      </c>
      <c r="P71" s="35">
        <f>COUNTIFS($A$5:$A$31,"16*",$B$5:$B$31,"24hr")</f>
        <v>0</v>
      </c>
      <c r="Q71" s="35">
        <f>COUNTIFS($E$5:$E$31,"16*",$F$5:$F$31,"24hr")</f>
        <v>0</v>
      </c>
      <c r="R71" s="35">
        <f>COUNTIFS($I$5:$I$31,"16*",$J$5:$J$31,"24hr")</f>
        <v>0</v>
      </c>
      <c r="S71" s="35">
        <f>COUNTIFS($M$5:$M$31,"16*",$N$5:$N$31,"24hr")</f>
        <v>0</v>
      </c>
      <c r="T71" s="35">
        <f>COUNTIFS($Q$5:$Q$31,"16*",$R$5:$R$31,"24hr")</f>
        <v>0</v>
      </c>
      <c r="U71" s="30"/>
      <c r="V71" s="42">
        <v>1600</v>
      </c>
      <c r="W71" s="35">
        <f>COUNTIFS($A$5:$A$31,"16*",$B$5:$B$31,"ftr")</f>
        <v>0</v>
      </c>
      <c r="X71" s="35">
        <f>COUNTIFS($E$5:$E$31,"16*",$F$5:$F$31,"ftr")</f>
        <v>0</v>
      </c>
      <c r="Y71" s="35">
        <f>COUNTIFS($I$5:$I$31,"16*",$J$5:$J$31,"ftr")</f>
        <v>0</v>
      </c>
      <c r="Z71" s="35">
        <f>COUNTIFS($M$5:$M$31,"16*",$N$5:$N$31,"ftr")</f>
        <v>0</v>
      </c>
      <c r="AA71" s="35">
        <f>COUNTIFS($Q$5:$Q$31,"16*",$R$5:$R$31,"ftr")</f>
        <v>0</v>
      </c>
    </row>
  </sheetData>
  <mergeCells count="90">
    <mergeCell ref="N37:O37"/>
    <mergeCell ref="R37:S37"/>
    <mergeCell ref="B38:C38"/>
    <mergeCell ref="F38:G38"/>
    <mergeCell ref="J38:K38"/>
    <mergeCell ref="N38:O38"/>
    <mergeCell ref="R38:S38"/>
    <mergeCell ref="U32:W32"/>
    <mergeCell ref="A1:T1"/>
    <mergeCell ref="A2:T2"/>
    <mergeCell ref="A3:D3"/>
    <mergeCell ref="E3:H3"/>
    <mergeCell ref="I3:L3"/>
    <mergeCell ref="M3:P3"/>
    <mergeCell ref="Q3:T3"/>
    <mergeCell ref="A32:D32"/>
    <mergeCell ref="E32:H32"/>
    <mergeCell ref="I32:L32"/>
    <mergeCell ref="M32:P32"/>
    <mergeCell ref="Q32:T32"/>
    <mergeCell ref="V1:AA3"/>
    <mergeCell ref="AA5:AA8"/>
    <mergeCell ref="AA10:AA13"/>
    <mergeCell ref="B34:C34"/>
    <mergeCell ref="F34:G34"/>
    <mergeCell ref="J34:K34"/>
    <mergeCell ref="N34:O34"/>
    <mergeCell ref="R34:S34"/>
    <mergeCell ref="B33:C33"/>
    <mergeCell ref="F33:G33"/>
    <mergeCell ref="J33:K33"/>
    <mergeCell ref="N33:O33"/>
    <mergeCell ref="R33:S33"/>
    <mergeCell ref="R39:S39"/>
    <mergeCell ref="A40:D40"/>
    <mergeCell ref="E40:H40"/>
    <mergeCell ref="B35:C35"/>
    <mergeCell ref="F35:G35"/>
    <mergeCell ref="J35:K35"/>
    <mergeCell ref="N35:O35"/>
    <mergeCell ref="R35:S35"/>
    <mergeCell ref="B36:C36"/>
    <mergeCell ref="F36:G36"/>
    <mergeCell ref="J36:K36"/>
    <mergeCell ref="N36:O36"/>
    <mergeCell ref="R36:S36"/>
    <mergeCell ref="B37:C37"/>
    <mergeCell ref="F37:G37"/>
    <mergeCell ref="J37:K37"/>
    <mergeCell ref="B44:C44"/>
    <mergeCell ref="B39:C39"/>
    <mergeCell ref="F39:G39"/>
    <mergeCell ref="J39:K39"/>
    <mergeCell ref="N39:O39"/>
    <mergeCell ref="B41:C41"/>
    <mergeCell ref="F41:G41"/>
    <mergeCell ref="B42:C42"/>
    <mergeCell ref="F42:G42"/>
    <mergeCell ref="B43:C43"/>
    <mergeCell ref="R55:T55"/>
    <mergeCell ref="A53:G53"/>
    <mergeCell ref="H53:M53"/>
    <mergeCell ref="N53:T53"/>
    <mergeCell ref="A54:B54"/>
    <mergeCell ref="C54:G54"/>
    <mergeCell ref="H54:J54"/>
    <mergeCell ref="K54:M54"/>
    <mergeCell ref="N54:Q54"/>
    <mergeCell ref="R54:T54"/>
    <mergeCell ref="A55:B55"/>
    <mergeCell ref="C55:G55"/>
    <mergeCell ref="H55:J55"/>
    <mergeCell ref="K55:M55"/>
    <mergeCell ref="N55:Q55"/>
    <mergeCell ref="B60:F60"/>
    <mergeCell ref="I60:M60"/>
    <mergeCell ref="P60:T60"/>
    <mergeCell ref="W60:AA60"/>
    <mergeCell ref="A56:B56"/>
    <mergeCell ref="C56:G56"/>
    <mergeCell ref="H56:J56"/>
    <mergeCell ref="K56:M56"/>
    <mergeCell ref="N56:Q56"/>
    <mergeCell ref="R56:T56"/>
    <mergeCell ref="AA15:AA18"/>
    <mergeCell ref="AA20:AA23"/>
    <mergeCell ref="V5:Z8"/>
    <mergeCell ref="V10:Z13"/>
    <mergeCell ref="V15:Z18"/>
    <mergeCell ref="V20:Z23"/>
  </mergeCells>
  <conditionalFormatting sqref="A4:T4">
    <cfRule type="containsText" dxfId="611" priority="942" operator="containsText" text="24hr">
      <formula>NOT(ISERROR(SEARCH("24hr",A4)))</formula>
    </cfRule>
    <cfRule type="containsText" dxfId="610" priority="943" operator="containsText" text="ftr">
      <formula>NOT(ISERROR(SEARCH("ftr",A4)))</formula>
    </cfRule>
  </conditionalFormatting>
  <conditionalFormatting sqref="A4:T4 T33:W33">
    <cfRule type="containsText" dxfId="609" priority="941" operator="containsText" text="24HR">
      <formula>NOT(ISERROR(SEARCH("24HR",A4)))</formula>
    </cfRule>
  </conditionalFormatting>
  <conditionalFormatting sqref="U31:Y31 A34:A36 D34:E36 H34:I36 L34:M36 P34:Q36 T34:W36 U73:XFD1048576 A72:T1048576 U1:U16 A4:T4 AF1:XFD40 X32:Y40 U20:U30">
    <cfRule type="containsText" dxfId="608" priority="939" operator="containsText" text="ftr">
      <formula>NOT(ISERROR(SEARCH("ftr",A1)))</formula>
    </cfRule>
    <cfRule type="containsText" dxfId="607" priority="940" operator="containsText" text="24hr">
      <formula>NOT(ISERROR(SEARCH("24hr",A1)))</formula>
    </cfRule>
  </conditionalFormatting>
  <conditionalFormatting sqref="A33 D33:E33 H33:I33 L33:M33 P33:Q33">
    <cfRule type="containsText" dxfId="606" priority="938" operator="containsText" text="24HR">
      <formula>NOT(ISERROR(SEARCH("24HR",A33)))</formula>
    </cfRule>
  </conditionalFormatting>
  <conditionalFormatting sqref="J40">
    <cfRule type="containsText" dxfId="605" priority="872" operator="containsText" text="24HR">
      <formula>NOT(ISERROR(SEARCH("24HR",J40)))</formula>
    </cfRule>
  </conditionalFormatting>
  <conditionalFormatting sqref="R34">
    <cfRule type="containsText" dxfId="604" priority="924" operator="containsText" text="ftr">
      <formula>NOT(ISERROR(SEARCH("ftr",R34)))</formula>
    </cfRule>
    <cfRule type="containsText" dxfId="603" priority="925" operator="containsText" text="24hr">
      <formula>NOT(ISERROR(SEARCH("24hr",R34)))</formula>
    </cfRule>
  </conditionalFormatting>
  <conditionalFormatting sqref="F34">
    <cfRule type="containsText" dxfId="602" priority="930" operator="containsText" text="ftr">
      <formula>NOT(ISERROR(SEARCH("ftr",F34)))</formula>
    </cfRule>
    <cfRule type="containsText" dxfId="601" priority="931" operator="containsText" text="24hr">
      <formula>NOT(ISERROR(SEARCH("24hr",F34)))</formula>
    </cfRule>
  </conditionalFormatting>
  <conditionalFormatting sqref="B35:B36">
    <cfRule type="containsText" dxfId="600" priority="932" operator="containsText" text="ftr">
      <formula>NOT(ISERROR(SEARCH("ftr",B35)))</formula>
    </cfRule>
    <cfRule type="containsText" dxfId="599" priority="933" operator="containsText" text="24hr">
      <formula>NOT(ISERROR(SEARCH("24hr",B35)))</formula>
    </cfRule>
  </conditionalFormatting>
  <conditionalFormatting sqref="B33">
    <cfRule type="containsText" dxfId="598" priority="936" operator="containsText" text="24HR">
      <formula>NOT(ISERROR(SEARCH("24HR",B33)))</formula>
    </cfRule>
  </conditionalFormatting>
  <conditionalFormatting sqref="B34">
    <cfRule type="containsText" dxfId="597" priority="934" operator="containsText" text="ftr">
      <formula>NOT(ISERROR(SEARCH("ftr",B34)))</formula>
    </cfRule>
    <cfRule type="containsText" dxfId="596" priority="935" operator="containsText" text="24hr">
      <formula>NOT(ISERROR(SEARCH("24hr",B34)))</formula>
    </cfRule>
  </conditionalFormatting>
  <conditionalFormatting sqref="J34">
    <cfRule type="containsText" dxfId="595" priority="928" operator="containsText" text="ftr">
      <formula>NOT(ISERROR(SEARCH("ftr",J34)))</formula>
    </cfRule>
    <cfRule type="containsText" dxfId="594" priority="929" operator="containsText" text="24hr">
      <formula>NOT(ISERROR(SEARCH("24hr",J34)))</formula>
    </cfRule>
  </conditionalFormatting>
  <conditionalFormatting sqref="N34">
    <cfRule type="containsText" dxfId="593" priority="926" operator="containsText" text="ftr">
      <formula>NOT(ISERROR(SEARCH("ftr",N34)))</formula>
    </cfRule>
    <cfRule type="containsText" dxfId="592" priority="927" operator="containsText" text="24hr">
      <formula>NOT(ISERROR(SEARCH("24hr",N34)))</formula>
    </cfRule>
  </conditionalFormatting>
  <conditionalFormatting sqref="F35">
    <cfRule type="containsText" dxfId="591" priority="922" operator="containsText" text="ftr">
      <formula>NOT(ISERROR(SEARCH("ftr",F35)))</formula>
    </cfRule>
    <cfRule type="containsText" dxfId="590" priority="923" operator="containsText" text="24hr">
      <formula>NOT(ISERROR(SEARCH("24hr",F35)))</formula>
    </cfRule>
  </conditionalFormatting>
  <conditionalFormatting sqref="J35">
    <cfRule type="containsText" dxfId="589" priority="920" operator="containsText" text="ftr">
      <formula>NOT(ISERROR(SEARCH("ftr",J35)))</formula>
    </cfRule>
    <cfRule type="containsText" dxfId="588" priority="921" operator="containsText" text="24hr">
      <formula>NOT(ISERROR(SEARCH("24hr",J35)))</formula>
    </cfRule>
  </conditionalFormatting>
  <conditionalFormatting sqref="N35">
    <cfRule type="containsText" dxfId="587" priority="918" operator="containsText" text="ftr">
      <formula>NOT(ISERROR(SEARCH("ftr",N35)))</formula>
    </cfRule>
    <cfRule type="containsText" dxfId="586" priority="919" operator="containsText" text="24hr">
      <formula>NOT(ISERROR(SEARCH("24hr",N35)))</formula>
    </cfRule>
  </conditionalFormatting>
  <conditionalFormatting sqref="R35">
    <cfRule type="containsText" dxfId="585" priority="916" operator="containsText" text="ftr">
      <formula>NOT(ISERROR(SEARCH("ftr",R35)))</formula>
    </cfRule>
    <cfRule type="containsText" dxfId="584" priority="917" operator="containsText" text="24hr">
      <formula>NOT(ISERROR(SEARCH("24hr",R35)))</formula>
    </cfRule>
  </conditionalFormatting>
  <conditionalFormatting sqref="F33">
    <cfRule type="containsText" dxfId="583" priority="915" operator="containsText" text="24HR">
      <formula>NOT(ISERROR(SEARCH("24HR",F33)))</formula>
    </cfRule>
  </conditionalFormatting>
  <conditionalFormatting sqref="J33">
    <cfRule type="containsText" dxfId="582" priority="914" operator="containsText" text="24HR">
      <formula>NOT(ISERROR(SEARCH("24HR",J33)))</formula>
    </cfRule>
  </conditionalFormatting>
  <conditionalFormatting sqref="N33">
    <cfRule type="containsText" dxfId="581" priority="913" operator="containsText" text="24HR">
      <formula>NOT(ISERROR(SEARCH("24HR",N33)))</formula>
    </cfRule>
  </conditionalFormatting>
  <conditionalFormatting sqref="R33">
    <cfRule type="containsText" dxfId="580" priority="912" operator="containsText" text="24HR">
      <formula>NOT(ISERROR(SEARCH("24HR",R33)))</formula>
    </cfRule>
  </conditionalFormatting>
  <conditionalFormatting sqref="A2">
    <cfRule type="containsText" dxfId="579" priority="910" operator="containsText" text="24hr">
      <formula>NOT(ISERROR(SEARCH("24hr",A2)))</formula>
    </cfRule>
    <cfRule type="containsText" dxfId="578" priority="911" operator="containsText" text="ftr">
      <formula>NOT(ISERROR(SEARCH("ftr",A2)))</formula>
    </cfRule>
  </conditionalFormatting>
  <conditionalFormatting sqref="A2">
    <cfRule type="containsText" dxfId="577" priority="909" operator="containsText" text="24HR">
      <formula>NOT(ISERROR(SEARCH("24HR",A2)))</formula>
    </cfRule>
  </conditionalFormatting>
  <conditionalFormatting sqref="A2">
    <cfRule type="containsText" dxfId="576" priority="907" operator="containsText" text="FTR">
      <formula>NOT(ISERROR(SEARCH("FTR",A2)))</formula>
    </cfRule>
    <cfRule type="containsText" dxfId="575" priority="908" operator="containsText" text="24HR">
      <formula>NOT(ISERROR(SEARCH("24HR",A2)))</formula>
    </cfRule>
  </conditionalFormatting>
  <conditionalFormatting sqref="A1">
    <cfRule type="containsText" dxfId="574" priority="905" operator="containsText" text="24hr">
      <formula>NOT(ISERROR(SEARCH("24hr",A1)))</formula>
    </cfRule>
    <cfRule type="containsText" dxfId="573" priority="906" operator="containsText" text="ftr">
      <formula>NOT(ISERROR(SEARCH("ftr",A1)))</formula>
    </cfRule>
  </conditionalFormatting>
  <conditionalFormatting sqref="A1">
    <cfRule type="containsText" dxfId="572" priority="904" operator="containsText" text="24HR">
      <formula>NOT(ISERROR(SEARCH("24HR",A1)))</formula>
    </cfRule>
  </conditionalFormatting>
  <conditionalFormatting sqref="A1">
    <cfRule type="containsText" dxfId="571" priority="902" operator="containsText" text="FTR">
      <formula>NOT(ISERROR(SEARCH("FTR",A1)))</formula>
    </cfRule>
    <cfRule type="containsText" dxfId="570" priority="903" operator="containsText" text="24HR">
      <formula>NOT(ISERROR(SEARCH("24HR",A1)))</formula>
    </cfRule>
  </conditionalFormatting>
  <conditionalFormatting sqref="A3:T3">
    <cfRule type="containsText" dxfId="569" priority="900" operator="containsText" text="24hr">
      <formula>NOT(ISERROR(SEARCH("24hr",A3)))</formula>
    </cfRule>
    <cfRule type="containsText" dxfId="568" priority="901" operator="containsText" text="ftr">
      <formula>NOT(ISERROR(SEARCH("ftr",A3)))</formula>
    </cfRule>
  </conditionalFormatting>
  <conditionalFormatting sqref="A3:T3">
    <cfRule type="containsText" dxfId="567" priority="899" operator="containsText" text="24HR">
      <formula>NOT(ISERROR(SEARCH("24HR",A3)))</formula>
    </cfRule>
  </conditionalFormatting>
  <conditionalFormatting sqref="A3:T3">
    <cfRule type="containsText" dxfId="566" priority="897" operator="containsText" text="FTR">
      <formula>NOT(ISERROR(SEARCH("FTR",A3)))</formula>
    </cfRule>
    <cfRule type="containsText" dxfId="565" priority="898" operator="containsText" text="24HR">
      <formula>NOT(ISERROR(SEARCH("24HR",A3)))</formula>
    </cfRule>
  </conditionalFormatting>
  <conditionalFormatting sqref="A32:T32">
    <cfRule type="containsText" dxfId="564" priority="895" operator="containsText" text="24hr">
      <formula>NOT(ISERROR(SEARCH("24hr",A32)))</formula>
    </cfRule>
    <cfRule type="containsText" dxfId="563" priority="896" operator="containsText" text="ftr">
      <formula>NOT(ISERROR(SEARCH("ftr",A32)))</formula>
    </cfRule>
  </conditionalFormatting>
  <conditionalFormatting sqref="A32:T32">
    <cfRule type="containsText" dxfId="562" priority="894" operator="containsText" text="24HR">
      <formula>NOT(ISERROR(SEARCH("24HR",A32)))</formula>
    </cfRule>
  </conditionalFormatting>
  <conditionalFormatting sqref="A32:T32">
    <cfRule type="containsText" dxfId="561" priority="892" operator="containsText" text="FTR">
      <formula>NOT(ISERROR(SEARCH("FTR",A32)))</formula>
    </cfRule>
    <cfRule type="containsText" dxfId="560" priority="893" operator="containsText" text="24HR">
      <formula>NOT(ISERROR(SEARCH("24HR",A32)))</formula>
    </cfRule>
  </conditionalFormatting>
  <conditionalFormatting sqref="U32">
    <cfRule type="containsText" dxfId="559" priority="890" operator="containsText" text="24hr">
      <formula>NOT(ISERROR(SEARCH("24hr",U32)))</formula>
    </cfRule>
    <cfRule type="containsText" dxfId="558" priority="891" operator="containsText" text="ftr">
      <formula>NOT(ISERROR(SEARCH("ftr",U32)))</formula>
    </cfRule>
  </conditionalFormatting>
  <conditionalFormatting sqref="U32">
    <cfRule type="containsText" dxfId="557" priority="889" operator="containsText" text="24HR">
      <formula>NOT(ISERROR(SEARCH("24HR",U32)))</formula>
    </cfRule>
  </conditionalFormatting>
  <conditionalFormatting sqref="U32">
    <cfRule type="containsText" dxfId="556" priority="887" operator="containsText" text="FTR">
      <formula>NOT(ISERROR(SEARCH("FTR",U32)))</formula>
    </cfRule>
    <cfRule type="containsText" dxfId="555" priority="888" operator="containsText" text="24HR">
      <formula>NOT(ISERROR(SEARCH("24HR",U32)))</formula>
    </cfRule>
  </conditionalFormatting>
  <conditionalFormatting sqref="F36">
    <cfRule type="containsText" dxfId="554" priority="885" operator="containsText" text="ftr">
      <formula>NOT(ISERROR(SEARCH("ftr",F36)))</formula>
    </cfRule>
    <cfRule type="containsText" dxfId="553" priority="886" operator="containsText" text="24hr">
      <formula>NOT(ISERROR(SEARCH("24hr",F36)))</formula>
    </cfRule>
  </conditionalFormatting>
  <conditionalFormatting sqref="J36">
    <cfRule type="containsText" dxfId="552" priority="883" operator="containsText" text="ftr">
      <formula>NOT(ISERROR(SEARCH("ftr",J36)))</formula>
    </cfRule>
    <cfRule type="containsText" dxfId="551" priority="884" operator="containsText" text="24hr">
      <formula>NOT(ISERROR(SEARCH("24hr",J36)))</formula>
    </cfRule>
  </conditionalFormatting>
  <conditionalFormatting sqref="N36">
    <cfRule type="containsText" dxfId="550" priority="881" operator="containsText" text="ftr">
      <formula>NOT(ISERROR(SEARCH("ftr",N36)))</formula>
    </cfRule>
    <cfRule type="containsText" dxfId="549" priority="882" operator="containsText" text="24hr">
      <formula>NOT(ISERROR(SEARCH("24hr",N36)))</formula>
    </cfRule>
  </conditionalFormatting>
  <conditionalFormatting sqref="R36">
    <cfRule type="containsText" dxfId="548" priority="879" operator="containsText" text="ftr">
      <formula>NOT(ISERROR(SEARCH("ftr",R36)))</formula>
    </cfRule>
    <cfRule type="containsText" dxfId="547" priority="880" operator="containsText" text="24hr">
      <formula>NOT(ISERROR(SEARCH("24hr",R36)))</formula>
    </cfRule>
  </conditionalFormatting>
  <conditionalFormatting sqref="A33:W36 A32:U32">
    <cfRule type="containsText" dxfId="546" priority="874" operator="containsText" text="SPEC">
      <formula>NOT(ISERROR(SEARCH("SPEC",A32)))</formula>
    </cfRule>
  </conditionalFormatting>
  <conditionalFormatting sqref="I40 L40:M40 P40:S40">
    <cfRule type="containsText" dxfId="545" priority="873" operator="containsText" text="24HR">
      <formula>NOT(ISERROR(SEARCH("24HR",I40)))</formula>
    </cfRule>
  </conditionalFormatting>
  <conditionalFormatting sqref="N40">
    <cfRule type="containsText" dxfId="544" priority="871" operator="containsText" text="24HR">
      <formula>NOT(ISERROR(SEARCH("24HR",N40)))</formula>
    </cfRule>
  </conditionalFormatting>
  <conditionalFormatting sqref="I40:S40">
    <cfRule type="containsText" dxfId="543" priority="870" operator="containsText" text="PROC">
      <formula>NOT(ISERROR(SEARCH("PROC",I40)))</formula>
    </cfRule>
  </conditionalFormatting>
  <conditionalFormatting sqref="A63:A71">
    <cfRule type="containsText" dxfId="542" priority="868" operator="containsText" text="ftr">
      <formula>NOT(ISERROR(SEARCH("ftr",A63)))</formula>
    </cfRule>
    <cfRule type="containsText" dxfId="541" priority="869" operator="containsText" text="24hr">
      <formula>NOT(ISERROR(SEARCH("24hr",A63)))</formula>
    </cfRule>
  </conditionalFormatting>
  <conditionalFormatting sqref="A63:A71">
    <cfRule type="containsText" dxfId="540" priority="867" operator="containsText" text="PROC">
      <formula>NOT(ISERROR(SEARCH("PROC",A63)))</formula>
    </cfRule>
  </conditionalFormatting>
  <conditionalFormatting sqref="H63:H71">
    <cfRule type="containsText" dxfId="539" priority="865" operator="containsText" text="ftr">
      <formula>NOT(ISERROR(SEARCH("ftr",H63)))</formula>
    </cfRule>
    <cfRule type="containsText" dxfId="538" priority="866" operator="containsText" text="24hr">
      <formula>NOT(ISERROR(SEARCH("24hr",H63)))</formula>
    </cfRule>
  </conditionalFormatting>
  <conditionalFormatting sqref="H63:H71">
    <cfRule type="containsText" dxfId="537" priority="864" operator="containsText" text="PROC">
      <formula>NOT(ISERROR(SEARCH("PROC",H63)))</formula>
    </cfRule>
  </conditionalFormatting>
  <conditionalFormatting sqref="O63:O71">
    <cfRule type="containsText" dxfId="536" priority="862" operator="containsText" text="ftr">
      <formula>NOT(ISERROR(SEARCH("ftr",O63)))</formula>
    </cfRule>
    <cfRule type="containsText" dxfId="535" priority="863" operator="containsText" text="24hr">
      <formula>NOT(ISERROR(SEARCH("24hr",O63)))</formula>
    </cfRule>
  </conditionalFormatting>
  <conditionalFormatting sqref="O63:O71">
    <cfRule type="containsText" dxfId="534" priority="861" operator="containsText" text="PROC">
      <formula>NOT(ISERROR(SEARCH("PROC",O63)))</formula>
    </cfRule>
  </conditionalFormatting>
  <conditionalFormatting sqref="V63:V71">
    <cfRule type="containsText" dxfId="533" priority="859" operator="containsText" text="ftr">
      <formula>NOT(ISERROR(SEARCH("ftr",V63)))</formula>
    </cfRule>
    <cfRule type="containsText" dxfId="532" priority="860" operator="containsText" text="24hr">
      <formula>NOT(ISERROR(SEARCH("24hr",V63)))</formula>
    </cfRule>
  </conditionalFormatting>
  <conditionalFormatting sqref="V63:V71">
    <cfRule type="containsText" dxfId="531" priority="858" operator="containsText" text="PROC">
      <formula>NOT(ISERROR(SEARCH("PROC",V63)))</formula>
    </cfRule>
  </conditionalFormatting>
  <conditionalFormatting sqref="B62:F71">
    <cfRule type="containsText" dxfId="530" priority="856" operator="containsText" text="NOT MET">
      <formula>NOT(ISERROR(SEARCH("NOT MET",B62)))</formula>
    </cfRule>
    <cfRule type="containsText" dxfId="529" priority="857" operator="containsText" text="MET">
      <formula>NOT(ISERROR(SEARCH("MET",B62)))</formula>
    </cfRule>
  </conditionalFormatting>
  <conditionalFormatting sqref="B41 D41">
    <cfRule type="containsText" dxfId="528" priority="855" operator="containsText" text="24HR">
      <formula>NOT(ISERROR(SEARCH("24HR",B41)))</formula>
    </cfRule>
  </conditionalFormatting>
  <conditionalFormatting sqref="A43:B43 A42:D42 E46:H46 D43">
    <cfRule type="containsText" dxfId="527" priority="852" operator="containsText" text="SPEC">
      <formula>NOT(ISERROR(SEARCH("SPEC",A42)))</formula>
    </cfRule>
    <cfRule type="containsText" dxfId="526" priority="853" operator="containsText" text="ftr">
      <formula>NOT(ISERROR(SEARCH("ftr",A42)))</formula>
    </cfRule>
    <cfRule type="containsText" dxfId="525" priority="854" operator="containsText" text="24HR">
      <formula>NOT(ISERROR(SEARCH("24HR",A42)))</formula>
    </cfRule>
  </conditionalFormatting>
  <conditionalFormatting sqref="A40:D40">
    <cfRule type="containsText" dxfId="524" priority="850" operator="containsText" text="24hr">
      <formula>NOT(ISERROR(SEARCH("24hr",A40)))</formula>
    </cfRule>
    <cfRule type="containsText" dxfId="523" priority="851" operator="containsText" text="ftr">
      <formula>NOT(ISERROR(SEARCH("ftr",A40)))</formula>
    </cfRule>
  </conditionalFormatting>
  <conditionalFormatting sqref="A40:D40">
    <cfRule type="containsText" dxfId="522" priority="849" operator="containsText" text="24HR">
      <formula>NOT(ISERROR(SEARCH("24HR",A40)))</formula>
    </cfRule>
  </conditionalFormatting>
  <conditionalFormatting sqref="A40:D40">
    <cfRule type="containsText" dxfId="521" priority="847" operator="containsText" text="FTR">
      <formula>NOT(ISERROR(SEARCH("FTR",A40)))</formula>
    </cfRule>
    <cfRule type="containsText" dxfId="520" priority="848" operator="containsText" text="24HR">
      <formula>NOT(ISERROR(SEARCH("24HR",A40)))</formula>
    </cfRule>
  </conditionalFormatting>
  <conditionalFormatting sqref="A40:D40">
    <cfRule type="containsText" dxfId="519" priority="846" operator="containsText" text="SPEC">
      <formula>NOT(ISERROR(SEARCH("SPEC",A40)))</formula>
    </cfRule>
  </conditionalFormatting>
  <conditionalFormatting sqref="I62:M71">
    <cfRule type="containsText" dxfId="518" priority="844" operator="containsText" text="NOT MET">
      <formula>NOT(ISERROR(SEARCH("NOT MET",I62)))</formula>
    </cfRule>
    <cfRule type="containsText" dxfId="517" priority="845" operator="containsText" text="MET">
      <formula>NOT(ISERROR(SEARCH("MET",I62)))</formula>
    </cfRule>
  </conditionalFormatting>
  <conditionalFormatting sqref="P62:P71">
    <cfRule type="containsText" dxfId="516" priority="842" operator="containsText" text="NOT MET">
      <formula>NOT(ISERROR(SEARCH("NOT MET",P62)))</formula>
    </cfRule>
    <cfRule type="containsText" dxfId="515" priority="843" operator="containsText" text="MET">
      <formula>NOT(ISERROR(SEARCH("MET",P62)))</formula>
    </cfRule>
  </conditionalFormatting>
  <conditionalFormatting sqref="Q62:T71">
    <cfRule type="containsText" dxfId="514" priority="840" operator="containsText" text="NOT MET">
      <formula>NOT(ISERROR(SEARCH("NOT MET",Q62)))</formula>
    </cfRule>
    <cfRule type="containsText" dxfId="513" priority="841" operator="containsText" text="MET">
      <formula>NOT(ISERROR(SEARCH("MET",Q62)))</formula>
    </cfRule>
  </conditionalFormatting>
  <conditionalFormatting sqref="W62:W71">
    <cfRule type="containsText" dxfId="512" priority="838" operator="containsText" text="NOT MET">
      <formula>NOT(ISERROR(SEARCH("NOT MET",W62)))</formula>
    </cfRule>
    <cfRule type="containsText" dxfId="511" priority="839" operator="containsText" text="MET">
      <formula>NOT(ISERROR(SEARCH("MET",W62)))</formula>
    </cfRule>
  </conditionalFormatting>
  <conditionalFormatting sqref="X62:AA71">
    <cfRule type="containsText" dxfId="510" priority="836" operator="containsText" text="NOT MET">
      <formula>NOT(ISERROR(SEARCH("NOT MET",X62)))</formula>
    </cfRule>
    <cfRule type="containsText" dxfId="509" priority="837" operator="containsText" text="MET">
      <formula>NOT(ISERROR(SEARCH("MET",X62)))</formula>
    </cfRule>
  </conditionalFormatting>
  <conditionalFormatting sqref="I62:M71 P62:T71 W62:AA71">
    <cfRule type="cellIs" dxfId="508" priority="835" operator="equal">
      <formula>0</formula>
    </cfRule>
  </conditionalFormatting>
  <conditionalFormatting sqref="N55:N56">
    <cfRule type="containsText" dxfId="507" priority="834" operator="containsText" text="24HR">
      <formula>NOT(ISERROR(SEARCH("24HR",N55)))</formula>
    </cfRule>
  </conditionalFormatting>
  <conditionalFormatting sqref="N55:N56">
    <cfRule type="containsText" dxfId="506" priority="833" operator="containsText" text="PROC">
      <formula>NOT(ISERROR(SEARCH("PROC",N55)))</formula>
    </cfRule>
  </conditionalFormatting>
  <conditionalFormatting sqref="R56">
    <cfRule type="containsText" dxfId="505" priority="830" operator="containsText" text="over">
      <formula>NOT(ISERROR(SEARCH("over",R56)))</formula>
    </cfRule>
    <cfRule type="containsText" dxfId="504" priority="831" operator="containsText" text="Provider">
      <formula>NOT(ISERROR(SEARCH("Provider",R56)))</formula>
    </cfRule>
    <cfRule type="containsText" dxfId="503" priority="832" operator="containsText" text="short">
      <formula>NOT(ISERROR(SEARCH("short",R56)))</formula>
    </cfRule>
  </conditionalFormatting>
  <conditionalFormatting sqref="A44:D44">
    <cfRule type="containsText" dxfId="502" priority="827" operator="containsText" text="SPEC">
      <formula>NOT(ISERROR(SEARCH("SPEC",A44)))</formula>
    </cfRule>
    <cfRule type="containsText" dxfId="501" priority="828" operator="containsText" text="ftr">
      <formula>NOT(ISERROR(SEARCH("ftr",A44)))</formula>
    </cfRule>
    <cfRule type="containsText" dxfId="500" priority="829" operator="containsText" text="24HR">
      <formula>NOT(ISERROR(SEARCH("24HR",A44)))</formula>
    </cfRule>
  </conditionalFormatting>
  <conditionalFormatting sqref="H42">
    <cfRule type="cellIs" dxfId="499" priority="816" operator="greaterThan">
      <formula>0.05</formula>
    </cfRule>
  </conditionalFormatting>
  <conditionalFormatting sqref="F41 H41">
    <cfRule type="containsText" dxfId="498" priority="826" operator="containsText" text="24HR">
      <formula>NOT(ISERROR(SEARCH("24HR",F41)))</formula>
    </cfRule>
  </conditionalFormatting>
  <conditionalFormatting sqref="E42:H42">
    <cfRule type="containsText" dxfId="497" priority="823" operator="containsText" text="SPEC">
      <formula>NOT(ISERROR(SEARCH("SPEC",E42)))</formula>
    </cfRule>
    <cfRule type="containsText" dxfId="496" priority="824" operator="containsText" text="ftr">
      <formula>NOT(ISERROR(SEARCH("ftr",E42)))</formula>
    </cfRule>
    <cfRule type="containsText" dxfId="495" priority="825" operator="containsText" text="24HR">
      <formula>NOT(ISERROR(SEARCH("24HR",E42)))</formula>
    </cfRule>
  </conditionalFormatting>
  <conditionalFormatting sqref="E40:H40">
    <cfRule type="containsText" dxfId="494" priority="821" operator="containsText" text="24hr">
      <formula>NOT(ISERROR(SEARCH("24hr",E40)))</formula>
    </cfRule>
    <cfRule type="containsText" dxfId="493" priority="822" operator="containsText" text="ftr">
      <formula>NOT(ISERROR(SEARCH("ftr",E40)))</formula>
    </cfRule>
  </conditionalFormatting>
  <conditionalFormatting sqref="E40:H40">
    <cfRule type="containsText" dxfId="492" priority="820" operator="containsText" text="24HR">
      <formula>NOT(ISERROR(SEARCH("24HR",E40)))</formula>
    </cfRule>
  </conditionalFormatting>
  <conditionalFormatting sqref="E40:H40">
    <cfRule type="containsText" dxfId="491" priority="818" operator="containsText" text="FTR">
      <formula>NOT(ISERROR(SEARCH("FTR",E40)))</formula>
    </cfRule>
    <cfRule type="containsText" dxfId="490" priority="819" operator="containsText" text="24HR">
      <formula>NOT(ISERROR(SEARCH("24HR",E40)))</formula>
    </cfRule>
  </conditionalFormatting>
  <conditionalFormatting sqref="E40:H40">
    <cfRule type="containsText" dxfId="489" priority="817" operator="containsText" text="SPEC">
      <formula>NOT(ISERROR(SEARCH("SPEC",E40)))</formula>
    </cfRule>
  </conditionalFormatting>
  <conditionalFormatting sqref="A5:T31">
    <cfRule type="containsText" dxfId="488" priority="1" operator="containsText" text="GRP">
      <formula>NOT(ISERROR(SEARCH("GRP",A5)))</formula>
    </cfRule>
    <cfRule type="containsText" dxfId="487" priority="2" operator="containsText" text="proc">
      <formula>NOT(ISERROR(SEARCH("proc",A5)))</formula>
    </cfRule>
    <cfRule type="containsText" dxfId="486" priority="100" operator="containsText" text="SPEC">
      <formula>NOT(ISERROR(SEARCH("SPEC",A5)))</formula>
    </cfRule>
    <cfRule type="containsText" dxfId="485" priority="101" operator="containsText" text="ftr">
      <formula>NOT(ISERROR(SEARCH("ftr",A5)))</formula>
    </cfRule>
    <cfRule type="containsText" dxfId="484" priority="102" operator="containsText" text="24hr">
      <formula>NOT(ISERROR(SEARCH("24hr",A5)))</formula>
    </cfRule>
  </conditionalFormatting>
  <conditionalFormatting sqref="A37:A38 D37:E38 H37:I38 L37:M38 P37:Q38 T37:W38">
    <cfRule type="containsText" dxfId="483" priority="98" operator="containsText" text="ftr">
      <formula>NOT(ISERROR(SEARCH("ftr",A37)))</formula>
    </cfRule>
    <cfRule type="containsText" dxfId="482" priority="99" operator="containsText" text="24hr">
      <formula>NOT(ISERROR(SEARCH("24hr",A37)))</formula>
    </cfRule>
  </conditionalFormatting>
  <conditionalFormatting sqref="B37">
    <cfRule type="containsText" dxfId="481" priority="96" operator="containsText" text="ftr">
      <formula>NOT(ISERROR(SEARCH("ftr",B37)))</formula>
    </cfRule>
    <cfRule type="containsText" dxfId="480" priority="97" operator="containsText" text="24hr">
      <formula>NOT(ISERROR(SEARCH("24hr",B37)))</formula>
    </cfRule>
  </conditionalFormatting>
  <conditionalFormatting sqref="A37:B37 A38 D37:E38 H37:I38 L37:M38 P37:Q38 T37:W38">
    <cfRule type="containsText" dxfId="479" priority="95" operator="containsText" text="SPEC">
      <formula>NOT(ISERROR(SEARCH("SPEC",A37)))</formula>
    </cfRule>
  </conditionalFormatting>
  <conditionalFormatting sqref="A38 A37:B37 D37:E38 H37:I38 L37:M38 P37:Q38 T37:W38">
    <cfRule type="containsText" dxfId="478" priority="93" operator="containsText" text="GRP">
      <formula>NOT(ISERROR(SEARCH("GRP",A37)))</formula>
    </cfRule>
    <cfRule type="containsText" dxfId="477" priority="94" operator="containsText" text="PROC">
      <formula>NOT(ISERROR(SEARCH("PROC",A37)))</formula>
    </cfRule>
  </conditionalFormatting>
  <conditionalFormatting sqref="B38">
    <cfRule type="containsText" dxfId="476" priority="91" operator="containsText" text="ftr">
      <formula>NOT(ISERROR(SEARCH("ftr",B38)))</formula>
    </cfRule>
    <cfRule type="containsText" dxfId="475" priority="92" operator="containsText" text="24hr">
      <formula>NOT(ISERROR(SEARCH("24hr",B38)))</formula>
    </cfRule>
  </conditionalFormatting>
  <conditionalFormatting sqref="B38">
    <cfRule type="containsText" dxfId="474" priority="90" operator="containsText" text="SPEC">
      <formula>NOT(ISERROR(SEARCH("SPEC",B38)))</formula>
    </cfRule>
  </conditionalFormatting>
  <conditionalFormatting sqref="B38">
    <cfRule type="containsText" dxfId="473" priority="88" operator="containsText" text="GRP">
      <formula>NOT(ISERROR(SEARCH("GRP",B38)))</formula>
    </cfRule>
    <cfRule type="containsText" dxfId="472" priority="89" operator="containsText" text="PROC">
      <formula>NOT(ISERROR(SEARCH("PROC",B38)))</formula>
    </cfRule>
  </conditionalFormatting>
  <conditionalFormatting sqref="F37">
    <cfRule type="containsText" dxfId="471" priority="86" operator="containsText" text="ftr">
      <formula>NOT(ISERROR(SEARCH("ftr",F37)))</formula>
    </cfRule>
    <cfRule type="containsText" dxfId="470" priority="87" operator="containsText" text="24hr">
      <formula>NOT(ISERROR(SEARCH("24hr",F37)))</formula>
    </cfRule>
  </conditionalFormatting>
  <conditionalFormatting sqref="F37:G37">
    <cfRule type="containsText" dxfId="469" priority="85" operator="containsText" text="SPEC">
      <formula>NOT(ISERROR(SEARCH("SPEC",F37)))</formula>
    </cfRule>
  </conditionalFormatting>
  <conditionalFormatting sqref="R38:S38">
    <cfRule type="containsText" dxfId="468" priority="64" operator="containsText" text="SPEC">
      <formula>NOT(ISERROR(SEARCH("SPEC",R38)))</formula>
    </cfRule>
  </conditionalFormatting>
  <conditionalFormatting sqref="F38">
    <cfRule type="containsText" dxfId="467" priority="83" operator="containsText" text="ftr">
      <formula>NOT(ISERROR(SEARCH("ftr",F38)))</formula>
    </cfRule>
    <cfRule type="containsText" dxfId="466" priority="84" operator="containsText" text="24hr">
      <formula>NOT(ISERROR(SEARCH("24hr",F38)))</formula>
    </cfRule>
  </conditionalFormatting>
  <conditionalFormatting sqref="F38:G38">
    <cfRule type="containsText" dxfId="465" priority="82" operator="containsText" text="SPEC">
      <formula>NOT(ISERROR(SEARCH("SPEC",F38)))</formula>
    </cfRule>
  </conditionalFormatting>
  <conditionalFormatting sqref="R38">
    <cfRule type="containsText" dxfId="464" priority="65" operator="containsText" text="ftr">
      <formula>NOT(ISERROR(SEARCH("ftr",R38)))</formula>
    </cfRule>
    <cfRule type="containsText" dxfId="463" priority="66" operator="containsText" text="24hr">
      <formula>NOT(ISERROR(SEARCH("24hr",R38)))</formula>
    </cfRule>
  </conditionalFormatting>
  <conditionalFormatting sqref="J37">
    <cfRule type="containsText" dxfId="462" priority="80" operator="containsText" text="ftr">
      <formula>NOT(ISERROR(SEARCH("ftr",J37)))</formula>
    </cfRule>
    <cfRule type="containsText" dxfId="461" priority="81" operator="containsText" text="24hr">
      <formula>NOT(ISERROR(SEARCH("24hr",J37)))</formula>
    </cfRule>
  </conditionalFormatting>
  <conditionalFormatting sqref="J37:K37">
    <cfRule type="containsText" dxfId="460" priority="79" operator="containsText" text="SPEC">
      <formula>NOT(ISERROR(SEARCH("SPEC",J37)))</formula>
    </cfRule>
  </conditionalFormatting>
  <conditionalFormatting sqref="J38">
    <cfRule type="containsText" dxfId="459" priority="77" operator="containsText" text="ftr">
      <formula>NOT(ISERROR(SEARCH("ftr",J38)))</formula>
    </cfRule>
    <cfRule type="containsText" dxfId="458" priority="78" operator="containsText" text="24hr">
      <formula>NOT(ISERROR(SEARCH("24hr",J38)))</formula>
    </cfRule>
  </conditionalFormatting>
  <conditionalFormatting sqref="J38:K38">
    <cfRule type="containsText" dxfId="457" priority="76" operator="containsText" text="SPEC">
      <formula>NOT(ISERROR(SEARCH("SPEC",J38)))</formula>
    </cfRule>
  </conditionalFormatting>
  <conditionalFormatting sqref="N37">
    <cfRule type="containsText" dxfId="456" priority="74" operator="containsText" text="ftr">
      <formula>NOT(ISERROR(SEARCH("ftr",N37)))</formula>
    </cfRule>
    <cfRule type="containsText" dxfId="455" priority="75" operator="containsText" text="24hr">
      <formula>NOT(ISERROR(SEARCH("24hr",N37)))</formula>
    </cfRule>
  </conditionalFormatting>
  <conditionalFormatting sqref="N37:O37">
    <cfRule type="containsText" dxfId="454" priority="73" operator="containsText" text="SPEC">
      <formula>NOT(ISERROR(SEARCH("SPEC",N37)))</formula>
    </cfRule>
  </conditionalFormatting>
  <conditionalFormatting sqref="N38">
    <cfRule type="containsText" dxfId="453" priority="71" operator="containsText" text="ftr">
      <formula>NOT(ISERROR(SEARCH("ftr",N38)))</formula>
    </cfRule>
    <cfRule type="containsText" dxfId="452" priority="72" operator="containsText" text="24hr">
      <formula>NOT(ISERROR(SEARCH("24hr",N38)))</formula>
    </cfRule>
  </conditionalFormatting>
  <conditionalFormatting sqref="N38:O38">
    <cfRule type="containsText" dxfId="451" priority="70" operator="containsText" text="SPEC">
      <formula>NOT(ISERROR(SEARCH("SPEC",N38)))</formula>
    </cfRule>
  </conditionalFormatting>
  <conditionalFormatting sqref="R37">
    <cfRule type="containsText" dxfId="450" priority="68" operator="containsText" text="ftr">
      <formula>NOT(ISERROR(SEARCH("ftr",R37)))</formula>
    </cfRule>
    <cfRule type="containsText" dxfId="449" priority="69" operator="containsText" text="24hr">
      <formula>NOT(ISERROR(SEARCH("24hr",R37)))</formula>
    </cfRule>
  </conditionalFormatting>
  <conditionalFormatting sqref="R37:S37">
    <cfRule type="containsText" dxfId="448" priority="67" operator="containsText" text="SPEC">
      <formula>NOT(ISERROR(SEARCH("SPEC",R37)))</formula>
    </cfRule>
  </conditionalFormatting>
  <conditionalFormatting sqref="T39:W39">
    <cfRule type="containsText" dxfId="447" priority="42" operator="containsText" text="24HR">
      <formula>NOT(ISERROR(SEARCH("24HR",T39)))</formula>
    </cfRule>
  </conditionalFormatting>
  <conditionalFormatting sqref="A39:B39 D39:E39 L39:M39 H39:I39 P39:Q39">
    <cfRule type="containsText" dxfId="446" priority="41" operator="containsText" text="24HR">
      <formula>NOT(ISERROR(SEARCH("24HR",A39)))</formula>
    </cfRule>
  </conditionalFormatting>
  <conditionalFormatting sqref="F39">
    <cfRule type="containsText" dxfId="445" priority="40" operator="containsText" text="24HR">
      <formula>NOT(ISERROR(SEARCH("24HR",F39)))</formula>
    </cfRule>
  </conditionalFormatting>
  <conditionalFormatting sqref="J39">
    <cfRule type="containsText" dxfId="444" priority="39" operator="containsText" text="24HR">
      <formula>NOT(ISERROR(SEARCH("24HR",J39)))</formula>
    </cfRule>
  </conditionalFormatting>
  <conditionalFormatting sqref="N39">
    <cfRule type="containsText" dxfId="443" priority="38" operator="containsText" text="24HR">
      <formula>NOT(ISERROR(SEARCH("24HR",N39)))</formula>
    </cfRule>
  </conditionalFormatting>
  <conditionalFormatting sqref="R39">
    <cfRule type="containsText" dxfId="442" priority="37" operator="containsText" text="24HR">
      <formula>NOT(ISERROR(SEARCH("24HR",R39)))</formula>
    </cfRule>
  </conditionalFormatting>
  <conditionalFormatting sqref="A39:W39">
    <cfRule type="containsText" dxfId="441" priority="36" operator="containsText" text="SPEC">
      <formula>NOT(ISERROR(SEARCH("SPEC",A39)))</formula>
    </cfRule>
  </conditionalFormatting>
  <conditionalFormatting sqref="W39">
    <cfRule type="cellIs" dxfId="440" priority="35" operator="lessThan">
      <formula>100%</formula>
    </cfRule>
  </conditionalFormatting>
  <conditionalFormatting sqref="F39">
    <cfRule type="containsText" dxfId="439" priority="34" operator="containsText" text="24HR">
      <formula>NOT(ISERROR(SEARCH("24HR",F39)))</formula>
    </cfRule>
  </conditionalFormatting>
  <conditionalFormatting sqref="J39">
    <cfRule type="containsText" dxfId="438" priority="33" operator="containsText" text="24HR">
      <formula>NOT(ISERROR(SEARCH("24HR",J39)))</formula>
    </cfRule>
  </conditionalFormatting>
  <conditionalFormatting sqref="N39">
    <cfRule type="containsText" dxfId="437" priority="32" operator="containsText" text="24HR">
      <formula>NOT(ISERROR(SEARCH("24HR",N39)))</formula>
    </cfRule>
  </conditionalFormatting>
  <conditionalFormatting sqref="R39">
    <cfRule type="containsText" dxfId="436" priority="31" operator="containsText" text="24HR">
      <formula>NOT(ISERROR(SEARCH("24HR",R39)))</formula>
    </cfRule>
  </conditionalFormatting>
  <conditionalFormatting sqref="AA20:AA23">
    <cfRule type="cellIs" dxfId="435" priority="15" operator="lessThan">
      <formula>0.9</formula>
    </cfRule>
    <cfRule type="cellIs" dxfId="434" priority="16" operator="greaterThanOrEqual">
      <formula>0.9</formula>
    </cfRule>
  </conditionalFormatting>
  <conditionalFormatting sqref="AA15:AA18">
    <cfRule type="cellIs" dxfId="433" priority="11" operator="greaterThan">
      <formula>0.07</formula>
    </cfRule>
    <cfRule type="cellIs" dxfId="432" priority="12" operator="between">
      <formula>0.02</formula>
      <formula>0.05</formula>
    </cfRule>
    <cfRule type="cellIs" dxfId="431" priority="13" operator="between">
      <formula>0.05</formula>
      <formula>0.07</formula>
    </cfRule>
    <cfRule type="cellIs" dxfId="430" priority="14" operator="lessThan">
      <formula>0.02</formula>
    </cfRule>
  </conditionalFormatting>
  <conditionalFormatting sqref="AA10:AA13">
    <cfRule type="cellIs" dxfId="429" priority="7" operator="greaterThanOrEqual">
      <formula>0.6</formula>
    </cfRule>
    <cfRule type="cellIs" dxfId="428" priority="8" operator="between">
      <formula>0.5</formula>
      <formula>0.6</formula>
    </cfRule>
    <cfRule type="cellIs" dxfId="427" priority="9" operator="between">
      <formula>0.4</formula>
      <formula>0.5</formula>
    </cfRule>
    <cfRule type="cellIs" dxfId="426" priority="10" operator="lessThan">
      <formula>0.4</formula>
    </cfRule>
  </conditionalFormatting>
  <conditionalFormatting sqref="AA5:AA8">
    <cfRule type="cellIs" dxfId="425" priority="3" operator="lessThan">
      <formula>0.1</formula>
    </cfRule>
    <cfRule type="cellIs" dxfId="424" priority="4" operator="between">
      <formula>0.1</formula>
      <formula>0.15</formula>
    </cfRule>
    <cfRule type="cellIs" dxfId="423" priority="5" operator="between">
      <formula>0.15</formula>
      <formula>0.2</formula>
    </cfRule>
    <cfRule type="cellIs" dxfId="422" priority="6" operator="greaterThanOrEqual">
      <formula>0.2</formula>
    </cfRule>
  </conditionalFormatting>
  <dataValidations count="5">
    <dataValidation type="list" allowBlank="1" showInputMessage="1" showErrorMessage="1" sqref="C54:G54">
      <formula1>Specialty</formula1>
    </dataValidation>
    <dataValidation type="list" allowBlank="1" showInputMessage="1" showErrorMessage="1" sqref="C55:G55">
      <formula1>INDIRECT(SUBSTITUTE(C54," ",""))</formula1>
    </dataValidation>
    <dataValidation type="list" allowBlank="1" showInputMessage="1" showErrorMessage="1" sqref="K54">
      <formula1>TypeofCare</formula1>
    </dataValidation>
    <dataValidation type="list" allowBlank="1" showInputMessage="1" showErrorMessage="1" sqref="K55">
      <formula1>INDIRECT(K54)</formula1>
    </dataValidation>
    <dataValidation type="list" allowBlank="1" showDropDown="1" showInputMessage="1" showErrorMessage="1" error="The appointment type you entered is not approved by DHA. Please choose one of the following approved appointment types: 24HR, FTR, SPEC, PROC, or GRP." sqref="B5:B31 N5:N31 F5:F31 J5:J31 R5:R31">
      <formula1>ApprovedApptTypes</formula1>
    </dataValidation>
  </dataValidations>
  <hyperlinks>
    <hyperlink ref="V20:Z23" location="'%24HR_FTR TOL Appt'!A1" display="% 24HR and FTR TOL Availability"/>
    <hyperlink ref="V15:Z18" location="'Restrictive Detail Code %'!A1" display="% Restrictive Detail Code"/>
    <hyperlink ref="V10:Z13" location="'%24HR_F2F Appts'!A1" display="% 24HR F2F Appointments"/>
    <hyperlink ref="V5:Z8" location="'%Plan Appts &gt;= 1500 Hrs'!A1" display="% Planned Appointments &gt;= 1500"/>
    <hyperlink ref="V1:AA3" location="'Table of Contents'!A1" display="Click here to return to table of contents."/>
  </hyperlinks>
  <pageMargins left="0.7" right="0.7" top="0.75" bottom="0.75" header="0.3" footer="0.3"/>
  <pageSetup orientation="portrait" r:id="rId1"/>
  <ignoredErrors>
    <ignoredError sqref="A22:A31" numberStoredAsText="1"/>
  </ignoredError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theme="5"/>
  </sheetPr>
  <dimension ref="A1:AE71"/>
  <sheetViews>
    <sheetView topLeftCell="A4" zoomScaleNormal="100" workbookViewId="0">
      <selection activeCell="N22" sqref="N22"/>
    </sheetView>
  </sheetViews>
  <sheetFormatPr defaultRowHeight="14.25" x14ac:dyDescent="0.2"/>
  <cols>
    <col min="1" max="1" width="8.875" customWidth="1"/>
    <col min="2" max="3" width="9.25" customWidth="1"/>
    <col min="4" max="4" width="11.5" customWidth="1"/>
    <col min="5" max="5" width="10" customWidth="1"/>
    <col min="6" max="7" width="9.25" customWidth="1"/>
    <col min="8" max="8" width="9" customWidth="1"/>
    <col min="9" max="9" width="8.875" customWidth="1"/>
    <col min="10" max="10" width="8.625" customWidth="1"/>
    <col min="11" max="11" width="11.5" customWidth="1"/>
    <col min="12" max="12" width="9.375" customWidth="1"/>
    <col min="13" max="13" width="8.875" customWidth="1"/>
    <col min="14" max="14" width="6.25" customWidth="1"/>
    <col min="15" max="15" width="9.25" customWidth="1"/>
    <col min="16" max="16" width="9" customWidth="1"/>
    <col min="17" max="17" width="8.875" customWidth="1"/>
    <col min="18" max="18" width="11.5" customWidth="1"/>
    <col min="19" max="19" width="9.375" customWidth="1"/>
    <col min="20" max="20" width="9" customWidth="1"/>
    <col min="21" max="21" width="8.875" customWidth="1"/>
    <col min="22" max="22" width="5.5" customWidth="1"/>
    <col min="23" max="23" width="8" customWidth="1"/>
    <col min="24" max="24" width="8.625" customWidth="1"/>
    <col min="25" max="25" width="11.5" customWidth="1"/>
    <col min="26" max="26" width="9.375" customWidth="1"/>
    <col min="27" max="27" width="13" customWidth="1"/>
  </cols>
  <sheetData>
    <row r="1" spans="1:27" ht="18" x14ac:dyDescent="0.25">
      <c r="A1" s="275" t="s">
        <v>80</v>
      </c>
      <c r="B1" s="275"/>
      <c r="C1" s="275"/>
      <c r="D1" s="275"/>
      <c r="E1" s="275"/>
      <c r="F1" s="275"/>
      <c r="G1" s="275"/>
      <c r="H1" s="275"/>
      <c r="I1" s="275"/>
      <c r="J1" s="275"/>
      <c r="K1" s="275"/>
      <c r="L1" s="275"/>
      <c r="M1" s="275"/>
      <c r="N1" s="275"/>
      <c r="O1" s="275"/>
      <c r="P1" s="275"/>
      <c r="Q1" s="275"/>
      <c r="R1" s="275"/>
      <c r="S1" s="275"/>
      <c r="T1" s="276"/>
      <c r="V1" s="245" t="s">
        <v>415</v>
      </c>
      <c r="W1" s="245"/>
      <c r="X1" s="245"/>
      <c r="Y1" s="245"/>
      <c r="Z1" s="245"/>
      <c r="AA1" s="245"/>
    </row>
    <row r="2" spans="1:27" ht="18.75" thickBot="1" x14ac:dyDescent="0.3">
      <c r="A2" s="277" t="s">
        <v>1</v>
      </c>
      <c r="B2" s="277"/>
      <c r="C2" s="277"/>
      <c r="D2" s="277"/>
      <c r="E2" s="277"/>
      <c r="F2" s="277"/>
      <c r="G2" s="277"/>
      <c r="H2" s="277"/>
      <c r="I2" s="277"/>
      <c r="J2" s="277"/>
      <c r="K2" s="277"/>
      <c r="L2" s="277"/>
      <c r="M2" s="277"/>
      <c r="N2" s="277"/>
      <c r="O2" s="277"/>
      <c r="P2" s="277"/>
      <c r="Q2" s="277"/>
      <c r="R2" s="277"/>
      <c r="S2" s="277"/>
      <c r="T2" s="278"/>
      <c r="V2" s="245"/>
      <c r="W2" s="245"/>
      <c r="X2" s="245"/>
      <c r="Y2" s="245"/>
      <c r="Z2" s="245"/>
      <c r="AA2" s="245"/>
    </row>
    <row r="3" spans="1:27" ht="15.75" thickBot="1" x14ac:dyDescent="0.3">
      <c r="A3" s="272" t="s">
        <v>2</v>
      </c>
      <c r="B3" s="273"/>
      <c r="C3" s="273"/>
      <c r="D3" s="274"/>
      <c r="E3" s="272" t="s">
        <v>3</v>
      </c>
      <c r="F3" s="273"/>
      <c r="G3" s="273"/>
      <c r="H3" s="274"/>
      <c r="I3" s="272" t="s">
        <v>4</v>
      </c>
      <c r="J3" s="273"/>
      <c r="K3" s="273"/>
      <c r="L3" s="274"/>
      <c r="M3" s="272" t="s">
        <v>5</v>
      </c>
      <c r="N3" s="273"/>
      <c r="O3" s="273"/>
      <c r="P3" s="274"/>
      <c r="Q3" s="272" t="s">
        <v>6</v>
      </c>
      <c r="R3" s="273"/>
      <c r="S3" s="273"/>
      <c r="T3" s="274"/>
      <c r="V3" s="245"/>
      <c r="W3" s="245"/>
      <c r="X3" s="245"/>
      <c r="Y3" s="245"/>
      <c r="Z3" s="245"/>
      <c r="AA3" s="245"/>
    </row>
    <row r="4" spans="1:27" ht="15" thickBot="1" x14ac:dyDescent="0.25">
      <c r="A4" s="1" t="s">
        <v>7</v>
      </c>
      <c r="B4" s="1" t="s">
        <v>8</v>
      </c>
      <c r="C4" s="2" t="s">
        <v>9</v>
      </c>
      <c r="D4" s="2" t="s">
        <v>10</v>
      </c>
      <c r="E4" s="1" t="s">
        <v>7</v>
      </c>
      <c r="F4" s="1" t="s">
        <v>8</v>
      </c>
      <c r="G4" s="2" t="s">
        <v>9</v>
      </c>
      <c r="H4" s="2" t="s">
        <v>10</v>
      </c>
      <c r="I4" s="1" t="s">
        <v>7</v>
      </c>
      <c r="J4" s="1" t="s">
        <v>8</v>
      </c>
      <c r="K4" s="2" t="s">
        <v>9</v>
      </c>
      <c r="L4" s="2" t="s">
        <v>10</v>
      </c>
      <c r="M4" s="1" t="s">
        <v>7</v>
      </c>
      <c r="N4" s="1" t="s">
        <v>8</v>
      </c>
      <c r="O4" s="2" t="s">
        <v>9</v>
      </c>
      <c r="P4" s="2" t="s">
        <v>10</v>
      </c>
      <c r="Q4" s="3" t="s">
        <v>7</v>
      </c>
      <c r="R4" s="1" t="s">
        <v>8</v>
      </c>
      <c r="S4" s="2" t="s">
        <v>9</v>
      </c>
      <c r="T4" s="2" t="s">
        <v>10</v>
      </c>
    </row>
    <row r="5" spans="1:27" ht="15" thickTop="1" x14ac:dyDescent="0.2">
      <c r="A5" s="69" t="s">
        <v>33</v>
      </c>
      <c r="B5" s="31"/>
      <c r="C5" s="229"/>
      <c r="D5" s="5"/>
      <c r="E5" s="69" t="s">
        <v>33</v>
      </c>
      <c r="F5" s="31"/>
      <c r="G5" s="229"/>
      <c r="H5" s="5"/>
      <c r="I5" s="69" t="s">
        <v>33</v>
      </c>
      <c r="J5" s="31"/>
      <c r="K5" s="229"/>
      <c r="L5" s="5"/>
      <c r="M5" s="69" t="s">
        <v>33</v>
      </c>
      <c r="N5" s="31"/>
      <c r="O5" s="229"/>
      <c r="P5" s="5"/>
      <c r="Q5" s="69" t="s">
        <v>33</v>
      </c>
      <c r="R5" s="31"/>
      <c r="S5" s="229"/>
      <c r="T5" s="5"/>
      <c r="V5" s="245" t="s">
        <v>414</v>
      </c>
      <c r="W5" s="245"/>
      <c r="X5" s="245"/>
      <c r="Y5" s="245"/>
      <c r="Z5" s="249"/>
      <c r="AA5" s="246">
        <f>'%Plan Appts &gt;= 1500 Hrs'!F49</f>
        <v>0.2</v>
      </c>
    </row>
    <row r="6" spans="1:27" x14ac:dyDescent="0.2">
      <c r="A6" s="70" t="s">
        <v>34</v>
      </c>
      <c r="B6" s="31"/>
      <c r="C6" s="31"/>
      <c r="D6" s="5"/>
      <c r="E6" s="70" t="s">
        <v>34</v>
      </c>
      <c r="F6" s="31"/>
      <c r="G6" s="31"/>
      <c r="H6" s="5"/>
      <c r="I6" s="70" t="s">
        <v>34</v>
      </c>
      <c r="J6" s="31"/>
      <c r="K6" s="31"/>
      <c r="L6" s="5"/>
      <c r="M6" s="70" t="s">
        <v>34</v>
      </c>
      <c r="N6" s="31"/>
      <c r="O6" s="31"/>
      <c r="P6" s="5"/>
      <c r="Q6" s="70" t="s">
        <v>34</v>
      </c>
      <c r="R6" s="31"/>
      <c r="S6" s="31"/>
      <c r="T6" s="5"/>
      <c r="V6" s="245"/>
      <c r="W6" s="245"/>
      <c r="X6" s="245"/>
      <c r="Y6" s="245"/>
      <c r="Z6" s="249"/>
      <c r="AA6" s="304"/>
    </row>
    <row r="7" spans="1:27" x14ac:dyDescent="0.2">
      <c r="A7" s="70" t="s">
        <v>35</v>
      </c>
      <c r="B7" s="31"/>
      <c r="C7" s="31"/>
      <c r="D7" s="5"/>
      <c r="E7" s="70" t="s">
        <v>35</v>
      </c>
      <c r="F7" s="31"/>
      <c r="G7" s="31"/>
      <c r="H7" s="5"/>
      <c r="I7" s="70" t="s">
        <v>35</v>
      </c>
      <c r="J7" s="31"/>
      <c r="K7" s="31"/>
      <c r="L7" s="5"/>
      <c r="M7" s="70" t="s">
        <v>35</v>
      </c>
      <c r="N7" s="31"/>
      <c r="O7" s="31"/>
      <c r="P7" s="5"/>
      <c r="Q7" s="70" t="s">
        <v>35</v>
      </c>
      <c r="R7" s="31"/>
      <c r="S7" s="31"/>
      <c r="T7" s="5"/>
      <c r="V7" s="245"/>
      <c r="W7" s="245"/>
      <c r="X7" s="245"/>
      <c r="Y7" s="245"/>
      <c r="Z7" s="249"/>
      <c r="AA7" s="304"/>
    </row>
    <row r="8" spans="1:27" ht="15" thickBot="1" x14ac:dyDescent="0.25">
      <c r="A8" s="70" t="s">
        <v>36</v>
      </c>
      <c r="B8" s="31"/>
      <c r="C8" s="31"/>
      <c r="D8" s="5"/>
      <c r="E8" s="70" t="s">
        <v>36</v>
      </c>
      <c r="F8" s="31"/>
      <c r="G8" s="31"/>
      <c r="H8" s="5"/>
      <c r="I8" s="70" t="s">
        <v>36</v>
      </c>
      <c r="J8" s="31"/>
      <c r="K8" s="31"/>
      <c r="L8" s="5"/>
      <c r="M8" s="70" t="s">
        <v>36</v>
      </c>
      <c r="N8" s="31"/>
      <c r="O8" s="31"/>
      <c r="P8" s="5"/>
      <c r="Q8" s="70" t="s">
        <v>36</v>
      </c>
      <c r="R8" s="31"/>
      <c r="S8" s="31"/>
      <c r="T8" s="5"/>
      <c r="V8" s="245"/>
      <c r="W8" s="245"/>
      <c r="X8" s="245"/>
      <c r="Y8" s="245"/>
      <c r="Z8" s="249"/>
      <c r="AA8" s="305"/>
    </row>
    <row r="9" spans="1:27" ht="21.75" thickTop="1" thickBot="1" x14ac:dyDescent="0.25">
      <c r="A9" s="70" t="s">
        <v>37</v>
      </c>
      <c r="B9" s="31" t="s">
        <v>13</v>
      </c>
      <c r="C9" s="31"/>
      <c r="D9" s="5"/>
      <c r="E9" s="70" t="s">
        <v>37</v>
      </c>
      <c r="F9" s="31" t="s">
        <v>13</v>
      </c>
      <c r="G9" s="31"/>
      <c r="H9" s="5"/>
      <c r="I9" s="70" t="s">
        <v>37</v>
      </c>
      <c r="J9" s="31" t="s">
        <v>13</v>
      </c>
      <c r="K9" s="31"/>
      <c r="L9" s="5"/>
      <c r="M9" s="70" t="s">
        <v>37</v>
      </c>
      <c r="N9" s="31" t="s">
        <v>13</v>
      </c>
      <c r="O9" s="31"/>
      <c r="P9" s="5"/>
      <c r="Q9" s="70" t="s">
        <v>37</v>
      </c>
      <c r="R9" s="31" t="s">
        <v>13</v>
      </c>
      <c r="S9" s="31"/>
      <c r="T9" s="5"/>
      <c r="V9" s="218"/>
      <c r="W9" s="219"/>
      <c r="X9" s="219"/>
      <c r="Y9" s="219"/>
      <c r="Z9" s="219"/>
      <c r="AA9" s="221"/>
    </row>
    <row r="10" spans="1:27" ht="15" thickTop="1" x14ac:dyDescent="0.2">
      <c r="A10" s="70" t="s">
        <v>38</v>
      </c>
      <c r="B10" s="31" t="s">
        <v>13</v>
      </c>
      <c r="C10" s="31"/>
      <c r="D10" s="5"/>
      <c r="E10" s="70" t="s">
        <v>38</v>
      </c>
      <c r="F10" s="31" t="s">
        <v>13</v>
      </c>
      <c r="G10" s="31"/>
      <c r="H10" s="5"/>
      <c r="I10" s="70" t="s">
        <v>38</v>
      </c>
      <c r="J10" s="31" t="s">
        <v>13</v>
      </c>
      <c r="K10" s="31"/>
      <c r="L10" s="5"/>
      <c r="M10" s="70" t="s">
        <v>38</v>
      </c>
      <c r="N10" s="31" t="s">
        <v>13</v>
      </c>
      <c r="O10" s="31"/>
      <c r="P10" s="5"/>
      <c r="Q10" s="70" t="s">
        <v>38</v>
      </c>
      <c r="R10" s="31" t="s">
        <v>13</v>
      </c>
      <c r="S10" s="31"/>
      <c r="T10" s="5"/>
      <c r="V10" s="245" t="s">
        <v>413</v>
      </c>
      <c r="W10" s="245"/>
      <c r="X10" s="245"/>
      <c r="Y10" s="245"/>
      <c r="Z10" s="249"/>
      <c r="AA10" s="246">
        <f>'%24HR_F2F Appts'!F50</f>
        <v>1</v>
      </c>
    </row>
    <row r="11" spans="1:27" x14ac:dyDescent="0.2">
      <c r="A11" s="70" t="s">
        <v>39</v>
      </c>
      <c r="B11" s="31" t="s">
        <v>13</v>
      </c>
      <c r="C11" s="31"/>
      <c r="D11" s="5"/>
      <c r="E11" s="70" t="s">
        <v>39</v>
      </c>
      <c r="F11" s="31" t="s">
        <v>13</v>
      </c>
      <c r="G11" s="31"/>
      <c r="H11" s="5"/>
      <c r="I11" s="70" t="s">
        <v>39</v>
      </c>
      <c r="J11" s="31" t="s">
        <v>13</v>
      </c>
      <c r="K11" s="31"/>
      <c r="L11" s="5"/>
      <c r="M11" s="70" t="s">
        <v>39</v>
      </c>
      <c r="N11" s="31" t="s">
        <v>13</v>
      </c>
      <c r="O11" s="31"/>
      <c r="P11" s="5"/>
      <c r="Q11" s="70" t="s">
        <v>39</v>
      </c>
      <c r="R11" s="31" t="s">
        <v>13</v>
      </c>
      <c r="S11" s="31"/>
      <c r="T11" s="5"/>
      <c r="U11" s="133"/>
      <c r="V11" s="245"/>
      <c r="W11" s="245"/>
      <c r="X11" s="245"/>
      <c r="Y11" s="245"/>
      <c r="Z11" s="249"/>
      <c r="AA11" s="304"/>
    </row>
    <row r="12" spans="1:27" x14ac:dyDescent="0.2">
      <c r="A12" s="70" t="s">
        <v>40</v>
      </c>
      <c r="B12" s="31" t="s">
        <v>13</v>
      </c>
      <c r="C12" s="31"/>
      <c r="D12" s="5"/>
      <c r="E12" s="70" t="s">
        <v>40</v>
      </c>
      <c r="F12" s="31" t="s">
        <v>13</v>
      </c>
      <c r="G12" s="31"/>
      <c r="H12" s="5"/>
      <c r="I12" s="70" t="s">
        <v>40</v>
      </c>
      <c r="J12" s="31" t="s">
        <v>13</v>
      </c>
      <c r="K12" s="31"/>
      <c r="L12" s="5"/>
      <c r="M12" s="70" t="s">
        <v>40</v>
      </c>
      <c r="N12" s="31" t="s">
        <v>13</v>
      </c>
      <c r="O12" s="31"/>
      <c r="P12" s="5"/>
      <c r="Q12" s="70" t="s">
        <v>40</v>
      </c>
      <c r="R12" s="31" t="s">
        <v>13</v>
      </c>
      <c r="S12" s="31"/>
      <c r="T12" s="5"/>
      <c r="U12" s="133"/>
      <c r="V12" s="245"/>
      <c r="W12" s="245"/>
      <c r="X12" s="245"/>
      <c r="Y12" s="245"/>
      <c r="Z12" s="249"/>
      <c r="AA12" s="304"/>
    </row>
    <row r="13" spans="1:27" ht="15" thickBot="1" x14ac:dyDescent="0.25">
      <c r="A13" s="70" t="s">
        <v>41</v>
      </c>
      <c r="B13" s="31" t="s">
        <v>13</v>
      </c>
      <c r="C13" s="31"/>
      <c r="D13" s="5"/>
      <c r="E13" s="70" t="s">
        <v>41</v>
      </c>
      <c r="F13" s="31" t="s">
        <v>13</v>
      </c>
      <c r="G13" s="31"/>
      <c r="H13" s="5"/>
      <c r="I13" s="70" t="s">
        <v>41</v>
      </c>
      <c r="J13" s="31" t="s">
        <v>13</v>
      </c>
      <c r="K13" s="31"/>
      <c r="L13" s="5"/>
      <c r="M13" s="70" t="s">
        <v>41</v>
      </c>
      <c r="N13" s="31" t="s">
        <v>13</v>
      </c>
      <c r="O13" s="31"/>
      <c r="P13" s="5"/>
      <c r="Q13" s="70" t="s">
        <v>41</v>
      </c>
      <c r="R13" s="31" t="s">
        <v>13</v>
      </c>
      <c r="S13" s="31"/>
      <c r="T13" s="5"/>
      <c r="V13" s="245"/>
      <c r="W13" s="245"/>
      <c r="X13" s="245"/>
      <c r="Y13" s="245"/>
      <c r="Z13" s="249"/>
      <c r="AA13" s="305"/>
    </row>
    <row r="14" spans="1:27" ht="21.75" thickTop="1" thickBot="1" x14ac:dyDescent="0.25">
      <c r="A14" s="70" t="s">
        <v>42</v>
      </c>
      <c r="B14" s="31" t="s">
        <v>13</v>
      </c>
      <c r="C14" s="31"/>
      <c r="D14" s="5"/>
      <c r="E14" s="70" t="s">
        <v>42</v>
      </c>
      <c r="F14" s="31" t="s">
        <v>13</v>
      </c>
      <c r="G14" s="31"/>
      <c r="H14" s="5"/>
      <c r="I14" s="70" t="s">
        <v>42</v>
      </c>
      <c r="J14" s="31" t="s">
        <v>13</v>
      </c>
      <c r="K14" s="31"/>
      <c r="L14" s="5"/>
      <c r="M14" s="70" t="s">
        <v>42</v>
      </c>
      <c r="N14" s="31" t="s">
        <v>13</v>
      </c>
      <c r="O14" s="31"/>
      <c r="P14" s="5"/>
      <c r="Q14" s="70" t="s">
        <v>42</v>
      </c>
      <c r="R14" s="31" t="s">
        <v>13</v>
      </c>
      <c r="S14" s="31"/>
      <c r="T14" s="5"/>
      <c r="V14" s="217"/>
      <c r="W14" s="217"/>
      <c r="X14" s="217"/>
      <c r="Y14" s="217"/>
      <c r="Z14" s="217"/>
      <c r="AA14" s="221"/>
    </row>
    <row r="15" spans="1:27" ht="15" thickTop="1" x14ac:dyDescent="0.2">
      <c r="A15" s="68" t="s">
        <v>43</v>
      </c>
      <c r="B15" s="31"/>
      <c r="C15" s="31"/>
      <c r="D15" s="5"/>
      <c r="E15" s="68" t="s">
        <v>43</v>
      </c>
      <c r="F15" s="31"/>
      <c r="G15" s="31"/>
      <c r="H15" s="5"/>
      <c r="I15" s="68" t="s">
        <v>43</v>
      </c>
      <c r="J15" s="31"/>
      <c r="K15" s="31"/>
      <c r="L15" s="5"/>
      <c r="M15" s="68" t="s">
        <v>43</v>
      </c>
      <c r="N15" s="31"/>
      <c r="O15" s="31"/>
      <c r="P15" s="5"/>
      <c r="Q15" s="68" t="s">
        <v>43</v>
      </c>
      <c r="R15" s="31"/>
      <c r="S15" s="31"/>
      <c r="T15" s="5"/>
      <c r="V15" s="245" t="s">
        <v>86</v>
      </c>
      <c r="W15" s="245"/>
      <c r="X15" s="245"/>
      <c r="Y15" s="245"/>
      <c r="Z15" s="249"/>
      <c r="AA15" s="246">
        <f>'Restrictive Detail Code %'!F50</f>
        <v>0</v>
      </c>
    </row>
    <row r="16" spans="1:27" x14ac:dyDescent="0.2">
      <c r="A16" s="68" t="s">
        <v>44</v>
      </c>
      <c r="B16" s="31"/>
      <c r="C16" s="31"/>
      <c r="D16" s="5"/>
      <c r="E16" s="68" t="s">
        <v>44</v>
      </c>
      <c r="F16" s="31"/>
      <c r="G16" s="31"/>
      <c r="H16" s="5"/>
      <c r="I16" s="68" t="s">
        <v>44</v>
      </c>
      <c r="J16" s="31"/>
      <c r="K16" s="31"/>
      <c r="L16" s="5"/>
      <c r="M16" s="68" t="s">
        <v>44</v>
      </c>
      <c r="N16" s="31"/>
      <c r="O16" s="31"/>
      <c r="P16" s="5"/>
      <c r="Q16" s="68" t="s">
        <v>44</v>
      </c>
      <c r="R16" s="31"/>
      <c r="S16" s="31"/>
      <c r="T16" s="5"/>
      <c r="V16" s="245"/>
      <c r="W16" s="245"/>
      <c r="X16" s="245"/>
      <c r="Y16" s="245"/>
      <c r="Z16" s="249"/>
      <c r="AA16" s="304"/>
    </row>
    <row r="17" spans="1:31" x14ac:dyDescent="0.2">
      <c r="A17" s="68" t="s">
        <v>53</v>
      </c>
      <c r="B17" s="31"/>
      <c r="C17" s="31"/>
      <c r="D17" s="5"/>
      <c r="E17" s="68" t="s">
        <v>53</v>
      </c>
      <c r="F17" s="31"/>
      <c r="G17" s="31"/>
      <c r="H17" s="5"/>
      <c r="I17" s="68" t="s">
        <v>53</v>
      </c>
      <c r="J17" s="31"/>
      <c r="K17" s="31"/>
      <c r="L17" s="5"/>
      <c r="M17" s="68" t="s">
        <v>53</v>
      </c>
      <c r="N17" s="31"/>
      <c r="O17" s="31"/>
      <c r="P17" s="5"/>
      <c r="Q17" s="68" t="s">
        <v>53</v>
      </c>
      <c r="R17" s="31"/>
      <c r="S17" s="31"/>
      <c r="T17" s="5"/>
      <c r="V17" s="245"/>
      <c r="W17" s="245"/>
      <c r="X17" s="245"/>
      <c r="Y17" s="245"/>
      <c r="Z17" s="249"/>
      <c r="AA17" s="304"/>
    </row>
    <row r="18" spans="1:31" ht="15" thickBot="1" x14ac:dyDescent="0.25">
      <c r="A18" s="68" t="s">
        <v>54</v>
      </c>
      <c r="B18" s="9"/>
      <c r="C18" s="9"/>
      <c r="D18" s="5"/>
      <c r="E18" s="68" t="s">
        <v>54</v>
      </c>
      <c r="F18" s="9"/>
      <c r="G18" s="9"/>
      <c r="H18" s="5"/>
      <c r="I18" s="68" t="s">
        <v>54</v>
      </c>
      <c r="J18" s="9"/>
      <c r="K18" s="9"/>
      <c r="L18" s="5"/>
      <c r="M18" s="68" t="s">
        <v>54</v>
      </c>
      <c r="N18" s="9"/>
      <c r="O18" s="9"/>
      <c r="P18" s="5"/>
      <c r="Q18" s="68" t="s">
        <v>54</v>
      </c>
      <c r="R18" s="9"/>
      <c r="S18" s="9"/>
      <c r="T18" s="5"/>
      <c r="V18" s="245"/>
      <c r="W18" s="245"/>
      <c r="X18" s="245"/>
      <c r="Y18" s="245"/>
      <c r="Z18" s="249"/>
      <c r="AA18" s="305"/>
    </row>
    <row r="19" spans="1:31" ht="21.75" thickTop="1" thickBot="1" x14ac:dyDescent="0.25">
      <c r="A19" s="68" t="s">
        <v>55</v>
      </c>
      <c r="B19" s="9"/>
      <c r="C19" s="9"/>
      <c r="D19" s="5"/>
      <c r="E19" s="68" t="s">
        <v>55</v>
      </c>
      <c r="F19" s="9"/>
      <c r="G19" s="9"/>
      <c r="H19" s="5"/>
      <c r="I19" s="68" t="s">
        <v>55</v>
      </c>
      <c r="J19" s="9"/>
      <c r="K19" s="9"/>
      <c r="L19" s="5"/>
      <c r="M19" s="68" t="s">
        <v>55</v>
      </c>
      <c r="N19" s="9"/>
      <c r="O19" s="9"/>
      <c r="P19" s="5"/>
      <c r="Q19" s="68" t="s">
        <v>55</v>
      </c>
      <c r="R19" s="9"/>
      <c r="S19" s="9"/>
      <c r="T19" s="5"/>
      <c r="AA19" s="221"/>
    </row>
    <row r="20" spans="1:31" ht="15.75" thickTop="1" x14ac:dyDescent="0.2">
      <c r="A20" s="68" t="s">
        <v>56</v>
      </c>
      <c r="B20" s="117"/>
      <c r="C20" s="117"/>
      <c r="D20" s="5"/>
      <c r="E20" s="68" t="s">
        <v>56</v>
      </c>
      <c r="F20" s="227"/>
      <c r="G20" s="227"/>
      <c r="H20" s="5"/>
      <c r="I20" s="68" t="s">
        <v>56</v>
      </c>
      <c r="J20" s="227"/>
      <c r="K20" s="227"/>
      <c r="L20" s="5"/>
      <c r="M20" s="68" t="s">
        <v>56</v>
      </c>
      <c r="N20" s="227"/>
      <c r="O20" s="227"/>
      <c r="P20" s="5"/>
      <c r="Q20" s="68" t="s">
        <v>56</v>
      </c>
      <c r="R20" s="227"/>
      <c r="S20" s="227"/>
      <c r="T20" s="5"/>
      <c r="V20" s="245" t="s">
        <v>412</v>
      </c>
      <c r="W20" s="245"/>
      <c r="X20" s="245"/>
      <c r="Y20" s="245"/>
      <c r="Z20" s="249"/>
      <c r="AA20" s="246">
        <f>'%24HR_FTR TOL Appt'!I49</f>
        <v>1</v>
      </c>
      <c r="AD20" s="65"/>
      <c r="AE20" s="65"/>
    </row>
    <row r="21" spans="1:31" ht="15" x14ac:dyDescent="0.2">
      <c r="A21" s="68" t="s">
        <v>57</v>
      </c>
      <c r="B21" s="7" t="s">
        <v>13</v>
      </c>
      <c r="C21" s="117"/>
      <c r="D21" s="8"/>
      <c r="E21" s="68" t="s">
        <v>57</v>
      </c>
      <c r="F21" s="7" t="s">
        <v>13</v>
      </c>
      <c r="G21" s="227"/>
      <c r="H21" s="8"/>
      <c r="I21" s="68" t="s">
        <v>57</v>
      </c>
      <c r="J21" s="7" t="s">
        <v>13</v>
      </c>
      <c r="K21" s="227"/>
      <c r="L21" s="8"/>
      <c r="M21" s="68" t="s">
        <v>57</v>
      </c>
      <c r="N21" s="7" t="s">
        <v>13</v>
      </c>
      <c r="O21" s="227"/>
      <c r="P21" s="8"/>
      <c r="Q21" s="68" t="s">
        <v>57</v>
      </c>
      <c r="R21" s="7" t="s">
        <v>13</v>
      </c>
      <c r="S21" s="227"/>
      <c r="T21" s="8"/>
      <c r="V21" s="245"/>
      <c r="W21" s="245"/>
      <c r="X21" s="245"/>
      <c r="Y21" s="245"/>
      <c r="Z21" s="249"/>
      <c r="AA21" s="304"/>
      <c r="AD21" s="65"/>
      <c r="AE21" s="65"/>
    </row>
    <row r="22" spans="1:31" ht="15" x14ac:dyDescent="0.2">
      <c r="A22" s="68" t="s">
        <v>58</v>
      </c>
      <c r="B22" s="7" t="s">
        <v>13</v>
      </c>
      <c r="C22" s="117"/>
      <c r="D22" s="5"/>
      <c r="E22" s="68" t="s">
        <v>58</v>
      </c>
      <c r="F22" s="7" t="s">
        <v>13</v>
      </c>
      <c r="G22" s="227"/>
      <c r="H22" s="5"/>
      <c r="I22" s="68" t="s">
        <v>58</v>
      </c>
      <c r="J22" s="7" t="s">
        <v>13</v>
      </c>
      <c r="K22" s="227"/>
      <c r="L22" s="5"/>
      <c r="M22" s="68" t="s">
        <v>58</v>
      </c>
      <c r="N22" s="7" t="s">
        <v>13</v>
      </c>
      <c r="O22" s="227"/>
      <c r="P22" s="5"/>
      <c r="Q22" s="68" t="s">
        <v>58</v>
      </c>
      <c r="R22" s="7" t="s">
        <v>13</v>
      </c>
      <c r="S22" s="227"/>
      <c r="T22" s="5"/>
      <c r="V22" s="245"/>
      <c r="W22" s="245"/>
      <c r="X22" s="245"/>
      <c r="Y22" s="245"/>
      <c r="Z22" s="249"/>
      <c r="AA22" s="304"/>
      <c r="AD22" s="65"/>
      <c r="AE22" s="65"/>
    </row>
    <row r="23" spans="1:31" ht="15.75" thickBot="1" x14ac:dyDescent="0.25">
      <c r="A23" s="68" t="s">
        <v>45</v>
      </c>
      <c r="B23" s="7" t="s">
        <v>13</v>
      </c>
      <c r="C23" s="52"/>
      <c r="D23" s="5"/>
      <c r="E23" s="68" t="s">
        <v>45</v>
      </c>
      <c r="F23" s="7" t="s">
        <v>13</v>
      </c>
      <c r="G23" s="52"/>
      <c r="H23" s="5"/>
      <c r="I23" s="68" t="s">
        <v>45</v>
      </c>
      <c r="J23" s="7" t="s">
        <v>13</v>
      </c>
      <c r="K23" s="52"/>
      <c r="L23" s="5"/>
      <c r="M23" s="68" t="s">
        <v>45</v>
      </c>
      <c r="N23" s="7" t="s">
        <v>13</v>
      </c>
      <c r="O23" s="52"/>
      <c r="P23" s="5"/>
      <c r="Q23" s="68" t="s">
        <v>45</v>
      </c>
      <c r="R23" s="7" t="s">
        <v>13</v>
      </c>
      <c r="S23" s="52"/>
      <c r="T23" s="5"/>
      <c r="V23" s="245"/>
      <c r="W23" s="245"/>
      <c r="X23" s="245"/>
      <c r="Y23" s="245"/>
      <c r="Z23" s="249"/>
      <c r="AA23" s="305"/>
      <c r="AD23" s="65"/>
      <c r="AE23" s="65"/>
    </row>
    <row r="24" spans="1:31" ht="15.75" thickTop="1" x14ac:dyDescent="0.2">
      <c r="A24" s="68" t="s">
        <v>46</v>
      </c>
      <c r="B24" s="7" t="s">
        <v>13</v>
      </c>
      <c r="C24" s="117"/>
      <c r="D24" s="5"/>
      <c r="E24" s="68" t="s">
        <v>46</v>
      </c>
      <c r="F24" s="7" t="s">
        <v>13</v>
      </c>
      <c r="G24" s="227"/>
      <c r="H24" s="5"/>
      <c r="I24" s="68" t="s">
        <v>46</v>
      </c>
      <c r="J24" s="7" t="s">
        <v>13</v>
      </c>
      <c r="K24" s="227"/>
      <c r="L24" s="5"/>
      <c r="M24" s="68" t="s">
        <v>46</v>
      </c>
      <c r="N24" s="7" t="s">
        <v>13</v>
      </c>
      <c r="O24" s="227"/>
      <c r="P24" s="5"/>
      <c r="Q24" s="68" t="s">
        <v>46</v>
      </c>
      <c r="R24" s="7" t="s">
        <v>13</v>
      </c>
      <c r="S24" s="227"/>
      <c r="T24" s="5"/>
      <c r="AA24" s="74"/>
      <c r="AD24" s="65"/>
      <c r="AE24" s="65"/>
    </row>
    <row r="25" spans="1:31" ht="15" x14ac:dyDescent="0.2">
      <c r="A25" s="68" t="s">
        <v>47</v>
      </c>
      <c r="B25" s="7" t="s">
        <v>13</v>
      </c>
      <c r="C25" s="117"/>
      <c r="D25" s="5"/>
      <c r="E25" s="68" t="s">
        <v>47</v>
      </c>
      <c r="F25" s="7" t="s">
        <v>13</v>
      </c>
      <c r="G25" s="227"/>
      <c r="H25" s="5"/>
      <c r="I25" s="68" t="s">
        <v>47</v>
      </c>
      <c r="J25" s="7" t="s">
        <v>13</v>
      </c>
      <c r="K25" s="227"/>
      <c r="L25" s="5"/>
      <c r="M25" s="68" t="s">
        <v>47</v>
      </c>
      <c r="N25" s="7" t="s">
        <v>13</v>
      </c>
      <c r="O25" s="227"/>
      <c r="P25" s="5"/>
      <c r="Q25" s="68" t="s">
        <v>47</v>
      </c>
      <c r="R25" s="7" t="s">
        <v>13</v>
      </c>
      <c r="S25" s="227"/>
      <c r="T25" s="5"/>
      <c r="AD25" s="65"/>
      <c r="AE25" s="65"/>
    </row>
    <row r="26" spans="1:31" ht="15" x14ac:dyDescent="0.2">
      <c r="A26" s="68" t="s">
        <v>48</v>
      </c>
      <c r="B26" s="7" t="s">
        <v>13</v>
      </c>
      <c r="C26" s="117"/>
      <c r="D26" s="5"/>
      <c r="E26" s="68" t="s">
        <v>48</v>
      </c>
      <c r="F26" s="7" t="s">
        <v>13</v>
      </c>
      <c r="G26" s="227"/>
      <c r="H26" s="5"/>
      <c r="I26" s="68" t="s">
        <v>48</v>
      </c>
      <c r="J26" s="7" t="s">
        <v>13</v>
      </c>
      <c r="K26" s="227"/>
      <c r="L26" s="5"/>
      <c r="M26" s="68" t="s">
        <v>48</v>
      </c>
      <c r="N26" s="7" t="s">
        <v>13</v>
      </c>
      <c r="O26" s="227"/>
      <c r="P26" s="5"/>
      <c r="Q26" s="68" t="s">
        <v>48</v>
      </c>
      <c r="R26" s="7" t="s">
        <v>13</v>
      </c>
      <c r="S26" s="227"/>
      <c r="T26" s="5"/>
      <c r="AD26" s="65"/>
      <c r="AE26" s="65"/>
    </row>
    <row r="27" spans="1:31" ht="15" x14ac:dyDescent="0.2">
      <c r="A27" s="68" t="s">
        <v>49</v>
      </c>
      <c r="B27" s="7" t="s">
        <v>13</v>
      </c>
      <c r="C27" s="117"/>
      <c r="D27" s="5"/>
      <c r="E27" s="68" t="s">
        <v>49</v>
      </c>
      <c r="F27" s="7" t="s">
        <v>13</v>
      </c>
      <c r="G27" s="227"/>
      <c r="H27" s="5"/>
      <c r="I27" s="68" t="s">
        <v>49</v>
      </c>
      <c r="J27" s="7" t="s">
        <v>13</v>
      </c>
      <c r="K27" s="227"/>
      <c r="L27" s="5"/>
      <c r="M27" s="68" t="s">
        <v>49</v>
      </c>
      <c r="N27" s="7" t="s">
        <v>13</v>
      </c>
      <c r="O27" s="227"/>
      <c r="P27" s="5"/>
      <c r="Q27" s="68" t="s">
        <v>49</v>
      </c>
      <c r="R27" s="7" t="s">
        <v>13</v>
      </c>
      <c r="S27" s="227"/>
      <c r="T27" s="5"/>
      <c r="AD27" s="65"/>
      <c r="AE27" s="65"/>
    </row>
    <row r="28" spans="1:31" ht="15" x14ac:dyDescent="0.2">
      <c r="A28" s="68" t="s">
        <v>50</v>
      </c>
      <c r="B28" s="7" t="s">
        <v>13</v>
      </c>
      <c r="C28" s="117"/>
      <c r="D28" s="5"/>
      <c r="E28" s="68" t="s">
        <v>50</v>
      </c>
      <c r="F28" s="7" t="s">
        <v>13</v>
      </c>
      <c r="G28" s="227"/>
      <c r="H28" s="5"/>
      <c r="I28" s="68" t="s">
        <v>50</v>
      </c>
      <c r="J28" s="7" t="s">
        <v>13</v>
      </c>
      <c r="K28" s="227"/>
      <c r="L28" s="5"/>
      <c r="M28" s="68" t="s">
        <v>50</v>
      </c>
      <c r="N28" s="7" t="s">
        <v>13</v>
      </c>
      <c r="O28" s="227"/>
      <c r="P28" s="5"/>
      <c r="Q28" s="68" t="s">
        <v>50</v>
      </c>
      <c r="R28" s="7" t="s">
        <v>13</v>
      </c>
      <c r="S28" s="227"/>
      <c r="T28" s="5"/>
      <c r="AD28" s="65"/>
      <c r="AE28" s="65"/>
    </row>
    <row r="29" spans="1:31" ht="15" x14ac:dyDescent="0.2">
      <c r="A29" s="68" t="s">
        <v>51</v>
      </c>
      <c r="B29" s="7" t="s">
        <v>13</v>
      </c>
      <c r="C29" s="117"/>
      <c r="D29" s="5"/>
      <c r="E29" s="68" t="s">
        <v>51</v>
      </c>
      <c r="F29" s="7" t="s">
        <v>13</v>
      </c>
      <c r="G29" s="227"/>
      <c r="H29" s="5"/>
      <c r="I29" s="68" t="s">
        <v>51</v>
      </c>
      <c r="J29" s="7" t="s">
        <v>13</v>
      </c>
      <c r="K29" s="227"/>
      <c r="L29" s="5"/>
      <c r="M29" s="68" t="s">
        <v>51</v>
      </c>
      <c r="N29" s="7" t="s">
        <v>13</v>
      </c>
      <c r="O29" s="227"/>
      <c r="P29" s="5"/>
      <c r="Q29" s="68" t="s">
        <v>51</v>
      </c>
      <c r="R29" s="7" t="s">
        <v>13</v>
      </c>
      <c r="S29" s="227"/>
      <c r="T29" s="5"/>
      <c r="AD29" s="65"/>
      <c r="AE29" s="65"/>
    </row>
    <row r="30" spans="1:31" ht="15" x14ac:dyDescent="0.2">
      <c r="A30" s="68" t="s">
        <v>52</v>
      </c>
      <c r="B30" s="50"/>
      <c r="C30" s="117"/>
      <c r="D30" s="5"/>
      <c r="E30" s="68" t="s">
        <v>52</v>
      </c>
      <c r="F30" s="50"/>
      <c r="G30" s="227"/>
      <c r="H30" s="5"/>
      <c r="I30" s="68" t="s">
        <v>52</v>
      </c>
      <c r="J30" s="50"/>
      <c r="K30" s="227"/>
      <c r="L30" s="5"/>
      <c r="M30" s="68" t="s">
        <v>52</v>
      </c>
      <c r="N30" s="50"/>
      <c r="O30" s="227"/>
      <c r="P30" s="5"/>
      <c r="Q30" s="68" t="s">
        <v>52</v>
      </c>
      <c r="R30" s="50"/>
      <c r="S30" s="227"/>
      <c r="T30" s="5"/>
      <c r="AD30" s="65"/>
      <c r="AE30" s="65"/>
    </row>
    <row r="31" spans="1:31" ht="15.75" thickBot="1" x14ac:dyDescent="0.25">
      <c r="A31" s="68"/>
      <c r="B31" s="49"/>
      <c r="C31" s="117"/>
      <c r="D31" s="5"/>
      <c r="E31" s="68"/>
      <c r="F31" s="49"/>
      <c r="G31" s="227"/>
      <c r="H31" s="5"/>
      <c r="I31" s="68"/>
      <c r="J31" s="49"/>
      <c r="K31" s="227"/>
      <c r="L31" s="5"/>
      <c r="M31" s="68"/>
      <c r="N31" s="49"/>
      <c r="O31" s="227"/>
      <c r="P31" s="5"/>
      <c r="Q31" s="68"/>
      <c r="R31" s="49"/>
      <c r="S31" s="227"/>
      <c r="T31" s="5"/>
      <c r="AB31" s="65"/>
      <c r="AC31" s="65"/>
      <c r="AD31" s="65"/>
      <c r="AE31" s="65"/>
    </row>
    <row r="32" spans="1:31" ht="15.75" thickBot="1" x14ac:dyDescent="0.3">
      <c r="A32" s="272" t="s">
        <v>2</v>
      </c>
      <c r="B32" s="273"/>
      <c r="C32" s="273"/>
      <c r="D32" s="274"/>
      <c r="E32" s="272" t="s">
        <v>3</v>
      </c>
      <c r="F32" s="273"/>
      <c r="G32" s="273"/>
      <c r="H32" s="274"/>
      <c r="I32" s="272" t="s">
        <v>4</v>
      </c>
      <c r="J32" s="273"/>
      <c r="K32" s="273"/>
      <c r="L32" s="274"/>
      <c r="M32" s="272" t="s">
        <v>5</v>
      </c>
      <c r="N32" s="273"/>
      <c r="O32" s="273"/>
      <c r="P32" s="274"/>
      <c r="Q32" s="272" t="s">
        <v>6</v>
      </c>
      <c r="R32" s="273"/>
      <c r="S32" s="273"/>
      <c r="T32" s="274"/>
      <c r="U32" s="272" t="s">
        <v>15</v>
      </c>
      <c r="V32" s="273"/>
      <c r="W32" s="274"/>
      <c r="Z32" s="65"/>
      <c r="AA32" s="65"/>
      <c r="AB32" s="65"/>
      <c r="AC32" s="65"/>
      <c r="AD32" s="65"/>
      <c r="AE32" s="65"/>
    </row>
    <row r="33" spans="1:31" ht="15.75" thickBot="1" x14ac:dyDescent="0.3">
      <c r="A33" s="10" t="s">
        <v>8</v>
      </c>
      <c r="B33" s="268" t="s">
        <v>16</v>
      </c>
      <c r="C33" s="269"/>
      <c r="D33" s="10" t="s">
        <v>17</v>
      </c>
      <c r="E33" s="10" t="s">
        <v>8</v>
      </c>
      <c r="F33" s="268" t="s">
        <v>16</v>
      </c>
      <c r="G33" s="269"/>
      <c r="H33" s="10" t="s">
        <v>17</v>
      </c>
      <c r="I33" s="10" t="s">
        <v>8</v>
      </c>
      <c r="J33" s="268" t="s">
        <v>16</v>
      </c>
      <c r="K33" s="269"/>
      <c r="L33" s="10" t="s">
        <v>17</v>
      </c>
      <c r="M33" s="10" t="s">
        <v>8</v>
      </c>
      <c r="N33" s="268" t="s">
        <v>16</v>
      </c>
      <c r="O33" s="269"/>
      <c r="P33" s="10" t="s">
        <v>17</v>
      </c>
      <c r="Q33" s="10" t="s">
        <v>8</v>
      </c>
      <c r="R33" s="268" t="s">
        <v>16</v>
      </c>
      <c r="S33" s="269"/>
      <c r="T33" s="10" t="s">
        <v>17</v>
      </c>
      <c r="U33" s="10" t="s">
        <v>8</v>
      </c>
      <c r="V33" s="10" t="s">
        <v>16</v>
      </c>
      <c r="W33" s="10" t="s">
        <v>17</v>
      </c>
      <c r="Z33" s="65"/>
      <c r="AA33" s="65"/>
      <c r="AB33" s="65"/>
      <c r="AC33" s="65"/>
      <c r="AD33" s="65"/>
      <c r="AE33" s="91"/>
    </row>
    <row r="34" spans="1:31" ht="15" x14ac:dyDescent="0.2">
      <c r="A34" s="15" t="s">
        <v>13</v>
      </c>
      <c r="B34" s="270">
        <f>COUNTIF(A5:D31,"24HR")</f>
        <v>15</v>
      </c>
      <c r="C34" s="271"/>
      <c r="D34" s="16">
        <f>B34/B39</f>
        <v>1</v>
      </c>
      <c r="E34" s="15" t="s">
        <v>13</v>
      </c>
      <c r="F34" s="270">
        <f>COUNTIF(E5:H31,"24HR")</f>
        <v>15</v>
      </c>
      <c r="G34" s="271"/>
      <c r="H34" s="17">
        <f>F34/F$39</f>
        <v>1</v>
      </c>
      <c r="I34" s="15" t="s">
        <v>13</v>
      </c>
      <c r="J34" s="270">
        <f>COUNTIF(I5:L31,"24HR")</f>
        <v>15</v>
      </c>
      <c r="K34" s="271"/>
      <c r="L34" s="17">
        <f>J34/J$39</f>
        <v>1</v>
      </c>
      <c r="M34" s="116" t="s">
        <v>13</v>
      </c>
      <c r="N34" s="270">
        <f>COUNTIF(M5:P31,"24HR")</f>
        <v>15</v>
      </c>
      <c r="O34" s="271"/>
      <c r="P34" s="17">
        <f>N34/N$39</f>
        <v>1</v>
      </c>
      <c r="Q34" s="116" t="s">
        <v>13</v>
      </c>
      <c r="R34" s="270">
        <f>COUNTIF(Q5:T31,"24HR")</f>
        <v>15</v>
      </c>
      <c r="S34" s="271"/>
      <c r="T34" s="17">
        <f>R34/R$39</f>
        <v>1</v>
      </c>
      <c r="U34" s="116" t="s">
        <v>13</v>
      </c>
      <c r="V34" s="15">
        <f t="shared" ref="V34:V38" si="0">SUM(B34,F34,J34,N34,R34)</f>
        <v>75</v>
      </c>
      <c r="W34" s="17">
        <f>V34/V39</f>
        <v>1</v>
      </c>
      <c r="Z34" s="65"/>
      <c r="AA34" s="65"/>
      <c r="AB34" s="65"/>
      <c r="AC34" s="65"/>
      <c r="AD34" s="65"/>
      <c r="AE34" s="91"/>
    </row>
    <row r="35" spans="1:31" ht="15" x14ac:dyDescent="0.2">
      <c r="A35" s="11" t="s">
        <v>14</v>
      </c>
      <c r="B35" s="263">
        <f>COUNTIF(A5:D31,"FTR")</f>
        <v>0</v>
      </c>
      <c r="C35" s="264"/>
      <c r="D35" s="13">
        <f>B35/B$39</f>
        <v>0</v>
      </c>
      <c r="E35" s="11" t="s">
        <v>14</v>
      </c>
      <c r="F35" s="263">
        <f>COUNTIF(E5:H31,"FTR")</f>
        <v>0</v>
      </c>
      <c r="G35" s="264"/>
      <c r="H35" s="12">
        <f>F35/F$39</f>
        <v>0</v>
      </c>
      <c r="I35" s="11" t="s">
        <v>14</v>
      </c>
      <c r="J35" s="263">
        <f>COUNTIF(I5:L31,"FTR")</f>
        <v>0</v>
      </c>
      <c r="K35" s="264"/>
      <c r="L35" s="12">
        <f>J35/J$39</f>
        <v>0</v>
      </c>
      <c r="M35" s="115" t="s">
        <v>14</v>
      </c>
      <c r="N35" s="263">
        <f>COUNTIF(M5:P31,"FTR")</f>
        <v>0</v>
      </c>
      <c r="O35" s="264"/>
      <c r="P35" s="12">
        <f>N35/N$39</f>
        <v>0</v>
      </c>
      <c r="Q35" s="115" t="s">
        <v>14</v>
      </c>
      <c r="R35" s="263">
        <f>COUNTIF(Q5:T31,"FTR")</f>
        <v>0</v>
      </c>
      <c r="S35" s="264"/>
      <c r="T35" s="12">
        <f>R35/R$39</f>
        <v>0</v>
      </c>
      <c r="U35" s="115" t="s">
        <v>14</v>
      </c>
      <c r="V35" s="11">
        <f t="shared" si="0"/>
        <v>0</v>
      </c>
      <c r="W35" s="12">
        <f>V35/V39</f>
        <v>0</v>
      </c>
      <c r="Z35" s="65"/>
      <c r="AA35" s="65"/>
      <c r="AB35" s="65"/>
      <c r="AC35" s="65"/>
      <c r="AD35" s="65"/>
      <c r="AE35" s="65"/>
    </row>
    <row r="36" spans="1:31" ht="15" x14ac:dyDescent="0.2">
      <c r="A36" s="11" t="s">
        <v>12</v>
      </c>
      <c r="B36" s="263">
        <f>COUNTIF(A5:D31,"SPEC")</f>
        <v>0</v>
      </c>
      <c r="C36" s="264"/>
      <c r="D36" s="13">
        <f>B36/B39</f>
        <v>0</v>
      </c>
      <c r="E36" s="11" t="s">
        <v>12</v>
      </c>
      <c r="F36" s="263">
        <f>COUNTIF(E5:H31,"SPEC")</f>
        <v>0</v>
      </c>
      <c r="G36" s="264"/>
      <c r="H36" s="12">
        <f>F36/F39</f>
        <v>0</v>
      </c>
      <c r="I36" s="11" t="s">
        <v>12</v>
      </c>
      <c r="J36" s="263">
        <f>COUNTIF(I5:L31,"SPEC")</f>
        <v>0</v>
      </c>
      <c r="K36" s="264"/>
      <c r="L36" s="12">
        <f>J36/J39</f>
        <v>0</v>
      </c>
      <c r="M36" s="115" t="s">
        <v>12</v>
      </c>
      <c r="N36" s="263">
        <f>COUNTIF(M5:P31,"SPEC")</f>
        <v>0</v>
      </c>
      <c r="O36" s="264"/>
      <c r="P36" s="12">
        <f>N36/N39</f>
        <v>0</v>
      </c>
      <c r="Q36" s="115" t="s">
        <v>12</v>
      </c>
      <c r="R36" s="263">
        <f>COUNTIF(Q5:T31,"SPEC")</f>
        <v>0</v>
      </c>
      <c r="S36" s="264"/>
      <c r="T36" s="12">
        <f>R36/R39</f>
        <v>0</v>
      </c>
      <c r="U36" s="115" t="s">
        <v>12</v>
      </c>
      <c r="V36" s="11">
        <f t="shared" si="0"/>
        <v>0</v>
      </c>
      <c r="W36" s="12">
        <f>V36/V39</f>
        <v>0</v>
      </c>
      <c r="Z36" s="65"/>
      <c r="AA36" s="65"/>
      <c r="AB36" s="65"/>
      <c r="AC36" s="65"/>
      <c r="AD36" s="65"/>
      <c r="AE36" s="65"/>
    </row>
    <row r="37" spans="1:31" ht="15" x14ac:dyDescent="0.2">
      <c r="A37" s="143" t="s">
        <v>403</v>
      </c>
      <c r="B37" s="263">
        <f>COUNTIF(B5:B31,"PROC")</f>
        <v>0</v>
      </c>
      <c r="C37" s="264"/>
      <c r="D37" s="12">
        <f>B37/B39</f>
        <v>0</v>
      </c>
      <c r="E37" s="117" t="s">
        <v>403</v>
      </c>
      <c r="F37" s="263">
        <f>COUNTIF(E5:H31,"PROC")</f>
        <v>0</v>
      </c>
      <c r="G37" s="264"/>
      <c r="H37" s="12">
        <f>F37/F39</f>
        <v>0</v>
      </c>
      <c r="I37" s="117" t="s">
        <v>403</v>
      </c>
      <c r="J37" s="263">
        <f>COUNTIF(I5:L31,"PROC")</f>
        <v>0</v>
      </c>
      <c r="K37" s="264"/>
      <c r="L37" s="12">
        <f>J37/J39</f>
        <v>0</v>
      </c>
      <c r="M37" s="117" t="s">
        <v>403</v>
      </c>
      <c r="N37" s="263">
        <f>COUNTIF(M5:P31,"proc")</f>
        <v>0</v>
      </c>
      <c r="O37" s="264"/>
      <c r="P37" s="12">
        <f>N37/N39</f>
        <v>0</v>
      </c>
      <c r="Q37" s="117" t="s">
        <v>403</v>
      </c>
      <c r="R37" s="263">
        <f>COUNTIF(Q5:T31,"proc")</f>
        <v>0</v>
      </c>
      <c r="S37" s="264"/>
      <c r="T37" s="12">
        <f>R37/R39</f>
        <v>0</v>
      </c>
      <c r="U37" s="11" t="s">
        <v>403</v>
      </c>
      <c r="V37" s="11">
        <f t="shared" si="0"/>
        <v>0</v>
      </c>
      <c r="W37" s="13">
        <f>V37/V39</f>
        <v>0</v>
      </c>
      <c r="Z37" s="65"/>
      <c r="AA37" s="65"/>
      <c r="AB37" s="65"/>
      <c r="AC37" s="65"/>
      <c r="AD37" s="65"/>
      <c r="AE37" s="65"/>
    </row>
    <row r="38" spans="1:31" ht="15.75" thickBot="1" x14ac:dyDescent="0.25">
      <c r="A38" s="143" t="s">
        <v>404</v>
      </c>
      <c r="B38" s="263">
        <f>COUNTIF(B5:B31,"GRP")</f>
        <v>0</v>
      </c>
      <c r="C38" s="264"/>
      <c r="D38" s="12">
        <f>B38/B39</f>
        <v>0</v>
      </c>
      <c r="E38" s="117" t="s">
        <v>404</v>
      </c>
      <c r="F38" s="263">
        <f>COUNTIF(E5:H31,"GRP")</f>
        <v>0</v>
      </c>
      <c r="G38" s="264"/>
      <c r="H38" s="12">
        <f>F38/F39</f>
        <v>0</v>
      </c>
      <c r="I38" s="117" t="s">
        <v>404</v>
      </c>
      <c r="J38" s="263">
        <f>COUNTIF(I5:L31,"GRP")</f>
        <v>0</v>
      </c>
      <c r="K38" s="264"/>
      <c r="L38" s="12">
        <f>J38/J39</f>
        <v>0</v>
      </c>
      <c r="M38" s="117" t="s">
        <v>404</v>
      </c>
      <c r="N38" s="263">
        <f>COUNTIF(M5:P31,"GRP")</f>
        <v>0</v>
      </c>
      <c r="O38" s="264"/>
      <c r="P38" s="12">
        <f>N38/N39</f>
        <v>0</v>
      </c>
      <c r="Q38" s="11" t="s">
        <v>404</v>
      </c>
      <c r="R38" s="301">
        <f>COUNTIF(Q5:T31,"grp")</f>
        <v>0</v>
      </c>
      <c r="S38" s="264"/>
      <c r="T38" s="12">
        <f>R38/R39</f>
        <v>0</v>
      </c>
      <c r="U38" s="11" t="s">
        <v>404</v>
      </c>
      <c r="V38" s="11">
        <f t="shared" si="0"/>
        <v>0</v>
      </c>
      <c r="W38" s="13">
        <f>V38/V39</f>
        <v>0</v>
      </c>
      <c r="Z38" s="65"/>
      <c r="AA38" s="65"/>
      <c r="AB38" s="65"/>
      <c r="AC38" s="65"/>
      <c r="AD38" s="65"/>
      <c r="AE38" s="65"/>
    </row>
    <row r="39" spans="1:31" ht="16.5" thickTop="1" thickBot="1" x14ac:dyDescent="0.25">
      <c r="A39" s="198" t="s">
        <v>18</v>
      </c>
      <c r="B39" s="266">
        <f>COUNTIF(B5:B31,"*")</f>
        <v>15</v>
      </c>
      <c r="C39" s="267"/>
      <c r="D39" s="19">
        <f>SUM(D34:D38)</f>
        <v>1</v>
      </c>
      <c r="E39" s="23" t="s">
        <v>18</v>
      </c>
      <c r="F39" s="266">
        <f>COUNTIF(F5:F31,"*")</f>
        <v>15</v>
      </c>
      <c r="G39" s="267"/>
      <c r="H39" s="19">
        <f>SUM(H34:H38)</f>
        <v>1</v>
      </c>
      <c r="I39" s="23" t="s">
        <v>18</v>
      </c>
      <c r="J39" s="266">
        <f>COUNTIF(J5:J31,"*")</f>
        <v>15</v>
      </c>
      <c r="K39" s="267"/>
      <c r="L39" s="19">
        <f>SUM(L34:L38)</f>
        <v>1</v>
      </c>
      <c r="M39" s="23" t="s">
        <v>18</v>
      </c>
      <c r="N39" s="266">
        <f>COUNTIF(N5:N31,"*")</f>
        <v>15</v>
      </c>
      <c r="O39" s="267"/>
      <c r="P39" s="19">
        <f>SUM(P34:P38)</f>
        <v>1</v>
      </c>
      <c r="Q39" s="23" t="s">
        <v>18</v>
      </c>
      <c r="R39" s="266">
        <f>COUNTIF(R5:R31,"*")</f>
        <v>15</v>
      </c>
      <c r="S39" s="267"/>
      <c r="T39" s="19">
        <f>SUM(T34:T38)</f>
        <v>1</v>
      </c>
      <c r="U39" s="20" t="s">
        <v>18</v>
      </c>
      <c r="V39" s="21">
        <f>SUM(V34:V38)</f>
        <v>75</v>
      </c>
      <c r="W39" s="22">
        <f>SUM(W34:W38)</f>
        <v>1</v>
      </c>
      <c r="Z39" s="65"/>
      <c r="AA39" s="65"/>
      <c r="AB39" s="65"/>
      <c r="AC39" s="65"/>
      <c r="AD39" s="65"/>
      <c r="AE39" s="65"/>
    </row>
    <row r="40" spans="1:31" ht="16.5" thickTop="1" thickBot="1" x14ac:dyDescent="0.3">
      <c r="A40" s="253" t="s">
        <v>365</v>
      </c>
      <c r="B40" s="254"/>
      <c r="C40" s="254"/>
      <c r="D40" s="255"/>
      <c r="E40" s="253" t="s">
        <v>366</v>
      </c>
      <c r="F40" s="254"/>
      <c r="G40" s="254"/>
      <c r="H40" s="255"/>
      <c r="I40" s="88"/>
      <c r="J40" s="88"/>
      <c r="K40" s="88"/>
      <c r="L40" s="89"/>
      <c r="M40" s="88"/>
      <c r="N40" s="88"/>
      <c r="O40" s="88"/>
      <c r="P40" s="89"/>
      <c r="Q40" s="7"/>
      <c r="R40" s="7"/>
      <c r="S40" s="24"/>
      <c r="T40" s="25"/>
      <c r="Z40" s="65"/>
      <c r="AA40" s="65"/>
      <c r="AB40" s="65"/>
      <c r="AC40" s="65"/>
      <c r="AD40" s="65"/>
      <c r="AE40" s="65"/>
    </row>
    <row r="41" spans="1:31" s="25" customFormat="1" ht="15.75" thickBot="1" x14ac:dyDescent="0.3">
      <c r="A41" s="26" t="s">
        <v>8</v>
      </c>
      <c r="B41" s="261" t="s">
        <v>16</v>
      </c>
      <c r="C41" s="262"/>
      <c r="D41" s="27" t="s">
        <v>17</v>
      </c>
      <c r="E41" s="26" t="s">
        <v>8</v>
      </c>
      <c r="F41" s="261" t="s">
        <v>16</v>
      </c>
      <c r="G41" s="262"/>
      <c r="H41" s="27" t="s">
        <v>17</v>
      </c>
      <c r="I41"/>
      <c r="J41"/>
      <c r="K41"/>
      <c r="L41"/>
      <c r="M41"/>
      <c r="N41"/>
      <c r="O41"/>
      <c r="P41"/>
      <c r="Q41"/>
      <c r="R41"/>
      <c r="S41"/>
      <c r="T41"/>
      <c r="V41" s="65"/>
      <c r="W41" s="65"/>
      <c r="X41" s="65"/>
      <c r="Y41" s="65"/>
      <c r="Z41" s="65"/>
      <c r="AA41" s="65"/>
    </row>
    <row r="42" spans="1:31" s="25" customFormat="1" ht="15.75" thickBot="1" x14ac:dyDescent="0.25">
      <c r="A42" s="28" t="s">
        <v>362</v>
      </c>
      <c r="B42" s="263">
        <f>COUNTIF(A3:T31,"HC*")</f>
        <v>0</v>
      </c>
      <c r="C42" s="264"/>
      <c r="D42" s="13">
        <f>B42/B44</f>
        <v>0</v>
      </c>
      <c r="E42" s="141" t="s">
        <v>363</v>
      </c>
      <c r="F42" s="286">
        <f>COUNTIF(A4:X31,"*WEX*")+COUNTIF(A4:X31,"*PBO*")</f>
        <v>0</v>
      </c>
      <c r="G42" s="287"/>
      <c r="H42" s="142">
        <f>F42/B44</f>
        <v>0</v>
      </c>
      <c r="I42"/>
      <c r="J42"/>
      <c r="K42"/>
      <c r="L42"/>
      <c r="M42"/>
      <c r="N42"/>
      <c r="P42"/>
      <c r="Q42"/>
      <c r="R42"/>
      <c r="S42"/>
      <c r="T42"/>
      <c r="U42"/>
      <c r="V42"/>
      <c r="W42"/>
      <c r="X42" s="65"/>
      <c r="Y42" s="65"/>
    </row>
    <row r="43" spans="1:31" s="25" customFormat="1" ht="15.75" thickBot="1" x14ac:dyDescent="0.25">
      <c r="A43" s="132" t="s">
        <v>364</v>
      </c>
      <c r="B43" s="263">
        <f>COUNTIFS(N5:N31,"*",O5:O31,"&lt;&gt;*")+COUNTIFS(R5:R31,"*",S5:S31,"&lt;&gt;*")+COUNTIFS(J5:J31,"*",K5:K31,"&lt;&gt;*")+COUNTIFS(F5:F31,"*",G5:G31,"&lt;&gt;*")+COUNTIFS(B5:B31,"*",C5:C31,"&lt;&gt;*")</f>
        <v>75</v>
      </c>
      <c r="C43" s="264"/>
      <c r="D43" s="13">
        <f>B43/B44</f>
        <v>1</v>
      </c>
      <c r="E43"/>
      <c r="F43"/>
      <c r="G43"/>
      <c r="H43"/>
      <c r="I43"/>
      <c r="J43"/>
      <c r="K43"/>
      <c r="L43"/>
      <c r="M43"/>
      <c r="N43"/>
      <c r="O43"/>
      <c r="P43"/>
      <c r="Q43"/>
      <c r="R43"/>
      <c r="S43"/>
      <c r="T43"/>
      <c r="U43"/>
      <c r="V43"/>
      <c r="W43"/>
      <c r="X43" s="65"/>
      <c r="Y43" s="65"/>
      <c r="Z43" s="65"/>
      <c r="AA43" s="65"/>
    </row>
    <row r="44" spans="1:31" s="25" customFormat="1" ht="15" thickBot="1" x14ac:dyDescent="0.25">
      <c r="A44" s="29" t="s">
        <v>18</v>
      </c>
      <c r="B44" s="265">
        <f>SUM(B42:C43)</f>
        <v>75</v>
      </c>
      <c r="C44" s="265"/>
      <c r="D44" s="67">
        <f>SUM(D42:D43)</f>
        <v>1</v>
      </c>
      <c r="E44"/>
      <c r="F44"/>
      <c r="G44"/>
      <c r="H44"/>
      <c r="I44"/>
      <c r="J44"/>
      <c r="K44"/>
      <c r="L44"/>
      <c r="M44"/>
      <c r="N44"/>
      <c r="O44"/>
      <c r="P44"/>
      <c r="Q44"/>
      <c r="R44"/>
      <c r="S44"/>
      <c r="T44"/>
      <c r="U44"/>
      <c r="V44"/>
      <c r="W44"/>
    </row>
    <row r="46" spans="1:31" x14ac:dyDescent="0.2">
      <c r="E46" s="138"/>
    </row>
    <row r="52" spans="1:27" ht="15" thickBot="1" x14ac:dyDescent="0.25"/>
    <row r="53" spans="1:27" x14ac:dyDescent="0.2">
      <c r="A53" s="256" t="s">
        <v>149</v>
      </c>
      <c r="B53" s="257"/>
      <c r="C53" s="257"/>
      <c r="D53" s="257"/>
      <c r="E53" s="257"/>
      <c r="F53" s="257"/>
      <c r="G53" s="258"/>
      <c r="H53" s="256" t="s">
        <v>150</v>
      </c>
      <c r="I53" s="257"/>
      <c r="J53" s="257"/>
      <c r="K53" s="257"/>
      <c r="L53" s="257"/>
      <c r="M53" s="259"/>
      <c r="N53" s="288" t="s">
        <v>348</v>
      </c>
      <c r="O53" s="289"/>
      <c r="P53" s="289"/>
      <c r="Q53" s="289"/>
      <c r="R53" s="289"/>
      <c r="S53" s="289"/>
      <c r="T53" s="290"/>
    </row>
    <row r="54" spans="1:27" ht="15" x14ac:dyDescent="0.2">
      <c r="A54" s="250" t="s">
        <v>106</v>
      </c>
      <c r="B54" s="251"/>
      <c r="C54" s="251" t="s">
        <v>107</v>
      </c>
      <c r="D54" s="251"/>
      <c r="E54" s="251"/>
      <c r="F54" s="251"/>
      <c r="G54" s="260"/>
      <c r="H54" s="250" t="s">
        <v>344</v>
      </c>
      <c r="I54" s="251"/>
      <c r="J54" s="251"/>
      <c r="K54" s="251" t="s">
        <v>152</v>
      </c>
      <c r="L54" s="251"/>
      <c r="M54" s="252"/>
      <c r="N54" s="294" t="s">
        <v>349</v>
      </c>
      <c r="O54" s="295"/>
      <c r="P54" s="295"/>
      <c r="Q54" s="295"/>
      <c r="R54" s="279">
        <f>K56</f>
        <v>80</v>
      </c>
      <c r="S54" s="279"/>
      <c r="T54" s="293"/>
    </row>
    <row r="55" spans="1:27" ht="15" x14ac:dyDescent="0.25">
      <c r="A55" s="250" t="s">
        <v>114</v>
      </c>
      <c r="B55" s="251"/>
      <c r="C55" s="251" t="s">
        <v>119</v>
      </c>
      <c r="D55" s="251"/>
      <c r="E55" s="251"/>
      <c r="F55" s="251"/>
      <c r="G55" s="260"/>
      <c r="H55" s="250" t="s">
        <v>347</v>
      </c>
      <c r="I55" s="251"/>
      <c r="J55" s="251"/>
      <c r="K55" s="251" t="s">
        <v>154</v>
      </c>
      <c r="L55" s="251"/>
      <c r="M55" s="252"/>
      <c r="N55" s="297" t="s">
        <v>357</v>
      </c>
      <c r="O55" s="298"/>
      <c r="P55" s="298"/>
      <c r="Q55" s="298"/>
      <c r="R55" s="291">
        <f>IFERROR(R54-(R54*C56),R54)</f>
        <v>80</v>
      </c>
      <c r="S55" s="291"/>
      <c r="T55" s="292"/>
    </row>
    <row r="56" spans="1:27" ht="15" thickBot="1" x14ac:dyDescent="0.25">
      <c r="A56" s="280" t="s">
        <v>144</v>
      </c>
      <c r="B56" s="281"/>
      <c r="C56" s="281" t="str">
        <f>VLOOKUP(Brown_80!C55,'Standard Adjustments'!B3:C36,2,FALSE)</f>
        <v>No Adjustment</v>
      </c>
      <c r="D56" s="281"/>
      <c r="E56" s="281"/>
      <c r="F56" s="281"/>
      <c r="G56" s="282"/>
      <c r="H56" s="280" t="s">
        <v>150</v>
      </c>
      <c r="I56" s="281"/>
      <c r="J56" s="281"/>
      <c r="K56" s="281">
        <f>VLOOKUP(K55,'Appointment Targets'!B153:C154,2,FALSE)</f>
        <v>80</v>
      </c>
      <c r="L56" s="281"/>
      <c r="M56" s="296"/>
      <c r="N56" s="299" t="s">
        <v>350</v>
      </c>
      <c r="O56" s="300"/>
      <c r="P56" s="300"/>
      <c r="Q56" s="300"/>
      <c r="R56" s="281" t="str">
        <f>IF(V39=R55,"Provider at appointment standard.",IF(V39&gt;R55,"Over"&amp;" "&amp;V39-R55&amp;" "&amp;"appointments","Short"&amp;" "&amp;ABS(V39-R55)&amp;" "&amp;"appointments"))</f>
        <v>Short 5 appointments</v>
      </c>
      <c r="S56" s="281"/>
      <c r="T56" s="282"/>
    </row>
    <row r="60" spans="1:27" ht="15" x14ac:dyDescent="0.2">
      <c r="A60" s="117"/>
      <c r="B60" s="279" t="s">
        <v>19</v>
      </c>
      <c r="C60" s="279"/>
      <c r="D60" s="279"/>
      <c r="E60" s="279"/>
      <c r="F60" s="279"/>
      <c r="G60" s="30"/>
      <c r="H60" s="31"/>
      <c r="I60" s="279" t="s">
        <v>20</v>
      </c>
      <c r="J60" s="279"/>
      <c r="K60" s="279"/>
      <c r="L60" s="279"/>
      <c r="M60" s="279"/>
      <c r="N60" s="30"/>
      <c r="P60" s="279" t="s">
        <v>21</v>
      </c>
      <c r="Q60" s="279"/>
      <c r="R60" s="279"/>
      <c r="S60" s="279"/>
      <c r="T60" s="279"/>
      <c r="U60" s="30"/>
      <c r="W60" s="283" t="s">
        <v>22</v>
      </c>
      <c r="X60" s="284"/>
      <c r="Y60" s="284"/>
      <c r="Z60" s="284"/>
      <c r="AA60" s="285"/>
    </row>
    <row r="61" spans="1:27" ht="15" x14ac:dyDescent="0.2">
      <c r="A61" s="117"/>
      <c r="B61" s="32" t="s">
        <v>2</v>
      </c>
      <c r="C61" s="33" t="s">
        <v>3</v>
      </c>
      <c r="D61" s="32" t="s">
        <v>4</v>
      </c>
      <c r="E61" s="32" t="s">
        <v>5</v>
      </c>
      <c r="F61" s="32" t="s">
        <v>6</v>
      </c>
      <c r="G61" s="30"/>
      <c r="H61" s="31"/>
      <c r="I61" s="32" t="s">
        <v>2</v>
      </c>
      <c r="J61" s="32" t="s">
        <v>3</v>
      </c>
      <c r="K61" s="32" t="s">
        <v>4</v>
      </c>
      <c r="L61" s="32" t="s">
        <v>5</v>
      </c>
      <c r="M61" s="32" t="s">
        <v>6</v>
      </c>
      <c r="N61" s="30"/>
      <c r="P61" s="32" t="s">
        <v>2</v>
      </c>
      <c r="Q61" s="32" t="s">
        <v>3</v>
      </c>
      <c r="R61" s="32" t="s">
        <v>4</v>
      </c>
      <c r="S61" s="32" t="s">
        <v>5</v>
      </c>
      <c r="T61" s="32" t="s">
        <v>6</v>
      </c>
      <c r="U61" s="30"/>
      <c r="W61" s="32" t="s">
        <v>2</v>
      </c>
      <c r="X61" s="32" t="s">
        <v>3</v>
      </c>
      <c r="Y61" s="32" t="s">
        <v>4</v>
      </c>
      <c r="Z61" s="32" t="s">
        <v>5</v>
      </c>
      <c r="AA61" s="32" t="s">
        <v>6</v>
      </c>
    </row>
    <row r="62" spans="1:27" ht="15" x14ac:dyDescent="0.25">
      <c r="A62" s="136">
        <v>700</v>
      </c>
      <c r="B62" s="35" t="str">
        <f>IF(COUNTIFS($A$5:$A$31,"7*",$B$5:$B$31,"*"),"MET","NOT MET")</f>
        <v>NOT MET</v>
      </c>
      <c r="C62" s="35" t="str">
        <f>IF(COUNTIFS($E$5:$E$31,"7*",$F$5:$F$31,"*"),"MET","NOT MET")</f>
        <v>NOT MET</v>
      </c>
      <c r="D62" s="35" t="str">
        <f>IF(COUNTIFS($I$5:$I$31,"7*",$J$5:$J$31,"*"),"MET","NOT MET")</f>
        <v>NOT MET</v>
      </c>
      <c r="E62" s="35" t="str">
        <f>IF(COUNTIFS($M$5:$M$31,"7*",$N$5:$N$31,"*"),"MET","NOT MET")</f>
        <v>NOT MET</v>
      </c>
      <c r="F62" s="35" t="str">
        <f>IF(COUNTIFS($Q$5:$Q$31,"7*",$R$5:$R$31,"*"),"MET","NOT MET")</f>
        <v>NOT MET</v>
      </c>
      <c r="G62" s="30"/>
      <c r="H62" s="134">
        <v>700</v>
      </c>
      <c r="I62" s="35">
        <f>COUNTIFS($A$5:$A$31,"7*",$B$5:$B$31,"*")</f>
        <v>0</v>
      </c>
      <c r="J62" s="35">
        <f>COUNTIFS($E$5:$E$31,"7*",$F$5:$F$31,"*")</f>
        <v>0</v>
      </c>
      <c r="K62" s="35">
        <f>COUNTIFS($I$5:$I$31,"7*",$J$5:$J$31,"*")</f>
        <v>0</v>
      </c>
      <c r="L62" s="35">
        <f>COUNTIFS($M$5:$M$31,"7*",$N$5:$N$31,"*")</f>
        <v>0</v>
      </c>
      <c r="M62" s="35">
        <f>(COUNTIFS($Q$5:$Q$31,"7*",$R$5:$R$31,"*"))</f>
        <v>0</v>
      </c>
      <c r="N62" s="30"/>
      <c r="O62" s="38">
        <v>700</v>
      </c>
      <c r="P62" s="35">
        <f>COUNTIFS($A$5:$A$31,"7*",$B$5:$B$31,"24hr")</f>
        <v>0</v>
      </c>
      <c r="Q62" s="35">
        <f>COUNTIFS($E$5:$E$31,"7*",$F$5:$F$31,"24hr")</f>
        <v>0</v>
      </c>
      <c r="R62" s="35">
        <f>COUNTIFS($I$5:$I$31,"7*",$J$5:$J$31,"24hr")</f>
        <v>0</v>
      </c>
      <c r="S62" s="35">
        <f>COUNTIFS($M$5:$M$31,"7*",$N$5:$N$31,"24hr")</f>
        <v>0</v>
      </c>
      <c r="T62" s="35">
        <f>COUNTIFS($Q$5:$Q$31,"7*",$R$5:$R$31,"24hr")</f>
        <v>0</v>
      </c>
      <c r="U62" s="30"/>
      <c r="V62" s="38">
        <v>700</v>
      </c>
      <c r="W62" s="35">
        <f>COUNTIFS($A$5:$A$31,"7*",$B$5:$B$31,"ftr")</f>
        <v>0</v>
      </c>
      <c r="X62" s="35">
        <f>COUNTIFS($E$5:$E$31,"7*",$F$5:$F$31,"ftr")</f>
        <v>0</v>
      </c>
      <c r="Y62" s="35">
        <f>COUNTIFS($I$5:$I$31,"7*",$J$5:$J$31,"ftr")</f>
        <v>0</v>
      </c>
      <c r="Z62" s="35">
        <f>COUNTIFS($M$5:$M$31,"7*",$N$5:$N$31,"ftr")</f>
        <v>0</v>
      </c>
      <c r="AA62" s="35">
        <f>COUNTIFS($Q$5:$Q$31,"7*",$R$5:$R$31,"ftr")</f>
        <v>0</v>
      </c>
    </row>
    <row r="63" spans="1:27" ht="15" x14ac:dyDescent="0.25">
      <c r="A63" s="137">
        <v>800</v>
      </c>
      <c r="B63" s="35" t="str">
        <f>IF(COUNTIFS($A$5:$A$31,"8*",$B$5:$B$31,"*"),"MET","NOT MET")</f>
        <v>NOT MET</v>
      </c>
      <c r="C63" s="35" t="str">
        <f>IF(COUNTIFS($E$5:$E$31,"8*",$F$5:$F$31,"*"),"MET","NOT MET")</f>
        <v>NOT MET</v>
      </c>
      <c r="D63" s="35" t="str">
        <f>IF(COUNTIFS($I$5:$I$31,"8*",$J$5:$J$31,"*"),"MET","NOT MET")</f>
        <v>NOT MET</v>
      </c>
      <c r="E63" s="35" t="str">
        <f>IF(COUNTIFS($M$5:$M$31,"8*",$N$5:$N$31,"*"),"MET","NOT MET")</f>
        <v>NOT MET</v>
      </c>
      <c r="F63" s="35" t="str">
        <f>IF(COUNTIFS($Q$5:$Q$31,"8*",$R$5:$R$31,"*"),"MET","NOT MET")</f>
        <v>NOT MET</v>
      </c>
      <c r="G63" s="30"/>
      <c r="H63" s="135">
        <v>800</v>
      </c>
      <c r="I63" s="35">
        <f>COUNTIFS($A$5:$A$32,"8*",$B$5:$B$32,"*")</f>
        <v>0</v>
      </c>
      <c r="J63" s="35">
        <f>COUNTIFS($E$5:$E$31,"8*",$F$5:$F$31,"*")</f>
        <v>0</v>
      </c>
      <c r="K63" s="35">
        <f>COUNTIFS($I$5:$I$31,"8*",$J$5:$J$31,"*")</f>
        <v>0</v>
      </c>
      <c r="L63" s="35">
        <f>COUNTIFS($M$5:$M$31,"8*",$N$5:$N$31,"*")</f>
        <v>0</v>
      </c>
      <c r="M63" s="35">
        <f>COUNTIFS($Q$5:$Q$31,"8*",$R$5:$R$31,"*")</f>
        <v>0</v>
      </c>
      <c r="N63" s="30"/>
      <c r="O63" s="42">
        <v>800</v>
      </c>
      <c r="P63" s="35">
        <f>COUNTIFS($A$5:$A$31,"8*",$B$5:$B$31,"24hr")</f>
        <v>0</v>
      </c>
      <c r="Q63" s="35">
        <f>COUNTIFS($E$5:$E$31,"8*",$F$5:$F$31,"24hr")</f>
        <v>0</v>
      </c>
      <c r="R63" s="35">
        <f>COUNTIFS($I$5:$I$31,"8*",$J$5:$J$31,"24hr")</f>
        <v>0</v>
      </c>
      <c r="S63" s="35">
        <f>COUNTIFS($M$5:$M$31,"8*",$N$5:$N$31,"24hr")</f>
        <v>0</v>
      </c>
      <c r="T63" s="35">
        <f>COUNTIFS($Q$5:$Q$31,"8*",$R$5:$R$31,"24hr")</f>
        <v>0</v>
      </c>
      <c r="U63" s="30"/>
      <c r="V63" s="42">
        <v>800</v>
      </c>
      <c r="W63" s="35">
        <f>COUNTIFS($A$5:$A$31,"8*",$B$5:$B$31,"ftr")</f>
        <v>0</v>
      </c>
      <c r="X63" s="35">
        <f>COUNTIFS($E$5:$E$31,"8*",$F$5:$F$31,"ftr")</f>
        <v>0</v>
      </c>
      <c r="Y63" s="35">
        <f>COUNTIFS($I$5:$I$31,"8*",$J$5:$J$31,"ftr")</f>
        <v>0</v>
      </c>
      <c r="Z63" s="35">
        <f>COUNTIFS($M$5:$M$31,"8*",$N$5:$N$31,"ftr")</f>
        <v>0</v>
      </c>
      <c r="AA63" s="35">
        <f>COUNTIFS($Q$5:$Q$31,"8*",$R$5:$R$31,"ftr")</f>
        <v>0</v>
      </c>
    </row>
    <row r="64" spans="1:27" ht="15" x14ac:dyDescent="0.25">
      <c r="A64" s="137">
        <v>900</v>
      </c>
      <c r="B64" s="35" t="str">
        <f>IF(COUNTIFS($A$5:$A$31,"9*",$B$5:$B$31,"*"),"MET","NOT MET")</f>
        <v>MET</v>
      </c>
      <c r="C64" s="35" t="str">
        <f>IF(COUNTIFS($E$5:$E$31,"9*",$F$5:$F$31,"*"),"MET","NOT MET")</f>
        <v>MET</v>
      </c>
      <c r="D64" s="35" t="str">
        <f>IF(COUNTIFS($I$5:$I$31,"9*",$J$5:$J$31,"*"),"MET","NOT MET")</f>
        <v>MET</v>
      </c>
      <c r="E64" s="35" t="str">
        <f>IF(COUNTIFS($M$5:$M$31,"9*",$N$5:$N$31,"*"),"MET","NOT MET")</f>
        <v>MET</v>
      </c>
      <c r="F64" s="35" t="str">
        <f>IF(COUNTIFS($Q$5:$Q$31,"9*",$R$5:$R$31,"*"),"MET","NOT MET")</f>
        <v>MET</v>
      </c>
      <c r="G64" s="30"/>
      <c r="H64" s="135">
        <v>900</v>
      </c>
      <c r="I64" s="35">
        <f>COUNTIFS($A$5:$A$31,"9*",$B$5:$B$31,"*")</f>
        <v>3</v>
      </c>
      <c r="J64" s="35">
        <f>COUNTIFS($E$5:$E$31,"9*",$F$5:$F$31,"*")</f>
        <v>3</v>
      </c>
      <c r="K64" s="35">
        <f>COUNTIFS($I$5:$I$31,"9*",$J$5:$J$31,"*")</f>
        <v>3</v>
      </c>
      <c r="L64" s="35">
        <f>COUNTIFS($M$5:$M$31,"9*",$N$5:$N$31,"*")</f>
        <v>3</v>
      </c>
      <c r="M64" s="35">
        <f>COUNTIFS($Q$5:$Q$31,"9*",$R$5:$R$31,"*")</f>
        <v>3</v>
      </c>
      <c r="N64" s="30"/>
      <c r="O64" s="42">
        <v>900</v>
      </c>
      <c r="P64" s="35">
        <f>COUNTIFS($A$5:$A$31,"9*",$B$5:$B$31,"24hr")</f>
        <v>3</v>
      </c>
      <c r="Q64" s="35">
        <f>COUNTIFS($E$5:$E$31,"9*",$F$5:$F$31,"24hr")</f>
        <v>3</v>
      </c>
      <c r="R64" s="35">
        <f>COUNTIFS($I$5:$I$31,"9*",$J$5:$J$31,"24hr")</f>
        <v>3</v>
      </c>
      <c r="S64" s="35">
        <f>COUNTIFS($M$5:$M$31,"9*",$N$5:$N$31,"24hr")</f>
        <v>3</v>
      </c>
      <c r="T64" s="35">
        <f>COUNTIFS($Q$5:$Q$31,"9*",$R$5:$R$31,"24hr")</f>
        <v>3</v>
      </c>
      <c r="U64" s="30"/>
      <c r="V64" s="42">
        <v>900</v>
      </c>
      <c r="W64" s="35">
        <f>COUNTIFS($A$5:$A$31,"9*",$B$5:$B$31,"ftr")</f>
        <v>0</v>
      </c>
      <c r="X64" s="35">
        <f>COUNTIFS($E$5:$E$31,"9*",$F$5:$F$31,"ftr")</f>
        <v>0</v>
      </c>
      <c r="Y64" s="35">
        <f>COUNTIFS($I$5:$I$31,"9*",$J$5:$J$31,"ftr")</f>
        <v>0</v>
      </c>
      <c r="Z64" s="35">
        <f>COUNTIFS($M$5:$M$31,"9*",$N$5:$N$31,"ftr")</f>
        <v>0</v>
      </c>
      <c r="AA64" s="35">
        <f>COUNTIFS($Q$5:$Q$31,"9*",$R$5:$R$31,"ftr")</f>
        <v>0</v>
      </c>
    </row>
    <row r="65" spans="1:27" ht="15" x14ac:dyDescent="0.25">
      <c r="A65" s="137">
        <v>1000</v>
      </c>
      <c r="B65" s="35" t="str">
        <f>IF(COUNTIFS($A$5:$A$31,"10*",$B$5:$B$31,"*"),"MET","NOT MET")</f>
        <v>MET</v>
      </c>
      <c r="C65" s="35" t="str">
        <f>IF(COUNTIFS($E$5:$E$31,"10*",$F$5:$F$31,"*"),"MET","NOT MET")</f>
        <v>MET</v>
      </c>
      <c r="D65" s="35" t="str">
        <f>IF(COUNTIFS($I$5:$I$31,"10*",$J$5:$J$31,"*"),"MET","NOT MET")</f>
        <v>MET</v>
      </c>
      <c r="E65" s="35" t="str">
        <f>IF(COUNTIFS($M$5:$M$31,"10*",$N$5:$N$31,"*"),"MET","NOT MET")</f>
        <v>MET</v>
      </c>
      <c r="F65" s="35" t="str">
        <f>IF(COUNTIFS($Q$5:$Q$31,"10*",$R$5:$R$31,"*"),"MET","NOT MET")</f>
        <v>MET</v>
      </c>
      <c r="G65" s="30"/>
      <c r="H65" s="135">
        <v>1000</v>
      </c>
      <c r="I65" s="35">
        <f>COUNTIFS($A$5:$A$31,"10*",$B$5:$B$31,"*")</f>
        <v>3</v>
      </c>
      <c r="J65" s="35">
        <f>COUNTIFS($E$5:$E$31,"10*",$F$5:$F$31,"*")</f>
        <v>3</v>
      </c>
      <c r="K65" s="35">
        <f>COUNTIFS($I$5:$I$31,"10*",$J$5:$J$31,"*")</f>
        <v>3</v>
      </c>
      <c r="L65" s="35">
        <f>COUNTIFS($M$5:$M$31,"*10*",$N$5:$N$31,"*")</f>
        <v>3</v>
      </c>
      <c r="M65" s="35">
        <f>COUNTIFS($Q$5:$Q$31,"10*",$R$5:$R$31,"*")</f>
        <v>3</v>
      </c>
      <c r="N65" s="30"/>
      <c r="O65" s="42">
        <v>1000</v>
      </c>
      <c r="P65" s="35">
        <f>COUNTIFS($A$5:$A$31,"10*",$B$5:$B$31,"24hr")</f>
        <v>3</v>
      </c>
      <c r="Q65" s="35">
        <f>COUNTIFS($E$5:$E$31,"10*",$F$5:$F$31,"24hr")</f>
        <v>3</v>
      </c>
      <c r="R65" s="35">
        <f>COUNTIFS($I$5:$I$31,"10*",$J$5:$J$31,"24hr")</f>
        <v>3</v>
      </c>
      <c r="S65" s="35">
        <f>COUNTIFS($M$5:$M$31,"10*",$N$5:$N$31,"24hr")</f>
        <v>3</v>
      </c>
      <c r="T65" s="35">
        <f>COUNTIFS($Q$5:$Q$31,"10*",$R$5:$R$31,"24hr")</f>
        <v>3</v>
      </c>
      <c r="U65" s="30"/>
      <c r="V65" s="42">
        <v>1000</v>
      </c>
      <c r="W65" s="35">
        <f>COUNTIFS($A$5:$A$31,"10*",$B$5:$B$31,"ftr")</f>
        <v>0</v>
      </c>
      <c r="X65" s="35">
        <f>COUNTIFS($E$5:$E$31,"10*",$F$5:$F$31,"ftr")</f>
        <v>0</v>
      </c>
      <c r="Y65" s="35">
        <f>COUNTIFS($I$5:$I$31,"10*",$J$5:$J$31,"ftr")</f>
        <v>0</v>
      </c>
      <c r="Z65" s="35">
        <f>COUNTIFS($M$5:$M$31,"10*",$N$5:$N$31,"ftr")</f>
        <v>0</v>
      </c>
      <c r="AA65" s="35">
        <f>COUNTIFS($Q$5:$Q$31,"10*",$R$5:$R$31,"ftr")</f>
        <v>0</v>
      </c>
    </row>
    <row r="66" spans="1:27" ht="15" x14ac:dyDescent="0.25">
      <c r="A66" s="137">
        <v>1100</v>
      </c>
      <c r="B66" s="35" t="str">
        <f>IF(COUNTIFS($A$5:$A$31,"11*",$B$5:$B$31,"*"),"MET","NOT MET")</f>
        <v>NOT MET</v>
      </c>
      <c r="C66" s="35" t="str">
        <f>IF(COUNTIFS($E$5:$E$31,"11*",$F$5:$F$31,"*"),"MET","NOT MET")</f>
        <v>NOT MET</v>
      </c>
      <c r="D66" s="35" t="str">
        <f>IF(COUNTIFS($I$5:$I$31,"11*",$J$5:$J$31,"*"),"MET","NOT MET")</f>
        <v>NOT MET</v>
      </c>
      <c r="E66" s="35" t="str">
        <f>IF(COUNTIFS($M$5:$M$31,"11*",$N$5:$N$31,"*"),"MET","NOT MET")</f>
        <v>NOT MET</v>
      </c>
      <c r="F66" s="35" t="str">
        <f>IF(COUNTIFS($Q$5:$Q$31,"11*",$R$5:$R$31,"*"),"MET","NOT MET")</f>
        <v>NOT MET</v>
      </c>
      <c r="G66" s="30"/>
      <c r="H66" s="135">
        <v>1100</v>
      </c>
      <c r="I66" s="35">
        <f>COUNTIFS($A$5:$A$31,"11*",$B$5:$B$31,"*")</f>
        <v>0</v>
      </c>
      <c r="J66" s="35">
        <f>COUNTIFS($E$5:$E$31,"11*",$F$5:$F$31,"*")</f>
        <v>0</v>
      </c>
      <c r="K66" s="35">
        <f>COUNTIFS($I$5:$I$31,"11*",$J$5:$J$31,"*")</f>
        <v>0</v>
      </c>
      <c r="L66" s="35">
        <f>COUNTIFS($M$5:$M$31,"11*",$N$5:$N$31,"*")</f>
        <v>0</v>
      </c>
      <c r="M66" s="35">
        <f>COUNTIFS($Q$5:$Q$31,"11*",$R$5:$R$31,"*")</f>
        <v>0</v>
      </c>
      <c r="N66" s="30"/>
      <c r="O66" s="42">
        <v>1100</v>
      </c>
      <c r="P66" s="35">
        <f>COUNTIFS($A$5:$A$31,"11*",$B$5:$B$31,"24hr")</f>
        <v>0</v>
      </c>
      <c r="Q66" s="35">
        <f>COUNTIFS($E$5:$E$31,"11*",$F$5:$F$31,"24hr")</f>
        <v>0</v>
      </c>
      <c r="R66" s="35">
        <f>COUNTIFS($I$5:$I$31,"11*",$J$5:$J$31,"24hr")</f>
        <v>0</v>
      </c>
      <c r="S66" s="35">
        <f>COUNTIFS($M$5:$M$31,"11*",$N$5:$N$31,"24hr")</f>
        <v>0</v>
      </c>
      <c r="T66" s="35">
        <f>COUNTIFS($Q$5:$Q$31,"11*",$R$5:$R$31,"24hr")</f>
        <v>0</v>
      </c>
      <c r="U66" s="30"/>
      <c r="V66" s="42">
        <v>1100</v>
      </c>
      <c r="W66" s="35">
        <f>COUNTIFS($A$5:$A$31,"11*",$B$5:$B$31,"ftr")</f>
        <v>0</v>
      </c>
      <c r="X66" s="35">
        <f>COUNTIFS($E$5:$E$31,"11*",$F$5:$F$31,"ftr")</f>
        <v>0</v>
      </c>
      <c r="Y66" s="35">
        <f>COUNTIFS($I$5:$I$31,"11*",$J$5:$J$31,"ftr")</f>
        <v>0</v>
      </c>
      <c r="Z66" s="35">
        <f>COUNTIFS($M$5:$M$31,"11*",$N$5:$N$31,"ftr")</f>
        <v>0</v>
      </c>
      <c r="AA66" s="35">
        <f>COUNTIFS($Q$5:$Q$31,"11*",$R$5:$R$31,"ftr")</f>
        <v>0</v>
      </c>
    </row>
    <row r="67" spans="1:27" ht="15" x14ac:dyDescent="0.25">
      <c r="A67" s="137">
        <v>1200</v>
      </c>
      <c r="B67" s="35" t="str">
        <f>IF(COUNTIFS($A$5:$A$31,"12*",$B$5:$B$31,"*"),"MET","NOT MET")</f>
        <v>NOT MET</v>
      </c>
      <c r="C67" s="35" t="str">
        <f>IF(COUNTIFS($E$5:$E$31,"12*",$F$5:$F$31,"*"),"MET","NOT MET")</f>
        <v>NOT MET</v>
      </c>
      <c r="D67" s="35" t="str">
        <f>IF(COUNTIFS($I$5:$I$31,"12*",$J$5:$J$31,"*"),"MET","NOT MET")</f>
        <v>NOT MET</v>
      </c>
      <c r="E67" s="35" t="str">
        <f>IF(COUNTIFS($M$5:$M$31,"12*",$N$5:$N$31,"*"),"MET","NOT MET")</f>
        <v>NOT MET</v>
      </c>
      <c r="F67" s="35" t="str">
        <f>IF(COUNTIFS($Q$5:$Q$31,"12*",$R$5:$R$31,"*"),"MET","NOT MET")</f>
        <v>NOT MET</v>
      </c>
      <c r="G67" s="30"/>
      <c r="H67" s="135">
        <v>1200</v>
      </c>
      <c r="I67" s="35">
        <f>COUNTIFS($A$5:$A$31,"12*",$B$5:$B$31,"*")</f>
        <v>0</v>
      </c>
      <c r="J67" s="35">
        <f>COUNTIFS($E$5:$E$31,"12*",$F$5:$F$31,"*")</f>
        <v>0</v>
      </c>
      <c r="K67" s="35">
        <f>COUNTIFS($I$5:$I$31,"12*",$J$5:$J$31,"*")</f>
        <v>0</v>
      </c>
      <c r="L67" s="35">
        <f>COUNTIFS($M$5:$M$31,"12*",$N$5:$N$31,"*")</f>
        <v>0</v>
      </c>
      <c r="M67" s="35">
        <f>COUNTIFS($Q$5:$Q$31,"12*",$R$5:$R$31,"*")</f>
        <v>0</v>
      </c>
      <c r="N67" s="30"/>
      <c r="O67" s="42">
        <v>1200</v>
      </c>
      <c r="P67" s="35">
        <f>COUNTIFS($A$5:$A$31,"12*",$B$5:$B$31,"24hr")</f>
        <v>0</v>
      </c>
      <c r="Q67" s="35">
        <f>COUNTIFS($E$5:$E$31,"12*",$F$5:$F$31,"24hr")</f>
        <v>0</v>
      </c>
      <c r="R67" s="35">
        <f>COUNTIFS($I$5:$I$31,"12*",$J$5:$J$31,"24hr")</f>
        <v>0</v>
      </c>
      <c r="S67" s="35">
        <f>COUNTIFS($M$5:$M$31,"12*",$N$5:$N$31,"24hr")</f>
        <v>0</v>
      </c>
      <c r="T67" s="35">
        <f>COUNTIFS($Q$5:$Q$31,"12*",$R$5:$R$31,"24hr")</f>
        <v>0</v>
      </c>
      <c r="U67" s="30"/>
      <c r="V67" s="42">
        <v>1200</v>
      </c>
      <c r="W67" s="35">
        <f>COUNTIFS($A$5:$A$31,"12*",$B$5:$B$31,"ftr")</f>
        <v>0</v>
      </c>
      <c r="X67" s="35">
        <f>COUNTIFS($E$5:$E$31,"12*",$F$5:$F$31,"ftr")</f>
        <v>0</v>
      </c>
      <c r="Y67" s="35">
        <f>COUNTIFS($I$5:$I$31,"12*",$J$5:$J$31,"ftr")</f>
        <v>0</v>
      </c>
      <c r="Z67" s="35">
        <f>COUNTIFS($M$5:$M$31,"12*",$N$5:$N$31,"ftr")</f>
        <v>0</v>
      </c>
      <c r="AA67" s="35">
        <f>COUNTIFS($Q$5:$Q$31,"12*",$R$5:$R$31,"ftr")</f>
        <v>0</v>
      </c>
    </row>
    <row r="68" spans="1:27" ht="15" x14ac:dyDescent="0.25">
      <c r="A68" s="137">
        <v>1300</v>
      </c>
      <c r="B68" s="35" t="str">
        <f>IF(COUNTIFS($A$5:$A$31,"13*",$B$5:$B$31,"*"),"MET","NOT MET")</f>
        <v>MET</v>
      </c>
      <c r="C68" s="35" t="str">
        <f>IF(COUNTIFS($E$5:$E$31,"13*",$F$5:$F$31,"*"),"MET","NOT MET")</f>
        <v>MET</v>
      </c>
      <c r="D68" s="35" t="str">
        <f>IF(COUNTIFS($I$5:$I$31,"13*",$J$5:$J$31,"*"),"MET","NOT MET")</f>
        <v>MET</v>
      </c>
      <c r="E68" s="35" t="str">
        <f>IF(COUNTIFS($M$5:$M$31,"13*",$N$5:$N$31,"*"),"MET","NOT MET")</f>
        <v>MET</v>
      </c>
      <c r="F68" s="35" t="str">
        <f>IF(COUNTIFS($Q$5:$Q$31,"13*",$R$5:$R$31,"*"),"MET","NOT MET")</f>
        <v>MET</v>
      </c>
      <c r="G68" s="30"/>
      <c r="H68" s="135">
        <v>1300</v>
      </c>
      <c r="I68" s="35">
        <f>COUNTIFS($A$5:$A$31,"13*",$B$5:$B$31,"*")</f>
        <v>3</v>
      </c>
      <c r="J68" s="35">
        <f>COUNTIFS($E$5:$E$31,"13*",$F$5:$F$31,"*")</f>
        <v>3</v>
      </c>
      <c r="K68" s="35">
        <f>COUNTIFS($I$5:$I$31,"13*",$J$5:$J$31,"*")</f>
        <v>3</v>
      </c>
      <c r="L68" s="35">
        <f>COUNTIFS($M$5:$M$31,"13*",$N$5:$N$31,"*")</f>
        <v>3</v>
      </c>
      <c r="M68" s="35">
        <f>COUNTIFS($Q$5:$Q$31,"13*",$R$5:$R$31,"*")</f>
        <v>3</v>
      </c>
      <c r="N68" s="30"/>
      <c r="O68" s="42">
        <v>1300</v>
      </c>
      <c r="P68" s="35">
        <f>COUNTIFS($A$5:$A$31,"13*",$B$5:$B$31,"24hr")</f>
        <v>3</v>
      </c>
      <c r="Q68" s="35">
        <f>COUNTIFS($E$5:$E$31,"13*",$F$5:$F$31,"24hr")</f>
        <v>3</v>
      </c>
      <c r="R68" s="35">
        <f>COUNTIFS($I$5:$I$31,"13*",$J$5:$J$31,"24hr")</f>
        <v>3</v>
      </c>
      <c r="S68" s="35">
        <f>COUNTIFS($M$5:$M$31,"13*",$N$5:$N$31,"24hr")</f>
        <v>3</v>
      </c>
      <c r="T68" s="35">
        <f>COUNTIFS($Q$5:$Q$31,"13*",$R$5:$R$31,"24hr")</f>
        <v>3</v>
      </c>
      <c r="U68" s="30"/>
      <c r="V68" s="42">
        <v>1300</v>
      </c>
      <c r="W68" s="35">
        <f>COUNTIFS($A$5:$A$31,"13*",$B$5:$B$31,"ftr")</f>
        <v>0</v>
      </c>
      <c r="X68" s="35">
        <f>COUNTIFS($E$5:$E$31,"13*",$F$5:$F$31,"ftr")</f>
        <v>0</v>
      </c>
      <c r="Y68" s="35">
        <f>COUNTIFS($I$5:$I$31,"13*",$J$5:$J$31,"ftr")</f>
        <v>0</v>
      </c>
      <c r="Z68" s="35">
        <f>COUNTIFS($M$5:$M$31,"13*",$N$5:$N$31,"ftr")</f>
        <v>0</v>
      </c>
      <c r="AA68" s="35">
        <f>COUNTIFS($Q$5:$Q$31,"13*",$R$5:$R$31,"ftr")</f>
        <v>0</v>
      </c>
    </row>
    <row r="69" spans="1:27" ht="15" x14ac:dyDescent="0.25">
      <c r="A69" s="137">
        <v>1400</v>
      </c>
      <c r="B69" s="35" t="str">
        <f>IF(COUNTIFS($A$5:$A31,"14*",$B$5:$B$31,"*"),"MET","NOT MET")</f>
        <v>MET</v>
      </c>
      <c r="C69" s="35" t="str">
        <f>IF(COUNTIFS($E$5:$E$31,"14*",$F$5:$F$31,"*"),"MET","NOT MET")</f>
        <v>MET</v>
      </c>
      <c r="D69" s="35" t="str">
        <f>IF(COUNTIFS($I$5:$I$31,"14*",$J$5:$J$31,"*"),"MET","NOT MET")</f>
        <v>MET</v>
      </c>
      <c r="E69" s="35" t="str">
        <f>IF(COUNTIFS($M$5:$M$31,"14*",$N$5:$N$31,"*"),"MET","NOT MET")</f>
        <v>MET</v>
      </c>
      <c r="F69" s="35" t="str">
        <f>IF(COUNTIFS($Q$5:$Q$31,"14*",$R$5:$R$31,"*"),"MET","NOT MET")</f>
        <v>MET</v>
      </c>
      <c r="G69" s="30"/>
      <c r="H69" s="135">
        <v>1400</v>
      </c>
      <c r="I69" s="35">
        <f>COUNTIFS($A$5:$A$31,"14*",$B$5:$B$31,"*")</f>
        <v>3</v>
      </c>
      <c r="J69" s="35">
        <f>COUNTIFS($E$5:$E$31,"14*",$F$5:$F$31,"*")</f>
        <v>3</v>
      </c>
      <c r="K69" s="35">
        <f>(COUNTIFS($I$5:$I$31,"14*",$J$5:$J$31,"*"))</f>
        <v>3</v>
      </c>
      <c r="L69" s="35">
        <f>COUNTIFS($M$5:$M$31,"14*",$N$5:$N$31,"*")</f>
        <v>3</v>
      </c>
      <c r="M69" s="35">
        <f>COUNTIFS($Q$5:$Q$31,"14*",$R$5:$R$31,"*")</f>
        <v>3</v>
      </c>
      <c r="N69" s="30"/>
      <c r="O69" s="42">
        <v>1400</v>
      </c>
      <c r="P69" s="35">
        <f>COUNTIFS($A$5:$A$31,"14*",$B$5:$B$31,"24hr")</f>
        <v>3</v>
      </c>
      <c r="Q69" s="35">
        <f>COUNTIFS($E$5:$E$31,"14*",$F$5:$F$31,"24hr")</f>
        <v>3</v>
      </c>
      <c r="R69" s="35">
        <f>(COUNTIFS($I$5:$I$31,"14*",$J$5:$J$31,"24hr"))</f>
        <v>3</v>
      </c>
      <c r="S69" s="35">
        <f>COUNTIFS($M$5:$M$31,"14*",$N$5:$N$31,"24hr")</f>
        <v>3</v>
      </c>
      <c r="T69" s="35">
        <f>COUNTIFS($Q$5:$Q$31,"14*",$R$5:$R$31,"24hr")</f>
        <v>3</v>
      </c>
      <c r="U69" s="30"/>
      <c r="V69" s="42">
        <v>1400</v>
      </c>
      <c r="W69" s="35">
        <f>COUNTIFS($A$5:$A$31,"14*",$B$5:$B$31,"ftr")</f>
        <v>0</v>
      </c>
      <c r="X69" s="35">
        <f>COUNTIFS($E$5:$E$31,"14*",$F$5:$F$31,"ftr")</f>
        <v>0</v>
      </c>
      <c r="Y69" s="35">
        <f>COUNTIFS($I$5:$I$31,"14*",$J$5:$J$31,"ftr")</f>
        <v>0</v>
      </c>
      <c r="Z69" s="35">
        <f>COUNTIFS($M$5:$M$31,"14*",$N$5:$N$31,"ftr")</f>
        <v>0</v>
      </c>
      <c r="AA69" s="35">
        <f>COUNTIFS($Q$5:$Q$31,"14*",$R$5:$R$31,"ftr")</f>
        <v>0</v>
      </c>
    </row>
    <row r="70" spans="1:27" ht="15" x14ac:dyDescent="0.25">
      <c r="A70" s="137">
        <v>1500</v>
      </c>
      <c r="B70" s="35" t="str">
        <f>IF(COUNTIFS($A$5:$A$31,"15*",$B$5:$B$31,"*"),"MET","NOT MET")</f>
        <v>MET</v>
      </c>
      <c r="C70" s="35" t="str">
        <f>IF(COUNTIFS($E$5:$E$31,"15*",$F$5:$F$31,"*"),"MET","NOT MET")</f>
        <v>MET</v>
      </c>
      <c r="D70" s="35" t="str">
        <f>IF(COUNTIFS($I$5:$I$31,"15*",$J$5:$J$31,"*"),"MET","NOT MET")</f>
        <v>MET</v>
      </c>
      <c r="E70" s="35" t="str">
        <f>IF(COUNTIFS($M$5:$M$31,"15*",$N$5:$N$31,"*"),"MET","NOT MET")</f>
        <v>MET</v>
      </c>
      <c r="F70" s="35" t="str">
        <f>IF(COUNTIFS($Q$5:$Q$31,"15*",$R$5:$R$31,"*"),"MET","NOT MET")</f>
        <v>MET</v>
      </c>
      <c r="G70" s="30"/>
      <c r="H70" s="135">
        <v>1500</v>
      </c>
      <c r="I70" s="35">
        <f>COUNTIFS($A$5:$A$31,"15*",$B$5:$B$31,"*")</f>
        <v>3</v>
      </c>
      <c r="J70" s="35">
        <f>COUNTIFS($E$5:$E$31,"15*",$F$5:$F$31,"*")</f>
        <v>3</v>
      </c>
      <c r="K70" s="35">
        <f>COUNTIFS($I$5:$I$31,"15*",$J$5:$J$31,"*")</f>
        <v>3</v>
      </c>
      <c r="L70" s="35">
        <f>COUNTIFS($M$5:$M$31,"15*",$N$5:$N$31,"*")</f>
        <v>3</v>
      </c>
      <c r="M70" s="35">
        <f>COUNTIFS($Q$5:$Q$31,"15*",$R$5:$R$31,"*")</f>
        <v>3</v>
      </c>
      <c r="N70" s="30"/>
      <c r="O70" s="42">
        <v>1500</v>
      </c>
      <c r="P70" s="35">
        <f>COUNTIFS($A$5:$A$31,"15*",$B$5:$B$31,"24hr")</f>
        <v>3</v>
      </c>
      <c r="Q70" s="35">
        <f>COUNTIFS($E$5:$E$31,"15*",$F$5:$F$31,"24hr")</f>
        <v>3</v>
      </c>
      <c r="R70" s="35">
        <f>COUNTIFS($I$5:$I$31,"15*",$J$5:$J$31,"24hr")</f>
        <v>3</v>
      </c>
      <c r="S70" s="35">
        <f>COUNTIFS($M$5:$M$31,"15*",$N$5:$N$31,"24hr")</f>
        <v>3</v>
      </c>
      <c r="T70" s="35">
        <f>COUNTIFS($Q$5:$Q$31,"15*",$R$5:$R$31,"24hr")</f>
        <v>3</v>
      </c>
      <c r="U70" s="30"/>
      <c r="V70" s="42">
        <v>1500</v>
      </c>
      <c r="W70" s="35">
        <f>COUNTIFS($A$5:$A$31,"15*",$B$5:$B$31,"ftr")</f>
        <v>0</v>
      </c>
      <c r="X70" s="35">
        <f>COUNTIFS($E$5:$E$31,"15*",$F$5:$F$31,"ftr")</f>
        <v>0</v>
      </c>
      <c r="Y70" s="35">
        <f>COUNTIFS($I$5:$I$31,"15*",$J$5:$J$31,"ftr")</f>
        <v>0</v>
      </c>
      <c r="Z70" s="35">
        <f>COUNTIFS($M$5:$M$31,"15*",$N$5:$N$31,"ftr")</f>
        <v>0</v>
      </c>
      <c r="AA70" s="35">
        <f>COUNTIFS($Q$5:$Q$31,"15*",$R$5:$R$31,"ftr")</f>
        <v>0</v>
      </c>
    </row>
    <row r="71" spans="1:27" ht="15" x14ac:dyDescent="0.25">
      <c r="A71" s="137">
        <v>1600</v>
      </c>
      <c r="B71" s="35" t="str">
        <f>IF(COUNTIFS($A$5:$A$31,"16*",$B$5:$B$31,"*"),"MET","NOT MET")</f>
        <v>NOT MET</v>
      </c>
      <c r="C71" s="35" t="str">
        <f>IF(COUNTIFS($E$5:$E$31,"16*",$F$5:$F$31,"*"),"MET","NOT MET")</f>
        <v>NOT MET</v>
      </c>
      <c r="D71" s="35" t="str">
        <f>IF(COUNTIFS($I$5:$I$31,"16*",$J$5:$J$31,"*"),"MET","NOT MET")</f>
        <v>NOT MET</v>
      </c>
      <c r="E71" s="35" t="str">
        <f>IF(COUNTIFS($M$5:$M$31,"16*",$N$5:$N$31,"*"),"MET","NOT MET")</f>
        <v>NOT MET</v>
      </c>
      <c r="F71" s="35" t="str">
        <f>IF(COUNTIFS($Q$5:$Q$31,"16*",$R$5:$R$31,"*"),"MET","NOT MET")</f>
        <v>NOT MET</v>
      </c>
      <c r="G71" s="30"/>
      <c r="H71" s="135">
        <v>1600</v>
      </c>
      <c r="I71" s="35">
        <f>COUNTIFS($A$5:$A$31,"16*",$B$5:$B$31,"*")</f>
        <v>0</v>
      </c>
      <c r="J71" s="35">
        <f>COUNTIFS($E$5:$E$31,"16*",$F$5:$F$31,"*")</f>
        <v>0</v>
      </c>
      <c r="K71" s="35">
        <f>COUNTIFS($I$5:$I$31,"16*",$J$5:$J$31,"*")</f>
        <v>0</v>
      </c>
      <c r="L71" s="35">
        <f>COUNTIFS($M$5:$M$31,"16*",$N$5:$N$31,"*")</f>
        <v>0</v>
      </c>
      <c r="M71" s="35">
        <f>COUNTIFS($Q$5:$Q$31,"16*",$R$5:$R$31,"*")</f>
        <v>0</v>
      </c>
      <c r="N71" s="30"/>
      <c r="O71" s="42">
        <v>1600</v>
      </c>
      <c r="P71" s="35">
        <f>COUNTIFS($A$5:$A$31,"16*",$B$5:$B$31,"24hr")</f>
        <v>0</v>
      </c>
      <c r="Q71" s="35">
        <f>COUNTIFS($E$5:$E$31,"16*",$F$5:$F$31,"24hr")</f>
        <v>0</v>
      </c>
      <c r="R71" s="35">
        <f>COUNTIFS($I$5:$I$31,"16*",$J$5:$J$31,"24hr")</f>
        <v>0</v>
      </c>
      <c r="S71" s="35">
        <f>COUNTIFS($M$5:$M$31,"16*",$N$5:$N$31,"24hr")</f>
        <v>0</v>
      </c>
      <c r="T71" s="35">
        <f>COUNTIFS($Q$5:$Q$31,"16*",$R$5:$R$31,"24hr")</f>
        <v>0</v>
      </c>
      <c r="U71" s="30"/>
      <c r="V71" s="42">
        <v>1600</v>
      </c>
      <c r="W71" s="35">
        <f>COUNTIFS($A$5:$A$31,"16*",$B$5:$B$31,"ftr")</f>
        <v>0</v>
      </c>
      <c r="X71" s="35">
        <f>COUNTIFS($E$5:$E$31,"16*",$F$5:$F$31,"ftr")</f>
        <v>0</v>
      </c>
      <c r="Y71" s="35">
        <f>COUNTIFS($I$5:$I$31,"16*",$J$5:$J$31,"ftr")</f>
        <v>0</v>
      </c>
      <c r="Z71" s="35">
        <f>COUNTIFS($M$5:$M$31,"16*",$N$5:$N$31,"ftr")</f>
        <v>0</v>
      </c>
      <c r="AA71" s="35">
        <f>COUNTIFS($Q$5:$Q$31,"16*",$R$5:$R$31,"ftr")</f>
        <v>0</v>
      </c>
    </row>
  </sheetData>
  <mergeCells count="90">
    <mergeCell ref="N37:O37"/>
    <mergeCell ref="R37:S37"/>
    <mergeCell ref="B38:C38"/>
    <mergeCell ref="F38:G38"/>
    <mergeCell ref="J38:K38"/>
    <mergeCell ref="N38:O38"/>
    <mergeCell ref="R38:S38"/>
    <mergeCell ref="U32:W32"/>
    <mergeCell ref="A1:T1"/>
    <mergeCell ref="A2:T2"/>
    <mergeCell ref="A3:D3"/>
    <mergeCell ref="E3:H3"/>
    <mergeCell ref="I3:L3"/>
    <mergeCell ref="M3:P3"/>
    <mergeCell ref="Q3:T3"/>
    <mergeCell ref="A32:D32"/>
    <mergeCell ref="E32:H32"/>
    <mergeCell ref="I32:L32"/>
    <mergeCell ref="M32:P32"/>
    <mergeCell ref="Q32:T32"/>
    <mergeCell ref="V1:AA3"/>
    <mergeCell ref="AA5:AA8"/>
    <mergeCell ref="AA10:AA13"/>
    <mergeCell ref="B34:C34"/>
    <mergeCell ref="F34:G34"/>
    <mergeCell ref="J34:K34"/>
    <mergeCell ref="N34:O34"/>
    <mergeCell ref="R34:S34"/>
    <mergeCell ref="B33:C33"/>
    <mergeCell ref="F33:G33"/>
    <mergeCell ref="J33:K33"/>
    <mergeCell ref="N33:O33"/>
    <mergeCell ref="R33:S33"/>
    <mergeCell ref="R39:S39"/>
    <mergeCell ref="A40:D40"/>
    <mergeCell ref="E40:H40"/>
    <mergeCell ref="B35:C35"/>
    <mergeCell ref="F35:G35"/>
    <mergeCell ref="J35:K35"/>
    <mergeCell ref="N35:O35"/>
    <mergeCell ref="R35:S35"/>
    <mergeCell ref="B36:C36"/>
    <mergeCell ref="F36:G36"/>
    <mergeCell ref="J36:K36"/>
    <mergeCell ref="N36:O36"/>
    <mergeCell ref="R36:S36"/>
    <mergeCell ref="B37:C37"/>
    <mergeCell ref="F37:G37"/>
    <mergeCell ref="J37:K37"/>
    <mergeCell ref="B44:C44"/>
    <mergeCell ref="B39:C39"/>
    <mergeCell ref="F39:G39"/>
    <mergeCell ref="J39:K39"/>
    <mergeCell ref="N39:O39"/>
    <mergeCell ref="B41:C41"/>
    <mergeCell ref="F41:G41"/>
    <mergeCell ref="B42:C42"/>
    <mergeCell ref="F42:G42"/>
    <mergeCell ref="B43:C43"/>
    <mergeCell ref="R55:T55"/>
    <mergeCell ref="A53:G53"/>
    <mergeCell ref="H53:M53"/>
    <mergeCell ref="N53:T53"/>
    <mergeCell ref="A54:B54"/>
    <mergeCell ref="C54:G54"/>
    <mergeCell ref="H54:J54"/>
    <mergeCell ref="K54:M54"/>
    <mergeCell ref="N54:Q54"/>
    <mergeCell ref="R54:T54"/>
    <mergeCell ref="A55:B55"/>
    <mergeCell ref="C55:G55"/>
    <mergeCell ref="H55:J55"/>
    <mergeCell ref="K55:M55"/>
    <mergeCell ref="N55:Q55"/>
    <mergeCell ref="B60:F60"/>
    <mergeCell ref="I60:M60"/>
    <mergeCell ref="P60:T60"/>
    <mergeCell ref="W60:AA60"/>
    <mergeCell ref="A56:B56"/>
    <mergeCell ref="C56:G56"/>
    <mergeCell ref="H56:J56"/>
    <mergeCell ref="K56:M56"/>
    <mergeCell ref="N56:Q56"/>
    <mergeCell ref="R56:T56"/>
    <mergeCell ref="V5:Z8"/>
    <mergeCell ref="AA15:AA18"/>
    <mergeCell ref="AA20:AA23"/>
    <mergeCell ref="V20:Z23"/>
    <mergeCell ref="V15:Z18"/>
    <mergeCell ref="V10:Z13"/>
  </mergeCells>
  <conditionalFormatting sqref="A4:T4">
    <cfRule type="containsText" dxfId="421" priority="898" operator="containsText" text="24hr">
      <formula>NOT(ISERROR(SEARCH("24hr",A4)))</formula>
    </cfRule>
    <cfRule type="containsText" dxfId="420" priority="899" operator="containsText" text="ftr">
      <formula>NOT(ISERROR(SEARCH("ftr",A4)))</formula>
    </cfRule>
  </conditionalFormatting>
  <conditionalFormatting sqref="A4:T4 T33:W33">
    <cfRule type="containsText" dxfId="419" priority="897" operator="containsText" text="24HR">
      <formula>NOT(ISERROR(SEARCH("24HR",A4)))</formula>
    </cfRule>
  </conditionalFormatting>
  <conditionalFormatting sqref="U31:Y31 A34:A36 D34:E36 H34:I36 L34:M36 P34:Q36 T34:W36 U73:XFD1048576 A72:T1048576 U1:U30 A4:T4 AF1:XFD40 X32:Y40">
    <cfRule type="containsText" dxfId="418" priority="895" operator="containsText" text="ftr">
      <formula>NOT(ISERROR(SEARCH("ftr",A1)))</formula>
    </cfRule>
    <cfRule type="containsText" dxfId="417" priority="896" operator="containsText" text="24hr">
      <formula>NOT(ISERROR(SEARCH("24hr",A1)))</formula>
    </cfRule>
  </conditionalFormatting>
  <conditionalFormatting sqref="A33 D33:E33 H33:I33 L33:M33 P33:Q33">
    <cfRule type="containsText" dxfId="416" priority="894" operator="containsText" text="24HR">
      <formula>NOT(ISERROR(SEARCH("24HR",A33)))</formula>
    </cfRule>
  </conditionalFormatting>
  <conditionalFormatting sqref="J40">
    <cfRule type="containsText" dxfId="415" priority="828" operator="containsText" text="24HR">
      <formula>NOT(ISERROR(SEARCH("24HR",J40)))</formula>
    </cfRule>
  </conditionalFormatting>
  <conditionalFormatting sqref="R34">
    <cfRule type="containsText" dxfId="414" priority="880" operator="containsText" text="ftr">
      <formula>NOT(ISERROR(SEARCH("ftr",R34)))</formula>
    </cfRule>
    <cfRule type="containsText" dxfId="413" priority="881" operator="containsText" text="24hr">
      <formula>NOT(ISERROR(SEARCH("24hr",R34)))</formula>
    </cfRule>
  </conditionalFormatting>
  <conditionalFormatting sqref="F34">
    <cfRule type="containsText" dxfId="412" priority="886" operator="containsText" text="ftr">
      <formula>NOT(ISERROR(SEARCH("ftr",F34)))</formula>
    </cfRule>
    <cfRule type="containsText" dxfId="411" priority="887" operator="containsText" text="24hr">
      <formula>NOT(ISERROR(SEARCH("24hr",F34)))</formula>
    </cfRule>
  </conditionalFormatting>
  <conditionalFormatting sqref="B35:B36">
    <cfRule type="containsText" dxfId="410" priority="888" operator="containsText" text="ftr">
      <formula>NOT(ISERROR(SEARCH("ftr",B35)))</formula>
    </cfRule>
    <cfRule type="containsText" dxfId="409" priority="889" operator="containsText" text="24hr">
      <formula>NOT(ISERROR(SEARCH("24hr",B35)))</formula>
    </cfRule>
  </conditionalFormatting>
  <conditionalFormatting sqref="B33">
    <cfRule type="containsText" dxfId="408" priority="892" operator="containsText" text="24HR">
      <formula>NOT(ISERROR(SEARCH("24HR",B33)))</formula>
    </cfRule>
  </conditionalFormatting>
  <conditionalFormatting sqref="B34">
    <cfRule type="containsText" dxfId="407" priority="890" operator="containsText" text="ftr">
      <formula>NOT(ISERROR(SEARCH("ftr",B34)))</formula>
    </cfRule>
    <cfRule type="containsText" dxfId="406" priority="891" operator="containsText" text="24hr">
      <formula>NOT(ISERROR(SEARCH("24hr",B34)))</formula>
    </cfRule>
  </conditionalFormatting>
  <conditionalFormatting sqref="J34">
    <cfRule type="containsText" dxfId="405" priority="884" operator="containsText" text="ftr">
      <formula>NOT(ISERROR(SEARCH("ftr",J34)))</formula>
    </cfRule>
    <cfRule type="containsText" dxfId="404" priority="885" operator="containsText" text="24hr">
      <formula>NOT(ISERROR(SEARCH("24hr",J34)))</formula>
    </cfRule>
  </conditionalFormatting>
  <conditionalFormatting sqref="N34">
    <cfRule type="containsText" dxfId="403" priority="882" operator="containsText" text="ftr">
      <formula>NOT(ISERROR(SEARCH("ftr",N34)))</formula>
    </cfRule>
    <cfRule type="containsText" dxfId="402" priority="883" operator="containsText" text="24hr">
      <formula>NOT(ISERROR(SEARCH("24hr",N34)))</formula>
    </cfRule>
  </conditionalFormatting>
  <conditionalFormatting sqref="F35">
    <cfRule type="containsText" dxfId="401" priority="878" operator="containsText" text="ftr">
      <formula>NOT(ISERROR(SEARCH("ftr",F35)))</formula>
    </cfRule>
    <cfRule type="containsText" dxfId="400" priority="879" operator="containsText" text="24hr">
      <formula>NOT(ISERROR(SEARCH("24hr",F35)))</formula>
    </cfRule>
  </conditionalFormatting>
  <conditionalFormatting sqref="J35">
    <cfRule type="containsText" dxfId="399" priority="876" operator="containsText" text="ftr">
      <formula>NOT(ISERROR(SEARCH("ftr",J35)))</formula>
    </cfRule>
    <cfRule type="containsText" dxfId="398" priority="877" operator="containsText" text="24hr">
      <formula>NOT(ISERROR(SEARCH("24hr",J35)))</formula>
    </cfRule>
  </conditionalFormatting>
  <conditionalFormatting sqref="N35">
    <cfRule type="containsText" dxfId="397" priority="874" operator="containsText" text="ftr">
      <formula>NOT(ISERROR(SEARCH("ftr",N35)))</formula>
    </cfRule>
    <cfRule type="containsText" dxfId="396" priority="875" operator="containsText" text="24hr">
      <formula>NOT(ISERROR(SEARCH("24hr",N35)))</formula>
    </cfRule>
  </conditionalFormatting>
  <conditionalFormatting sqref="R35">
    <cfRule type="containsText" dxfId="395" priority="872" operator="containsText" text="ftr">
      <formula>NOT(ISERROR(SEARCH("ftr",R35)))</formula>
    </cfRule>
    <cfRule type="containsText" dxfId="394" priority="873" operator="containsText" text="24hr">
      <formula>NOT(ISERROR(SEARCH("24hr",R35)))</formula>
    </cfRule>
  </conditionalFormatting>
  <conditionalFormatting sqref="F33">
    <cfRule type="containsText" dxfId="393" priority="871" operator="containsText" text="24HR">
      <formula>NOT(ISERROR(SEARCH("24HR",F33)))</formula>
    </cfRule>
  </conditionalFormatting>
  <conditionalFormatting sqref="J33">
    <cfRule type="containsText" dxfId="392" priority="870" operator="containsText" text="24HR">
      <formula>NOT(ISERROR(SEARCH("24HR",J33)))</formula>
    </cfRule>
  </conditionalFormatting>
  <conditionalFormatting sqref="N33">
    <cfRule type="containsText" dxfId="391" priority="869" operator="containsText" text="24HR">
      <formula>NOT(ISERROR(SEARCH("24HR",N33)))</formula>
    </cfRule>
  </conditionalFormatting>
  <conditionalFormatting sqref="R33">
    <cfRule type="containsText" dxfId="390" priority="868" operator="containsText" text="24HR">
      <formula>NOT(ISERROR(SEARCH("24HR",R33)))</formula>
    </cfRule>
  </conditionalFormatting>
  <conditionalFormatting sqref="A2">
    <cfRule type="containsText" dxfId="389" priority="866" operator="containsText" text="24hr">
      <formula>NOT(ISERROR(SEARCH("24hr",A2)))</formula>
    </cfRule>
    <cfRule type="containsText" dxfId="388" priority="867" operator="containsText" text="ftr">
      <formula>NOT(ISERROR(SEARCH("ftr",A2)))</formula>
    </cfRule>
  </conditionalFormatting>
  <conditionalFormatting sqref="A2">
    <cfRule type="containsText" dxfId="387" priority="865" operator="containsText" text="24HR">
      <formula>NOT(ISERROR(SEARCH("24HR",A2)))</formula>
    </cfRule>
  </conditionalFormatting>
  <conditionalFormatting sqref="A2">
    <cfRule type="containsText" dxfId="386" priority="863" operator="containsText" text="FTR">
      <formula>NOT(ISERROR(SEARCH("FTR",A2)))</formula>
    </cfRule>
    <cfRule type="containsText" dxfId="385" priority="864" operator="containsText" text="24HR">
      <formula>NOT(ISERROR(SEARCH("24HR",A2)))</formula>
    </cfRule>
  </conditionalFormatting>
  <conditionalFormatting sqref="A1">
    <cfRule type="containsText" dxfId="384" priority="861" operator="containsText" text="24hr">
      <formula>NOT(ISERROR(SEARCH("24hr",A1)))</formula>
    </cfRule>
    <cfRule type="containsText" dxfId="383" priority="862" operator="containsText" text="ftr">
      <formula>NOT(ISERROR(SEARCH("ftr",A1)))</formula>
    </cfRule>
  </conditionalFormatting>
  <conditionalFormatting sqref="A1">
    <cfRule type="containsText" dxfId="382" priority="860" operator="containsText" text="24HR">
      <formula>NOT(ISERROR(SEARCH("24HR",A1)))</formula>
    </cfRule>
  </conditionalFormatting>
  <conditionalFormatting sqref="A1">
    <cfRule type="containsText" dxfId="381" priority="858" operator="containsText" text="FTR">
      <formula>NOT(ISERROR(SEARCH("FTR",A1)))</formula>
    </cfRule>
    <cfRule type="containsText" dxfId="380" priority="859" operator="containsText" text="24HR">
      <formula>NOT(ISERROR(SEARCH("24HR",A1)))</formula>
    </cfRule>
  </conditionalFormatting>
  <conditionalFormatting sqref="A3:T3">
    <cfRule type="containsText" dxfId="379" priority="856" operator="containsText" text="24hr">
      <formula>NOT(ISERROR(SEARCH("24hr",A3)))</formula>
    </cfRule>
    <cfRule type="containsText" dxfId="378" priority="857" operator="containsText" text="ftr">
      <formula>NOT(ISERROR(SEARCH("ftr",A3)))</formula>
    </cfRule>
  </conditionalFormatting>
  <conditionalFormatting sqref="A3:T3">
    <cfRule type="containsText" dxfId="377" priority="855" operator="containsText" text="24HR">
      <formula>NOT(ISERROR(SEARCH("24HR",A3)))</formula>
    </cfRule>
  </conditionalFormatting>
  <conditionalFormatting sqref="A3:T3">
    <cfRule type="containsText" dxfId="376" priority="853" operator="containsText" text="FTR">
      <formula>NOT(ISERROR(SEARCH("FTR",A3)))</formula>
    </cfRule>
    <cfRule type="containsText" dxfId="375" priority="854" operator="containsText" text="24HR">
      <formula>NOT(ISERROR(SEARCH("24HR",A3)))</formula>
    </cfRule>
  </conditionalFormatting>
  <conditionalFormatting sqref="A32:T32">
    <cfRule type="containsText" dxfId="374" priority="851" operator="containsText" text="24hr">
      <formula>NOT(ISERROR(SEARCH("24hr",A32)))</formula>
    </cfRule>
    <cfRule type="containsText" dxfId="373" priority="852" operator="containsText" text="ftr">
      <formula>NOT(ISERROR(SEARCH("ftr",A32)))</formula>
    </cfRule>
  </conditionalFormatting>
  <conditionalFormatting sqref="A32:T32">
    <cfRule type="containsText" dxfId="372" priority="850" operator="containsText" text="24HR">
      <formula>NOT(ISERROR(SEARCH("24HR",A32)))</formula>
    </cfRule>
  </conditionalFormatting>
  <conditionalFormatting sqref="A32:T32">
    <cfRule type="containsText" dxfId="371" priority="848" operator="containsText" text="FTR">
      <formula>NOT(ISERROR(SEARCH("FTR",A32)))</formula>
    </cfRule>
    <cfRule type="containsText" dxfId="370" priority="849" operator="containsText" text="24HR">
      <formula>NOT(ISERROR(SEARCH("24HR",A32)))</formula>
    </cfRule>
  </conditionalFormatting>
  <conditionalFormatting sqref="U32">
    <cfRule type="containsText" dxfId="369" priority="846" operator="containsText" text="24hr">
      <formula>NOT(ISERROR(SEARCH("24hr",U32)))</formula>
    </cfRule>
    <cfRule type="containsText" dxfId="368" priority="847" operator="containsText" text="ftr">
      <formula>NOT(ISERROR(SEARCH("ftr",U32)))</formula>
    </cfRule>
  </conditionalFormatting>
  <conditionalFormatting sqref="U32">
    <cfRule type="containsText" dxfId="367" priority="845" operator="containsText" text="24HR">
      <formula>NOT(ISERROR(SEARCH("24HR",U32)))</formula>
    </cfRule>
  </conditionalFormatting>
  <conditionalFormatting sqref="U32">
    <cfRule type="containsText" dxfId="366" priority="843" operator="containsText" text="FTR">
      <formula>NOT(ISERROR(SEARCH("FTR",U32)))</formula>
    </cfRule>
    <cfRule type="containsText" dxfId="365" priority="844" operator="containsText" text="24HR">
      <formula>NOT(ISERROR(SEARCH("24HR",U32)))</formula>
    </cfRule>
  </conditionalFormatting>
  <conditionalFormatting sqref="F36">
    <cfRule type="containsText" dxfId="364" priority="841" operator="containsText" text="ftr">
      <formula>NOT(ISERROR(SEARCH("ftr",F36)))</formula>
    </cfRule>
    <cfRule type="containsText" dxfId="363" priority="842" operator="containsText" text="24hr">
      <formula>NOT(ISERROR(SEARCH("24hr",F36)))</formula>
    </cfRule>
  </conditionalFormatting>
  <conditionalFormatting sqref="J36">
    <cfRule type="containsText" dxfId="362" priority="839" operator="containsText" text="ftr">
      <formula>NOT(ISERROR(SEARCH("ftr",J36)))</formula>
    </cfRule>
    <cfRule type="containsText" dxfId="361" priority="840" operator="containsText" text="24hr">
      <formula>NOT(ISERROR(SEARCH("24hr",J36)))</formula>
    </cfRule>
  </conditionalFormatting>
  <conditionalFormatting sqref="N36">
    <cfRule type="containsText" dxfId="360" priority="837" operator="containsText" text="ftr">
      <formula>NOT(ISERROR(SEARCH("ftr",N36)))</formula>
    </cfRule>
    <cfRule type="containsText" dxfId="359" priority="838" operator="containsText" text="24hr">
      <formula>NOT(ISERROR(SEARCH("24hr",N36)))</formula>
    </cfRule>
  </conditionalFormatting>
  <conditionalFormatting sqref="R36">
    <cfRule type="containsText" dxfId="358" priority="835" operator="containsText" text="ftr">
      <formula>NOT(ISERROR(SEARCH("ftr",R36)))</formula>
    </cfRule>
    <cfRule type="containsText" dxfId="357" priority="836" operator="containsText" text="24hr">
      <formula>NOT(ISERROR(SEARCH("24hr",R36)))</formula>
    </cfRule>
  </conditionalFormatting>
  <conditionalFormatting sqref="A33:W36 A32:U32">
    <cfRule type="containsText" dxfId="356" priority="830" operator="containsText" text="SPEC">
      <formula>NOT(ISERROR(SEARCH("SPEC",A32)))</formula>
    </cfRule>
  </conditionalFormatting>
  <conditionalFormatting sqref="I40 L40:M40 P40:S40">
    <cfRule type="containsText" dxfId="355" priority="829" operator="containsText" text="24HR">
      <formula>NOT(ISERROR(SEARCH("24HR",I40)))</formula>
    </cfRule>
  </conditionalFormatting>
  <conditionalFormatting sqref="N40">
    <cfRule type="containsText" dxfId="354" priority="827" operator="containsText" text="24HR">
      <formula>NOT(ISERROR(SEARCH("24HR",N40)))</formula>
    </cfRule>
  </conditionalFormatting>
  <conditionalFormatting sqref="I40:S40">
    <cfRule type="containsText" dxfId="353" priority="826" operator="containsText" text="PROC">
      <formula>NOT(ISERROR(SEARCH("PROC",I40)))</formula>
    </cfRule>
  </conditionalFormatting>
  <conditionalFormatting sqref="A63:A71">
    <cfRule type="containsText" dxfId="352" priority="824" operator="containsText" text="ftr">
      <formula>NOT(ISERROR(SEARCH("ftr",A63)))</formula>
    </cfRule>
    <cfRule type="containsText" dxfId="351" priority="825" operator="containsText" text="24hr">
      <formula>NOT(ISERROR(SEARCH("24hr",A63)))</formula>
    </cfRule>
  </conditionalFormatting>
  <conditionalFormatting sqref="A63:A71">
    <cfRule type="containsText" dxfId="350" priority="823" operator="containsText" text="PROC">
      <formula>NOT(ISERROR(SEARCH("PROC",A63)))</formula>
    </cfRule>
  </conditionalFormatting>
  <conditionalFormatting sqref="H63:H71">
    <cfRule type="containsText" dxfId="349" priority="821" operator="containsText" text="ftr">
      <formula>NOT(ISERROR(SEARCH("ftr",H63)))</formula>
    </cfRule>
    <cfRule type="containsText" dxfId="348" priority="822" operator="containsText" text="24hr">
      <formula>NOT(ISERROR(SEARCH("24hr",H63)))</formula>
    </cfRule>
  </conditionalFormatting>
  <conditionalFormatting sqref="H63:H71">
    <cfRule type="containsText" dxfId="347" priority="820" operator="containsText" text="PROC">
      <formula>NOT(ISERROR(SEARCH("PROC",H63)))</formula>
    </cfRule>
  </conditionalFormatting>
  <conditionalFormatting sqref="O63:O71">
    <cfRule type="containsText" dxfId="346" priority="818" operator="containsText" text="ftr">
      <formula>NOT(ISERROR(SEARCH("ftr",O63)))</formula>
    </cfRule>
    <cfRule type="containsText" dxfId="345" priority="819" operator="containsText" text="24hr">
      <formula>NOT(ISERROR(SEARCH("24hr",O63)))</formula>
    </cfRule>
  </conditionalFormatting>
  <conditionalFormatting sqref="O63:O71">
    <cfRule type="containsText" dxfId="344" priority="817" operator="containsText" text="PROC">
      <formula>NOT(ISERROR(SEARCH("PROC",O63)))</formula>
    </cfRule>
  </conditionalFormatting>
  <conditionalFormatting sqref="V63:V71">
    <cfRule type="containsText" dxfId="343" priority="815" operator="containsText" text="ftr">
      <formula>NOT(ISERROR(SEARCH("ftr",V63)))</formula>
    </cfRule>
    <cfRule type="containsText" dxfId="342" priority="816" operator="containsText" text="24hr">
      <formula>NOT(ISERROR(SEARCH("24hr",V63)))</formula>
    </cfRule>
  </conditionalFormatting>
  <conditionalFormatting sqref="V63:V71">
    <cfRule type="containsText" dxfId="341" priority="814" operator="containsText" text="PROC">
      <formula>NOT(ISERROR(SEARCH("PROC",V63)))</formula>
    </cfRule>
  </conditionalFormatting>
  <conditionalFormatting sqref="B62:F71">
    <cfRule type="containsText" dxfId="340" priority="812" operator="containsText" text="NOT MET">
      <formula>NOT(ISERROR(SEARCH("NOT MET",B62)))</formula>
    </cfRule>
    <cfRule type="containsText" dxfId="339" priority="813" operator="containsText" text="MET">
      <formula>NOT(ISERROR(SEARCH("MET",B62)))</formula>
    </cfRule>
  </conditionalFormatting>
  <conditionalFormatting sqref="B41 D41">
    <cfRule type="containsText" dxfId="338" priority="811" operator="containsText" text="24HR">
      <formula>NOT(ISERROR(SEARCH("24HR",B41)))</formula>
    </cfRule>
  </conditionalFormatting>
  <conditionalFormatting sqref="A43:B43 A42:D42 E46 D43">
    <cfRule type="containsText" dxfId="337" priority="808" operator="containsText" text="SPEC">
      <formula>NOT(ISERROR(SEARCH("SPEC",A42)))</formula>
    </cfRule>
    <cfRule type="containsText" dxfId="336" priority="809" operator="containsText" text="ftr">
      <formula>NOT(ISERROR(SEARCH("ftr",A42)))</formula>
    </cfRule>
    <cfRule type="containsText" dxfId="335" priority="810" operator="containsText" text="24HR">
      <formula>NOT(ISERROR(SEARCH("24HR",A42)))</formula>
    </cfRule>
  </conditionalFormatting>
  <conditionalFormatting sqref="A40:D40">
    <cfRule type="containsText" dxfId="334" priority="806" operator="containsText" text="24hr">
      <formula>NOT(ISERROR(SEARCH("24hr",A40)))</formula>
    </cfRule>
    <cfRule type="containsText" dxfId="333" priority="807" operator="containsText" text="ftr">
      <formula>NOT(ISERROR(SEARCH("ftr",A40)))</formula>
    </cfRule>
  </conditionalFormatting>
  <conditionalFormatting sqref="A40:D40">
    <cfRule type="containsText" dxfId="332" priority="805" operator="containsText" text="24HR">
      <formula>NOT(ISERROR(SEARCH("24HR",A40)))</formula>
    </cfRule>
  </conditionalFormatting>
  <conditionalFormatting sqref="A40:D40">
    <cfRule type="containsText" dxfId="331" priority="803" operator="containsText" text="FTR">
      <formula>NOT(ISERROR(SEARCH("FTR",A40)))</formula>
    </cfRule>
    <cfRule type="containsText" dxfId="330" priority="804" operator="containsText" text="24HR">
      <formula>NOT(ISERROR(SEARCH("24HR",A40)))</formula>
    </cfRule>
  </conditionalFormatting>
  <conditionalFormatting sqref="A40:D40">
    <cfRule type="containsText" dxfId="329" priority="802" operator="containsText" text="SPEC">
      <formula>NOT(ISERROR(SEARCH("SPEC",A40)))</formula>
    </cfRule>
  </conditionalFormatting>
  <conditionalFormatting sqref="I62:M71">
    <cfRule type="containsText" dxfId="328" priority="800" operator="containsText" text="NOT MET">
      <formula>NOT(ISERROR(SEARCH("NOT MET",I62)))</formula>
    </cfRule>
    <cfRule type="containsText" dxfId="327" priority="801" operator="containsText" text="MET">
      <formula>NOT(ISERROR(SEARCH("MET",I62)))</formula>
    </cfRule>
  </conditionalFormatting>
  <conditionalFormatting sqref="P62:P71">
    <cfRule type="containsText" dxfId="326" priority="798" operator="containsText" text="NOT MET">
      <formula>NOT(ISERROR(SEARCH("NOT MET",P62)))</formula>
    </cfRule>
    <cfRule type="containsText" dxfId="325" priority="799" operator="containsText" text="MET">
      <formula>NOT(ISERROR(SEARCH("MET",P62)))</formula>
    </cfRule>
  </conditionalFormatting>
  <conditionalFormatting sqref="Q62:T71">
    <cfRule type="containsText" dxfId="324" priority="796" operator="containsText" text="NOT MET">
      <formula>NOT(ISERROR(SEARCH("NOT MET",Q62)))</formula>
    </cfRule>
    <cfRule type="containsText" dxfId="323" priority="797" operator="containsText" text="MET">
      <formula>NOT(ISERROR(SEARCH("MET",Q62)))</formula>
    </cfRule>
  </conditionalFormatting>
  <conditionalFormatting sqref="W62:W71">
    <cfRule type="containsText" dxfId="322" priority="794" operator="containsText" text="NOT MET">
      <formula>NOT(ISERROR(SEARCH("NOT MET",W62)))</formula>
    </cfRule>
    <cfRule type="containsText" dxfId="321" priority="795" operator="containsText" text="MET">
      <formula>NOT(ISERROR(SEARCH("MET",W62)))</formula>
    </cfRule>
  </conditionalFormatting>
  <conditionalFormatting sqref="X62:AA71">
    <cfRule type="containsText" dxfId="320" priority="792" operator="containsText" text="NOT MET">
      <formula>NOT(ISERROR(SEARCH("NOT MET",X62)))</formula>
    </cfRule>
    <cfRule type="containsText" dxfId="319" priority="793" operator="containsText" text="MET">
      <formula>NOT(ISERROR(SEARCH("MET",X62)))</formula>
    </cfRule>
  </conditionalFormatting>
  <conditionalFormatting sqref="I62:M71 P62:T71 W62:AA71">
    <cfRule type="cellIs" dxfId="318" priority="791" operator="equal">
      <formula>0</formula>
    </cfRule>
  </conditionalFormatting>
  <conditionalFormatting sqref="N55:N56">
    <cfRule type="containsText" dxfId="317" priority="790" operator="containsText" text="24HR">
      <formula>NOT(ISERROR(SEARCH("24HR",N55)))</formula>
    </cfRule>
  </conditionalFormatting>
  <conditionalFormatting sqref="N55:N56">
    <cfRule type="containsText" dxfId="316" priority="789" operator="containsText" text="PROC">
      <formula>NOT(ISERROR(SEARCH("PROC",N55)))</formula>
    </cfRule>
  </conditionalFormatting>
  <conditionalFormatting sqref="R56">
    <cfRule type="containsText" dxfId="315" priority="786" operator="containsText" text="over">
      <formula>NOT(ISERROR(SEARCH("over",R56)))</formula>
    </cfRule>
    <cfRule type="containsText" dxfId="314" priority="787" operator="containsText" text="Provider">
      <formula>NOT(ISERROR(SEARCH("Provider",R56)))</formula>
    </cfRule>
    <cfRule type="containsText" dxfId="313" priority="788" operator="containsText" text="short">
      <formula>NOT(ISERROR(SEARCH("short",R56)))</formula>
    </cfRule>
  </conditionalFormatting>
  <conditionalFormatting sqref="A44:D44">
    <cfRule type="containsText" dxfId="312" priority="783" operator="containsText" text="SPEC">
      <formula>NOT(ISERROR(SEARCH("SPEC",A44)))</formula>
    </cfRule>
    <cfRule type="containsText" dxfId="311" priority="784" operator="containsText" text="ftr">
      <formula>NOT(ISERROR(SEARCH("ftr",A44)))</formula>
    </cfRule>
    <cfRule type="containsText" dxfId="310" priority="785" operator="containsText" text="24HR">
      <formula>NOT(ISERROR(SEARCH("24HR",A44)))</formula>
    </cfRule>
  </conditionalFormatting>
  <conditionalFormatting sqref="H42">
    <cfRule type="cellIs" dxfId="309" priority="772" operator="greaterThan">
      <formula>0.05</formula>
    </cfRule>
  </conditionalFormatting>
  <conditionalFormatting sqref="F41 H41">
    <cfRule type="containsText" dxfId="308" priority="782" operator="containsText" text="24HR">
      <formula>NOT(ISERROR(SEARCH("24HR",F41)))</formula>
    </cfRule>
  </conditionalFormatting>
  <conditionalFormatting sqref="E42:H42">
    <cfRule type="containsText" dxfId="307" priority="779" operator="containsText" text="SPEC">
      <formula>NOT(ISERROR(SEARCH("SPEC",E42)))</formula>
    </cfRule>
    <cfRule type="containsText" dxfId="306" priority="780" operator="containsText" text="ftr">
      <formula>NOT(ISERROR(SEARCH("ftr",E42)))</formula>
    </cfRule>
    <cfRule type="containsText" dxfId="305" priority="781" operator="containsText" text="24HR">
      <formula>NOT(ISERROR(SEARCH("24HR",E42)))</formula>
    </cfRule>
  </conditionalFormatting>
  <conditionalFormatting sqref="E40:H40">
    <cfRule type="containsText" dxfId="304" priority="777" operator="containsText" text="24hr">
      <formula>NOT(ISERROR(SEARCH("24hr",E40)))</formula>
    </cfRule>
    <cfRule type="containsText" dxfId="303" priority="778" operator="containsText" text="ftr">
      <formula>NOT(ISERROR(SEARCH("ftr",E40)))</formula>
    </cfRule>
  </conditionalFormatting>
  <conditionalFormatting sqref="E40:H40">
    <cfRule type="containsText" dxfId="302" priority="776" operator="containsText" text="24HR">
      <formula>NOT(ISERROR(SEARCH("24HR",E40)))</formula>
    </cfRule>
  </conditionalFormatting>
  <conditionalFormatting sqref="E40:H40">
    <cfRule type="containsText" dxfId="301" priority="774" operator="containsText" text="FTR">
      <formula>NOT(ISERROR(SEARCH("FTR",E40)))</formula>
    </cfRule>
    <cfRule type="containsText" dxfId="300" priority="775" operator="containsText" text="24HR">
      <formula>NOT(ISERROR(SEARCH("24HR",E40)))</formula>
    </cfRule>
  </conditionalFormatting>
  <conditionalFormatting sqref="E40:H40">
    <cfRule type="containsText" dxfId="299" priority="773" operator="containsText" text="SPEC">
      <formula>NOT(ISERROR(SEARCH("SPEC",E40)))</formula>
    </cfRule>
  </conditionalFormatting>
  <conditionalFormatting sqref="A5:T31">
    <cfRule type="containsText" dxfId="298" priority="1" operator="containsText" text="grp">
      <formula>NOT(ISERROR(SEARCH("grp",A5)))</formula>
    </cfRule>
    <cfRule type="containsText" dxfId="297" priority="2" operator="containsText" text="proc">
      <formula>NOT(ISERROR(SEARCH("proc",A5)))</formula>
    </cfRule>
    <cfRule type="containsText" dxfId="296" priority="82" operator="containsText" text="SPEC">
      <formula>NOT(ISERROR(SEARCH("SPEC",A5)))</formula>
    </cfRule>
    <cfRule type="containsText" dxfId="295" priority="83" operator="containsText" text="FTR">
      <formula>NOT(ISERROR(SEARCH("FTR",A5)))</formula>
    </cfRule>
    <cfRule type="containsText" dxfId="294" priority="84" operator="containsText" text="24HR">
      <formula>NOT(ISERROR(SEARCH("24HR",A5)))</formula>
    </cfRule>
  </conditionalFormatting>
  <conditionalFormatting sqref="A37:A38 D37:E38 H37:I38 L37:M38 P37:Q38 T37:W38">
    <cfRule type="containsText" dxfId="293" priority="80" operator="containsText" text="ftr">
      <formula>NOT(ISERROR(SEARCH("ftr",A37)))</formula>
    </cfRule>
    <cfRule type="containsText" dxfId="292" priority="81" operator="containsText" text="24hr">
      <formula>NOT(ISERROR(SEARCH("24hr",A37)))</formula>
    </cfRule>
  </conditionalFormatting>
  <conditionalFormatting sqref="B37">
    <cfRule type="containsText" dxfId="291" priority="78" operator="containsText" text="ftr">
      <formula>NOT(ISERROR(SEARCH("ftr",B37)))</formula>
    </cfRule>
    <cfRule type="containsText" dxfId="290" priority="79" operator="containsText" text="24hr">
      <formula>NOT(ISERROR(SEARCH("24hr",B37)))</formula>
    </cfRule>
  </conditionalFormatting>
  <conditionalFormatting sqref="A37:B37 A38 D37:E38 H37:I38 L37:M38 P37:Q38 T37:W38">
    <cfRule type="containsText" dxfId="289" priority="77" operator="containsText" text="SPEC">
      <formula>NOT(ISERROR(SEARCH("SPEC",A37)))</formula>
    </cfRule>
  </conditionalFormatting>
  <conditionalFormatting sqref="A38 A37:B37 D37:E38 H37:I38 L37:M38 P37:Q38 T37:W38">
    <cfRule type="containsText" dxfId="288" priority="75" operator="containsText" text="GRP">
      <formula>NOT(ISERROR(SEARCH("GRP",A37)))</formula>
    </cfRule>
    <cfRule type="containsText" dxfId="287" priority="76" operator="containsText" text="PROC">
      <formula>NOT(ISERROR(SEARCH("PROC",A37)))</formula>
    </cfRule>
  </conditionalFormatting>
  <conditionalFormatting sqref="B38">
    <cfRule type="containsText" dxfId="286" priority="73" operator="containsText" text="ftr">
      <formula>NOT(ISERROR(SEARCH("ftr",B38)))</formula>
    </cfRule>
    <cfRule type="containsText" dxfId="285" priority="74" operator="containsText" text="24hr">
      <formula>NOT(ISERROR(SEARCH("24hr",B38)))</formula>
    </cfRule>
  </conditionalFormatting>
  <conditionalFormatting sqref="B38">
    <cfRule type="containsText" dxfId="284" priority="72" operator="containsText" text="SPEC">
      <formula>NOT(ISERROR(SEARCH("SPEC",B38)))</formula>
    </cfRule>
  </conditionalFormatting>
  <conditionalFormatting sqref="B38">
    <cfRule type="containsText" dxfId="283" priority="70" operator="containsText" text="GRP">
      <formula>NOT(ISERROR(SEARCH("GRP",B38)))</formula>
    </cfRule>
    <cfRule type="containsText" dxfId="282" priority="71" operator="containsText" text="PROC">
      <formula>NOT(ISERROR(SEARCH("PROC",B38)))</formula>
    </cfRule>
  </conditionalFormatting>
  <conditionalFormatting sqref="F37">
    <cfRule type="containsText" dxfId="281" priority="68" operator="containsText" text="ftr">
      <formula>NOT(ISERROR(SEARCH("ftr",F37)))</formula>
    </cfRule>
    <cfRule type="containsText" dxfId="280" priority="69" operator="containsText" text="24hr">
      <formula>NOT(ISERROR(SEARCH("24hr",F37)))</formula>
    </cfRule>
  </conditionalFormatting>
  <conditionalFormatting sqref="F37:G37">
    <cfRule type="containsText" dxfId="279" priority="67" operator="containsText" text="SPEC">
      <formula>NOT(ISERROR(SEARCH("SPEC",F37)))</formula>
    </cfRule>
  </conditionalFormatting>
  <conditionalFormatting sqref="R38:S38">
    <cfRule type="containsText" dxfId="278" priority="46" operator="containsText" text="SPEC">
      <formula>NOT(ISERROR(SEARCH("SPEC",R38)))</formula>
    </cfRule>
  </conditionalFormatting>
  <conditionalFormatting sqref="F38">
    <cfRule type="containsText" dxfId="277" priority="65" operator="containsText" text="ftr">
      <formula>NOT(ISERROR(SEARCH("ftr",F38)))</formula>
    </cfRule>
    <cfRule type="containsText" dxfId="276" priority="66" operator="containsText" text="24hr">
      <formula>NOT(ISERROR(SEARCH("24hr",F38)))</formula>
    </cfRule>
  </conditionalFormatting>
  <conditionalFormatting sqref="F38:G38">
    <cfRule type="containsText" dxfId="275" priority="64" operator="containsText" text="SPEC">
      <formula>NOT(ISERROR(SEARCH("SPEC",F38)))</formula>
    </cfRule>
  </conditionalFormatting>
  <conditionalFormatting sqref="R38">
    <cfRule type="containsText" dxfId="274" priority="47" operator="containsText" text="ftr">
      <formula>NOT(ISERROR(SEARCH("ftr",R38)))</formula>
    </cfRule>
    <cfRule type="containsText" dxfId="273" priority="48" operator="containsText" text="24hr">
      <formula>NOT(ISERROR(SEARCH("24hr",R38)))</formula>
    </cfRule>
  </conditionalFormatting>
  <conditionalFormatting sqref="J37">
    <cfRule type="containsText" dxfId="272" priority="62" operator="containsText" text="ftr">
      <formula>NOT(ISERROR(SEARCH("ftr",J37)))</formula>
    </cfRule>
    <cfRule type="containsText" dxfId="271" priority="63" operator="containsText" text="24hr">
      <formula>NOT(ISERROR(SEARCH("24hr",J37)))</formula>
    </cfRule>
  </conditionalFormatting>
  <conditionalFormatting sqref="J37:K37">
    <cfRule type="containsText" dxfId="270" priority="61" operator="containsText" text="SPEC">
      <formula>NOT(ISERROR(SEARCH("SPEC",J37)))</formula>
    </cfRule>
  </conditionalFormatting>
  <conditionalFormatting sqref="J38">
    <cfRule type="containsText" dxfId="269" priority="59" operator="containsText" text="ftr">
      <formula>NOT(ISERROR(SEARCH("ftr",J38)))</formula>
    </cfRule>
    <cfRule type="containsText" dxfId="268" priority="60" operator="containsText" text="24hr">
      <formula>NOT(ISERROR(SEARCH("24hr",J38)))</formula>
    </cfRule>
  </conditionalFormatting>
  <conditionalFormatting sqref="J38:K38">
    <cfRule type="containsText" dxfId="267" priority="58" operator="containsText" text="SPEC">
      <formula>NOT(ISERROR(SEARCH("SPEC",J38)))</formula>
    </cfRule>
  </conditionalFormatting>
  <conditionalFormatting sqref="N37">
    <cfRule type="containsText" dxfId="266" priority="56" operator="containsText" text="ftr">
      <formula>NOT(ISERROR(SEARCH("ftr",N37)))</formula>
    </cfRule>
    <cfRule type="containsText" dxfId="265" priority="57" operator="containsText" text="24hr">
      <formula>NOT(ISERROR(SEARCH("24hr",N37)))</formula>
    </cfRule>
  </conditionalFormatting>
  <conditionalFormatting sqref="N37:O37">
    <cfRule type="containsText" dxfId="264" priority="55" operator="containsText" text="SPEC">
      <formula>NOT(ISERROR(SEARCH("SPEC",N37)))</formula>
    </cfRule>
  </conditionalFormatting>
  <conditionalFormatting sqref="N38">
    <cfRule type="containsText" dxfId="263" priority="53" operator="containsText" text="ftr">
      <formula>NOT(ISERROR(SEARCH("ftr",N38)))</formula>
    </cfRule>
    <cfRule type="containsText" dxfId="262" priority="54" operator="containsText" text="24hr">
      <formula>NOT(ISERROR(SEARCH("24hr",N38)))</formula>
    </cfRule>
  </conditionalFormatting>
  <conditionalFormatting sqref="N38:O38">
    <cfRule type="containsText" dxfId="261" priority="52" operator="containsText" text="SPEC">
      <formula>NOT(ISERROR(SEARCH("SPEC",N38)))</formula>
    </cfRule>
  </conditionalFormatting>
  <conditionalFormatting sqref="R37">
    <cfRule type="containsText" dxfId="260" priority="50" operator="containsText" text="ftr">
      <formula>NOT(ISERROR(SEARCH("ftr",R37)))</formula>
    </cfRule>
    <cfRule type="containsText" dxfId="259" priority="51" operator="containsText" text="24hr">
      <formula>NOT(ISERROR(SEARCH("24hr",R37)))</formula>
    </cfRule>
  </conditionalFormatting>
  <conditionalFormatting sqref="R37:S37">
    <cfRule type="containsText" dxfId="258" priority="49" operator="containsText" text="SPEC">
      <formula>NOT(ISERROR(SEARCH("SPEC",R37)))</formula>
    </cfRule>
  </conditionalFormatting>
  <conditionalFormatting sqref="T39:W39">
    <cfRule type="containsText" dxfId="257" priority="24" operator="containsText" text="24HR">
      <formula>NOT(ISERROR(SEARCH("24HR",T39)))</formula>
    </cfRule>
  </conditionalFormatting>
  <conditionalFormatting sqref="A39:B39 D39:E39 L39:M39 H39:I39 P39:Q39">
    <cfRule type="containsText" dxfId="256" priority="23" operator="containsText" text="24HR">
      <formula>NOT(ISERROR(SEARCH("24HR",A39)))</formula>
    </cfRule>
  </conditionalFormatting>
  <conditionalFormatting sqref="F39">
    <cfRule type="containsText" dxfId="255" priority="22" operator="containsText" text="24HR">
      <formula>NOT(ISERROR(SEARCH("24HR",F39)))</formula>
    </cfRule>
  </conditionalFormatting>
  <conditionalFormatting sqref="J39">
    <cfRule type="containsText" dxfId="254" priority="21" operator="containsText" text="24HR">
      <formula>NOT(ISERROR(SEARCH("24HR",J39)))</formula>
    </cfRule>
  </conditionalFormatting>
  <conditionalFormatting sqref="N39">
    <cfRule type="containsText" dxfId="253" priority="20" operator="containsText" text="24HR">
      <formula>NOT(ISERROR(SEARCH("24HR",N39)))</formula>
    </cfRule>
  </conditionalFormatting>
  <conditionalFormatting sqref="R39">
    <cfRule type="containsText" dxfId="252" priority="19" operator="containsText" text="24HR">
      <formula>NOT(ISERROR(SEARCH("24HR",R39)))</formula>
    </cfRule>
  </conditionalFormatting>
  <conditionalFormatting sqref="A39:W39">
    <cfRule type="containsText" dxfId="251" priority="18" operator="containsText" text="SPEC">
      <formula>NOT(ISERROR(SEARCH("SPEC",A39)))</formula>
    </cfRule>
  </conditionalFormatting>
  <conditionalFormatting sqref="W39">
    <cfRule type="cellIs" dxfId="250" priority="17" operator="lessThan">
      <formula>100%</formula>
    </cfRule>
  </conditionalFormatting>
  <conditionalFormatting sqref="AA5:AA8">
    <cfRule type="cellIs" dxfId="249" priority="13" operator="lessThan">
      <formula>0.1</formula>
    </cfRule>
    <cfRule type="cellIs" dxfId="248" priority="14" operator="between">
      <formula>0.1</formula>
      <formula>0.15</formula>
    </cfRule>
    <cfRule type="cellIs" dxfId="247" priority="15" operator="between">
      <formula>0.15</formula>
      <formula>0.2</formula>
    </cfRule>
    <cfRule type="cellIs" dxfId="246" priority="16" operator="greaterThanOrEqual">
      <formula>0.2</formula>
    </cfRule>
  </conditionalFormatting>
  <conditionalFormatting sqref="AA10:AA13">
    <cfRule type="cellIs" dxfId="245" priority="9" operator="lessThan">
      <formula>0.4</formula>
    </cfRule>
    <cfRule type="cellIs" dxfId="244" priority="10" operator="between">
      <formula>0.4</formula>
      <formula>0.5</formula>
    </cfRule>
    <cfRule type="cellIs" dxfId="243" priority="11" operator="between">
      <formula>0.5</formula>
      <formula>0.6</formula>
    </cfRule>
    <cfRule type="cellIs" dxfId="242" priority="12" operator="greaterThanOrEqual">
      <formula>0.6</formula>
    </cfRule>
  </conditionalFormatting>
  <conditionalFormatting sqref="AA15:AA18">
    <cfRule type="cellIs" dxfId="241" priority="5" operator="greaterThan">
      <formula>0.07</formula>
    </cfRule>
    <cfRule type="cellIs" dxfId="240" priority="6" operator="between">
      <formula>0.05</formula>
      <formula>0.07</formula>
    </cfRule>
    <cfRule type="cellIs" dxfId="239" priority="7" operator="between">
      <formula>0.02</formula>
      <formula>0.05</formula>
    </cfRule>
    <cfRule type="cellIs" dxfId="238" priority="8" operator="lessThan">
      <formula>0.02</formula>
    </cfRule>
  </conditionalFormatting>
  <conditionalFormatting sqref="AA20:AA23">
    <cfRule type="cellIs" dxfId="237" priority="3" operator="lessThan">
      <formula>0.9</formula>
    </cfRule>
    <cfRule type="cellIs" dxfId="236" priority="4" operator="greaterThanOrEqual">
      <formula>0.9</formula>
    </cfRule>
  </conditionalFormatting>
  <dataValidations count="5">
    <dataValidation type="list" allowBlank="1" showInputMessage="1" showErrorMessage="1" sqref="K55">
      <formula1>INDIRECT(K54)</formula1>
    </dataValidation>
    <dataValidation type="list" allowBlank="1" showInputMessage="1" showErrorMessage="1" sqref="K54">
      <formula1>TypeofCare</formula1>
    </dataValidation>
    <dataValidation type="list" allowBlank="1" showInputMessage="1" showErrorMessage="1" sqref="C55:G55">
      <formula1>INDIRECT(SUBSTITUTE(C54," ",""))</formula1>
    </dataValidation>
    <dataValidation type="list" allowBlank="1" showInputMessage="1" showErrorMessage="1" sqref="C54:G54">
      <formula1>Specialty</formula1>
    </dataValidation>
    <dataValidation type="list" allowBlank="1" showDropDown="1" showInputMessage="1" showErrorMessage="1" error="The appointment type you entered is not approved by DHA. Please choose one of the following approved appointment types: 24HR, FTR, SPEC, PROC, or GRP." sqref="J5:J31 N5:N31 B5:B31 F5:F31 R5:R31">
      <formula1>ApprovedApptTypes</formula1>
    </dataValidation>
  </dataValidations>
  <hyperlinks>
    <hyperlink ref="V20:Z23" location="'%24HR_FTR TOL Appt'!A1" display="% 24HR and FTR TOL Availability"/>
    <hyperlink ref="V15:Z18" location="'Restrictive Detail Code %'!A1" display="% Restrictive Detail Code"/>
    <hyperlink ref="V10:Z13" location="'%24HR_F2F Appts'!A1" display="% 24HR F2F Appointments"/>
    <hyperlink ref="V5:Z8" location="'%Plan Appts &gt;= 1500 Hrs'!A1" display="% Planned Appointments &gt;= 1500"/>
    <hyperlink ref="V1:AA3" location="'Table of Contents'!A1" display="Click here to return to table of contents."/>
  </hyperlinks>
  <pageMargins left="0.7" right="0.7" top="0.75" bottom="0.75" header="0.3" footer="0.3"/>
  <pageSetup orientation="portrait" r:id="rId1"/>
  <ignoredErrors>
    <ignoredError sqref="A5:A27" numberStoredAsText="1"/>
  </ignoredError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53</vt:i4>
      </vt:variant>
    </vt:vector>
  </HeadingPairs>
  <TitlesOfParts>
    <vt:vector size="69" baseType="lpstr">
      <vt:lpstr>Table of Contents</vt:lpstr>
      <vt:lpstr>Standard Adjustments</vt:lpstr>
      <vt:lpstr>Appointment Targets</vt:lpstr>
      <vt:lpstr>DecrementDataValidation</vt:lpstr>
      <vt:lpstr>ApptStdsDataValidation</vt:lpstr>
      <vt:lpstr>Fleming_64</vt:lpstr>
      <vt:lpstr>Williams_80</vt:lpstr>
      <vt:lpstr>Holzer_72</vt:lpstr>
      <vt:lpstr>Brown_80</vt:lpstr>
      <vt:lpstr>Appointment Balancing</vt:lpstr>
      <vt:lpstr>% Authorized Appt Types</vt:lpstr>
      <vt:lpstr>%Plan Appts &gt;= 1500 Hrs</vt:lpstr>
      <vt:lpstr>%24HR_F2F Appts</vt:lpstr>
      <vt:lpstr>Restrictive Detail Code %</vt:lpstr>
      <vt:lpstr>%24HR_FTR TOL Appt</vt:lpstr>
      <vt:lpstr>%24hr_ftr tol appt logic</vt:lpstr>
      <vt:lpstr>ApprovedApptTypes</vt:lpstr>
      <vt:lpstr>ApptType</vt:lpstr>
      <vt:lpstr>DIETICIAN</vt:lpstr>
      <vt:lpstr>Brown_80!FamilyHealth</vt:lpstr>
      <vt:lpstr>Holzer_72!FamilyHealth</vt:lpstr>
      <vt:lpstr>Williams_80!FamilyHealth</vt:lpstr>
      <vt:lpstr>FamilyHealth</vt:lpstr>
      <vt:lpstr>Brown_80!FlightMed</vt:lpstr>
      <vt:lpstr>Holzer_72!FlightMed</vt:lpstr>
      <vt:lpstr>Williams_80!FlightMed</vt:lpstr>
      <vt:lpstr>FlightMed</vt:lpstr>
      <vt:lpstr>Brown_80!FlightMedicine</vt:lpstr>
      <vt:lpstr>Holzer_72!FlightMedicine</vt:lpstr>
      <vt:lpstr>Williams_80!FlightMedicine</vt:lpstr>
      <vt:lpstr>FlightMedicine</vt:lpstr>
      <vt:lpstr>Brown_80!InternalMed</vt:lpstr>
      <vt:lpstr>Holzer_72!InternalMed</vt:lpstr>
      <vt:lpstr>Williams_80!InternalMed</vt:lpstr>
      <vt:lpstr>InternalMed</vt:lpstr>
      <vt:lpstr>Brown_80!InternalMedicine</vt:lpstr>
      <vt:lpstr>Holzer_72!InternalMedicine</vt:lpstr>
      <vt:lpstr>Williams_80!InternalMedicine</vt:lpstr>
      <vt:lpstr>InternalMedicine</vt:lpstr>
      <vt:lpstr>'Standard Adjustments'!OBSTETRICS_GYNECOLOGY</vt:lpstr>
      <vt:lpstr>OPTOMETRY</vt:lpstr>
      <vt:lpstr>Brown_80!PainChampion</vt:lpstr>
      <vt:lpstr>Holzer_72!PainChampion</vt:lpstr>
      <vt:lpstr>Williams_80!PainChampion</vt:lpstr>
      <vt:lpstr>PainChampion</vt:lpstr>
      <vt:lpstr>Brown_80!Pediatrics</vt:lpstr>
      <vt:lpstr>Holzer_72!Pediatrics</vt:lpstr>
      <vt:lpstr>Williams_80!Pediatrics</vt:lpstr>
      <vt:lpstr>Pediatrics</vt:lpstr>
      <vt:lpstr>'Standard Adjustments'!PHYSICAL_THERAPY</vt:lpstr>
      <vt:lpstr>Brown_80!Primary</vt:lpstr>
      <vt:lpstr>Holzer_72!Primary</vt:lpstr>
      <vt:lpstr>Williams_80!Primary</vt:lpstr>
      <vt:lpstr>Primary</vt:lpstr>
      <vt:lpstr>Primary_Care</vt:lpstr>
      <vt:lpstr>Psych_SocialWork</vt:lpstr>
      <vt:lpstr>PSYCHIATRY</vt:lpstr>
      <vt:lpstr>RestDetCodes</vt:lpstr>
      <vt:lpstr>RestrictiveDetailCodes</vt:lpstr>
      <vt:lpstr>Brown_80!Specialty</vt:lpstr>
      <vt:lpstr>Holzer_72!Specialty</vt:lpstr>
      <vt:lpstr>Williams_80!Specialty</vt:lpstr>
      <vt:lpstr>Specialty</vt:lpstr>
      <vt:lpstr>SpecialtyCare</vt:lpstr>
      <vt:lpstr>TopofApptTgts</vt:lpstr>
      <vt:lpstr>Brown_80!TypeofCare</vt:lpstr>
      <vt:lpstr>Holzer_72!TypeofCare</vt:lpstr>
      <vt:lpstr>Williams_80!TypeofCare</vt:lpstr>
      <vt:lpstr>TypeofCare</vt:lpstr>
    </vt:vector>
  </TitlesOfParts>
  <Company>DHA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FLEMING, JENNIFER G Capt USAF AMC 436 OMRS/SGPF</dc:creator>
  <cp:lastModifiedBy>Straughn, Shelby A 1st Lt USAF 436 MDG (USA)</cp:lastModifiedBy>
  <dcterms:created xsi:type="dcterms:W3CDTF">2020-11-12T16:19:23Z</dcterms:created>
  <dcterms:modified xsi:type="dcterms:W3CDTF">2021-09-27T15:43:29Z</dcterms:modified>
</cp:coreProperties>
</file>