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ashleyholliday/Downloads/"/>
    </mc:Choice>
  </mc:AlternateContent>
  <bookViews>
    <workbookView xWindow="680" yWindow="1180" windowWidth="24960" windowHeight="14740" tabRatio="500"/>
  </bookViews>
  <sheets>
    <sheet name="Financial Statements" sheetId="1" r:id="rId1"/>
    <sheet name="Cost of Debt and Equity" sheetId="2" r:id="rId2"/>
    <sheet name="Capital Budgeting" sheetId="3" r:id="rId3"/>
    <sheet name="Summary and Explainations" sheetId="4" r:id="rId4"/>
    <sheet name="Sheet5" sheetId="5" state="hidden" r:id="rId5"/>
  </sheets>
  <definedNames>
    <definedName name="KO_Income_Statement__5" localSheetId="0">'Financial Statements'!$A$1:$Q$146</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32" i="1" l="1"/>
  <c r="P125" i="1"/>
  <c r="B10" i="2"/>
  <c r="B70" i="1"/>
  <c r="B68" i="1"/>
  <c r="F69" i="1"/>
  <c r="E69" i="1"/>
  <c r="D69" i="1"/>
  <c r="C69" i="1"/>
  <c r="B69" i="1"/>
  <c r="B75" i="1"/>
  <c r="B73" i="1"/>
  <c r="C64" i="1"/>
  <c r="D64" i="1"/>
  <c r="E64" i="1"/>
  <c r="F64" i="1"/>
  <c r="B64" i="1"/>
  <c r="C63" i="1"/>
  <c r="D63" i="1"/>
  <c r="E63" i="1"/>
  <c r="F63" i="1"/>
  <c r="B63" i="1"/>
  <c r="B66" i="1"/>
  <c r="D67" i="1"/>
  <c r="E67" i="1"/>
  <c r="F67" i="1"/>
  <c r="C67" i="1"/>
  <c r="B67" i="1"/>
  <c r="C66" i="1"/>
  <c r="D66" i="1"/>
  <c r="E66" i="1"/>
  <c r="F66" i="1"/>
  <c r="H31" i="1"/>
  <c r="H30" i="1"/>
  <c r="F61" i="1"/>
  <c r="E61" i="1"/>
  <c r="D61" i="1"/>
  <c r="C61" i="1"/>
  <c r="B61" i="1"/>
  <c r="C60" i="1"/>
  <c r="D60" i="1"/>
  <c r="E60" i="1"/>
  <c r="F60" i="1"/>
  <c r="B60" i="1"/>
  <c r="C59" i="1"/>
  <c r="D59" i="1"/>
  <c r="E59" i="1"/>
  <c r="F59" i="1"/>
  <c r="B59" i="1"/>
  <c r="C58" i="1"/>
  <c r="D58" i="1"/>
  <c r="E58" i="1"/>
  <c r="F58" i="1"/>
  <c r="B58" i="1"/>
  <c r="C57" i="1"/>
  <c r="D57" i="1"/>
  <c r="E57" i="1"/>
  <c r="F57" i="1"/>
  <c r="B57" i="1"/>
  <c r="C56" i="1"/>
  <c r="D56" i="1"/>
  <c r="E56" i="1"/>
  <c r="F56" i="1"/>
  <c r="B56" i="1"/>
  <c r="C55" i="1"/>
  <c r="D55" i="1"/>
  <c r="E55" i="1"/>
  <c r="F55" i="1"/>
  <c r="B55" i="1"/>
  <c r="C54" i="1"/>
  <c r="D54" i="1"/>
  <c r="E54" i="1"/>
  <c r="F54" i="1"/>
  <c r="B54" i="1"/>
  <c r="C53" i="1"/>
  <c r="D53" i="1"/>
  <c r="E53" i="1"/>
  <c r="F53" i="1"/>
  <c r="B53" i="1"/>
  <c r="C52" i="1"/>
  <c r="D52" i="1"/>
  <c r="E52" i="1"/>
  <c r="F52" i="1"/>
  <c r="B52" i="1"/>
  <c r="C51" i="1"/>
  <c r="D51" i="1"/>
  <c r="E51" i="1"/>
  <c r="F51" i="1"/>
  <c r="B51" i="1"/>
  <c r="C50" i="1"/>
  <c r="D50" i="1"/>
  <c r="E50" i="1"/>
  <c r="F50" i="1"/>
  <c r="B50" i="1"/>
  <c r="C49" i="1"/>
  <c r="D49" i="1"/>
  <c r="E49" i="1"/>
  <c r="F49" i="1"/>
  <c r="B49" i="1"/>
  <c r="H13" i="1"/>
  <c r="H23" i="1"/>
  <c r="H20" i="1"/>
  <c r="H18" i="1"/>
  <c r="H17" i="1"/>
  <c r="H14" i="1"/>
  <c r="H9" i="1"/>
  <c r="D48" i="1"/>
  <c r="E48" i="1"/>
  <c r="F48" i="1"/>
  <c r="C48" i="1"/>
  <c r="B48" i="1"/>
  <c r="C45" i="1"/>
  <c r="D45" i="1"/>
  <c r="E45" i="1"/>
  <c r="F45" i="1"/>
  <c r="B45" i="1"/>
  <c r="D44" i="1"/>
  <c r="E44" i="1"/>
  <c r="F44" i="1"/>
  <c r="C44" i="1"/>
  <c r="B44" i="1"/>
  <c r="C46" i="1"/>
  <c r="D46" i="1"/>
  <c r="E46" i="1"/>
  <c r="F46" i="1"/>
  <c r="B46" i="1"/>
  <c r="C10" i="1"/>
  <c r="D10" i="1"/>
  <c r="E10" i="1"/>
  <c r="F10" i="1"/>
  <c r="G10" i="1"/>
  <c r="B10" i="1"/>
  <c r="B141" i="1"/>
  <c r="C141" i="1"/>
  <c r="D141" i="1"/>
  <c r="E141" i="1"/>
  <c r="F141" i="1"/>
  <c r="G141" i="1"/>
  <c r="B143" i="1"/>
  <c r="C143" i="1"/>
  <c r="D143" i="1"/>
  <c r="E143" i="1"/>
  <c r="F143" i="1"/>
  <c r="G143" i="1"/>
  <c r="B144" i="1"/>
  <c r="C144" i="1"/>
  <c r="D144" i="1"/>
  <c r="E144" i="1"/>
  <c r="F144" i="1"/>
  <c r="G144" i="1"/>
  <c r="B146" i="1"/>
  <c r="C146" i="1"/>
  <c r="D146" i="1"/>
  <c r="E146" i="1"/>
  <c r="F146" i="1"/>
  <c r="G146" i="1"/>
  <c r="N113" i="1"/>
  <c r="N115" i="1"/>
  <c r="N116" i="1"/>
  <c r="N117" i="1"/>
  <c r="N118" i="1"/>
  <c r="N120" i="1"/>
  <c r="N121" i="1"/>
  <c r="N122" i="1"/>
  <c r="N123" i="1"/>
  <c r="N124" i="1"/>
  <c r="N125" i="1"/>
  <c r="N127" i="1"/>
  <c r="N128" i="1"/>
  <c r="N129" i="1"/>
  <c r="N130" i="1"/>
  <c r="N131" i="1"/>
  <c r="N132" i="1"/>
  <c r="N133" i="1"/>
  <c r="M113" i="1"/>
  <c r="M114" i="1"/>
  <c r="M115" i="1"/>
  <c r="M116" i="1"/>
  <c r="M117" i="1"/>
  <c r="M118" i="1"/>
  <c r="M120" i="1"/>
  <c r="M121" i="1"/>
  <c r="M122" i="1"/>
  <c r="M123" i="1"/>
  <c r="M124" i="1"/>
  <c r="M125" i="1"/>
  <c r="M127" i="1"/>
  <c r="M128" i="1"/>
  <c r="M129" i="1"/>
  <c r="M130" i="1"/>
  <c r="M131" i="1"/>
  <c r="M132" i="1"/>
  <c r="M133" i="1"/>
  <c r="L113" i="1"/>
  <c r="L115" i="1"/>
  <c r="L116" i="1"/>
  <c r="L117" i="1"/>
  <c r="L118" i="1"/>
  <c r="L120" i="1"/>
  <c r="L121" i="1"/>
  <c r="L122" i="1"/>
  <c r="L123" i="1"/>
  <c r="L124" i="1"/>
  <c r="L125" i="1"/>
  <c r="L127" i="1"/>
  <c r="L128" i="1"/>
  <c r="L129" i="1"/>
  <c r="L130" i="1"/>
  <c r="L131" i="1"/>
  <c r="L132" i="1"/>
  <c r="L133" i="1"/>
  <c r="K113" i="1"/>
  <c r="K115" i="1"/>
  <c r="K116" i="1"/>
  <c r="K117" i="1"/>
  <c r="K118" i="1"/>
  <c r="K120" i="1"/>
  <c r="K121" i="1"/>
  <c r="K122" i="1"/>
  <c r="K123" i="1"/>
  <c r="K124" i="1"/>
  <c r="K125" i="1"/>
  <c r="K127" i="1"/>
  <c r="K128" i="1"/>
  <c r="K129" i="1"/>
  <c r="K130" i="1"/>
  <c r="K131" i="1"/>
  <c r="K132" i="1"/>
  <c r="K133" i="1"/>
  <c r="J113" i="1"/>
  <c r="J115" i="1"/>
  <c r="J116" i="1"/>
  <c r="J117" i="1"/>
  <c r="J118" i="1"/>
  <c r="J120" i="1"/>
  <c r="J121" i="1"/>
  <c r="J122" i="1"/>
  <c r="J123" i="1"/>
  <c r="J124" i="1"/>
  <c r="J125" i="1"/>
  <c r="J127" i="1"/>
  <c r="J128" i="1"/>
  <c r="J129" i="1"/>
  <c r="J130" i="1"/>
  <c r="J131" i="1"/>
  <c r="J132" i="1"/>
  <c r="J133" i="1"/>
  <c r="K112" i="1"/>
  <c r="L112" i="1"/>
  <c r="M112" i="1"/>
  <c r="N112" i="1"/>
  <c r="J112" i="1"/>
  <c r="N91" i="1"/>
  <c r="N92" i="1"/>
  <c r="N93" i="1"/>
  <c r="N94" i="1"/>
  <c r="N95" i="1"/>
  <c r="N96" i="1"/>
  <c r="N97" i="1"/>
  <c r="N98" i="1"/>
  <c r="N99" i="1"/>
  <c r="N100" i="1"/>
  <c r="N101" i="1"/>
  <c r="N102" i="1"/>
  <c r="N103" i="1"/>
  <c r="N104" i="1"/>
  <c r="N105" i="1"/>
  <c r="N106" i="1"/>
  <c r="N107" i="1"/>
  <c r="N108" i="1"/>
  <c r="M91" i="1"/>
  <c r="M92" i="1"/>
  <c r="M93" i="1"/>
  <c r="M94" i="1"/>
  <c r="M95" i="1"/>
  <c r="M96" i="1"/>
  <c r="M97" i="1"/>
  <c r="M98" i="1"/>
  <c r="M99" i="1"/>
  <c r="M100" i="1"/>
  <c r="M101" i="1"/>
  <c r="M102" i="1"/>
  <c r="M103" i="1"/>
  <c r="M104" i="1"/>
  <c r="M105" i="1"/>
  <c r="M106" i="1"/>
  <c r="M107" i="1"/>
  <c r="M108" i="1"/>
  <c r="N90" i="1"/>
  <c r="L91" i="1"/>
  <c r="L92" i="1"/>
  <c r="L93" i="1"/>
  <c r="L94" i="1"/>
  <c r="L95" i="1"/>
  <c r="L96" i="1"/>
  <c r="L97" i="1"/>
  <c r="L98" i="1"/>
  <c r="L99" i="1"/>
  <c r="L100" i="1"/>
  <c r="L101" i="1"/>
  <c r="L102" i="1"/>
  <c r="L103" i="1"/>
  <c r="L104" i="1"/>
  <c r="L105" i="1"/>
  <c r="L106" i="1"/>
  <c r="L107" i="1"/>
  <c r="L108" i="1"/>
  <c r="K91" i="1"/>
  <c r="K92" i="1"/>
  <c r="K93" i="1"/>
  <c r="K94" i="1"/>
  <c r="K95" i="1"/>
  <c r="K96" i="1"/>
  <c r="K97" i="1"/>
  <c r="K98" i="1"/>
  <c r="K99" i="1"/>
  <c r="K100" i="1"/>
  <c r="K101" i="1"/>
  <c r="K102" i="1"/>
  <c r="K103" i="1"/>
  <c r="K104" i="1"/>
  <c r="K105" i="1"/>
  <c r="K106" i="1"/>
  <c r="K107" i="1"/>
  <c r="K108" i="1"/>
  <c r="J97" i="1"/>
  <c r="J98" i="1"/>
  <c r="J99" i="1"/>
  <c r="J100" i="1"/>
  <c r="J101" i="1"/>
  <c r="J102" i="1"/>
  <c r="J103" i="1"/>
  <c r="J104" i="1"/>
  <c r="J105" i="1"/>
  <c r="J106" i="1"/>
  <c r="J107" i="1"/>
  <c r="J108" i="1"/>
  <c r="J91" i="1"/>
  <c r="J92" i="1"/>
  <c r="J93" i="1"/>
  <c r="J94" i="1"/>
  <c r="J95" i="1"/>
  <c r="J96" i="1"/>
  <c r="K90" i="1"/>
  <c r="L90" i="1"/>
  <c r="M90" i="1"/>
  <c r="J90" i="1"/>
  <c r="N10" i="1"/>
  <c r="N32" i="1"/>
  <c r="N31" i="1"/>
  <c r="N30" i="1"/>
  <c r="M30" i="1"/>
  <c r="M31" i="1"/>
  <c r="M32" i="1"/>
  <c r="L30" i="1"/>
  <c r="L31" i="1"/>
  <c r="L32" i="1"/>
  <c r="K30" i="1"/>
  <c r="K31" i="1"/>
  <c r="K32" i="1"/>
  <c r="L25" i="1"/>
  <c r="M25" i="1"/>
  <c r="N25" i="1"/>
  <c r="J30" i="1"/>
  <c r="J31" i="1"/>
  <c r="J32" i="1"/>
  <c r="N24" i="1"/>
  <c r="N23" i="1"/>
  <c r="N22" i="1"/>
  <c r="N21" i="1"/>
  <c r="N20" i="1"/>
  <c r="N19" i="1"/>
  <c r="N18" i="1"/>
  <c r="N17" i="1"/>
  <c r="N16" i="1"/>
  <c r="N15" i="1"/>
  <c r="N14" i="1"/>
  <c r="N13" i="1"/>
  <c r="N12" i="1"/>
  <c r="N9" i="1"/>
  <c r="M10" i="1"/>
  <c r="M11" i="1"/>
  <c r="M12" i="1"/>
  <c r="M14" i="1"/>
  <c r="M15" i="1"/>
  <c r="M16" i="1"/>
  <c r="M17" i="1"/>
  <c r="M18" i="1"/>
  <c r="M19" i="1"/>
  <c r="M20" i="1"/>
  <c r="M21" i="1"/>
  <c r="M23" i="1"/>
  <c r="M24" i="1"/>
  <c r="L10" i="1"/>
  <c r="L11" i="1"/>
  <c r="L12" i="1"/>
  <c r="L14" i="1"/>
  <c r="L15" i="1"/>
  <c r="L16" i="1"/>
  <c r="L17" i="1"/>
  <c r="L18" i="1"/>
  <c r="L19" i="1"/>
  <c r="L20" i="1"/>
  <c r="L21" i="1"/>
  <c r="L23" i="1"/>
  <c r="L24" i="1"/>
  <c r="K10" i="1"/>
  <c r="K11" i="1"/>
  <c r="K12" i="1"/>
  <c r="K14" i="1"/>
  <c r="K15" i="1"/>
  <c r="K16" i="1"/>
  <c r="K17" i="1"/>
  <c r="K18" i="1"/>
  <c r="K19" i="1"/>
  <c r="K20" i="1"/>
  <c r="K21" i="1"/>
  <c r="K23" i="1"/>
  <c r="K24" i="1"/>
  <c r="K25" i="1"/>
  <c r="J10" i="1"/>
  <c r="J11" i="1"/>
  <c r="J12" i="1"/>
  <c r="J14" i="1"/>
  <c r="J15" i="1"/>
  <c r="J16" i="1"/>
  <c r="J17" i="1"/>
  <c r="J18" i="1"/>
  <c r="J19" i="1"/>
  <c r="J20" i="1"/>
  <c r="J21" i="1"/>
  <c r="J23" i="1"/>
  <c r="J24" i="1"/>
  <c r="J25" i="1"/>
  <c r="K9" i="1"/>
  <c r="L9" i="1"/>
  <c r="M9" i="1"/>
  <c r="J9" i="1"/>
  <c r="H12" i="1"/>
  <c r="F134" i="1"/>
  <c r="E134" i="1"/>
  <c r="F135" i="1"/>
  <c r="D134" i="1"/>
  <c r="E135" i="1"/>
  <c r="C134" i="1"/>
  <c r="D135" i="1"/>
  <c r="B134" i="1"/>
  <c r="C135" i="1"/>
</calcChain>
</file>

<file path=xl/connections.xml><?xml version="1.0" encoding="utf-8"?>
<connections xmlns="http://schemas.openxmlformats.org/spreadsheetml/2006/main">
  <connection id="1" name="KO Income Statement (5)" type="6" refreshedVersion="0" background="1" saveData="1">
    <textPr fileType="mac" codePage="65001" sourceFile="/Users/ashleyholliday/Downloads/KO Income Statement (5).csv" comma="1">
      <textFields>
        <textField/>
      </textFields>
    </textPr>
  </connection>
</connections>
</file>

<file path=xl/sharedStrings.xml><?xml version="1.0" encoding="utf-8"?>
<sst xmlns="http://schemas.openxmlformats.org/spreadsheetml/2006/main" count="205" uniqueCount="161">
  <si>
    <t>COCA-COLA CO (KO) Excel Project</t>
  </si>
  <si>
    <t>Ashley Holliday - FIN 3690 - Fall 2018</t>
  </si>
  <si>
    <t>**Fiscal year ends in December. USD in millions except per share data.</t>
  </si>
  <si>
    <t>INCOME STATEMENT AS REPORTED</t>
  </si>
  <si>
    <t>COMMON-SIZE INCOME STATEMENT</t>
  </si>
  <si>
    <t>Report Year</t>
  </si>
  <si>
    <t>2013-12</t>
  </si>
  <si>
    <t>2014-12</t>
  </si>
  <si>
    <t>2015-12</t>
  </si>
  <si>
    <t>2016-12</t>
  </si>
  <si>
    <t>2017-12</t>
  </si>
  <si>
    <t>TTM</t>
  </si>
  <si>
    <t>% Growth</t>
  </si>
  <si>
    <t>Revenue</t>
  </si>
  <si>
    <t>Cost of revenue</t>
  </si>
  <si>
    <t>Gross profit</t>
  </si>
  <si>
    <t>Operating expenses</t>
  </si>
  <si>
    <t>Sales, General and administrative</t>
  </si>
  <si>
    <t>Restructuring, merger and acquisition</t>
  </si>
  <si>
    <t>Other operating expenses</t>
  </si>
  <si>
    <t>Total operating expenses</t>
  </si>
  <si>
    <t>Operating income</t>
  </si>
  <si>
    <t>Interest Expense</t>
  </si>
  <si>
    <t>Other income (expense)</t>
  </si>
  <si>
    <t>Income before taxes</t>
  </si>
  <si>
    <t>Provision for income taxes</t>
  </si>
  <si>
    <t>Net income from continuing operations</t>
  </si>
  <si>
    <t>Net income from discontinuing ops</t>
  </si>
  <si>
    <t>Other</t>
  </si>
  <si>
    <t>Net income</t>
  </si>
  <si>
    <t>Net income available to common shareholders</t>
  </si>
  <si>
    <t>Earnings per share</t>
  </si>
  <si>
    <t>Basic</t>
  </si>
  <si>
    <t>Diluted</t>
  </si>
  <si>
    <t>Weighted average shares outstanding</t>
  </si>
  <si>
    <t>EBITDA</t>
  </si>
  <si>
    <t>PRO FORMA INCOME STATEMENT</t>
  </si>
  <si>
    <t>2018-12</t>
  </si>
  <si>
    <t>2019-12</t>
  </si>
  <si>
    <t>2020-12</t>
  </si>
  <si>
    <t>2021-12</t>
  </si>
  <si>
    <t>2022-12</t>
  </si>
  <si>
    <t>BALANCE SHEET AS REPORTED</t>
  </si>
  <si>
    <t>COMMON-SIZE BALANCE SHEET</t>
  </si>
  <si>
    <t>Assets</t>
  </si>
  <si>
    <t>Current assets</t>
  </si>
  <si>
    <t>Cash</t>
  </si>
  <si>
    <t>Cash and cash equivalents</t>
  </si>
  <si>
    <t>Short-term investments</t>
  </si>
  <si>
    <t>Total cash</t>
  </si>
  <si>
    <t>Receivables</t>
  </si>
  <si>
    <t>Inventories</t>
  </si>
  <si>
    <t>Prepaid expenses</t>
  </si>
  <si>
    <t>Other current assets</t>
  </si>
  <si>
    <t>Total current assets</t>
  </si>
  <si>
    <t>Non-current assets</t>
  </si>
  <si>
    <t>Property, plant and equipment</t>
  </si>
  <si>
    <t>Gross property, plant and equipment</t>
  </si>
  <si>
    <t>Accumulated Depreciation</t>
  </si>
  <si>
    <t>Net property, plant and equipment</t>
  </si>
  <si>
    <t>Equity and other investments</t>
  </si>
  <si>
    <t>Goodwill</t>
  </si>
  <si>
    <t>Intangible assets</t>
  </si>
  <si>
    <t>Other long-term assets</t>
  </si>
  <si>
    <t>Total non-current assets</t>
  </si>
  <si>
    <t>Total assets</t>
  </si>
  <si>
    <t>Liabilities and stockholders' equity</t>
  </si>
  <si>
    <t>Liabilities</t>
  </si>
  <si>
    <t>Current liabilities</t>
  </si>
  <si>
    <t>Short-term debt</t>
  </si>
  <si>
    <t>Accounts payable</t>
  </si>
  <si>
    <t>Deferred income taxes</t>
  </si>
  <si>
    <t>Taxes payable</t>
  </si>
  <si>
    <t>Accrued liabilities</t>
  </si>
  <si>
    <t>Other current liabilities</t>
  </si>
  <si>
    <t>Total current liabilities</t>
  </si>
  <si>
    <t>Non-current liabilities</t>
  </si>
  <si>
    <t>Long-term debt</t>
  </si>
  <si>
    <t>Deferred taxes liabilities</t>
  </si>
  <si>
    <t>Minority interest</t>
  </si>
  <si>
    <t>Other long-term liabilities</t>
  </si>
  <si>
    <t>Total non-current liabilities</t>
  </si>
  <si>
    <t>Total liabilities</t>
  </si>
  <si>
    <t>Stockholders' equity</t>
  </si>
  <si>
    <t>Common stock</t>
  </si>
  <si>
    <t>Additional paid-in capital</t>
  </si>
  <si>
    <t>Retained earnings</t>
  </si>
  <si>
    <t>Treasury stock</t>
  </si>
  <si>
    <t>Accumulated other comprehensive income</t>
  </si>
  <si>
    <t>Total stockholders' equity</t>
  </si>
  <si>
    <t>Total liabilities and stockholders' equity</t>
  </si>
  <si>
    <t>Net Working Capital</t>
  </si>
  <si>
    <t>Change in NWC</t>
  </si>
  <si>
    <t>Financial Ratios</t>
  </si>
  <si>
    <t>Liquidity Ratios</t>
  </si>
  <si>
    <t>5-year averages</t>
  </si>
  <si>
    <t>Current Ratio - CA/CL</t>
  </si>
  <si>
    <t>Debt-to-Equity - TD/TE</t>
  </si>
  <si>
    <t>Equity Multiplier - TA/TE</t>
  </si>
  <si>
    <t>Profitability Ratios</t>
  </si>
  <si>
    <t>ROA</t>
  </si>
  <si>
    <t>Leverage Ratios</t>
  </si>
  <si>
    <t>EBIT</t>
  </si>
  <si>
    <t>#4</t>
  </si>
  <si>
    <t>P/E Ratio</t>
  </si>
  <si>
    <t>Dividends per Share</t>
  </si>
  <si>
    <t>Price</t>
  </si>
  <si>
    <t>total dividends</t>
  </si>
  <si>
    <t>#5</t>
  </si>
  <si>
    <t>n=20</t>
  </si>
  <si>
    <t>I=1.12/2</t>
  </si>
  <si>
    <t>pmt= 25</t>
  </si>
  <si>
    <t>0.05*1000/2</t>
  </si>
  <si>
    <t>fv=1000</t>
  </si>
  <si>
    <t>pv= ? = 1366.09</t>
  </si>
  <si>
    <t>#6</t>
  </si>
  <si>
    <t>COD= 841/((29684+31182)/2)</t>
  </si>
  <si>
    <t>int exp/avg(2016 ltd + 2017 ltd)</t>
  </si>
  <si>
    <t>#7</t>
  </si>
  <si>
    <t>#8</t>
  </si>
  <si>
    <t>D2017=0.22 and D2018=0.63</t>
  </si>
  <si>
    <t>Re=(D1/P0)+g  = (0.22/$45)+0 (0 growth)</t>
  </si>
  <si>
    <t>Re= 0.4889</t>
  </si>
  <si>
    <t>#9</t>
  </si>
  <si>
    <t>CAPM= Rf + B(Rm-Rf)</t>
  </si>
  <si>
    <t>CAPM= 3.03% + .28(5.5%)</t>
  </si>
  <si>
    <t>CAPM= 4.84</t>
  </si>
  <si>
    <t>Beta and Rf -- https://www.gurufocus.com/term/wacc/KO/WACC/Coca-Cola%2BCo</t>
  </si>
  <si>
    <t>Market risk premium -- https://assets.kpmg.com/content/dam/kpmg/nl/pdf/2018/advisory/equity-market-risk-premium-july-2018.pdf</t>
  </si>
  <si>
    <t>#10</t>
  </si>
  <si>
    <t>2017 Common Size</t>
  </si>
  <si>
    <t>For # 10</t>
  </si>
  <si>
    <t>Historical</t>
  </si>
  <si>
    <t>** see work beside common size BS</t>
  </si>
  <si>
    <t>Mkt</t>
  </si>
  <si>
    <t>shares outstanding*pps= 4272*42 = 192240</t>
  </si>
  <si>
    <t>TD = 68919</t>
  </si>
  <si>
    <t>total = 261159</t>
  </si>
  <si>
    <t>D = 68919/261159 = 26.39%</t>
  </si>
  <si>
    <t>E = 192240/261159 = 73.61%</t>
  </si>
  <si>
    <t>WACC = 73.61%*3.64% + 26.39%*2.76%(1-.4) = 3.12%</t>
  </si>
  <si>
    <t>WACC = 28.80%*3.64% + 71.20%*2.76%(1-.4) = 2.23%</t>
  </si>
  <si>
    <t>#11</t>
  </si>
  <si>
    <t>WACC = 19.85%*3.64%+80.15%*2.76%(1-.4) = 2.05%</t>
  </si>
  <si>
    <t>Average = 2.47%</t>
  </si>
  <si>
    <t>#12</t>
  </si>
  <si>
    <t>i=10</t>
  </si>
  <si>
    <t>pv=45</t>
  </si>
  <si>
    <t>pmt=0.63</t>
  </si>
  <si>
    <t>fv=35</t>
  </si>
  <si>
    <t>n= ? = negative</t>
  </si>
  <si>
    <t xml:space="preserve">never pays back </t>
  </si>
  <si>
    <t>#13</t>
  </si>
  <si>
    <t>year</t>
  </si>
  <si>
    <t>irr</t>
  </si>
  <si>
    <t>A</t>
  </si>
  <si>
    <t>B</t>
  </si>
  <si>
    <t>A-B</t>
  </si>
  <si>
    <t xml:space="preserve">You would choose project B, because the IRR is higher. Both are very good IRRs. </t>
  </si>
  <si>
    <t>#14</t>
  </si>
  <si>
    <t>The projects are mutually exclusive. The crossover rate is 15.99%. RRR is only 10%, so we would choose project A because it has the highest NPV!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</si>
</sst>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43" formatCode="_(* #,##0.00_);_(* \(#,##0.0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6"/>
      <color theme="1"/>
      <name val="Calibri (Body)"/>
    </font>
    <font>
      <b/>
      <sz val="16"/>
      <color rgb="FFFF0000"/>
      <name val="Calibri (Body)"/>
    </font>
    <font>
      <b/>
      <sz val="12"/>
      <color rgb="FFFF0000"/>
      <name val="Calibri"/>
      <family val="2"/>
      <scheme val="minor"/>
    </font>
    <font>
      <b/>
      <sz val="18"/>
      <color theme="1"/>
      <name val="Calibri (Body)"/>
    </font>
    <font>
      <sz val="12"/>
      <color theme="2"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10" fontId="0" fillId="0" borderId="0" xfId="0" applyNumberFormat="1"/>
    <xf numFmtId="2" fontId="0" fillId="0" borderId="0" xfId="0" applyNumberFormat="1"/>
    <xf numFmtId="43" fontId="0" fillId="0" borderId="0" xfId="1" applyFont="1"/>
    <xf numFmtId="43" fontId="0" fillId="0" borderId="0" xfId="0" applyNumberFormat="1"/>
    <xf numFmtId="0" fontId="3" fillId="0" borderId="0" xfId="0" applyFont="1"/>
    <xf numFmtId="0" fontId="0" fillId="0" borderId="0" xfId="0" applyAlignment="1">
      <alignment horizontal="left" indent="1"/>
    </xf>
    <xf numFmtId="0" fontId="0" fillId="0" borderId="0" xfId="0" applyFont="1"/>
    <xf numFmtId="0" fontId="2" fillId="0" borderId="0" xfId="0" applyFont="1"/>
    <xf numFmtId="9" fontId="2" fillId="0" borderId="0" xfId="0" applyNumberFormat="1" applyFont="1"/>
    <xf numFmtId="6" fontId="2" fillId="0" borderId="0" xfId="0" applyNumberFormat="1" applyFont="1"/>
    <xf numFmtId="0" fontId="2" fillId="0" borderId="0" xfId="0" applyFont="1" applyAlignment="1">
      <alignment horizontal="left"/>
    </xf>
    <xf numFmtId="2" fontId="2" fillId="0" borderId="0" xfId="0" applyNumberFormat="1" applyFont="1"/>
    <xf numFmtId="43" fontId="2" fillId="0" borderId="0" xfId="0" applyNumberFormat="1" applyFont="1"/>
    <xf numFmtId="0" fontId="4" fillId="0" borderId="0" xfId="0" applyFont="1"/>
    <xf numFmtId="0" fontId="5" fillId="0" borderId="0" xfId="0" applyFont="1"/>
    <xf numFmtId="10" fontId="2" fillId="0" borderId="0" xfId="0" applyNumberFormat="1" applyFont="1"/>
    <xf numFmtId="0" fontId="6" fillId="0" borderId="0" xfId="0" applyFont="1"/>
    <xf numFmtId="0" fontId="7" fillId="0" borderId="0" xfId="0" applyFont="1"/>
    <xf numFmtId="43" fontId="7" fillId="0" borderId="0" xfId="1" applyFont="1"/>
  </cellXfs>
  <cellStyles count="2">
    <cellStyle name="Comma" xfId="1" builtinId="3"/>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2298700</xdr:colOff>
      <xdr:row>70</xdr:row>
      <xdr:rowOff>139700</xdr:rowOff>
    </xdr:from>
    <xdr:to>
      <xdr:col>0</xdr:col>
      <xdr:colOff>3975100</xdr:colOff>
      <xdr:row>73</xdr:row>
      <xdr:rowOff>50800</xdr:rowOff>
    </xdr:to>
    <xdr:sp macro="" textlink="">
      <xdr:nvSpPr>
        <xdr:cNvPr id="2" name="TextBox 1"/>
        <xdr:cNvSpPr txBox="1"/>
      </xdr:nvSpPr>
      <xdr:spPr>
        <a:xfrm>
          <a:off x="2298700" y="14363700"/>
          <a:ext cx="16764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FF0000"/>
              </a:solidFill>
            </a:rPr>
            <a:t>Question</a:t>
          </a:r>
          <a:r>
            <a:rPr lang="en-US" sz="2000" baseline="0">
              <a:solidFill>
                <a:srgbClr val="FF0000"/>
              </a:solidFill>
            </a:rPr>
            <a:t> #4</a:t>
          </a:r>
          <a:endParaRPr lang="en-US" sz="2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xdr:colOff>
      <xdr:row>22</xdr:row>
      <xdr:rowOff>25400</xdr:rowOff>
    </xdr:to>
    <xdr:sp macro="" textlink="">
      <xdr:nvSpPr>
        <xdr:cNvPr id="2" name="TextBox 1"/>
        <xdr:cNvSpPr txBox="1"/>
      </xdr:nvSpPr>
      <xdr:spPr>
        <a:xfrm>
          <a:off x="825500" y="2438400"/>
          <a:ext cx="499110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looking at the articles, as well as having just forcasted their next 5 years, the bloomburg article seems sad to me. Coke was doing very well financially until about 2016. While the issuance of debt and their ability to pay it off in the short term seems up to par based on ratings such as S&amp;P, I feel like Coca-Cola got in over their heads trying to stimulate growth. The projected "doubling of revenue by 2020" is clearly not looking like it will happen. However, on the surface, with a cost of capital of 2.76%, Coke should have no problem with issuing debt, it is costing them relatively little. I cannot immediately pinpoint the reason Coke tanked in the past year, however, I feel that 2.67% is still a valid COD for the current situation, not including a finalized 2017 statement.</a:t>
          </a:r>
          <a:r>
            <a:rPr lang="en-US" sz="1100" baseline="0"/>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25400</xdr:colOff>
      <xdr:row>19</xdr:row>
      <xdr:rowOff>88900</xdr:rowOff>
    </xdr:from>
    <xdr:to>
      <xdr:col>5</xdr:col>
      <xdr:colOff>431800</xdr:colOff>
      <xdr:row>28</xdr:row>
      <xdr:rowOff>38100</xdr:rowOff>
    </xdr:to>
    <xdr:sp macro="" textlink="">
      <xdr:nvSpPr>
        <xdr:cNvPr id="2" name="TextBox 1"/>
        <xdr:cNvSpPr txBox="1"/>
      </xdr:nvSpPr>
      <xdr:spPr>
        <a:xfrm>
          <a:off x="850900" y="3949700"/>
          <a:ext cx="370840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NI has no growth, and</a:t>
          </a:r>
          <a:r>
            <a:rPr lang="en-US" sz="1100" baseline="0"/>
            <a:t> it stayes the same forever, you can treat it like a perpetuity. NI 2017 / Avg WACC = $50526.32</a:t>
          </a:r>
        </a:p>
        <a:p>
          <a:endParaRPr lang="en-US" sz="1100" baseline="0"/>
        </a:p>
        <a:p>
          <a:r>
            <a:rPr lang="en-US" sz="1100" baseline="0"/>
            <a:t>This is the value of the firrm (perpetuity), if there is no growth.</a:t>
          </a:r>
        </a:p>
        <a:p>
          <a:endParaRPr lang="en-US" sz="1100" baseline="0"/>
        </a:p>
        <a:p>
          <a:r>
            <a:rPr lang="en-US" sz="1100" baseline="0"/>
            <a:t>Using my growth rate I found, NI decreases over time, meaning the value of the firm would decrease proportionally to NI.</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0</xdr:row>
      <xdr:rowOff>38100</xdr:rowOff>
    </xdr:from>
    <xdr:to>
      <xdr:col>13</xdr:col>
      <xdr:colOff>101600</xdr:colOff>
      <xdr:row>36</xdr:row>
      <xdr:rowOff>88900</xdr:rowOff>
    </xdr:to>
    <xdr:sp macro="" textlink="">
      <xdr:nvSpPr>
        <xdr:cNvPr id="2" name="TextBox 1"/>
        <xdr:cNvSpPr txBox="1"/>
      </xdr:nvSpPr>
      <xdr:spPr>
        <a:xfrm>
          <a:off x="63500" y="38100"/>
          <a:ext cx="10769600" cy="736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2. </a:t>
          </a:r>
        </a:p>
        <a:p>
          <a:pPr lvl="1"/>
          <a:r>
            <a:rPr lang="en-US" sz="1100" baseline="0"/>
            <a:t>Current ratio tells us Coca-Cola's ability to use liquid assets to cover short term debt. Coke has a ratio greater than one, meaning they are able to pay off their debt easily. I think they are doing well. </a:t>
          </a:r>
        </a:p>
        <a:p>
          <a:pPr lvl="1"/>
          <a:endParaRPr lang="en-US" sz="1100" baseline="0"/>
        </a:p>
        <a:p>
          <a:pPr lvl="1"/>
          <a:r>
            <a:rPr lang="en-US" sz="1100" baseline="0"/>
            <a:t>Debt-to-Equity ratio shows us how Coca-Cola is financing their company. Based on an average DtoE ratio of 2.64 Coke is mainly financing growth through debt. Which, you can see in 2017, they took on more long term debt than in previous years, assumingly due to the "bad year" they had financially. </a:t>
          </a:r>
        </a:p>
        <a:p>
          <a:pPr lvl="1"/>
          <a:endParaRPr lang="en-US" sz="1100" baseline="0"/>
        </a:p>
        <a:p>
          <a:pPr lvl="1"/>
          <a:r>
            <a:rPr lang="en-US" sz="1100" baseline="0"/>
            <a:t>The Equity multiplier similarly shows the company is financing their assets by using more debt, which I also explained above. </a:t>
          </a:r>
        </a:p>
        <a:p>
          <a:pPr lvl="1"/>
          <a:endParaRPr lang="en-US" sz="1100" baseline="0"/>
        </a:p>
        <a:p>
          <a:pPr lvl="1"/>
          <a:r>
            <a:rPr lang="en-US" sz="1100" baseline="0"/>
            <a:t>The return on assets is interesting for this company. You can notice a pretty consistent ROA for years 2013-2016, and all of a sudden, there is a drastic drop in 2017. I researched some possible reasons, and one might be their unwillingness to expand the company into realms other than soft drinks. Competitively speaking, they are far behind other major beverage companies when it comes to corporate expansion, and I think this has made a huge impact on their finances for 2017. </a:t>
          </a:r>
        </a:p>
        <a:p>
          <a:pPr lvl="1"/>
          <a:endParaRPr lang="en-US" sz="1100" baseline="0"/>
        </a:p>
        <a:p>
          <a:pPr lvl="0"/>
          <a:r>
            <a:rPr lang="en-US" sz="1100" baseline="0"/>
            <a:t>3. I used a weighted average to find my percent sales growth. I averaged the first three years and weighted it to 75%, using 2017's growth at only 25%. I feel like with the dismal year Coke has had, they will prospectively "up their game" and turn things around in years to come. But I believe it will take time to remodel their structure, so I used a lenient -6.85%. For their current financial situation, I believe this to be fair.  **I will say though, I do not think this will be the trend through the entirety of the next 5 years, I am hopeful they can make a comback. </a:t>
          </a:r>
        </a:p>
        <a:p>
          <a:pPr lvl="0"/>
          <a:endParaRPr lang="en-US" sz="1100" baseline="0"/>
        </a:p>
        <a:p>
          <a:pPr lvl="0"/>
          <a:r>
            <a:rPr lang="en-US" sz="1100" baseline="0"/>
            <a:t>I took an average to get 38.71% for cost of revenue, as I believe for the most part, it has remained proportional to revenue at a fairly consistent percentage. </a:t>
          </a:r>
        </a:p>
        <a:p>
          <a:pPr lvl="0"/>
          <a:endParaRPr lang="en-US" sz="1100" baseline="0"/>
        </a:p>
        <a:p>
          <a:pPr lvl="0"/>
          <a:r>
            <a:rPr lang="en-US" sz="1100" baseline="0"/>
            <a:t>I also took an average as a percentage of revenue to get 36.71% for sales, general, and administrative costs. Individually, the percentages were consistent, so I was comfortable using a direct average. </a:t>
          </a:r>
        </a:p>
        <a:p>
          <a:pPr lvl="0"/>
          <a:endParaRPr lang="en-US" sz="1100" baseline="0"/>
        </a:p>
        <a:p>
          <a:pPr lvl="0"/>
          <a:r>
            <a:rPr lang="en-US" sz="1100" baseline="0"/>
            <a:t>I found restructuring, merger, and acquisition to be 3.07% of revenue for 2016 only. Based on their current state, I am hopeful they start to restructure and branch out. I endud up taking 10% off the 2016 value and using 2.77%. I am hopeful for their restructuring. </a:t>
          </a:r>
        </a:p>
        <a:p>
          <a:pPr lvl="0"/>
          <a:endParaRPr lang="en-US" sz="1100" baseline="0"/>
        </a:p>
        <a:p>
          <a:pPr lvl="0"/>
          <a:r>
            <a:rPr lang="en-US" sz="1100" baseline="0"/>
            <a:t>I took an average of other operating expenses as a percentage of revenue. There is fluctuation in OOE over the past 5 years, to I took a direct average with no adjustments. </a:t>
          </a:r>
        </a:p>
        <a:p>
          <a:pPr lvl="0"/>
          <a:endParaRPr lang="en-US" sz="1100" baseline="0"/>
        </a:p>
        <a:p>
          <a:pPr lvl="0"/>
          <a:r>
            <a:rPr lang="en-US" sz="1100" baseline="0"/>
            <a:t>For interest expense, I took an average of the past 3 years, including TTM, as a percentage of total liabilities (debt). I feel like the past 3 years have been consistent, so I did not want to skew my number using 2013 and 2014. </a:t>
          </a:r>
        </a:p>
        <a:p>
          <a:pPr lvl="0"/>
          <a:endParaRPr lang="en-US" sz="1100" baseline="0"/>
        </a:p>
        <a:p>
          <a:pPr lvl="0"/>
          <a:r>
            <a:rPr lang="en-US" sz="1100" baseline="0"/>
            <a:t>For other income expense, I took a direct average from the common size income statement.</a:t>
          </a:r>
        </a:p>
        <a:p>
          <a:pPr lvl="0"/>
          <a:endParaRPr lang="en-US" sz="1100" baseline="0"/>
        </a:p>
        <a:p>
          <a:pPr lvl="0"/>
          <a:r>
            <a:rPr lang="en-US" sz="1100" baseline="0"/>
            <a:t>For provision for income taxes, I used another weighted average as a percentage of revenue. I weighed 2013-2016 more heavily than 2017. This is perhaps one of the more drastic changes we see in 2017. So I tried to weigh them accordingly, to get an estimate for the next 5 years. </a:t>
          </a:r>
        </a:p>
        <a:p>
          <a:pPr lvl="0"/>
          <a:endParaRPr lang="en-US" sz="1100" baseline="0"/>
        </a:p>
        <a:p>
          <a:pPr lvl="0"/>
          <a:r>
            <a:rPr lang="en-US" sz="1100" baseline="0"/>
            <a:t>For net income from continuing ops, I took an average of 2016 and the TTM as a percentage of revenue. Then I knocked off arount 0.07% due to optimism for financial growth in the coming years. </a:t>
          </a:r>
        </a:p>
        <a:p>
          <a:pPr lvl="0"/>
          <a:endParaRPr lang="en-US" sz="1100" baseline="0"/>
        </a:p>
        <a:p>
          <a:pPr lvl="0"/>
          <a:r>
            <a:rPr lang="en-US" sz="1100" baseline="0"/>
            <a:t>For net income from discontinuing ops, I took a direct average from the common size income statement.</a:t>
          </a:r>
        </a:p>
        <a:p>
          <a:pPr lvl="0"/>
          <a:endParaRPr lang="en-US" sz="1100" baseline="0"/>
        </a:p>
        <a:p>
          <a:pPr lvl="0"/>
          <a:endParaRPr lang="en-US" sz="1100" baseline="0"/>
        </a:p>
        <a:p>
          <a:endParaRPr lang="en-US" sz="1100" baseline="0"/>
        </a:p>
        <a:p>
          <a:endParaRPr lang="en-US" sz="1100"/>
        </a:p>
      </xdr:txBody>
    </xdr:sp>
    <xdr:clientData/>
  </xdr:twoCellAnchor>
</xdr:wsDr>
</file>

<file path=xl/queryTables/queryTable1.xml><?xml version="1.0" encoding="utf-8"?>
<queryTable xmlns="http://schemas.openxmlformats.org/spreadsheetml/2006/main" name="KO Income Statement (5)"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8"/>
  <sheetViews>
    <sheetView tabSelected="1" workbookViewId="0">
      <selection activeCell="R130" sqref="R130"/>
    </sheetView>
  </sheetViews>
  <sheetFormatPr baseColWidth="10" defaultRowHeight="16" x14ac:dyDescent="0.2"/>
  <cols>
    <col min="1" max="1" width="58.33203125" bestFit="1" customWidth="1"/>
    <col min="2" max="2" width="14.6640625" customWidth="1"/>
    <col min="3" max="4" width="10.33203125" bestFit="1" customWidth="1"/>
    <col min="5" max="7" width="12.33203125" bestFit="1" customWidth="1"/>
    <col min="8" max="8" width="13.1640625" bestFit="1" customWidth="1"/>
    <col min="9" max="9" width="14" bestFit="1" customWidth="1"/>
    <col min="10" max="10" width="12.5" customWidth="1"/>
    <col min="11" max="11" width="12.1640625" bestFit="1" customWidth="1"/>
    <col min="12" max="12" width="8.1640625" bestFit="1" customWidth="1"/>
    <col min="13" max="13" width="11.1640625" customWidth="1"/>
    <col min="14" max="15" width="8.1640625" bestFit="1" customWidth="1"/>
    <col min="16" max="17" width="7.83203125" bestFit="1" customWidth="1"/>
  </cols>
  <sheetData>
    <row r="1" spans="1:14" ht="24" x14ac:dyDescent="0.3">
      <c r="A1" s="17" t="s">
        <v>0</v>
      </c>
    </row>
    <row r="2" spans="1:14" x14ac:dyDescent="0.2">
      <c r="A2" t="s">
        <v>1</v>
      </c>
    </row>
    <row r="4" spans="1:14" x14ac:dyDescent="0.2">
      <c r="A4" t="s">
        <v>2</v>
      </c>
    </row>
    <row r="6" spans="1:14" ht="21" x14ac:dyDescent="0.25">
      <c r="A6" s="5" t="s">
        <v>3</v>
      </c>
      <c r="J6" s="5" t="s">
        <v>4</v>
      </c>
    </row>
    <row r="7" spans="1:14" x14ac:dyDescent="0.2">
      <c r="A7" t="s">
        <v>5</v>
      </c>
      <c r="B7" t="s">
        <v>6</v>
      </c>
      <c r="C7" t="s">
        <v>7</v>
      </c>
      <c r="D7" t="s">
        <v>8</v>
      </c>
      <c r="E7" t="s">
        <v>9</v>
      </c>
      <c r="F7" t="s">
        <v>10</v>
      </c>
      <c r="G7" s="18" t="s">
        <v>11</v>
      </c>
      <c r="H7" s="8" t="s">
        <v>12</v>
      </c>
      <c r="J7" t="s">
        <v>6</v>
      </c>
      <c r="K7" t="s">
        <v>7</v>
      </c>
      <c r="L7" t="s">
        <v>8</v>
      </c>
      <c r="M7" t="s">
        <v>9</v>
      </c>
      <c r="N7" t="s">
        <v>10</v>
      </c>
    </row>
    <row r="8" spans="1:14" x14ac:dyDescent="0.2">
      <c r="A8" t="s">
        <v>13</v>
      </c>
      <c r="B8" s="3">
        <v>46854</v>
      </c>
      <c r="C8" s="3">
        <v>45998</v>
      </c>
      <c r="D8" s="3">
        <v>44294</v>
      </c>
      <c r="E8" s="3">
        <v>41863</v>
      </c>
      <c r="F8" s="3">
        <v>35410</v>
      </c>
      <c r="G8" s="19">
        <v>32310</v>
      </c>
      <c r="H8" s="16">
        <v>-6.8500000000000005E-2</v>
      </c>
    </row>
    <row r="9" spans="1:14" x14ac:dyDescent="0.2">
      <c r="A9" t="s">
        <v>14</v>
      </c>
      <c r="B9" s="3">
        <v>18421</v>
      </c>
      <c r="C9" s="3">
        <v>17889</v>
      </c>
      <c r="D9" s="3">
        <v>17482</v>
      </c>
      <c r="E9" s="3">
        <v>16465</v>
      </c>
      <c r="F9" s="3">
        <v>13256</v>
      </c>
      <c r="G9" s="19">
        <v>11739</v>
      </c>
      <c r="H9" s="16">
        <f>0.95*(AVERAGE(B9:F9)/AVERAGE(B8:F8))</f>
        <v>0.37001081993666596</v>
      </c>
      <c r="J9" s="1">
        <f>B9/B$8</f>
        <v>0.39315746787894312</v>
      </c>
      <c r="K9" s="1">
        <f t="shared" ref="K9:N24" si="0">C9/C$8</f>
        <v>0.38890821340058263</v>
      </c>
      <c r="L9" s="1">
        <f t="shared" si="0"/>
        <v>0.39468099516864585</v>
      </c>
      <c r="M9" s="1">
        <f t="shared" si="0"/>
        <v>0.39330673864749299</v>
      </c>
      <c r="N9" s="1">
        <f t="shared" si="0"/>
        <v>0.37435752612256423</v>
      </c>
    </row>
    <row r="10" spans="1:14" x14ac:dyDescent="0.2">
      <c r="A10" t="s">
        <v>15</v>
      </c>
      <c r="B10" s="3">
        <f>B8-B9</f>
        <v>28433</v>
      </c>
      <c r="C10" s="3">
        <f t="shared" ref="C10:G10" si="1">C8-C9</f>
        <v>28109</v>
      </c>
      <c r="D10" s="3">
        <f t="shared" si="1"/>
        <v>26812</v>
      </c>
      <c r="E10" s="3">
        <f t="shared" si="1"/>
        <v>25398</v>
      </c>
      <c r="F10" s="3">
        <f t="shared" si="1"/>
        <v>22154</v>
      </c>
      <c r="G10" s="19">
        <f t="shared" si="1"/>
        <v>20571</v>
      </c>
      <c r="H10" s="8"/>
      <c r="J10" s="1">
        <f t="shared" ref="J10:N26" si="2">B10/B$8</f>
        <v>0.60684253212105688</v>
      </c>
      <c r="K10" s="1">
        <f t="shared" si="0"/>
        <v>0.61109178659941732</v>
      </c>
      <c r="L10" s="1">
        <f t="shared" si="0"/>
        <v>0.60531900483135415</v>
      </c>
      <c r="M10" s="1">
        <f t="shared" si="0"/>
        <v>0.60669326135250701</v>
      </c>
      <c r="N10" s="1">
        <f>F10/F$8</f>
        <v>0.62564247387743577</v>
      </c>
    </row>
    <row r="11" spans="1:14" x14ac:dyDescent="0.2">
      <c r="A11" t="s">
        <v>16</v>
      </c>
      <c r="B11" s="3"/>
      <c r="C11" s="3"/>
      <c r="D11" s="3"/>
      <c r="E11" s="3"/>
      <c r="F11" s="3"/>
      <c r="G11" s="19"/>
      <c r="H11" s="8"/>
      <c r="J11" s="1">
        <f t="shared" si="2"/>
        <v>0</v>
      </c>
      <c r="K11" s="1">
        <f t="shared" si="0"/>
        <v>0</v>
      </c>
      <c r="L11" s="1">
        <f t="shared" si="0"/>
        <v>0</v>
      </c>
      <c r="M11" s="1">
        <f t="shared" si="0"/>
        <v>0</v>
      </c>
    </row>
    <row r="12" spans="1:14" x14ac:dyDescent="0.2">
      <c r="A12" t="s">
        <v>17</v>
      </c>
      <c r="B12" s="3">
        <v>17310</v>
      </c>
      <c r="C12" s="3">
        <v>17218</v>
      </c>
      <c r="D12" s="3">
        <v>16427</v>
      </c>
      <c r="E12" s="3">
        <v>15262</v>
      </c>
      <c r="F12" s="3">
        <v>12496</v>
      </c>
      <c r="G12" s="19">
        <v>10488</v>
      </c>
      <c r="H12" s="16">
        <f>AVERAGE(B12:F12)/AVERAGE(B8:F8)</f>
        <v>0.36709899775672861</v>
      </c>
      <c r="J12" s="1">
        <f t="shared" si="2"/>
        <v>0.36944551158919198</v>
      </c>
      <c r="K12" s="1">
        <f t="shared" si="0"/>
        <v>0.37432062263576676</v>
      </c>
      <c r="L12" s="1">
        <f t="shared" si="0"/>
        <v>0.37086287081771796</v>
      </c>
      <c r="M12" s="1">
        <f t="shared" si="0"/>
        <v>0.36457014547452404</v>
      </c>
      <c r="N12" s="1">
        <f t="shared" si="0"/>
        <v>0.35289466252471052</v>
      </c>
    </row>
    <row r="13" spans="1:14" x14ac:dyDescent="0.2">
      <c r="A13" t="s">
        <v>18</v>
      </c>
      <c r="B13" s="3"/>
      <c r="C13" s="3"/>
      <c r="D13" s="3"/>
      <c r="E13" s="3"/>
      <c r="F13" s="3">
        <v>1088</v>
      </c>
      <c r="G13" s="19"/>
      <c r="H13" s="16">
        <f>(F13/F8)*0.9</f>
        <v>2.765320530923468E-2</v>
      </c>
      <c r="J13" s="1"/>
      <c r="K13" s="1"/>
      <c r="L13" s="1"/>
      <c r="M13" s="1"/>
      <c r="N13" s="1">
        <f t="shared" si="0"/>
        <v>3.072578367692742E-2</v>
      </c>
    </row>
    <row r="14" spans="1:14" x14ac:dyDescent="0.2">
      <c r="A14" t="s">
        <v>19</v>
      </c>
      <c r="B14" s="3">
        <v>895</v>
      </c>
      <c r="C14" s="3">
        <v>1183</v>
      </c>
      <c r="D14" s="3">
        <v>1657</v>
      </c>
      <c r="E14" s="3">
        <v>1510</v>
      </c>
      <c r="F14" s="3">
        <v>-857</v>
      </c>
      <c r="G14" s="19">
        <v>-163</v>
      </c>
      <c r="H14" s="16">
        <f>AVERAGE(B14:G14)/AVERAGE(B8:G8)</f>
        <v>1.7124051084388133E-2</v>
      </c>
      <c r="J14" s="1">
        <f t="shared" si="2"/>
        <v>1.9101890980492593E-2</v>
      </c>
      <c r="K14" s="1">
        <f t="shared" si="0"/>
        <v>2.5718509500413062E-2</v>
      </c>
      <c r="L14" s="1">
        <f t="shared" si="0"/>
        <v>3.7409129904727501E-2</v>
      </c>
      <c r="M14" s="1">
        <f t="shared" si="0"/>
        <v>3.6070037981033372E-2</v>
      </c>
      <c r="N14" s="1">
        <f t="shared" si="0"/>
        <v>-2.420220276757978E-2</v>
      </c>
    </row>
    <row r="15" spans="1:14" x14ac:dyDescent="0.2">
      <c r="A15" t="s">
        <v>20</v>
      </c>
      <c r="B15" s="3">
        <v>18205</v>
      </c>
      <c r="C15" s="3">
        <v>18401</v>
      </c>
      <c r="D15" s="3">
        <v>18084</v>
      </c>
      <c r="E15" s="3">
        <v>16772</v>
      </c>
      <c r="F15" s="3">
        <v>12727</v>
      </c>
      <c r="G15" s="19">
        <v>10325</v>
      </c>
      <c r="H15" s="8"/>
      <c r="J15" s="1">
        <f t="shared" si="2"/>
        <v>0.38854740256968456</v>
      </c>
      <c r="K15" s="1">
        <f t="shared" si="0"/>
        <v>0.40003913213617981</v>
      </c>
      <c r="L15" s="1">
        <f t="shared" si="0"/>
        <v>0.40827200072244546</v>
      </c>
      <c r="M15" s="1">
        <f t="shared" si="0"/>
        <v>0.40064018345555741</v>
      </c>
      <c r="N15" s="1">
        <f t="shared" si="0"/>
        <v>0.35941824343405815</v>
      </c>
    </row>
    <row r="16" spans="1:14" x14ac:dyDescent="0.2">
      <c r="A16" t="s">
        <v>102</v>
      </c>
      <c r="B16" s="3">
        <v>10228</v>
      </c>
      <c r="C16" s="3">
        <v>9708</v>
      </c>
      <c r="D16" s="3">
        <v>8728</v>
      </c>
      <c r="E16" s="3">
        <v>8626</v>
      </c>
      <c r="F16" s="3">
        <v>9427</v>
      </c>
      <c r="G16" s="19">
        <v>10246</v>
      </c>
      <c r="H16" s="8"/>
      <c r="J16" s="1">
        <f t="shared" si="2"/>
        <v>0.21829512955137234</v>
      </c>
      <c r="K16" s="1">
        <f t="shared" si="0"/>
        <v>0.21105265446323754</v>
      </c>
      <c r="L16" s="1">
        <f t="shared" si="0"/>
        <v>0.19704700410890866</v>
      </c>
      <c r="M16" s="1">
        <f t="shared" si="0"/>
        <v>0.20605307789694957</v>
      </c>
      <c r="N16" s="1">
        <f t="shared" si="0"/>
        <v>0.26622423044337756</v>
      </c>
    </row>
    <row r="17" spans="1:14" x14ac:dyDescent="0.2">
      <c r="A17" t="s">
        <v>22</v>
      </c>
      <c r="B17" s="3">
        <v>463</v>
      </c>
      <c r="C17" s="3">
        <v>483</v>
      </c>
      <c r="D17" s="3">
        <v>856</v>
      </c>
      <c r="E17" s="3">
        <v>733</v>
      </c>
      <c r="F17" s="3">
        <v>841</v>
      </c>
      <c r="G17" s="19">
        <v>887</v>
      </c>
      <c r="H17" s="16">
        <f>AVERAGE(D17:F17)/AVERAGE(D125:F125)</f>
        <v>1.2176117772622274E-2</v>
      </c>
      <c r="J17" s="1">
        <f t="shared" si="2"/>
        <v>9.881760361975498E-3</v>
      </c>
      <c r="K17" s="1">
        <f t="shared" si="0"/>
        <v>1.0500456541588765E-2</v>
      </c>
      <c r="L17" s="1">
        <f t="shared" si="0"/>
        <v>1.9325416534970878E-2</v>
      </c>
      <c r="M17" s="1">
        <f t="shared" si="0"/>
        <v>1.7509495258342691E-2</v>
      </c>
      <c r="N17" s="1">
        <f t="shared" si="0"/>
        <v>2.3750353007624965E-2</v>
      </c>
    </row>
    <row r="18" spans="1:14" x14ac:dyDescent="0.2">
      <c r="A18" t="s">
        <v>23</v>
      </c>
      <c r="B18" s="3">
        <v>1712</v>
      </c>
      <c r="C18" s="3">
        <v>100</v>
      </c>
      <c r="D18" s="3">
        <v>1733</v>
      </c>
      <c r="E18" s="3">
        <v>243</v>
      </c>
      <c r="F18" s="3">
        <v>-1844</v>
      </c>
      <c r="G18" s="19">
        <v>-859</v>
      </c>
      <c r="H18" s="16">
        <f>AVERAGE(J18:N18)</f>
        <v>6.3133890593490404E-3</v>
      </c>
      <c r="J18" s="1">
        <f t="shared" si="2"/>
        <v>3.6539036154864049E-2</v>
      </c>
      <c r="K18" s="1">
        <f t="shared" si="0"/>
        <v>2.174007565546328E-3</v>
      </c>
      <c r="L18" s="1">
        <f t="shared" si="0"/>
        <v>3.9124937914841743E-2</v>
      </c>
      <c r="M18" s="1">
        <f t="shared" si="0"/>
        <v>5.8046484962855031E-3</v>
      </c>
      <c r="N18" s="1">
        <f t="shared" si="0"/>
        <v>-5.2075684834792434E-2</v>
      </c>
    </row>
    <row r="19" spans="1:14" x14ac:dyDescent="0.2">
      <c r="A19" t="s">
        <v>24</v>
      </c>
      <c r="B19" s="3">
        <v>11477</v>
      </c>
      <c r="C19" s="3">
        <v>9325</v>
      </c>
      <c r="D19" s="3">
        <v>9605</v>
      </c>
      <c r="E19" s="3">
        <v>8136</v>
      </c>
      <c r="F19" s="3">
        <v>6742</v>
      </c>
      <c r="G19" s="19">
        <v>8500</v>
      </c>
      <c r="H19" s="8"/>
      <c r="J19" s="1">
        <f t="shared" si="2"/>
        <v>0.24495240534426088</v>
      </c>
      <c r="K19" s="1">
        <f t="shared" si="0"/>
        <v>0.20272620548719508</v>
      </c>
      <c r="L19" s="1">
        <f t="shared" si="0"/>
        <v>0.21684652548877953</v>
      </c>
      <c r="M19" s="1">
        <f t="shared" si="0"/>
        <v>0.19434823113489239</v>
      </c>
      <c r="N19" s="1">
        <f t="shared" si="0"/>
        <v>0.19039819260096019</v>
      </c>
    </row>
    <row r="20" spans="1:14" x14ac:dyDescent="0.2">
      <c r="A20" t="s">
        <v>25</v>
      </c>
      <c r="B20" s="3">
        <v>2851</v>
      </c>
      <c r="C20" s="3">
        <v>2201</v>
      </c>
      <c r="D20" s="3">
        <v>2239</v>
      </c>
      <c r="E20" s="3">
        <v>1586</v>
      </c>
      <c r="F20" s="3">
        <v>5560</v>
      </c>
      <c r="G20" s="19">
        <v>5383</v>
      </c>
      <c r="H20" s="16">
        <f>0.85*AVERAGE(J20:M20)+0.15*N20</f>
        <v>6.5443344252253219E-2</v>
      </c>
      <c r="J20" s="1">
        <f t="shared" si="2"/>
        <v>6.0848593503222775E-2</v>
      </c>
      <c r="K20" s="1">
        <f t="shared" si="0"/>
        <v>4.7849906517674679E-2</v>
      </c>
      <c r="L20" s="1">
        <f t="shared" si="0"/>
        <v>5.0548607034812842E-2</v>
      </c>
      <c r="M20" s="1">
        <f t="shared" si="0"/>
        <v>3.7885483601270808E-2</v>
      </c>
      <c r="N20" s="1">
        <f t="shared" si="0"/>
        <v>0.15701779158429821</v>
      </c>
    </row>
    <row r="21" spans="1:14" x14ac:dyDescent="0.2">
      <c r="A21" t="s">
        <v>26</v>
      </c>
      <c r="B21" s="3">
        <v>8626</v>
      </c>
      <c r="C21" s="3">
        <v>7124</v>
      </c>
      <c r="D21" s="3">
        <v>7366</v>
      </c>
      <c r="E21" s="3">
        <v>6550</v>
      </c>
      <c r="F21" s="3">
        <v>1182</v>
      </c>
      <c r="G21" s="19">
        <v>3117</v>
      </c>
      <c r="H21" s="16"/>
      <c r="J21" s="1">
        <f t="shared" si="2"/>
        <v>0.18410381184103811</v>
      </c>
      <c r="K21" s="1">
        <f t="shared" si="0"/>
        <v>0.1548762989695204</v>
      </c>
      <c r="L21" s="1">
        <f t="shared" si="0"/>
        <v>0.16629791845396669</v>
      </c>
      <c r="M21" s="1">
        <f t="shared" si="0"/>
        <v>0.15646274753362158</v>
      </c>
      <c r="N21" s="1">
        <f t="shared" si="0"/>
        <v>3.3380401016661961E-2</v>
      </c>
    </row>
    <row r="22" spans="1:14" x14ac:dyDescent="0.2">
      <c r="A22" t="s">
        <v>27</v>
      </c>
      <c r="B22" s="3"/>
      <c r="C22" s="3"/>
      <c r="D22" s="3"/>
      <c r="E22" s="3"/>
      <c r="F22" s="3">
        <v>101</v>
      </c>
      <c r="G22" s="19">
        <v>-285</v>
      </c>
      <c r="H22" s="16">
        <v>-1.5E-3</v>
      </c>
      <c r="J22" s="1"/>
      <c r="K22" s="1"/>
      <c r="L22" s="1"/>
      <c r="M22" s="1"/>
      <c r="N22" s="1">
        <f t="shared" si="0"/>
        <v>2.8523016097147698E-3</v>
      </c>
    </row>
    <row r="23" spans="1:14" x14ac:dyDescent="0.2">
      <c r="A23" t="s">
        <v>28</v>
      </c>
      <c r="B23" s="3">
        <v>-42</v>
      </c>
      <c r="C23" s="3">
        <v>-26</v>
      </c>
      <c r="D23" s="3">
        <v>-15</v>
      </c>
      <c r="E23" s="3">
        <v>-23</v>
      </c>
      <c r="F23" s="3">
        <v>-35</v>
      </c>
      <c r="G23" s="19">
        <v>-20</v>
      </c>
      <c r="H23" s="16">
        <f>AVERAGE(J23:N23)</f>
        <v>-6.6762447943716674E-4</v>
      </c>
      <c r="J23" s="1">
        <f t="shared" si="2"/>
        <v>-8.964015879113843E-4</v>
      </c>
      <c r="K23" s="1">
        <f t="shared" si="0"/>
        <v>-5.6524196704204525E-4</v>
      </c>
      <c r="L23" s="1">
        <f t="shared" si="0"/>
        <v>-3.3864631778570461E-4</v>
      </c>
      <c r="M23" s="1">
        <f t="shared" si="0"/>
        <v>-5.4941117454554141E-4</v>
      </c>
      <c r="N23" s="1">
        <f t="shared" si="0"/>
        <v>-9.8842134990115792E-4</v>
      </c>
    </row>
    <row r="24" spans="1:14" x14ac:dyDescent="0.2">
      <c r="A24" t="s">
        <v>29</v>
      </c>
      <c r="B24" s="3">
        <v>8584</v>
      </c>
      <c r="C24" s="3">
        <v>7098</v>
      </c>
      <c r="D24" s="3">
        <v>7351</v>
      </c>
      <c r="E24" s="3">
        <v>6527</v>
      </c>
      <c r="F24" s="3">
        <v>1248</v>
      </c>
      <c r="G24" s="19">
        <v>2812</v>
      </c>
      <c r="H24" s="8"/>
      <c r="J24" s="1">
        <f t="shared" si="2"/>
        <v>0.18320741025312673</v>
      </c>
      <c r="K24" s="1">
        <f t="shared" si="0"/>
        <v>0.15431105700247838</v>
      </c>
      <c r="L24" s="1">
        <f t="shared" si="0"/>
        <v>0.16595927213618097</v>
      </c>
      <c r="M24" s="1">
        <f t="shared" si="0"/>
        <v>0.15591333635907603</v>
      </c>
      <c r="N24" s="1">
        <f t="shared" si="0"/>
        <v>3.5244281276475574E-2</v>
      </c>
    </row>
    <row r="25" spans="1:14" x14ac:dyDescent="0.2">
      <c r="A25" t="s">
        <v>30</v>
      </c>
      <c r="B25" s="3">
        <v>8584</v>
      </c>
      <c r="C25" s="3">
        <v>7098</v>
      </c>
      <c r="D25" s="3">
        <v>7351</v>
      </c>
      <c r="E25" s="3">
        <v>6527</v>
      </c>
      <c r="F25" s="3">
        <v>1248</v>
      </c>
      <c r="G25" s="19">
        <v>2812</v>
      </c>
      <c r="H25" s="8"/>
      <c r="J25" s="1">
        <f t="shared" si="2"/>
        <v>0.18320741025312673</v>
      </c>
      <c r="K25" s="1">
        <f t="shared" si="2"/>
        <v>0.15431105700247838</v>
      </c>
      <c r="L25" s="1">
        <f t="shared" ref="L25:L32" si="3">D25/D$8</f>
        <v>0.16595927213618097</v>
      </c>
      <c r="M25" s="1">
        <f t="shared" ref="M25:N32" si="4">E25/E$8</f>
        <v>0.15591333635907603</v>
      </c>
      <c r="N25" s="1">
        <f t="shared" ref="N25" si="5">F25/F$8</f>
        <v>3.5244281276475574E-2</v>
      </c>
    </row>
    <row r="26" spans="1:14" x14ac:dyDescent="0.2">
      <c r="A26" t="s">
        <v>31</v>
      </c>
      <c r="B26" s="3"/>
      <c r="C26" s="3"/>
      <c r="D26" s="3"/>
      <c r="E26" s="3"/>
      <c r="F26" s="3"/>
      <c r="G26" s="19"/>
      <c r="H26" s="8"/>
      <c r="J26" s="1"/>
      <c r="K26" s="1"/>
      <c r="L26" s="1"/>
      <c r="M26" s="1"/>
    </row>
    <row r="27" spans="1:14" x14ac:dyDescent="0.2">
      <c r="A27" t="s">
        <v>32</v>
      </c>
      <c r="B27" s="3">
        <v>1.94</v>
      </c>
      <c r="C27" s="3">
        <v>1.62</v>
      </c>
      <c r="D27" s="3">
        <v>1.69</v>
      </c>
      <c r="E27" s="3">
        <v>1.51</v>
      </c>
      <c r="F27" s="3">
        <v>0.28999999999999998</v>
      </c>
      <c r="G27" s="19">
        <v>0.66</v>
      </c>
      <c r="H27" s="8"/>
      <c r="J27" s="1"/>
      <c r="K27" s="1"/>
      <c r="L27" s="1"/>
      <c r="M27" s="1"/>
    </row>
    <row r="28" spans="1:14" x14ac:dyDescent="0.2">
      <c r="A28" t="s">
        <v>33</v>
      </c>
      <c r="B28" s="3">
        <v>1.9</v>
      </c>
      <c r="C28" s="3">
        <v>1.6</v>
      </c>
      <c r="D28" s="3">
        <v>1.67</v>
      </c>
      <c r="E28" s="3">
        <v>1.49</v>
      </c>
      <c r="F28" s="3">
        <v>0.28999999999999998</v>
      </c>
      <c r="G28" s="19">
        <v>0.66</v>
      </c>
      <c r="H28" s="8"/>
      <c r="J28" s="1"/>
      <c r="K28" s="1"/>
      <c r="L28" s="1"/>
      <c r="M28" s="1"/>
    </row>
    <row r="29" spans="1:14" x14ac:dyDescent="0.2">
      <c r="A29" t="s">
        <v>34</v>
      </c>
      <c r="B29" s="3"/>
      <c r="C29" s="3"/>
      <c r="D29" s="3"/>
      <c r="E29" s="3"/>
      <c r="F29" s="3"/>
      <c r="G29" s="19"/>
      <c r="H29" s="8"/>
      <c r="J29" s="1"/>
      <c r="K29" s="1"/>
      <c r="L29" s="1"/>
      <c r="M29" s="1"/>
    </row>
    <row r="30" spans="1:14" x14ac:dyDescent="0.2">
      <c r="A30" t="s">
        <v>32</v>
      </c>
      <c r="B30" s="3">
        <v>4434</v>
      </c>
      <c r="C30" s="3">
        <v>4387</v>
      </c>
      <c r="D30" s="3">
        <v>4352</v>
      </c>
      <c r="E30" s="3">
        <v>4317</v>
      </c>
      <c r="F30" s="3">
        <v>4272</v>
      </c>
      <c r="G30" s="19">
        <v>4259</v>
      </c>
      <c r="H30" s="16">
        <f>((F30-B30)/B30)/5</f>
        <v>-7.307171853856563E-3</v>
      </c>
      <c r="J30" s="1">
        <f t="shared" ref="J27:K33" si="6">B30/B$8</f>
        <v>9.4634396209501856E-2</v>
      </c>
      <c r="K30" s="1">
        <f t="shared" si="6"/>
        <v>9.5373711900517411E-2</v>
      </c>
      <c r="L30" s="1">
        <f t="shared" si="3"/>
        <v>9.8252585000225767E-2</v>
      </c>
      <c r="M30" s="1">
        <f t="shared" si="4"/>
        <v>0.10312208871796097</v>
      </c>
      <c r="N30" s="1">
        <f t="shared" si="4"/>
        <v>0.12064388590793561</v>
      </c>
    </row>
    <row r="31" spans="1:14" x14ac:dyDescent="0.2">
      <c r="A31" t="s">
        <v>33</v>
      </c>
      <c r="B31" s="3">
        <v>4509</v>
      </c>
      <c r="C31" s="3">
        <v>4450</v>
      </c>
      <c r="D31" s="3">
        <v>4405</v>
      </c>
      <c r="E31" s="3">
        <v>4367</v>
      </c>
      <c r="F31" s="3">
        <v>4324</v>
      </c>
      <c r="G31" s="19">
        <v>4302</v>
      </c>
      <c r="H31" s="16">
        <f>((F31-B31)/B31)/5</f>
        <v>-8.2058106010201824E-3</v>
      </c>
      <c r="J31" s="1">
        <f t="shared" si="6"/>
        <v>9.6235113330772185E-2</v>
      </c>
      <c r="K31" s="1">
        <f t="shared" si="6"/>
        <v>9.6743336666811605E-2</v>
      </c>
      <c r="L31" s="1">
        <f t="shared" si="3"/>
        <v>9.9449135323068594E-2</v>
      </c>
      <c r="M31" s="1">
        <f t="shared" si="4"/>
        <v>0.10431646083653823</v>
      </c>
      <c r="N31" s="1">
        <f t="shared" si="4"/>
        <v>0.12211239762778876</v>
      </c>
    </row>
    <row r="32" spans="1:14" x14ac:dyDescent="0.2">
      <c r="A32" t="s">
        <v>35</v>
      </c>
      <c r="B32" s="3">
        <v>13917</v>
      </c>
      <c r="C32" s="3">
        <v>11784</v>
      </c>
      <c r="D32" s="3">
        <v>12431</v>
      </c>
      <c r="E32" s="3">
        <v>10656</v>
      </c>
      <c r="F32" s="3">
        <v>8843</v>
      </c>
      <c r="G32" s="19">
        <v>10528</v>
      </c>
      <c r="J32" s="1">
        <f t="shared" si="6"/>
        <v>0.29702906902292225</v>
      </c>
      <c r="K32" s="1">
        <f t="shared" si="6"/>
        <v>0.2561850515239793</v>
      </c>
      <c r="L32" s="1">
        <f t="shared" si="3"/>
        <v>0.28064749175960629</v>
      </c>
      <c r="M32" s="1">
        <f t="shared" si="4"/>
        <v>0.25454458591118651</v>
      </c>
      <c r="N32" s="1">
        <f t="shared" si="4"/>
        <v>0.24973171420502682</v>
      </c>
    </row>
    <row r="33" spans="1:11" x14ac:dyDescent="0.2">
      <c r="K33" s="1"/>
    </row>
    <row r="42" spans="1:11" ht="21" x14ac:dyDescent="0.25">
      <c r="A42" s="5" t="s">
        <v>36</v>
      </c>
    </row>
    <row r="43" spans="1:11" x14ac:dyDescent="0.2">
      <c r="A43" t="s">
        <v>5</v>
      </c>
      <c r="B43" t="s">
        <v>37</v>
      </c>
      <c r="C43" t="s">
        <v>38</v>
      </c>
      <c r="D43" t="s">
        <v>39</v>
      </c>
      <c r="E43" t="s">
        <v>40</v>
      </c>
      <c r="F43" t="s">
        <v>41</v>
      </c>
    </row>
    <row r="44" spans="1:11" x14ac:dyDescent="0.2">
      <c r="A44" t="s">
        <v>13</v>
      </c>
      <c r="B44" s="3">
        <f>F8*(1+H8)</f>
        <v>32984.415000000001</v>
      </c>
      <c r="C44" s="3">
        <f>B44*(1+$H$8)</f>
        <v>30724.982572500001</v>
      </c>
      <c r="D44" s="3">
        <f t="shared" ref="D44:G44" si="7">C44*(1+$H$8)</f>
        <v>28620.32126628375</v>
      </c>
      <c r="E44" s="3">
        <f t="shared" si="7"/>
        <v>26659.829259543312</v>
      </c>
      <c r="F44" s="3">
        <f t="shared" si="7"/>
        <v>24833.630955264594</v>
      </c>
      <c r="G44" s="3"/>
    </row>
    <row r="45" spans="1:11" x14ac:dyDescent="0.2">
      <c r="A45" t="s">
        <v>14</v>
      </c>
      <c r="B45" s="3">
        <f>B44*$H$9</f>
        <v>12204.590439281264</v>
      </c>
      <c r="C45" s="3">
        <f t="shared" ref="C45:G45" si="8">C44*$H$9</f>
        <v>11368.575994190498</v>
      </c>
      <c r="D45" s="3">
        <f t="shared" si="8"/>
        <v>10589.828538588448</v>
      </c>
      <c r="E45" s="3">
        <f t="shared" si="8"/>
        <v>9864.4252836951382</v>
      </c>
      <c r="F45" s="3">
        <f t="shared" si="8"/>
        <v>9188.7121517620217</v>
      </c>
      <c r="G45" s="3"/>
    </row>
    <row r="46" spans="1:11" x14ac:dyDescent="0.2">
      <c r="A46" t="s">
        <v>15</v>
      </c>
      <c r="B46" s="3">
        <f>B44-B45</f>
        <v>20779.824560718735</v>
      </c>
      <c r="C46" s="3">
        <f t="shared" ref="C46:G46" si="9">C44-C45</f>
        <v>19356.406578309503</v>
      </c>
      <c r="D46" s="3">
        <f t="shared" si="9"/>
        <v>18030.492727695302</v>
      </c>
      <c r="E46" s="3">
        <f t="shared" si="9"/>
        <v>16795.403975848174</v>
      </c>
      <c r="F46" s="3">
        <f t="shared" si="9"/>
        <v>15644.918803502573</v>
      </c>
      <c r="G46" s="3"/>
    </row>
    <row r="47" spans="1:11" x14ac:dyDescent="0.2">
      <c r="A47" t="s">
        <v>16</v>
      </c>
    </row>
    <row r="48" spans="1:11" x14ac:dyDescent="0.2">
      <c r="A48" t="s">
        <v>17</v>
      </c>
      <c r="B48" s="4">
        <f>$H$12*F8</f>
        <v>12998.97551056576</v>
      </c>
      <c r="C48" s="4">
        <f>$H$12*C44</f>
        <v>11279.110308457703</v>
      </c>
      <c r="D48" s="4">
        <f t="shared" ref="D48:G48" si="10">$H$12*D44</f>
        <v>10506.491252328351</v>
      </c>
      <c r="E48" s="4">
        <f t="shared" si="10"/>
        <v>9786.7966015438578</v>
      </c>
      <c r="F48" s="4">
        <f t="shared" si="10"/>
        <v>9116.4010343381033</v>
      </c>
      <c r="G48" s="4"/>
    </row>
    <row r="49" spans="1:7" x14ac:dyDescent="0.2">
      <c r="A49" t="s">
        <v>18</v>
      </c>
      <c r="B49" s="4">
        <f>B$44*$H13</f>
        <v>912.12480000000005</v>
      </c>
      <c r="C49" s="4">
        <f t="shared" ref="C49:G49" si="11">C$44*$H13</f>
        <v>849.64425119999999</v>
      </c>
      <c r="D49" s="4">
        <f t="shared" si="11"/>
        <v>791.4436199928</v>
      </c>
      <c r="E49" s="4">
        <f t="shared" si="11"/>
        <v>737.2297320232932</v>
      </c>
      <c r="F49" s="4">
        <f t="shared" si="11"/>
        <v>686.7294953796976</v>
      </c>
      <c r="G49" s="4"/>
    </row>
    <row r="50" spans="1:7" x14ac:dyDescent="0.2">
      <c r="A50" t="s">
        <v>19</v>
      </c>
      <c r="B50" s="4">
        <f>B$44*$H14</f>
        <v>564.8268074486582</v>
      </c>
      <c r="C50" s="4">
        <f t="shared" ref="C50:G50" si="12">C$44*$H14</f>
        <v>526.13617113842508</v>
      </c>
      <c r="D50" s="4">
        <f t="shared" si="12"/>
        <v>490.09584341544303</v>
      </c>
      <c r="E50" s="4">
        <f t="shared" si="12"/>
        <v>456.52427814148513</v>
      </c>
      <c r="F50" s="4">
        <f t="shared" si="12"/>
        <v>425.2523650887934</v>
      </c>
      <c r="G50" s="4"/>
    </row>
    <row r="51" spans="1:7" x14ac:dyDescent="0.2">
      <c r="A51" t="s">
        <v>20</v>
      </c>
      <c r="B51" s="4">
        <f>SUM(B48:B50)</f>
        <v>14475.927118014419</v>
      </c>
      <c r="C51" s="4">
        <f t="shared" ref="C51:G51" si="13">SUM(C48:C50)</f>
        <v>12654.890730796127</v>
      </c>
      <c r="D51" s="4">
        <f t="shared" si="13"/>
        <v>11788.030715736595</v>
      </c>
      <c r="E51" s="4">
        <f t="shared" si="13"/>
        <v>10980.550611708637</v>
      </c>
      <c r="F51" s="4">
        <f t="shared" si="13"/>
        <v>10228.382894806595</v>
      </c>
      <c r="G51" s="4"/>
    </row>
    <row r="52" spans="1:7" x14ac:dyDescent="0.2">
      <c r="A52" s="6" t="s">
        <v>21</v>
      </c>
      <c r="B52" s="4">
        <f>B46-B51</f>
        <v>6303.8974427043158</v>
      </c>
      <c r="C52" s="4">
        <f t="shared" ref="C52:G52" si="14">C46-C51</f>
        <v>6701.5158475133758</v>
      </c>
      <c r="D52" s="4">
        <f t="shared" si="14"/>
        <v>6242.4620119587071</v>
      </c>
      <c r="E52" s="4">
        <f t="shared" si="14"/>
        <v>5814.853364139537</v>
      </c>
      <c r="F52" s="4">
        <f t="shared" si="14"/>
        <v>5416.5359086959779</v>
      </c>
      <c r="G52" s="4"/>
    </row>
    <row r="53" spans="1:7" x14ac:dyDescent="0.2">
      <c r="A53" t="s">
        <v>22</v>
      </c>
      <c r="B53" s="4">
        <f>B$44*$H17</f>
        <v>401.62212170104874</v>
      </c>
      <c r="C53" s="4">
        <f t="shared" ref="C53:G53" si="15">C$44*$H17</f>
        <v>374.11100636452687</v>
      </c>
      <c r="D53" s="4">
        <f t="shared" si="15"/>
        <v>348.48440242855679</v>
      </c>
      <c r="E53" s="4">
        <f t="shared" si="15"/>
        <v>324.61322086220065</v>
      </c>
      <c r="F53" s="4">
        <f t="shared" si="15"/>
        <v>302.37721523313985</v>
      </c>
      <c r="G53" s="4"/>
    </row>
    <row r="54" spans="1:7" x14ac:dyDescent="0.2">
      <c r="A54" t="s">
        <v>23</v>
      </c>
      <c r="B54" s="4">
        <f>B$44*$H18</f>
        <v>208.24344479002838</v>
      </c>
      <c r="C54" s="4">
        <f t="shared" ref="C54:G54" si="16">C$44*$H18</f>
        <v>193.97876882191144</v>
      </c>
      <c r="D54" s="4">
        <f t="shared" si="16"/>
        <v>180.69122315761049</v>
      </c>
      <c r="E54" s="4">
        <f t="shared" si="16"/>
        <v>168.31387437131417</v>
      </c>
      <c r="F54" s="4">
        <f t="shared" si="16"/>
        <v>156.78437397687915</v>
      </c>
      <c r="G54" s="4"/>
    </row>
    <row r="55" spans="1:7" x14ac:dyDescent="0.2">
      <c r="A55" s="6" t="s">
        <v>24</v>
      </c>
      <c r="B55" s="4">
        <f>B52-B53+B54</f>
        <v>6110.5187657932956</v>
      </c>
      <c r="C55" s="4">
        <f t="shared" ref="C55:G55" si="17">C52-C53+C54</f>
        <v>6521.3836099707605</v>
      </c>
      <c r="D55" s="4">
        <f t="shared" si="17"/>
        <v>6074.6688326877611</v>
      </c>
      <c r="E55" s="4">
        <f t="shared" si="17"/>
        <v>5658.5540176486511</v>
      </c>
      <c r="F55" s="4">
        <f t="shared" si="17"/>
        <v>5270.9430674397172</v>
      </c>
      <c r="G55" s="4"/>
    </row>
    <row r="56" spans="1:7" x14ac:dyDescent="0.2">
      <c r="A56" t="s">
        <v>25</v>
      </c>
      <c r="B56" s="4">
        <f>B$44*$H20</f>
        <v>2158.6104258041851</v>
      </c>
      <c r="C56" s="4">
        <f t="shared" ref="C56:G56" si="18">C$44*$H20</f>
        <v>2010.7456116365984</v>
      </c>
      <c r="D56" s="4">
        <f t="shared" si="18"/>
        <v>1873.0095372394912</v>
      </c>
      <c r="E56" s="4">
        <f t="shared" si="18"/>
        <v>1744.7083839385859</v>
      </c>
      <c r="F56" s="4">
        <f t="shared" si="18"/>
        <v>1625.1958596387929</v>
      </c>
      <c r="G56" s="4"/>
    </row>
    <row r="57" spans="1:7" x14ac:dyDescent="0.2">
      <c r="A57" t="s">
        <v>26</v>
      </c>
      <c r="B57" s="4">
        <f>B55-B56</f>
        <v>3951.9083399891106</v>
      </c>
      <c r="C57" s="4">
        <f t="shared" ref="C57:G57" si="19">C55-C56</f>
        <v>4510.6379983341621</v>
      </c>
      <c r="D57" s="4">
        <f t="shared" si="19"/>
        <v>4201.6592954482694</v>
      </c>
      <c r="E57" s="4">
        <f t="shared" si="19"/>
        <v>3913.8456337100652</v>
      </c>
      <c r="F57" s="4">
        <f t="shared" si="19"/>
        <v>3645.7472078009241</v>
      </c>
      <c r="G57" s="4"/>
    </row>
    <row r="58" spans="1:7" x14ac:dyDescent="0.2">
      <c r="A58" t="s">
        <v>27</v>
      </c>
      <c r="B58" s="4">
        <f>B$44*$H22</f>
        <v>-49.476622500000005</v>
      </c>
      <c r="C58" s="4">
        <f t="shared" ref="C58:G58" si="20">C$44*$H22</f>
        <v>-46.087473858750002</v>
      </c>
      <c r="D58" s="4">
        <f t="shared" si="20"/>
        <v>-42.930481899425629</v>
      </c>
      <c r="E58" s="4">
        <f t="shared" si="20"/>
        <v>-39.989743889314973</v>
      </c>
      <c r="F58" s="4">
        <f t="shared" si="20"/>
        <v>-37.250446432896894</v>
      </c>
      <c r="G58" s="4"/>
    </row>
    <row r="59" spans="1:7" x14ac:dyDescent="0.2">
      <c r="A59" t="s">
        <v>28</v>
      </c>
      <c r="B59" s="4">
        <f>B$44*$H23</f>
        <v>-22.021202893914474</v>
      </c>
      <c r="C59" s="4">
        <f t="shared" ref="C59:G59" si="21">C$44*$H23</f>
        <v>-20.512750495681335</v>
      </c>
      <c r="D59" s="4">
        <f t="shared" si="21"/>
        <v>-19.107627086727163</v>
      </c>
      <c r="E59" s="4">
        <f t="shared" si="21"/>
        <v>-17.79875463128635</v>
      </c>
      <c r="F59" s="4">
        <f t="shared" si="21"/>
        <v>-16.579539939043233</v>
      </c>
      <c r="G59" s="4"/>
    </row>
    <row r="60" spans="1:7" x14ac:dyDescent="0.2">
      <c r="A60" s="6" t="s">
        <v>29</v>
      </c>
      <c r="B60" s="4">
        <f>B$57+B$58-(-B$59)</f>
        <v>3880.4105145951962</v>
      </c>
      <c r="C60" s="4">
        <f t="shared" ref="C60:G61" si="22">C$57+C$58-(-C$59)</f>
        <v>4444.0377739797304</v>
      </c>
      <c r="D60" s="4">
        <f t="shared" si="22"/>
        <v>4139.6211864621164</v>
      </c>
      <c r="E60" s="4">
        <f t="shared" si="22"/>
        <v>3856.0571351894637</v>
      </c>
      <c r="F60" s="4">
        <f t="shared" si="22"/>
        <v>3591.9172214289842</v>
      </c>
      <c r="G60" s="4"/>
    </row>
    <row r="61" spans="1:7" x14ac:dyDescent="0.2">
      <c r="A61" t="s">
        <v>30</v>
      </c>
      <c r="B61" s="4">
        <f>B$57+B$58-(-B$59)</f>
        <v>3880.4105145951962</v>
      </c>
      <c r="C61" s="4">
        <f t="shared" si="22"/>
        <v>4444.0377739797304</v>
      </c>
      <c r="D61" s="4">
        <f t="shared" si="22"/>
        <v>4139.6211864621164</v>
      </c>
      <c r="E61" s="4">
        <f t="shared" si="22"/>
        <v>3856.0571351894637</v>
      </c>
      <c r="F61" s="4">
        <f t="shared" si="22"/>
        <v>3591.9172214289842</v>
      </c>
      <c r="G61" s="4"/>
    </row>
    <row r="62" spans="1:7" x14ac:dyDescent="0.2">
      <c r="A62" t="s">
        <v>31</v>
      </c>
    </row>
    <row r="63" spans="1:7" x14ac:dyDescent="0.2">
      <c r="A63" t="s">
        <v>32</v>
      </c>
      <c r="B63" s="2">
        <f>B61/B66</f>
        <v>0.91502201774873304</v>
      </c>
      <c r="C63" s="2">
        <f t="shared" ref="C63:G63" si="23">C61/C66</f>
        <v>1.0556421661968802</v>
      </c>
      <c r="D63" s="2">
        <f t="shared" si="23"/>
        <v>0.99056893525539602</v>
      </c>
      <c r="E63" s="2">
        <f t="shared" si="23"/>
        <v>0.92950703080385366</v>
      </c>
      <c r="F63" s="2">
        <f t="shared" si="23"/>
        <v>0.8722091815760773</v>
      </c>
      <c r="G63" s="2"/>
    </row>
    <row r="64" spans="1:7" x14ac:dyDescent="0.2">
      <c r="A64" t="s">
        <v>33</v>
      </c>
      <c r="B64" s="2">
        <f>B61/B67</f>
        <v>0.90483715977583112</v>
      </c>
      <c r="C64" s="2">
        <f t="shared" ref="C64:G64" si="24">C61/C67</f>
        <v>1.0448379473988392</v>
      </c>
      <c r="D64" s="2">
        <f t="shared" si="24"/>
        <v>0.98131906640006716</v>
      </c>
      <c r="E64" s="2">
        <f t="shared" si="24"/>
        <v>0.92166169163140621</v>
      </c>
      <c r="F64" s="2">
        <f t="shared" si="24"/>
        <v>0.86563107036845666</v>
      </c>
      <c r="G64" s="2"/>
    </row>
    <row r="65" spans="1:7" x14ac:dyDescent="0.2">
      <c r="A65" t="s">
        <v>34</v>
      </c>
    </row>
    <row r="66" spans="1:7" x14ac:dyDescent="0.2">
      <c r="A66" t="s">
        <v>32</v>
      </c>
      <c r="B66" s="3">
        <f>F$30*(1+$H30)</f>
        <v>4240.7837618403246</v>
      </c>
      <c r="C66" s="3">
        <f>B$66*(1+$H30)</f>
        <v>4209.7956260975134</v>
      </c>
      <c r="D66" s="3">
        <f t="shared" ref="D66:G66" si="25">C$66*(1+$H30)</f>
        <v>4179.0339259880056</v>
      </c>
      <c r="E66" s="3">
        <f t="shared" si="25"/>
        <v>4148.4970069077144</v>
      </c>
      <c r="F66" s="3">
        <f t="shared" si="25"/>
        <v>4118.1832263430306</v>
      </c>
      <c r="G66" s="3"/>
    </row>
    <row r="67" spans="1:7" x14ac:dyDescent="0.2">
      <c r="A67" t="s">
        <v>33</v>
      </c>
      <c r="B67" s="3">
        <f>F31*(1+H31)</f>
        <v>4288.5180749611882</v>
      </c>
      <c r="C67" s="3">
        <f>B$67*(1+$H31)</f>
        <v>4253.3273078790053</v>
      </c>
      <c r="D67" s="3">
        <f t="shared" ref="D67:G67" si="26">C$67*(1+$H31)</f>
        <v>4218.4253095664026</v>
      </c>
      <c r="E67" s="3">
        <f t="shared" si="26"/>
        <v>4183.809710441551</v>
      </c>
      <c r="F67" s="3">
        <f t="shared" si="26"/>
        <v>4149.478160366958</v>
      </c>
      <c r="G67" s="3"/>
    </row>
    <row r="68" spans="1:7" x14ac:dyDescent="0.2">
      <c r="A68" s="11" t="s">
        <v>105</v>
      </c>
      <c r="B68" s="12">
        <f>B70/B66</f>
        <v>0.68626651331154975</v>
      </c>
      <c r="C68" s="8"/>
      <c r="D68" s="8"/>
      <c r="E68" s="8"/>
      <c r="F68" s="8"/>
    </row>
    <row r="69" spans="1:7" x14ac:dyDescent="0.2">
      <c r="A69" s="8" t="s">
        <v>104</v>
      </c>
      <c r="B69" s="12">
        <f>F73/B63</f>
        <v>49.17914446552377</v>
      </c>
      <c r="C69" s="12">
        <f>F73/C63</f>
        <v>42.628081220097243</v>
      </c>
      <c r="D69" s="12">
        <f>F73/D63</f>
        <v>45.428438545165719</v>
      </c>
      <c r="E69" s="12">
        <f>F73/E63</f>
        <v>48.412759138662167</v>
      </c>
      <c r="F69" s="12">
        <f>F73/F63</f>
        <v>51.593128059813864</v>
      </c>
    </row>
    <row r="70" spans="1:7" x14ac:dyDescent="0.2">
      <c r="A70" s="8" t="s">
        <v>107</v>
      </c>
      <c r="B70" s="13">
        <f>B61*F74</f>
        <v>2910.3078859463972</v>
      </c>
      <c r="C70" s="8"/>
      <c r="D70" s="8"/>
      <c r="E70" s="8"/>
      <c r="F70" s="8"/>
    </row>
    <row r="71" spans="1:7" x14ac:dyDescent="0.2">
      <c r="A71" s="8"/>
      <c r="B71" s="8"/>
      <c r="C71" s="8"/>
      <c r="D71" s="8"/>
      <c r="E71" s="8"/>
      <c r="F71" s="8"/>
    </row>
    <row r="72" spans="1:7" x14ac:dyDescent="0.2">
      <c r="A72" s="8"/>
      <c r="B72" s="8" t="s">
        <v>10</v>
      </c>
      <c r="C72" s="8"/>
      <c r="D72" s="8" t="s">
        <v>103</v>
      </c>
      <c r="E72" s="8"/>
      <c r="F72" s="8"/>
    </row>
    <row r="73" spans="1:7" x14ac:dyDescent="0.2">
      <c r="A73" s="8"/>
      <c r="B73" s="12">
        <f>B75/F30</f>
        <v>0.21910112359550563</v>
      </c>
      <c r="C73" s="8"/>
      <c r="D73" s="8" t="s">
        <v>106</v>
      </c>
      <c r="E73" s="8"/>
      <c r="F73" s="10">
        <v>45</v>
      </c>
    </row>
    <row r="74" spans="1:7" x14ac:dyDescent="0.2">
      <c r="A74" s="8"/>
      <c r="B74" s="8"/>
      <c r="C74" s="8"/>
      <c r="D74" s="8"/>
      <c r="E74" s="8"/>
      <c r="F74" s="9">
        <v>0.75</v>
      </c>
    </row>
    <row r="75" spans="1:7" x14ac:dyDescent="0.2">
      <c r="A75" s="8"/>
      <c r="B75" s="13">
        <f>F25*F74</f>
        <v>936</v>
      </c>
      <c r="C75" s="8"/>
      <c r="D75" s="8"/>
      <c r="E75" s="8"/>
      <c r="F75" s="8"/>
    </row>
    <row r="76" spans="1:7" x14ac:dyDescent="0.2">
      <c r="A76" s="8"/>
      <c r="B76" s="8"/>
      <c r="C76" s="8"/>
      <c r="D76" s="8"/>
      <c r="E76" s="8"/>
      <c r="F76" s="8"/>
    </row>
    <row r="84" spans="1:15" ht="21" x14ac:dyDescent="0.25">
      <c r="A84" s="5" t="s">
        <v>42</v>
      </c>
      <c r="J84" s="5" t="s">
        <v>43</v>
      </c>
    </row>
    <row r="86" spans="1:15" x14ac:dyDescent="0.2">
      <c r="A86" t="s">
        <v>5</v>
      </c>
      <c r="B86" t="s">
        <v>6</v>
      </c>
      <c r="C86" t="s">
        <v>7</v>
      </c>
      <c r="D86" t="s">
        <v>8</v>
      </c>
      <c r="E86" t="s">
        <v>9</v>
      </c>
      <c r="F86" t="s">
        <v>10</v>
      </c>
      <c r="J86" t="s">
        <v>6</v>
      </c>
      <c r="K86" t="s">
        <v>7</v>
      </c>
      <c r="L86" t="s">
        <v>8</v>
      </c>
      <c r="M86" t="s">
        <v>9</v>
      </c>
      <c r="N86" t="s">
        <v>10</v>
      </c>
    </row>
    <row r="87" spans="1:15" x14ac:dyDescent="0.2">
      <c r="A87" t="s">
        <v>44</v>
      </c>
    </row>
    <row r="88" spans="1:15" x14ac:dyDescent="0.2">
      <c r="A88" t="s">
        <v>45</v>
      </c>
    </row>
    <row r="89" spans="1:15" x14ac:dyDescent="0.2">
      <c r="A89" t="s">
        <v>46</v>
      </c>
    </row>
    <row r="90" spans="1:15" x14ac:dyDescent="0.2">
      <c r="A90" t="s">
        <v>47</v>
      </c>
      <c r="B90">
        <v>10414</v>
      </c>
      <c r="C90">
        <v>8958</v>
      </c>
      <c r="D90">
        <v>7309</v>
      </c>
      <c r="E90">
        <v>8555</v>
      </c>
      <c r="F90">
        <v>6006</v>
      </c>
      <c r="J90" s="1">
        <f>B90/B$108</f>
        <v>0.11564044195214036</v>
      </c>
      <c r="K90" s="1">
        <f>C90/C$108</f>
        <v>9.734522891016377E-2</v>
      </c>
      <c r="L90" s="1">
        <f>D90/D$108</f>
        <v>8.1127279588869283E-2</v>
      </c>
      <c r="M90" s="1">
        <f>E90/E$108</f>
        <v>9.8029105076200301E-2</v>
      </c>
      <c r="N90" s="1">
        <f>F90/F$108</f>
        <v>6.8330754528078644E-2</v>
      </c>
      <c r="O90" s="1"/>
    </row>
    <row r="91" spans="1:15" x14ac:dyDescent="0.2">
      <c r="A91" t="s">
        <v>48</v>
      </c>
      <c r="B91">
        <v>9854</v>
      </c>
      <c r="C91">
        <v>12717</v>
      </c>
      <c r="D91">
        <v>12591</v>
      </c>
      <c r="E91">
        <v>13646</v>
      </c>
      <c r="F91">
        <v>14669</v>
      </c>
      <c r="J91" s="1">
        <f>B91/B$108</f>
        <v>0.10942201987674199</v>
      </c>
      <c r="K91" s="1">
        <f>C91/C$108</f>
        <v>0.13819371244145484</v>
      </c>
      <c r="L91" s="1">
        <f>D91/D$108</f>
        <v>0.1397555858945756</v>
      </c>
      <c r="M91" s="1">
        <f>E91/E$108</f>
        <v>0.156365303082388</v>
      </c>
      <c r="N91" s="1">
        <f>F91/F$108</f>
        <v>0.16689041594611814</v>
      </c>
      <c r="O91" s="1"/>
    </row>
    <row r="92" spans="1:15" x14ac:dyDescent="0.2">
      <c r="A92" t="s">
        <v>49</v>
      </c>
      <c r="B92">
        <v>20268</v>
      </c>
      <c r="C92">
        <v>21675</v>
      </c>
      <c r="D92">
        <v>19900</v>
      </c>
      <c r="E92">
        <v>22201</v>
      </c>
      <c r="F92">
        <v>20675</v>
      </c>
      <c r="J92" s="1">
        <f>B92/B$108</f>
        <v>0.22506246182888234</v>
      </c>
      <c r="K92" s="1">
        <f>C92/C$108</f>
        <v>0.23553894135161862</v>
      </c>
      <c r="L92" s="1">
        <f>D92/D$108</f>
        <v>0.22088286548344488</v>
      </c>
      <c r="M92" s="1">
        <f>E92/E$108</f>
        <v>0.25439440815858827</v>
      </c>
      <c r="N92" s="1">
        <f>F92/F$108</f>
        <v>0.23522117047419677</v>
      </c>
      <c r="O92" s="1"/>
    </row>
    <row r="93" spans="1:15" x14ac:dyDescent="0.2">
      <c r="A93" t="s">
        <v>50</v>
      </c>
      <c r="B93">
        <v>4873</v>
      </c>
      <c r="C93">
        <v>4466</v>
      </c>
      <c r="D93">
        <v>3941</v>
      </c>
      <c r="E93">
        <v>3856</v>
      </c>
      <c r="F93">
        <v>3667</v>
      </c>
      <c r="J93" s="1">
        <f>B93/B$108</f>
        <v>5.4111376381100439E-2</v>
      </c>
      <c r="K93" s="1">
        <f>C93/C$108</f>
        <v>4.8531345424513435E-2</v>
      </c>
      <c r="L93" s="1">
        <f>D93/D$108</f>
        <v>4.3743687078907349E-2</v>
      </c>
      <c r="M93" s="1">
        <f>E93/E$108</f>
        <v>4.4184714105649135E-2</v>
      </c>
      <c r="N93" s="1">
        <f>F93/F$108</f>
        <v>4.1719759716028031E-2</v>
      </c>
      <c r="O93" s="1"/>
    </row>
    <row r="94" spans="1:15" x14ac:dyDescent="0.2">
      <c r="A94" t="s">
        <v>51</v>
      </c>
      <c r="B94">
        <v>3277</v>
      </c>
      <c r="C94">
        <v>3100</v>
      </c>
      <c r="D94">
        <v>2902</v>
      </c>
      <c r="E94">
        <v>2675</v>
      </c>
      <c r="F94">
        <v>2655</v>
      </c>
      <c r="J94" s="1">
        <f>B94/B$108</f>
        <v>3.638887346621509E-2</v>
      </c>
      <c r="K94" s="1">
        <f>C94/C$108</f>
        <v>3.3687230366321465E-2</v>
      </c>
      <c r="L94" s="1">
        <f>D94/D$108</f>
        <v>3.2211159579545581E-2</v>
      </c>
      <c r="M94" s="1">
        <f>E94/E$108</f>
        <v>3.0651999541652344E-2</v>
      </c>
      <c r="N94" s="1">
        <f>F94/F$108</f>
        <v>3.020615272594885E-2</v>
      </c>
      <c r="O94" s="1"/>
    </row>
    <row r="95" spans="1:15" x14ac:dyDescent="0.2">
      <c r="A95" t="s">
        <v>52</v>
      </c>
      <c r="B95">
        <v>2886</v>
      </c>
      <c r="C95">
        <v>3066</v>
      </c>
      <c r="D95">
        <v>2752</v>
      </c>
      <c r="E95">
        <v>2481</v>
      </c>
      <c r="F95">
        <v>2000</v>
      </c>
      <c r="J95" s="1">
        <f>B95/B$108</f>
        <v>3.204708233857087E-2</v>
      </c>
      <c r="K95" s="1">
        <f>C95/C$108</f>
        <v>3.331775751714245E-2</v>
      </c>
      <c r="L95" s="1">
        <f>D95/D$108</f>
        <v>3.054621335730856E-2</v>
      </c>
      <c r="M95" s="1">
        <f>E95/E$108</f>
        <v>2.8429013406668958E-2</v>
      </c>
      <c r="N95" s="1">
        <f>F95/F$108</f>
        <v>2.2754164012014199E-2</v>
      </c>
      <c r="O95" s="1"/>
    </row>
    <row r="96" spans="1:15" x14ac:dyDescent="0.2">
      <c r="A96" t="s">
        <v>53</v>
      </c>
      <c r="C96">
        <v>679</v>
      </c>
      <c r="D96">
        <v>3900</v>
      </c>
      <c r="E96">
        <v>2797</v>
      </c>
      <c r="F96">
        <v>7548</v>
      </c>
      <c r="J96" s="1">
        <f>B96/B$108</f>
        <v>0</v>
      </c>
      <c r="K96" s="1">
        <f>C96/C$108</f>
        <v>7.3785901350749269E-3</v>
      </c>
      <c r="L96" s="1">
        <f>D96/D$108</f>
        <v>4.3288601778162565E-2</v>
      </c>
      <c r="M96" s="1">
        <f>E96/E$108</f>
        <v>3.2049959894580038E-2</v>
      </c>
      <c r="N96" s="1">
        <f>F96/F$108</f>
        <v>8.5874214981341582E-2</v>
      </c>
      <c r="O96" s="1"/>
    </row>
    <row r="97" spans="1:15" x14ac:dyDescent="0.2">
      <c r="A97" t="s">
        <v>54</v>
      </c>
      <c r="B97">
        <v>31304</v>
      </c>
      <c r="C97">
        <v>32986</v>
      </c>
      <c r="D97">
        <v>33395</v>
      </c>
      <c r="E97">
        <v>34010</v>
      </c>
      <c r="F97">
        <v>36545</v>
      </c>
      <c r="J97" s="1">
        <f>B97/B$108</f>
        <v>0.34760979401476877</v>
      </c>
      <c r="K97" s="1">
        <f>C97/C$108</f>
        <v>0.3584538647946709</v>
      </c>
      <c r="L97" s="1">
        <f>D97/D$108</f>
        <v>0.37067252727736894</v>
      </c>
      <c r="M97" s="1">
        <f>E97/E$108</f>
        <v>0.38971009510713878</v>
      </c>
      <c r="N97" s="1">
        <f>F97/F$108</f>
        <v>0.41577546190952946</v>
      </c>
      <c r="O97" s="1"/>
    </row>
    <row r="98" spans="1:15" x14ac:dyDescent="0.2">
      <c r="A98" t="s">
        <v>55</v>
      </c>
      <c r="J98" s="1">
        <f>B98/B$108</f>
        <v>0</v>
      </c>
      <c r="K98" s="1">
        <f>C98/C$108</f>
        <v>0</v>
      </c>
      <c r="L98" s="1">
        <f>D98/D$108</f>
        <v>0</v>
      </c>
      <c r="M98" s="1">
        <f>E98/E$108</f>
        <v>0</v>
      </c>
      <c r="N98" s="1">
        <f>F98/F$108</f>
        <v>0</v>
      </c>
    </row>
    <row r="99" spans="1:15" x14ac:dyDescent="0.2">
      <c r="A99" t="s">
        <v>56</v>
      </c>
      <c r="J99" s="1">
        <f>B99/B$108</f>
        <v>0</v>
      </c>
      <c r="K99" s="1">
        <f>C99/C$108</f>
        <v>0</v>
      </c>
      <c r="L99" s="1">
        <f>D99/D$108</f>
        <v>0</v>
      </c>
      <c r="M99" s="1">
        <f>E99/E$108</f>
        <v>0</v>
      </c>
      <c r="N99" s="1">
        <f>F99/F$108</f>
        <v>0</v>
      </c>
    </row>
    <row r="100" spans="1:15" x14ac:dyDescent="0.2">
      <c r="A100" t="s">
        <v>57</v>
      </c>
      <c r="B100">
        <v>25032</v>
      </c>
      <c r="C100">
        <v>25258</v>
      </c>
      <c r="D100">
        <v>22354</v>
      </c>
      <c r="E100">
        <v>21256</v>
      </c>
      <c r="F100">
        <v>16449</v>
      </c>
      <c r="J100" s="1">
        <f>B100/B$108</f>
        <v>0.27796346677030703</v>
      </c>
      <c r="K100" s="1">
        <f>C100/C$108</f>
        <v>0.27447485954598305</v>
      </c>
      <c r="L100" s="1">
        <f>D100/D$108</f>
        <v>0.24812138567924255</v>
      </c>
      <c r="M100" s="1">
        <f>E100/E$108</f>
        <v>0.24356594476910737</v>
      </c>
      <c r="N100" s="1">
        <f>F100/F$108</f>
        <v>0.18714162191681077</v>
      </c>
      <c r="O100" s="1"/>
    </row>
    <row r="101" spans="1:15" x14ac:dyDescent="0.2">
      <c r="A101" t="s">
        <v>58</v>
      </c>
      <c r="B101">
        <v>-10065</v>
      </c>
      <c r="C101">
        <v>-10625</v>
      </c>
      <c r="D101">
        <v>-9783</v>
      </c>
      <c r="E101">
        <v>-10621</v>
      </c>
      <c r="F101">
        <v>-8246</v>
      </c>
      <c r="J101" s="1">
        <f>B101/B$108</f>
        <v>-0.11176503248015102</v>
      </c>
      <c r="K101" s="1">
        <f>C101/C$108</f>
        <v>-0.11546026536844049</v>
      </c>
      <c r="L101" s="1">
        <f>D101/D$108</f>
        <v>-0.10858779261429856</v>
      </c>
      <c r="M101" s="1">
        <f>E101/E$108</f>
        <v>-0.1217027615446316</v>
      </c>
      <c r="N101" s="1">
        <f>F101/F$108</f>
        <v>-9.3815418221534538E-2</v>
      </c>
      <c r="O101" s="1"/>
    </row>
    <row r="102" spans="1:15" x14ac:dyDescent="0.2">
      <c r="A102" t="s">
        <v>59</v>
      </c>
      <c r="B102">
        <v>14967</v>
      </c>
      <c r="C102">
        <v>14633</v>
      </c>
      <c r="D102">
        <v>12571</v>
      </c>
      <c r="E102">
        <v>10635</v>
      </c>
      <c r="F102">
        <v>8203</v>
      </c>
      <c r="J102" s="1">
        <f>B102/B$108</f>
        <v>0.16619843429015602</v>
      </c>
      <c r="K102" s="1">
        <f>C102/C$108</f>
        <v>0.15901459417754257</v>
      </c>
      <c r="L102" s="1">
        <f>D102/D$108</f>
        <v>0.13953359306494401</v>
      </c>
      <c r="M102" s="1">
        <f>E102/E$108</f>
        <v>0.12186318322447577</v>
      </c>
      <c r="N102" s="1">
        <f>F102/F$108</f>
        <v>9.3326203695276236E-2</v>
      </c>
      <c r="O102" s="1"/>
    </row>
    <row r="103" spans="1:15" x14ac:dyDescent="0.2">
      <c r="A103" t="s">
        <v>60</v>
      </c>
      <c r="B103">
        <v>11512</v>
      </c>
      <c r="C103">
        <v>13625</v>
      </c>
      <c r="D103">
        <v>15788</v>
      </c>
      <c r="E103">
        <v>17249</v>
      </c>
      <c r="F103">
        <v>21952</v>
      </c>
      <c r="J103" s="1">
        <f>B103/B$108</f>
        <v>0.12783299094997502</v>
      </c>
      <c r="K103" s="1">
        <f>C103/C$108</f>
        <v>0.14806081088423545</v>
      </c>
      <c r="L103" s="1">
        <f>D103/D$108</f>
        <v>0.17524113971118732</v>
      </c>
      <c r="M103" s="1">
        <f>E103/E$108</f>
        <v>0.19765096825942477</v>
      </c>
      <c r="N103" s="1">
        <f>F103/F$108</f>
        <v>0.24974970419586784</v>
      </c>
      <c r="O103" s="1"/>
    </row>
    <row r="104" spans="1:15" x14ac:dyDescent="0.2">
      <c r="A104" t="s">
        <v>61</v>
      </c>
      <c r="B104">
        <v>12312</v>
      </c>
      <c r="C104">
        <v>12100</v>
      </c>
      <c r="D104">
        <v>11289</v>
      </c>
      <c r="E104">
        <v>10629</v>
      </c>
      <c r="F104">
        <v>9401</v>
      </c>
      <c r="J104" s="1">
        <f>B104/B$108</f>
        <v>0.13671645105768698</v>
      </c>
      <c r="K104" s="1">
        <f>C104/C$108</f>
        <v>0.13148886691370634</v>
      </c>
      <c r="L104" s="1">
        <f>D104/D$108</f>
        <v>0.12530385268555827</v>
      </c>
      <c r="M104" s="1">
        <f>E104/E$108</f>
        <v>0.12179443107597113</v>
      </c>
      <c r="N104" s="1">
        <f>F104/F$108</f>
        <v>0.10695594793847274</v>
      </c>
      <c r="O104" s="1"/>
    </row>
    <row r="105" spans="1:15" x14ac:dyDescent="0.2">
      <c r="A105" t="s">
        <v>62</v>
      </c>
      <c r="B105">
        <v>15299</v>
      </c>
      <c r="C105">
        <v>14272</v>
      </c>
      <c r="D105">
        <v>12843</v>
      </c>
      <c r="E105">
        <v>10499</v>
      </c>
      <c r="F105">
        <v>7235</v>
      </c>
      <c r="J105" s="1">
        <f>B105/B$108</f>
        <v>0.16988507023485647</v>
      </c>
      <c r="K105" s="1">
        <f>C105/C$108</f>
        <v>0.15509166186714191</v>
      </c>
      <c r="L105" s="1">
        <f>D105/D$108</f>
        <v>0.14255269554793379</v>
      </c>
      <c r="M105" s="1">
        <f>E105/E$108</f>
        <v>0.12030480119170391</v>
      </c>
      <c r="N105" s="1">
        <f>F105/F$108</f>
        <v>8.2313188313461363E-2</v>
      </c>
      <c r="O105" s="1"/>
    </row>
    <row r="106" spans="1:15" x14ac:dyDescent="0.2">
      <c r="A106" t="s">
        <v>63</v>
      </c>
      <c r="B106">
        <v>4661</v>
      </c>
      <c r="C106">
        <v>4407</v>
      </c>
      <c r="D106">
        <v>4207</v>
      </c>
      <c r="E106">
        <v>4248</v>
      </c>
      <c r="F106">
        <v>4560</v>
      </c>
      <c r="J106" s="1">
        <f>B106/B$108</f>
        <v>5.175725945255677E-2</v>
      </c>
      <c r="K106" s="1">
        <f>C106/C$108</f>
        <v>4.7890201362702806E-2</v>
      </c>
      <c r="L106" s="1">
        <f>D106/D$108</f>
        <v>4.6696191713007672E-2</v>
      </c>
      <c r="M106" s="1">
        <f>E106/E$108</f>
        <v>4.8676521141285664E-2</v>
      </c>
      <c r="N106" s="1">
        <f>F106/F$108</f>
        <v>5.1879493947392372E-2</v>
      </c>
      <c r="O106" s="1"/>
    </row>
    <row r="107" spans="1:15" x14ac:dyDescent="0.2">
      <c r="A107" t="s">
        <v>64</v>
      </c>
      <c r="B107">
        <v>58751</v>
      </c>
      <c r="C107">
        <v>59037</v>
      </c>
      <c r="D107">
        <v>56698</v>
      </c>
      <c r="E107">
        <v>53260</v>
      </c>
      <c r="F107">
        <v>51351</v>
      </c>
      <c r="J107" s="1">
        <f>B107/B$108</f>
        <v>0.65239020598523123</v>
      </c>
      <c r="K107" s="1">
        <f>C107/C$108</f>
        <v>0.6415461352053291</v>
      </c>
      <c r="L107" s="1">
        <f>D107/D$108</f>
        <v>0.62932747272263101</v>
      </c>
      <c r="M107" s="1">
        <f>E107/E$108</f>
        <v>0.61028990489286128</v>
      </c>
      <c r="N107" s="1">
        <f>F107/F$108</f>
        <v>0.58422453809047059</v>
      </c>
      <c r="O107" s="1"/>
    </row>
    <row r="108" spans="1:15" x14ac:dyDescent="0.2">
      <c r="A108" t="s">
        <v>65</v>
      </c>
      <c r="B108">
        <v>90055</v>
      </c>
      <c r="C108">
        <v>92023</v>
      </c>
      <c r="D108">
        <v>90093</v>
      </c>
      <c r="E108">
        <v>87270</v>
      </c>
      <c r="F108">
        <v>87896</v>
      </c>
      <c r="J108" s="1">
        <f>B108/B$108</f>
        <v>1</v>
      </c>
      <c r="K108" s="1">
        <f>C108/C$108</f>
        <v>1</v>
      </c>
      <c r="L108" s="1">
        <f>D108/D$108</f>
        <v>1</v>
      </c>
      <c r="M108" s="1">
        <f>E108/E$108</f>
        <v>1</v>
      </c>
      <c r="N108" s="1">
        <f>F108/F$108</f>
        <v>1</v>
      </c>
      <c r="O108" s="1"/>
    </row>
    <row r="109" spans="1:15" x14ac:dyDescent="0.2">
      <c r="A109" t="s">
        <v>66</v>
      </c>
    </row>
    <row r="110" spans="1:15" x14ac:dyDescent="0.2">
      <c r="A110" t="s">
        <v>67</v>
      </c>
    </row>
    <row r="111" spans="1:15" x14ac:dyDescent="0.2">
      <c r="A111" t="s">
        <v>68</v>
      </c>
    </row>
    <row r="112" spans="1:15" x14ac:dyDescent="0.2">
      <c r="A112" t="s">
        <v>69</v>
      </c>
      <c r="B112">
        <v>17925</v>
      </c>
      <c r="C112">
        <v>22682</v>
      </c>
      <c r="D112">
        <v>15806</v>
      </c>
      <c r="E112">
        <v>16025</v>
      </c>
      <c r="F112">
        <v>16503</v>
      </c>
      <c r="J112" s="1">
        <f>B112/B$133</f>
        <v>0.19904502803842097</v>
      </c>
      <c r="K112" s="1">
        <f>C112/C$133</f>
        <v>0.24648185779642046</v>
      </c>
      <c r="L112" s="1">
        <f>D112/D$133</f>
        <v>0.17544093325785576</v>
      </c>
      <c r="M112" s="1">
        <f>E112/E$133</f>
        <v>0.18362552996447806</v>
      </c>
      <c r="N112" s="1">
        <f>F112/F$133</f>
        <v>0.18775598434513516</v>
      </c>
      <c r="O112" s="1"/>
    </row>
    <row r="113" spans="1:16" x14ac:dyDescent="0.2">
      <c r="A113" t="s">
        <v>70</v>
      </c>
      <c r="B113">
        <v>1933</v>
      </c>
      <c r="C113">
        <v>2089</v>
      </c>
      <c r="D113">
        <v>2795</v>
      </c>
      <c r="E113">
        <v>2682</v>
      </c>
      <c r="F113">
        <v>2288</v>
      </c>
      <c r="J113" s="1">
        <f>B113/B$133</f>
        <v>2.146466048525901E-2</v>
      </c>
      <c r="K113" s="1">
        <f>C113/C$133</f>
        <v>2.2700846527498559E-2</v>
      </c>
      <c r="L113" s="1">
        <f>D113/D$133</f>
        <v>3.1023497941016505E-2</v>
      </c>
      <c r="M113" s="1">
        <f>E113/E$133</f>
        <v>3.0732210381574424E-2</v>
      </c>
      <c r="N113" s="1">
        <f>F113/F$133</f>
        <v>2.6030763629744245E-2</v>
      </c>
      <c r="O113" s="1"/>
    </row>
    <row r="114" spans="1:16" x14ac:dyDescent="0.2">
      <c r="A114" t="s">
        <v>71</v>
      </c>
      <c r="E114">
        <v>692</v>
      </c>
      <c r="J114" s="1"/>
      <c r="K114" s="1"/>
      <c r="L114" s="1"/>
      <c r="M114" s="1">
        <f>E114/E$133</f>
        <v>7.9294144608685682E-3</v>
      </c>
      <c r="N114" s="1"/>
      <c r="O114" s="1"/>
    </row>
    <row r="115" spans="1:16" x14ac:dyDescent="0.2">
      <c r="A115" t="s">
        <v>72</v>
      </c>
      <c r="B115">
        <v>759</v>
      </c>
      <c r="C115">
        <v>911</v>
      </c>
      <c r="D115">
        <v>775</v>
      </c>
      <c r="E115">
        <v>679</v>
      </c>
      <c r="F115">
        <v>757</v>
      </c>
      <c r="J115" s="1">
        <f>B115/B$133</f>
        <v>8.4281827771917166E-3</v>
      </c>
      <c r="K115" s="1">
        <f>C115/C$133</f>
        <v>9.899698988296405E-3</v>
      </c>
      <c r="L115" s="1">
        <f>D115/D$133</f>
        <v>8.6022221482246128E-3</v>
      </c>
      <c r="M115" s="1">
        <f>E115/E$133</f>
        <v>7.7804514724418468E-3</v>
      </c>
      <c r="N115" s="1">
        <f>F115/F$133</f>
        <v>8.6124510785473736E-3</v>
      </c>
      <c r="O115" s="1"/>
    </row>
    <row r="116" spans="1:16" x14ac:dyDescent="0.2">
      <c r="A116" t="s">
        <v>73</v>
      </c>
      <c r="B116">
        <v>6261</v>
      </c>
      <c r="C116">
        <v>5637</v>
      </c>
      <c r="D116">
        <v>5485</v>
      </c>
      <c r="E116">
        <v>4887</v>
      </c>
      <c r="F116">
        <v>5259</v>
      </c>
      <c r="J116" s="1">
        <f>B116/B$133</f>
        <v>6.9524179667980676E-2</v>
      </c>
      <c r="K116" s="1">
        <f>C116/C$133</f>
        <v>6.1256425024178739E-2</v>
      </c>
      <c r="L116" s="1">
        <f>D116/D$133</f>
        <v>6.0881533526467094E-2</v>
      </c>
      <c r="M116" s="1">
        <f>E116/E$133</f>
        <v>5.599862495702991E-2</v>
      </c>
      <c r="N116" s="1">
        <f>F116/F$133</f>
        <v>5.9832074269591334E-2</v>
      </c>
      <c r="O116" s="1"/>
    </row>
    <row r="117" spans="1:16" x14ac:dyDescent="0.2">
      <c r="A117" t="s">
        <v>74</v>
      </c>
      <c r="B117">
        <v>933</v>
      </c>
      <c r="C117">
        <v>1055</v>
      </c>
      <c r="D117">
        <v>2069</v>
      </c>
      <c r="E117">
        <v>1567</v>
      </c>
      <c r="F117">
        <v>2387</v>
      </c>
      <c r="J117" s="1">
        <f>B117/B$133</f>
        <v>1.0360335350619067E-2</v>
      </c>
      <c r="K117" s="1">
        <f>C117/C$133</f>
        <v>1.1464525173054562E-2</v>
      </c>
      <c r="L117" s="1">
        <f>D117/D$133</f>
        <v>2.2965158225389321E-2</v>
      </c>
      <c r="M117" s="1">
        <f>E117/E$133</f>
        <v>1.7955769451128679E-2</v>
      </c>
      <c r="N117" s="1">
        <f>F117/F$133</f>
        <v>2.7157094748338946E-2</v>
      </c>
      <c r="O117" s="1"/>
    </row>
    <row r="118" spans="1:16" x14ac:dyDescent="0.2">
      <c r="A118" t="s">
        <v>75</v>
      </c>
      <c r="B118">
        <v>27811</v>
      </c>
      <c r="C118">
        <v>32374</v>
      </c>
      <c r="D118">
        <v>26930</v>
      </c>
      <c r="E118">
        <v>26532</v>
      </c>
      <c r="F118">
        <v>27194</v>
      </c>
      <c r="J118" s="1">
        <f>B118/B$133</f>
        <v>0.30882238631947145</v>
      </c>
      <c r="K118" s="1">
        <f>C118/C$133</f>
        <v>0.35180335350944875</v>
      </c>
      <c r="L118" s="1">
        <f>D118/D$133</f>
        <v>0.29891334509895329</v>
      </c>
      <c r="M118" s="1">
        <f>E118/E$133</f>
        <v>0.3040220006875215</v>
      </c>
      <c r="N118" s="1">
        <f>F118/F$133</f>
        <v>0.30938836807135706</v>
      </c>
      <c r="O118" s="1"/>
    </row>
    <row r="119" spans="1:16" x14ac:dyDescent="0.2">
      <c r="A119" t="s">
        <v>76</v>
      </c>
      <c r="J119" s="1"/>
      <c r="K119" s="1"/>
      <c r="L119" s="1"/>
      <c r="M119" s="1"/>
      <c r="N119" s="1"/>
    </row>
    <row r="120" spans="1:16" x14ac:dyDescent="0.2">
      <c r="A120" t="s">
        <v>77</v>
      </c>
      <c r="B120">
        <v>19154</v>
      </c>
      <c r="C120">
        <v>19063</v>
      </c>
      <c r="D120">
        <v>28407</v>
      </c>
      <c r="E120">
        <v>29684</v>
      </c>
      <c r="F120">
        <v>31182</v>
      </c>
      <c r="J120" s="1">
        <f>B120/B$133</f>
        <v>0.21269224362889344</v>
      </c>
      <c r="K120" s="1">
        <f>C120/C$133</f>
        <v>0.20715473305586646</v>
      </c>
      <c r="L120" s="1">
        <f>D120/D$133</f>
        <v>0.31530751556724718</v>
      </c>
      <c r="M120" s="1">
        <f>E120/E$133</f>
        <v>0.34013979603529276</v>
      </c>
      <c r="N120" s="1">
        <f>F120/F$133</f>
        <v>0.35476017111131336</v>
      </c>
      <c r="O120" s="1"/>
    </row>
    <row r="121" spans="1:16" x14ac:dyDescent="0.2">
      <c r="A121" t="s">
        <v>78</v>
      </c>
      <c r="B121">
        <v>6152</v>
      </c>
      <c r="C121">
        <v>5636</v>
      </c>
      <c r="D121">
        <v>4691</v>
      </c>
      <c r="E121">
        <v>3753</v>
      </c>
      <c r="F121">
        <v>2522</v>
      </c>
      <c r="J121" s="1">
        <f>B121/B$133</f>
        <v>6.831380822830492E-2</v>
      </c>
      <c r="K121" s="1">
        <f>C121/C$133</f>
        <v>6.1245558175673474E-2</v>
      </c>
      <c r="L121" s="1">
        <f>D121/D$133</f>
        <v>5.2068418190092461E-2</v>
      </c>
      <c r="M121" s="1">
        <f>E121/E$133</f>
        <v>4.30044688896528E-2</v>
      </c>
      <c r="N121" s="1">
        <f>F121/F$133</f>
        <v>2.8693000819149904E-2</v>
      </c>
      <c r="O121" s="1"/>
    </row>
    <row r="122" spans="1:16" x14ac:dyDescent="0.2">
      <c r="A122" t="s">
        <v>79</v>
      </c>
      <c r="B122">
        <v>267</v>
      </c>
      <c r="C122">
        <v>241</v>
      </c>
      <c r="D122">
        <v>210</v>
      </c>
      <c r="E122">
        <v>158</v>
      </c>
      <c r="F122">
        <v>1905</v>
      </c>
      <c r="J122" s="1">
        <f>B122/B$133</f>
        <v>2.9648548109488648E-3</v>
      </c>
      <c r="K122" s="1">
        <f>C122/C$133</f>
        <v>2.6189104897688621E-3</v>
      </c>
      <c r="L122" s="1">
        <f>D122/D$133</f>
        <v>2.3309247111318303E-3</v>
      </c>
      <c r="M122" s="1">
        <f>E122/E$133</f>
        <v>1.8104732439555402E-3</v>
      </c>
      <c r="N122" s="1">
        <f>F122/F$133</f>
        <v>2.1673341221443525E-2</v>
      </c>
      <c r="O122" s="1"/>
    </row>
    <row r="123" spans="1:16" x14ac:dyDescent="0.2">
      <c r="A123" t="s">
        <v>80</v>
      </c>
      <c r="B123">
        <v>3498</v>
      </c>
      <c r="C123">
        <v>4389</v>
      </c>
      <c r="D123">
        <v>4301</v>
      </c>
      <c r="E123">
        <v>4081</v>
      </c>
      <c r="F123">
        <v>8021</v>
      </c>
      <c r="J123" s="1">
        <f>B123/B$133</f>
        <v>3.8842929320970519E-2</v>
      </c>
      <c r="K123" s="1">
        <f>C123/C$133</f>
        <v>4.7694598089608034E-2</v>
      </c>
      <c r="L123" s="1">
        <f>D123/D$133</f>
        <v>4.7739558012276202E-2</v>
      </c>
      <c r="M123" s="1">
        <f>E123/E$133</f>
        <v>4.6762919674573161E-2</v>
      </c>
      <c r="N123" s="1">
        <f>F123/F$133</f>
        <v>9.1255574770182937E-2</v>
      </c>
      <c r="O123" s="1"/>
      <c r="P123" s="8" t="s">
        <v>131</v>
      </c>
    </row>
    <row r="124" spans="1:16" x14ac:dyDescent="0.2">
      <c r="A124" t="s">
        <v>81</v>
      </c>
      <c r="B124">
        <v>29071</v>
      </c>
      <c r="C124">
        <v>29329</v>
      </c>
      <c r="D124">
        <v>37609</v>
      </c>
      <c r="E124">
        <v>37676</v>
      </c>
      <c r="F124">
        <v>43630</v>
      </c>
      <c r="J124" s="1">
        <f>B124/B$133</f>
        <v>0.32281383598911778</v>
      </c>
      <c r="K124" s="1">
        <f>C124/C$133</f>
        <v>0.31871379981091685</v>
      </c>
      <c r="L124" s="1">
        <f>D124/D$133</f>
        <v>0.41744641648074765</v>
      </c>
      <c r="M124" s="1">
        <f>E124/E$133</f>
        <v>0.43171765784347427</v>
      </c>
      <c r="N124" s="1">
        <f>F124/F$133</f>
        <v>0.49638208792208977</v>
      </c>
      <c r="O124" s="1"/>
      <c r="P124" s="8"/>
    </row>
    <row r="125" spans="1:16" x14ac:dyDescent="0.2">
      <c r="A125" t="s">
        <v>82</v>
      </c>
      <c r="B125">
        <v>56882</v>
      </c>
      <c r="C125">
        <v>61703</v>
      </c>
      <c r="D125">
        <v>64539</v>
      </c>
      <c r="E125">
        <v>64208</v>
      </c>
      <c r="F125">
        <v>70824</v>
      </c>
      <c r="J125" s="1">
        <f>B125/B$133</f>
        <v>0.63163622230858918</v>
      </c>
      <c r="K125" s="1">
        <f>C125/C$133</f>
        <v>0.67051715332036554</v>
      </c>
      <c r="L125" s="1">
        <f>D125/D$133</f>
        <v>0.71635976157970094</v>
      </c>
      <c r="M125" s="1">
        <f>E125/E$133</f>
        <v>0.73573965853099577</v>
      </c>
      <c r="N125" s="1">
        <f>F125/F$133</f>
        <v>0.80577045599344677</v>
      </c>
      <c r="O125" s="1"/>
      <c r="P125" s="16">
        <f>AVERAGE(J125:N125)</f>
        <v>0.71200465034661964</v>
      </c>
    </row>
    <row r="126" spans="1:16" x14ac:dyDescent="0.2">
      <c r="A126" t="s">
        <v>83</v>
      </c>
      <c r="J126" s="1"/>
      <c r="K126" s="1"/>
      <c r="L126" s="1"/>
      <c r="M126" s="1"/>
      <c r="N126" s="1"/>
      <c r="P126" s="8"/>
    </row>
    <row r="127" spans="1:16" x14ac:dyDescent="0.2">
      <c r="A127" t="s">
        <v>84</v>
      </c>
      <c r="B127">
        <v>1760</v>
      </c>
      <c r="C127">
        <v>1760</v>
      </c>
      <c r="D127">
        <v>1760</v>
      </c>
      <c r="E127">
        <v>1760</v>
      </c>
      <c r="F127">
        <v>1760</v>
      </c>
      <c r="J127" s="1">
        <f>B127/B$133</f>
        <v>1.9543612236966299E-2</v>
      </c>
      <c r="K127" s="1">
        <f>C127/C$133</f>
        <v>1.9125653369266381E-2</v>
      </c>
      <c r="L127" s="1">
        <f>D127/D$133</f>
        <v>1.9535369007581054E-2</v>
      </c>
      <c r="M127" s="1">
        <f>E127/E$133</f>
        <v>2.0167296894694625E-2</v>
      </c>
      <c r="N127" s="1">
        <f>F127/F$133</f>
        <v>2.0023664330572493E-2</v>
      </c>
      <c r="O127" s="1"/>
      <c r="P127" s="8"/>
    </row>
    <row r="128" spans="1:16" x14ac:dyDescent="0.2">
      <c r="A128" t="s">
        <v>85</v>
      </c>
      <c r="B128">
        <v>12276</v>
      </c>
      <c r="C128">
        <v>13154</v>
      </c>
      <c r="D128">
        <v>14016</v>
      </c>
      <c r="E128">
        <v>14993</v>
      </c>
      <c r="F128">
        <v>15864</v>
      </c>
      <c r="J128" s="1">
        <f>B128/B$133</f>
        <v>0.13631669535283994</v>
      </c>
      <c r="K128" s="1">
        <f>C128/C$133</f>
        <v>0.14294252523825565</v>
      </c>
      <c r="L128" s="1">
        <f>D128/D$133</f>
        <v>0.1555725750058273</v>
      </c>
      <c r="M128" s="1">
        <f>E128/E$133</f>
        <v>0.17180016042167984</v>
      </c>
      <c r="N128" s="1">
        <f>F128/F$133</f>
        <v>0.18048602894329663</v>
      </c>
      <c r="O128" s="1"/>
      <c r="P128" s="8"/>
    </row>
    <row r="129" spans="1:16" x14ac:dyDescent="0.2">
      <c r="A129" t="s">
        <v>86</v>
      </c>
      <c r="B129">
        <v>61660</v>
      </c>
      <c r="C129">
        <v>63408</v>
      </c>
      <c r="D129">
        <v>65018</v>
      </c>
      <c r="E129">
        <v>65502</v>
      </c>
      <c r="F129">
        <v>60430</v>
      </c>
      <c r="J129" s="1">
        <f>B129/B$133</f>
        <v>0.68469268780189885</v>
      </c>
      <c r="K129" s="1">
        <f>C129/C$133</f>
        <v>0.68904513002184231</v>
      </c>
      <c r="L129" s="1">
        <f>D129/D$133</f>
        <v>0.72167648984937782</v>
      </c>
      <c r="M129" s="1">
        <f>E129/E$133</f>
        <v>0.75056720522516329</v>
      </c>
      <c r="N129" s="1">
        <f>F129/F$133</f>
        <v>0.68751706562300896</v>
      </c>
      <c r="O129" s="1"/>
      <c r="P129" s="8"/>
    </row>
    <row r="130" spans="1:16" x14ac:dyDescent="0.2">
      <c r="A130" t="s">
        <v>87</v>
      </c>
      <c r="B130">
        <v>-39091</v>
      </c>
      <c r="C130">
        <v>-42225</v>
      </c>
      <c r="D130">
        <v>-45066</v>
      </c>
      <c r="E130">
        <v>-47988</v>
      </c>
      <c r="F130">
        <v>-50677</v>
      </c>
      <c r="J130" s="1">
        <f>B130/B$133</f>
        <v>-0.43407917383820999</v>
      </c>
      <c r="K130" s="1">
        <f>C130/C$133</f>
        <v>-0.45885267813481412</v>
      </c>
      <c r="L130" s="1">
        <f>D130/D$133</f>
        <v>-0.50021644300889079</v>
      </c>
      <c r="M130" s="1">
        <f>E130/E$133</f>
        <v>-0.54987968374011686</v>
      </c>
      <c r="N130" s="1">
        <f>F130/F$133</f>
        <v>-0.57655638481842175</v>
      </c>
      <c r="O130" s="1"/>
      <c r="P130" s="8"/>
    </row>
    <row r="131" spans="1:16" x14ac:dyDescent="0.2">
      <c r="A131" t="s">
        <v>88</v>
      </c>
      <c r="B131">
        <v>-3432</v>
      </c>
      <c r="C131">
        <v>-5777</v>
      </c>
      <c r="D131">
        <v>-10174</v>
      </c>
      <c r="E131">
        <v>-11205</v>
      </c>
      <c r="F131">
        <v>-10305</v>
      </c>
      <c r="J131" s="1">
        <f>B131/B$133</f>
        <v>-3.8110043862084282E-2</v>
      </c>
      <c r="K131" s="1">
        <f>C131/C$133</f>
        <v>-6.2777783814915833E-2</v>
      </c>
      <c r="L131" s="1">
        <f>D131/D$133</f>
        <v>-0.1129277524335964</v>
      </c>
      <c r="M131" s="1">
        <f>E131/E$133</f>
        <v>-0.12839463733241663</v>
      </c>
      <c r="N131" s="1">
        <f>F131/F$133</f>
        <v>-0.11724083007190315</v>
      </c>
      <c r="O131" s="1"/>
      <c r="P131" s="8"/>
    </row>
    <row r="132" spans="1:16" x14ac:dyDescent="0.2">
      <c r="A132" t="s">
        <v>89</v>
      </c>
      <c r="B132">
        <v>33173</v>
      </c>
      <c r="C132">
        <v>30320</v>
      </c>
      <c r="D132">
        <v>25554</v>
      </c>
      <c r="E132">
        <v>23062</v>
      </c>
      <c r="F132">
        <v>17072</v>
      </c>
      <c r="J132" s="1">
        <f>B132/B$133</f>
        <v>0.36836377769141082</v>
      </c>
      <c r="K132" s="1">
        <f>C132/C$133</f>
        <v>0.32948284667963446</v>
      </c>
      <c r="L132" s="1">
        <f>D132/D$133</f>
        <v>0.28364023842029901</v>
      </c>
      <c r="M132" s="1">
        <f>E132/E$133</f>
        <v>0.26426034146900423</v>
      </c>
      <c r="N132" s="1">
        <f>F132/F$133</f>
        <v>0.19422954400655321</v>
      </c>
      <c r="O132" s="1"/>
      <c r="P132" s="16">
        <f>AVERAGE(J132:N132)</f>
        <v>0.28799534965338031</v>
      </c>
    </row>
    <row r="133" spans="1:16" x14ac:dyDescent="0.2">
      <c r="A133" t="s">
        <v>90</v>
      </c>
      <c r="B133">
        <v>90055</v>
      </c>
      <c r="C133">
        <v>92023</v>
      </c>
      <c r="D133">
        <v>90093</v>
      </c>
      <c r="E133">
        <v>87270</v>
      </c>
      <c r="F133">
        <v>87896</v>
      </c>
      <c r="J133" s="1">
        <f>B133/B$133</f>
        <v>1</v>
      </c>
      <c r="K133" s="1">
        <f>C133/C$133</f>
        <v>1</v>
      </c>
      <c r="L133" s="1">
        <f>D133/D$133</f>
        <v>1</v>
      </c>
      <c r="M133" s="1">
        <f>E133/E$133</f>
        <v>1</v>
      </c>
      <c r="N133" s="1">
        <f>F133/F$133</f>
        <v>1</v>
      </c>
      <c r="O133" s="1"/>
      <c r="P133" s="8"/>
    </row>
    <row r="134" spans="1:16" x14ac:dyDescent="0.2">
      <c r="A134" t="s">
        <v>91</v>
      </c>
      <c r="B134">
        <f>B97-B118</f>
        <v>3493</v>
      </c>
      <c r="C134">
        <f t="shared" ref="C134:F134" si="27">C97-C118</f>
        <v>612</v>
      </c>
      <c r="D134">
        <f t="shared" si="27"/>
        <v>6465</v>
      </c>
      <c r="E134">
        <f t="shared" si="27"/>
        <v>7478</v>
      </c>
      <c r="F134">
        <f t="shared" si="27"/>
        <v>9351</v>
      </c>
    </row>
    <row r="135" spans="1:16" x14ac:dyDescent="0.2">
      <c r="A135" t="s">
        <v>92</v>
      </c>
      <c r="C135">
        <f>C134-B134</f>
        <v>-2881</v>
      </c>
      <c r="D135">
        <f>D134-C134</f>
        <v>5853</v>
      </c>
      <c r="E135">
        <f>E134-D134</f>
        <v>1013</v>
      </c>
      <c r="F135">
        <f>F134-E134</f>
        <v>1873</v>
      </c>
    </row>
    <row r="137" spans="1:16" x14ac:dyDescent="0.2">
      <c r="A137" s="8"/>
      <c r="B137" s="8"/>
      <c r="C137" s="8"/>
      <c r="D137" s="8"/>
      <c r="E137" s="8"/>
      <c r="F137" s="8"/>
      <c r="G137" s="8"/>
    </row>
    <row r="138" spans="1:16" ht="21" x14ac:dyDescent="0.25">
      <c r="A138" s="14" t="s">
        <v>93</v>
      </c>
      <c r="B138" s="8"/>
      <c r="C138" s="8"/>
      <c r="D138" s="8"/>
      <c r="E138" s="8"/>
      <c r="F138" s="8"/>
      <c r="G138" s="8"/>
    </row>
    <row r="139" spans="1:16" x14ac:dyDescent="0.2">
      <c r="A139" s="8" t="s">
        <v>5</v>
      </c>
      <c r="B139" s="8">
        <v>2013</v>
      </c>
      <c r="C139" s="8">
        <v>2014</v>
      </c>
      <c r="D139" s="8">
        <v>2015</v>
      </c>
      <c r="E139" s="8">
        <v>2016</v>
      </c>
      <c r="F139" s="8">
        <v>2017</v>
      </c>
      <c r="G139" s="8"/>
    </row>
    <row r="140" spans="1:16" x14ac:dyDescent="0.2">
      <c r="A140" s="15" t="s">
        <v>94</v>
      </c>
      <c r="B140" s="8"/>
      <c r="C140" s="8"/>
      <c r="D140" s="8"/>
      <c r="E140" s="8"/>
      <c r="F140" s="8"/>
      <c r="G140" s="8" t="s">
        <v>95</v>
      </c>
    </row>
    <row r="141" spans="1:16" x14ac:dyDescent="0.2">
      <c r="A141" s="8" t="s">
        <v>96</v>
      </c>
      <c r="B141" s="12">
        <f>B97/B118</f>
        <v>1.1255977850490813</v>
      </c>
      <c r="C141" s="12">
        <f t="shared" ref="C141:F141" si="28">C97/C118</f>
        <v>1.0189040588126275</v>
      </c>
      <c r="D141" s="12">
        <f t="shared" si="28"/>
        <v>1.24006683995544</v>
      </c>
      <c r="E141" s="12">
        <f t="shared" si="28"/>
        <v>1.2818483340871401</v>
      </c>
      <c r="F141" s="12">
        <f t="shared" si="28"/>
        <v>1.3438626167536956</v>
      </c>
      <c r="G141" s="12">
        <f>AVERAGE(B141:F141)</f>
        <v>1.2020559269315969</v>
      </c>
    </row>
    <row r="142" spans="1:16" x14ac:dyDescent="0.2">
      <c r="A142" s="15" t="s">
        <v>101</v>
      </c>
      <c r="B142" s="8"/>
      <c r="C142" s="8"/>
      <c r="D142" s="8"/>
      <c r="E142" s="8"/>
      <c r="F142" s="8"/>
      <c r="G142" s="8"/>
    </row>
    <row r="143" spans="1:16" x14ac:dyDescent="0.2">
      <c r="A143" s="8" t="s">
        <v>97</v>
      </c>
      <c r="B143" s="12">
        <f>B125/B132</f>
        <v>1.7147077442498417</v>
      </c>
      <c r="C143" s="12">
        <f t="shared" ref="C143:F143" si="29">C125/C132</f>
        <v>2.0350593667546173</v>
      </c>
      <c r="D143" s="12">
        <f t="shared" si="29"/>
        <v>2.5255928621742192</v>
      </c>
      <c r="E143" s="12">
        <f t="shared" si="29"/>
        <v>2.7841470817795506</v>
      </c>
      <c r="F143" s="12">
        <f t="shared" si="29"/>
        <v>4.1485473289597001</v>
      </c>
      <c r="G143" s="12">
        <f>AVERAGE(B143:F143)</f>
        <v>2.6416108767835857</v>
      </c>
    </row>
    <row r="144" spans="1:16" x14ac:dyDescent="0.2">
      <c r="A144" s="8" t="s">
        <v>98</v>
      </c>
      <c r="B144" s="12">
        <f>B108/B132</f>
        <v>2.714707744249842</v>
      </c>
      <c r="C144" s="12">
        <f t="shared" ref="C144:F144" si="30">C108/C132</f>
        <v>3.0350593667546173</v>
      </c>
      <c r="D144" s="12">
        <f t="shared" si="30"/>
        <v>3.5255928621742192</v>
      </c>
      <c r="E144" s="12">
        <f t="shared" si="30"/>
        <v>3.7841470817795506</v>
      </c>
      <c r="F144" s="12">
        <f t="shared" si="30"/>
        <v>5.1485473289597001</v>
      </c>
      <c r="G144" s="12">
        <f>AVERAGE(B144:F144)</f>
        <v>3.6416108767835857</v>
      </c>
    </row>
    <row r="145" spans="1:7" x14ac:dyDescent="0.2">
      <c r="A145" s="15" t="s">
        <v>99</v>
      </c>
      <c r="B145" s="8"/>
      <c r="C145" s="8"/>
      <c r="D145" s="8"/>
      <c r="E145" s="8"/>
      <c r="F145" s="8"/>
      <c r="G145" s="8"/>
    </row>
    <row r="146" spans="1:7" x14ac:dyDescent="0.2">
      <c r="A146" s="8" t="s">
        <v>100</v>
      </c>
      <c r="B146" s="16">
        <f>B24/B108</f>
        <v>9.5319526955749259E-2</v>
      </c>
      <c r="C146" s="16">
        <f>C24/C108</f>
        <v>7.7132890690370881E-2</v>
      </c>
      <c r="D146" s="16">
        <f>D24/D108</f>
        <v>8.1593464531095644E-2</v>
      </c>
      <c r="E146" s="16">
        <f>E24/E108</f>
        <v>7.4790878881631717E-2</v>
      </c>
      <c r="F146" s="16">
        <f>F24/F108</f>
        <v>1.4198598343496859E-2</v>
      </c>
      <c r="G146" s="16">
        <f>AVERAGE(B146:F146)</f>
        <v>6.860707188046887E-2</v>
      </c>
    </row>
    <row r="147" spans="1:7" x14ac:dyDescent="0.2">
      <c r="A147" s="8"/>
      <c r="B147" s="8"/>
      <c r="C147" s="8"/>
      <c r="D147" s="8"/>
      <c r="E147" s="8"/>
      <c r="F147" s="8"/>
      <c r="G147" s="8"/>
    </row>
    <row r="148" spans="1:7" x14ac:dyDescent="0.2">
      <c r="A148" s="8"/>
      <c r="B148" s="8"/>
      <c r="C148" s="8"/>
      <c r="D148" s="8"/>
      <c r="E148" s="8"/>
      <c r="F148" s="8"/>
      <c r="G148" s="8"/>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A38" sqref="A38"/>
    </sheetView>
  </sheetViews>
  <sheetFormatPr baseColWidth="10" defaultRowHeight="16" x14ac:dyDescent="0.2"/>
  <sheetData>
    <row r="1" spans="1:5" x14ac:dyDescent="0.2">
      <c r="A1" t="s">
        <v>108</v>
      </c>
    </row>
    <row r="2" spans="1:5" x14ac:dyDescent="0.2">
      <c r="B2" t="s">
        <v>109</v>
      </c>
    </row>
    <row r="3" spans="1:5" x14ac:dyDescent="0.2">
      <c r="B3" t="s">
        <v>110</v>
      </c>
    </row>
    <row r="4" spans="1:5" x14ac:dyDescent="0.2">
      <c r="B4" t="s">
        <v>114</v>
      </c>
    </row>
    <row r="5" spans="1:5" x14ac:dyDescent="0.2">
      <c r="B5" t="s">
        <v>111</v>
      </c>
      <c r="C5" t="s">
        <v>112</v>
      </c>
    </row>
    <row r="6" spans="1:5" x14ac:dyDescent="0.2">
      <c r="B6" t="s">
        <v>113</v>
      </c>
    </row>
    <row r="8" spans="1:5" x14ac:dyDescent="0.2">
      <c r="A8" t="s">
        <v>115</v>
      </c>
    </row>
    <row r="9" spans="1:5" x14ac:dyDescent="0.2">
      <c r="B9" t="s">
        <v>116</v>
      </c>
      <c r="E9" t="s">
        <v>117</v>
      </c>
    </row>
    <row r="10" spans="1:5" x14ac:dyDescent="0.2">
      <c r="B10" s="1">
        <f>841/((29684+31182)/2)</f>
        <v>2.7634475733578683E-2</v>
      </c>
    </row>
    <row r="12" spans="1:5" x14ac:dyDescent="0.2">
      <c r="A12" t="s">
        <v>118</v>
      </c>
    </row>
    <row r="25" spans="1:3" x14ac:dyDescent="0.2">
      <c r="A25" t="s">
        <v>119</v>
      </c>
    </row>
    <row r="26" spans="1:3" x14ac:dyDescent="0.2">
      <c r="B26" s="7" t="s">
        <v>120</v>
      </c>
    </row>
    <row r="27" spans="1:3" x14ac:dyDescent="0.2">
      <c r="B27" t="s">
        <v>121</v>
      </c>
    </row>
    <row r="28" spans="1:3" x14ac:dyDescent="0.2">
      <c r="C28" t="s">
        <v>122</v>
      </c>
    </row>
    <row r="30" spans="1:3" x14ac:dyDescent="0.2">
      <c r="A30" t="s">
        <v>123</v>
      </c>
    </row>
    <row r="31" spans="1:3" x14ac:dyDescent="0.2">
      <c r="B31" t="s">
        <v>124</v>
      </c>
    </row>
    <row r="32" spans="1:3" x14ac:dyDescent="0.2">
      <c r="B32" t="s">
        <v>125</v>
      </c>
    </row>
    <row r="33" spans="2:2" x14ac:dyDescent="0.2">
      <c r="B33" t="s">
        <v>126</v>
      </c>
    </row>
    <row r="35" spans="2:2" x14ac:dyDescent="0.2">
      <c r="B35" t="s">
        <v>127</v>
      </c>
    </row>
    <row r="36" spans="2:2" x14ac:dyDescent="0.2">
      <c r="B36" t="s">
        <v>128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46" workbookViewId="0">
      <selection activeCell="K51" sqref="K51"/>
    </sheetView>
  </sheetViews>
  <sheetFormatPr baseColWidth="10" defaultRowHeight="16" x14ac:dyDescent="0.2"/>
  <sheetData>
    <row r="1" spans="1:2" x14ac:dyDescent="0.2">
      <c r="A1" t="s">
        <v>129</v>
      </c>
    </row>
    <row r="2" spans="1:2" x14ac:dyDescent="0.2">
      <c r="B2" t="s">
        <v>130</v>
      </c>
    </row>
    <row r="3" spans="1:2" x14ac:dyDescent="0.2">
      <c r="B3" t="s">
        <v>143</v>
      </c>
    </row>
    <row r="5" spans="1:2" x14ac:dyDescent="0.2">
      <c r="B5" t="s">
        <v>132</v>
      </c>
    </row>
    <row r="6" spans="1:2" x14ac:dyDescent="0.2">
      <c r="B6" t="s">
        <v>141</v>
      </c>
    </row>
    <row r="7" spans="1:2" x14ac:dyDescent="0.2">
      <c r="B7" t="s">
        <v>133</v>
      </c>
    </row>
    <row r="9" spans="1:2" x14ac:dyDescent="0.2">
      <c r="B9" t="s">
        <v>134</v>
      </c>
    </row>
    <row r="10" spans="1:2" x14ac:dyDescent="0.2">
      <c r="B10" t="s">
        <v>135</v>
      </c>
    </row>
    <row r="11" spans="1:2" x14ac:dyDescent="0.2">
      <c r="B11" t="s">
        <v>136</v>
      </c>
    </row>
    <row r="12" spans="1:2" x14ac:dyDescent="0.2">
      <c r="B12" t="s">
        <v>137</v>
      </c>
    </row>
    <row r="14" spans="1:2" x14ac:dyDescent="0.2">
      <c r="B14" t="s">
        <v>138</v>
      </c>
    </row>
    <row r="15" spans="1:2" x14ac:dyDescent="0.2">
      <c r="B15" t="s">
        <v>139</v>
      </c>
    </row>
    <row r="17" spans="1:4" x14ac:dyDescent="0.2">
      <c r="B17" t="s">
        <v>140</v>
      </c>
    </row>
    <row r="19" spans="1:4" x14ac:dyDescent="0.2">
      <c r="A19" t="s">
        <v>142</v>
      </c>
      <c r="B19" t="s">
        <v>144</v>
      </c>
    </row>
    <row r="31" spans="1:4" x14ac:dyDescent="0.2">
      <c r="A31" t="s">
        <v>145</v>
      </c>
    </row>
    <row r="32" spans="1:4" x14ac:dyDescent="0.2">
      <c r="B32" t="s">
        <v>150</v>
      </c>
      <c r="D32" t="s">
        <v>151</v>
      </c>
    </row>
    <row r="33" spans="1:5" x14ac:dyDescent="0.2">
      <c r="B33" t="s">
        <v>146</v>
      </c>
    </row>
    <row r="34" spans="1:5" x14ac:dyDescent="0.2">
      <c r="B34" t="s">
        <v>147</v>
      </c>
    </row>
    <row r="35" spans="1:5" x14ac:dyDescent="0.2">
      <c r="B35" t="s">
        <v>148</v>
      </c>
    </row>
    <row r="36" spans="1:5" x14ac:dyDescent="0.2">
      <c r="B36" t="s">
        <v>149</v>
      </c>
    </row>
    <row r="39" spans="1:5" x14ac:dyDescent="0.2">
      <c r="B39" t="s">
        <v>153</v>
      </c>
      <c r="C39" s="6" t="s">
        <v>155</v>
      </c>
      <c r="D39" s="6" t="s">
        <v>156</v>
      </c>
      <c r="E39" s="6" t="s">
        <v>157</v>
      </c>
    </row>
    <row r="40" spans="1:5" x14ac:dyDescent="0.2">
      <c r="B40">
        <v>0</v>
      </c>
      <c r="C40">
        <v>-50000</v>
      </c>
      <c r="D40">
        <v>-50000</v>
      </c>
      <c r="E40">
        <v>0</v>
      </c>
    </row>
    <row r="41" spans="1:5" x14ac:dyDescent="0.2">
      <c r="B41">
        <v>1</v>
      </c>
      <c r="C41">
        <v>31000</v>
      </c>
      <c r="D41">
        <v>42000</v>
      </c>
      <c r="E41">
        <v>-11000</v>
      </c>
    </row>
    <row r="42" spans="1:5" x14ac:dyDescent="0.2">
      <c r="B42">
        <v>2</v>
      </c>
      <c r="C42">
        <v>26000</v>
      </c>
      <c r="D42">
        <v>21000</v>
      </c>
      <c r="E42">
        <v>5000</v>
      </c>
    </row>
    <row r="43" spans="1:5" x14ac:dyDescent="0.2">
      <c r="B43">
        <v>3</v>
      </c>
      <c r="C43">
        <v>27000</v>
      </c>
      <c r="D43">
        <v>18000</v>
      </c>
      <c r="E43">
        <v>9000</v>
      </c>
    </row>
    <row r="44" spans="1:5" x14ac:dyDescent="0.2">
      <c r="B44" t="s">
        <v>154</v>
      </c>
      <c r="C44" s="1">
        <v>0.37219999999999998</v>
      </c>
      <c r="D44" s="1">
        <v>0.34920000000000001</v>
      </c>
      <c r="E44" s="1">
        <v>0.15989999999999999</v>
      </c>
    </row>
    <row r="46" spans="1:5" x14ac:dyDescent="0.2">
      <c r="A46" t="s">
        <v>152</v>
      </c>
    </row>
    <row r="47" spans="1:5" x14ac:dyDescent="0.2">
      <c r="B47" t="s">
        <v>158</v>
      </c>
    </row>
    <row r="49" spans="1:2" x14ac:dyDescent="0.2">
      <c r="A49" t="s">
        <v>159</v>
      </c>
    </row>
    <row r="50" spans="1:2" x14ac:dyDescent="0.2">
      <c r="B50" t="s">
        <v>160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7" workbookViewId="0">
      <selection activeCell="N16" sqref="N16"/>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Financial Statements</vt:lpstr>
      <vt:lpstr>Cost of Debt and Equity</vt:lpstr>
      <vt:lpstr>Capital Budgeting</vt:lpstr>
      <vt:lpstr>Summary and Explainations</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2018-12-03T05:30:11Z</dcterms:created>
  <dcterms:modified xsi:type="dcterms:W3CDTF">2018-12-03T10:57:12Z</dcterms:modified>
</cp:coreProperties>
</file>