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pivotTables/pivotTable5.xml" ContentType="application/vnd.openxmlformats-officedocument.spreadsheetml.pivotTable+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queryTables/queryTable3.xml" ContentType="application/vnd.openxmlformats-officedocument.spreadsheetml.queryTable+xml"/>
  <Override PartName="/xl/comments5.xml" ContentType="application/vnd.openxmlformats-officedocument.spreadsheetml.comments+xml"/>
  <Override PartName="/xl/tables/table9.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C:\Users\youssef.benamor\avocarbon-costing-system\mcp_server\data\"/>
    </mc:Choice>
  </mc:AlternateContent>
  <xr:revisionPtr revIDLastSave="0" documentId="8_{5F684F7E-E4CA-4F96-A520-91C5C8F6D20C}" xr6:coauthVersionLast="47" xr6:coauthVersionMax="47" xr10:uidLastSave="{00000000-0000-0000-0000-000000000000}"/>
  <bookViews>
    <workbookView xWindow="28680" yWindow="555" windowWidth="29040" windowHeight="15720" tabRatio="910" firstSheet="2" activeTab="2" xr2:uid="{00000000-000D-0000-FFFF-FFFF00000000}"/>
  </bookViews>
  <sheets>
    <sheet name="RFQ Data" sheetId="17" r:id="rId1"/>
    <sheet name="Purchasing" sheetId="63" r:id="rId2"/>
    <sheet name="Material Cost " sheetId="7" r:id="rId3"/>
    <sheet name="Material analysis " sheetId="30" r:id="rId4"/>
    <sheet name="Product Added value" sheetId="8" r:id="rId5"/>
    <sheet name="VOH cost per h" sheetId="28" r:id="rId6"/>
    <sheet name="Transp-Packaging-AMS" sheetId="53" r:id="rId7"/>
    <sheet name="Buffersheet" sheetId="60" r:id="rId8"/>
    <sheet name="Capex " sheetId="44" r:id="rId9"/>
    <sheet name="PriceCalAVO" sheetId="29" r:id="rId10"/>
    <sheet name="Output for sales-PM" sheetId="55" r:id="rId11"/>
    <sheet name="Category_output" sheetId="70" state="hidden" r:id="rId12"/>
    <sheet name="Customer offer" sheetId="32" r:id="rId13"/>
    <sheet name="Output for sales" sheetId="45" r:id="rId14"/>
    <sheet name="CompilData" sheetId="54" state="hidden" r:id="rId15"/>
    <sheet name="ExportData" sheetId="68" state="hidden" r:id="rId16"/>
    <sheet name="INPUTCOSTING" sheetId="65" state="hidden" r:id="rId17"/>
    <sheet name="Layout Maker" sheetId="61" r:id="rId18"/>
    <sheet name="H1 2022 - in KEUR" sheetId="51" state="hidden" r:id="rId19"/>
    <sheet name="Financials Parameters" sheetId="12" r:id="rId20"/>
    <sheet name="PL Parameters" sheetId="23" state="hidden" r:id="rId21"/>
  </sheets>
  <definedNames>
    <definedName name="_xlnm._FilterDatabase" localSheetId="20" hidden="1">'PL Parameters'!$B$5:$J$53</definedName>
    <definedName name="_xlnm._FilterDatabase" localSheetId="1" hidden="1">Purchasing!$A$2:$BU$30</definedName>
    <definedName name="_xlnm._FilterDatabase" localSheetId="6" hidden="1">'Transp-Packaging-AMS'!$C$38:$T$50</definedName>
    <definedName name="DonnéesExternes_1" localSheetId="11" hidden="1">'Category_output'!$A$1:$DK$8</definedName>
    <definedName name="DonnéesExternes_1" localSheetId="20" hidden="1">'PL Parameters'!$A$3:$BL$53</definedName>
    <definedName name="DonnéesExternes_2" localSheetId="15" hidden="1">ExportData!$B$2:$BI$7</definedName>
    <definedName name="FP">'Financials Parameters'!$I$5:$CC$16</definedName>
    <definedName name="Liste_BaseVOH">#REF!</definedName>
    <definedName name="Liste_Currency">#REF!</definedName>
    <definedName name="Liste_CurrencyPerPlant">#REF!</definedName>
    <definedName name="Liste_DeliveryFreqDifferentZone">#REF!</definedName>
    <definedName name="Liste_DeliveryFreqSameZone">#REF!</definedName>
    <definedName name="Liste_DLCOST">#REF!</definedName>
    <definedName name="Liste_EdiFreeze">#REF!</definedName>
    <definedName name="Liste_ExternalPaymentTerms">#REF!</definedName>
    <definedName name="Liste_Exworks">#REF!</definedName>
    <definedName name="Liste_HourperYear">#REF!</definedName>
    <definedName name="Liste_InternalPaymentTerms">#REF!</definedName>
    <definedName name="Liste_LeadTimeOtherZone">#REF!</definedName>
    <definedName name="Liste_LeadTimeSameZone">#REF!</definedName>
    <definedName name="Liste_MaxDC">#REF!</definedName>
    <definedName name="Liste_MaxFeePercentage">#REF!</definedName>
    <definedName name="Liste_MaxFOHPercentage">#REF!</definedName>
    <definedName name="Liste_MinDC">#REF!</definedName>
    <definedName name="Liste_MinFeePercentage">#REF!</definedName>
    <definedName name="Liste_MinFOHPercentage">#REF!</definedName>
    <definedName name="Liste_Origine">#REF!</definedName>
    <definedName name="Liste_SafetyStock">#REF!</definedName>
    <definedName name="Liste_TaxeDividend">#REF!</definedName>
    <definedName name="Liste_Taxes">#REF!</definedName>
    <definedName name="Liste_TWCChokes">#REF!</definedName>
    <definedName name="Liste_Zone">#REF!</definedName>
    <definedName name="OD">#REF!</definedName>
    <definedName name="PLANTS" localSheetId="17">#REF!</definedName>
    <definedName name="PLANTS" localSheetId="10">#REF!</definedName>
    <definedName name="PLANTS" localSheetId="1">#REF!</definedName>
    <definedName name="PLANTS" localSheetId="6">#REF!</definedName>
    <definedName name="PLANTS">'Financials Parameters'!$I$5:$I$16</definedName>
    <definedName name="Product_CapexPerM">#REF!</definedName>
    <definedName name="Product_FinalValueRetaining">#REF!</definedName>
    <definedName name="Product_PercentageNPV">#REF!</definedName>
    <definedName name="Product_ToolingToCustomer">#REF!</definedName>
    <definedName name="Product_WIPinPlant">#REF!</definedName>
    <definedName name="Products">#REF!</definedName>
    <definedName name="QuotingCUR">'RFQ Data'!$H$16</definedName>
    <definedName name="search?q_euro_usd_cvid_20db6747e0064a5cb6cb26c851bf6169_aqs_edge.0.0l9.2890j0j1_pglt_43_FORM_ANNAB1_PC_DCTS" localSheetId="19">'Financials Parameters'!$J$15:$J$477</definedName>
    <definedName name="_xlnm.Print_Area" localSheetId="12">'Customer offer'!$B$2:$H$149</definedName>
    <definedName name="_xlnm.Print_Area" localSheetId="2">'Material Cost '!$A$1:$DM$35</definedName>
    <definedName name="_xlnm.Print_Area" localSheetId="0">'RFQ Data'!$B$7:$N$89</definedName>
    <definedName name="_xlnm.Print_Area" localSheetId="6">'Transp-Packaging-AMS'!$B$2:$S$58</definedName>
  </definedNames>
  <calcPr calcId="191029"/>
  <pivotCaches>
    <pivotCache cacheId="5" r:id="rId22"/>
    <pivotCache cacheId="8" r:id="rId23"/>
    <pivotCache cacheId="11" r:id="rId24"/>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xport_database_d2b790ad-1651-4571-97d8-ef088b25a262" name="Export_database" connection="Requête - Export_databas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 i="53" l="1"/>
  <c r="Q7" i="7" l="1"/>
  <c r="Q8" i="7"/>
  <c r="Q9" i="7"/>
  <c r="Q10" i="7"/>
  <c r="Q11" i="7"/>
  <c r="Q12" i="7"/>
  <c r="Q13" i="7"/>
  <c r="O13" i="7" s="1"/>
  <c r="F6" i="7"/>
  <c r="EM6" i="7" s="1"/>
  <c r="F7" i="7"/>
  <c r="F10" i="7"/>
  <c r="F11" i="7"/>
  <c r="BD3" i="63"/>
  <c r="AP3" i="63"/>
  <c r="AB3" i="63"/>
  <c r="Q6" i="7" s="1"/>
  <c r="K10" i="17"/>
  <c r="B10" i="55" s="1"/>
  <c r="C10" i="55" s="1"/>
  <c r="D10" i="55" s="1"/>
  <c r="E10" i="55" s="1"/>
  <c r="F10" i="55" s="1"/>
  <c r="G10" i="55" s="1"/>
  <c r="H10" i="55" s="1"/>
  <c r="K6" i="63"/>
  <c r="F9" i="7" s="1"/>
  <c r="K5" i="63"/>
  <c r="F8" i="7" s="1"/>
  <c r="S8" i="8"/>
  <c r="B62" i="44" s="1"/>
  <c r="K11" i="7"/>
  <c r="DS11" i="7" s="1"/>
  <c r="E7" i="7"/>
  <c r="P3" i="63"/>
  <c r="E6" i="7" s="1"/>
  <c r="O10" i="7"/>
  <c r="EH10" i="7"/>
  <c r="J40" i="53"/>
  <c r="K45" i="53"/>
  <c r="N42" i="53"/>
  <c r="BA8" i="53" s="1"/>
  <c r="F12" i="7"/>
  <c r="C7" i="7"/>
  <c r="B31" i="44" s="1"/>
  <c r="C11" i="7"/>
  <c r="B35" i="44" s="1"/>
  <c r="C10" i="7"/>
  <c r="DR10" i="7" s="1"/>
  <c r="C9" i="7"/>
  <c r="B33" i="44" s="1"/>
  <c r="C8" i="7"/>
  <c r="C6" i="7"/>
  <c r="B30" i="44" s="1"/>
  <c r="D11" i="7"/>
  <c r="D10" i="7"/>
  <c r="D9" i="7"/>
  <c r="D8" i="7"/>
  <c r="D7" i="7"/>
  <c r="D6" i="7"/>
  <c r="E11" i="7"/>
  <c r="E10" i="7"/>
  <c r="E9" i="7"/>
  <c r="E8" i="7"/>
  <c r="I12" i="7"/>
  <c r="AS12" i="7" s="1"/>
  <c r="F36" i="44" s="1"/>
  <c r="I11" i="7"/>
  <c r="BB11" i="7" s="1"/>
  <c r="AR111" i="7" s="1"/>
  <c r="I10" i="7"/>
  <c r="AS10" i="7" s="1"/>
  <c r="F34" i="44" s="1"/>
  <c r="I9" i="7"/>
  <c r="AS9" i="7" s="1"/>
  <c r="I8" i="7"/>
  <c r="I7" i="7"/>
  <c r="I6" i="7"/>
  <c r="BB6" i="7" s="1"/>
  <c r="K13" i="7"/>
  <c r="DS13" i="7" s="1"/>
  <c r="K12" i="7"/>
  <c r="DS12" i="7" s="1"/>
  <c r="K10" i="7"/>
  <c r="DS10" i="7" s="1"/>
  <c r="K9" i="7"/>
  <c r="DS9" i="7" s="1"/>
  <c r="K8" i="7"/>
  <c r="DS8" i="7" s="1"/>
  <c r="K7" i="7"/>
  <c r="DS7" i="7" s="1"/>
  <c r="K6" i="7"/>
  <c r="DS6" i="7" s="1"/>
  <c r="R11" i="7"/>
  <c r="BU11" i="7" s="1"/>
  <c r="R10" i="7"/>
  <c r="BU10" i="7" s="1"/>
  <c r="R9" i="7"/>
  <c r="BU9" i="7" s="1"/>
  <c r="R8" i="7"/>
  <c r="BU8" i="7" s="1"/>
  <c r="R7" i="7"/>
  <c r="BU7" i="7" s="1"/>
  <c r="R6" i="7"/>
  <c r="BU6" i="7" s="1"/>
  <c r="O11" i="7"/>
  <c r="O8" i="7"/>
  <c r="P12" i="7"/>
  <c r="P11" i="7"/>
  <c r="P10" i="7"/>
  <c r="P9" i="7"/>
  <c r="P8" i="7"/>
  <c r="P7" i="7"/>
  <c r="P6" i="7"/>
  <c r="L11" i="7"/>
  <c r="L10" i="7"/>
  <c r="L9" i="7"/>
  <c r="L8" i="7"/>
  <c r="L7" i="7"/>
  <c r="L6" i="7"/>
  <c r="N36" i="61"/>
  <c r="N35" i="61"/>
  <c r="N34" i="61"/>
  <c r="N33" i="61"/>
  <c r="N32" i="61"/>
  <c r="N31" i="61"/>
  <c r="N30" i="61"/>
  <c r="N29" i="61"/>
  <c r="N28" i="61"/>
  <c r="N27" i="61"/>
  <c r="N26" i="61"/>
  <c r="N25" i="61"/>
  <c r="N24" i="61"/>
  <c r="N23" i="61"/>
  <c r="N22" i="61"/>
  <c r="N21" i="61"/>
  <c r="N20" i="61"/>
  <c r="N19" i="61"/>
  <c r="N18" i="61"/>
  <c r="N17" i="61"/>
  <c r="N16" i="61"/>
  <c r="M36" i="61"/>
  <c r="M35" i="61"/>
  <c r="M34" i="61"/>
  <c r="M33" i="61"/>
  <c r="M32" i="61"/>
  <c r="M31" i="61"/>
  <c r="M30" i="61"/>
  <c r="M29" i="61"/>
  <c r="M28" i="61"/>
  <c r="M27" i="61"/>
  <c r="M26" i="61"/>
  <c r="M25" i="61"/>
  <c r="M24" i="61"/>
  <c r="M23" i="61"/>
  <c r="M22" i="61"/>
  <c r="M21" i="61"/>
  <c r="M20" i="61"/>
  <c r="M19" i="61"/>
  <c r="M18" i="61"/>
  <c r="M17" i="61"/>
  <c r="F4" i="8"/>
  <c r="M16" i="61" s="1"/>
  <c r="B15" i="55"/>
  <c r="D15" i="55"/>
  <c r="B14" i="55"/>
  <c r="F14" i="55" s="1"/>
  <c r="B6" i="55"/>
  <c r="C6" i="55" s="1"/>
  <c r="D6" i="55" s="1"/>
  <c r="E6" i="55" s="1"/>
  <c r="F6" i="55" s="1"/>
  <c r="G6" i="55" s="1"/>
  <c r="H6" i="55" s="1"/>
  <c r="H12" i="55"/>
  <c r="G12" i="55"/>
  <c r="F12" i="55"/>
  <c r="E12" i="55"/>
  <c r="B9" i="55"/>
  <c r="C9" i="55" s="1"/>
  <c r="D9" i="55" s="1"/>
  <c r="E9" i="55" s="1"/>
  <c r="F9" i="55" s="1"/>
  <c r="G9" i="55" s="1"/>
  <c r="H9" i="55" s="1"/>
  <c r="C8" i="55"/>
  <c r="D8" i="55" s="1"/>
  <c r="E8" i="55" s="1"/>
  <c r="F8" i="55" s="1"/>
  <c r="G8" i="55" s="1"/>
  <c r="H8" i="55" s="1"/>
  <c r="B7" i="55"/>
  <c r="H7" i="55"/>
  <c r="G7" i="55"/>
  <c r="F7" i="55"/>
  <c r="E7" i="55"/>
  <c r="D7" i="55"/>
  <c r="B18" i="55"/>
  <c r="H18" i="55" s="1"/>
  <c r="B17" i="55"/>
  <c r="G17" i="55" s="1"/>
  <c r="B16" i="55"/>
  <c r="A16" i="55"/>
  <c r="B13" i="55"/>
  <c r="H13" i="55" s="1"/>
  <c r="D12" i="55"/>
  <c r="B12" i="55"/>
  <c r="C12" i="55" s="1"/>
  <c r="A12" i="55"/>
  <c r="B11" i="55"/>
  <c r="C11" i="55" s="1"/>
  <c r="D11" i="55" s="1"/>
  <c r="E11" i="55" s="1"/>
  <c r="F11" i="55" s="1"/>
  <c r="G11" i="55" s="1"/>
  <c r="H11" i="55" s="1"/>
  <c r="A11" i="55"/>
  <c r="C7" i="55"/>
  <c r="A7" i="55"/>
  <c r="A6" i="55"/>
  <c r="C31" i="32"/>
  <c r="C30" i="32"/>
  <c r="G44" i="55"/>
  <c r="F44" i="55"/>
  <c r="E44" i="55"/>
  <c r="D44" i="55"/>
  <c r="C44" i="55"/>
  <c r="B44" i="55"/>
  <c r="H44" i="55"/>
  <c r="H29" i="55"/>
  <c r="G29" i="55"/>
  <c r="G22" i="54" s="1"/>
  <c r="B29" i="55"/>
  <c r="H61" i="29"/>
  <c r="H50" i="29" s="1"/>
  <c r="A8" i="29"/>
  <c r="G3" i="29"/>
  <c r="H46" i="32" s="1"/>
  <c r="B3" i="29"/>
  <c r="C46" i="32" s="1"/>
  <c r="G2" i="29"/>
  <c r="F2" i="29"/>
  <c r="E2" i="29"/>
  <c r="D2" i="29"/>
  <c r="C2" i="29"/>
  <c r="B2" i="29"/>
  <c r="B1" i="29"/>
  <c r="B51" i="29"/>
  <c r="AU8" i="53"/>
  <c r="K14" i="45" s="1"/>
  <c r="BS18" i="53"/>
  <c r="H26" i="44"/>
  <c r="G26" i="44"/>
  <c r="G75" i="32" s="1"/>
  <c r="F26" i="44"/>
  <c r="F75" i="32" s="1"/>
  <c r="E26" i="44"/>
  <c r="E75" i="32" s="1"/>
  <c r="D26" i="44"/>
  <c r="D75" i="32" s="1"/>
  <c r="M40" i="53"/>
  <c r="AU30" i="53" s="1"/>
  <c r="BM30" i="53" s="1"/>
  <c r="BS30" i="53" s="1"/>
  <c r="N52" i="53"/>
  <c r="P52" i="53" s="1"/>
  <c r="K52" i="53"/>
  <c r="N51" i="53"/>
  <c r="P51" i="53" s="1"/>
  <c r="K51" i="53"/>
  <c r="U47" i="53"/>
  <c r="N54" i="53"/>
  <c r="P54" i="53" s="1"/>
  <c r="N53" i="53"/>
  <c r="P53" i="53" s="1"/>
  <c r="N50" i="53"/>
  <c r="P50" i="53" s="1"/>
  <c r="AL51" i="53"/>
  <c r="AL50" i="53"/>
  <c r="AL49" i="53"/>
  <c r="N49" i="53"/>
  <c r="P49" i="53" s="1"/>
  <c r="F47" i="53"/>
  <c r="F46" i="53"/>
  <c r="U46" i="53"/>
  <c r="F43" i="53"/>
  <c r="U43" i="53" s="1"/>
  <c r="AI71" i="53"/>
  <c r="AK71" i="53" s="1"/>
  <c r="AI72" i="53"/>
  <c r="AK72" i="53" s="1"/>
  <c r="F42" i="53"/>
  <c r="U42" i="53" s="1"/>
  <c r="F41" i="53"/>
  <c r="F40" i="53"/>
  <c r="U40" i="53" s="1"/>
  <c r="K54" i="53"/>
  <c r="K53" i="53"/>
  <c r="K49" i="53"/>
  <c r="K50" i="53"/>
  <c r="F44" i="53"/>
  <c r="U44" i="53" s="1"/>
  <c r="AT38" i="53"/>
  <c r="N44" i="53"/>
  <c r="BA10" i="53" s="1"/>
  <c r="M44" i="53"/>
  <c r="Z30" i="8"/>
  <c r="B112" i="44" s="1"/>
  <c r="Z29" i="8"/>
  <c r="B111" i="44" s="1"/>
  <c r="Z28" i="8"/>
  <c r="B110" i="44" s="1"/>
  <c r="Z27" i="8"/>
  <c r="B109" i="44" s="1"/>
  <c r="Z26" i="8"/>
  <c r="B108" i="44" s="1"/>
  <c r="Z25" i="8"/>
  <c r="B107" i="44" s="1"/>
  <c r="Z24" i="8"/>
  <c r="B106" i="44" s="1"/>
  <c r="Z23" i="8"/>
  <c r="B105" i="44" s="1"/>
  <c r="Z22" i="8"/>
  <c r="B104" i="44" s="1"/>
  <c r="Z21" i="8"/>
  <c r="B103" i="44" s="1"/>
  <c r="Z20" i="8"/>
  <c r="B102" i="44" s="1"/>
  <c r="Z19" i="8"/>
  <c r="B101" i="44" s="1"/>
  <c r="Z18" i="8"/>
  <c r="B100" i="44" s="1"/>
  <c r="Z17" i="8"/>
  <c r="B99" i="44" s="1"/>
  <c r="Z16" i="8"/>
  <c r="B98" i="44" s="1"/>
  <c r="Z15" i="8"/>
  <c r="B97" i="44" s="1"/>
  <c r="Z14" i="8"/>
  <c r="B96" i="44" s="1"/>
  <c r="Z13" i="8"/>
  <c r="B95" i="44" s="1"/>
  <c r="Z12" i="8"/>
  <c r="B94" i="44" s="1"/>
  <c r="Z11" i="8"/>
  <c r="B93" i="44" s="1"/>
  <c r="Z10" i="8"/>
  <c r="B92" i="44" s="1"/>
  <c r="Z9" i="8"/>
  <c r="B91" i="44" s="1"/>
  <c r="Z8" i="8"/>
  <c r="B90" i="44" s="1"/>
  <c r="Z7" i="8"/>
  <c r="B89" i="44" s="1"/>
  <c r="Z6" i="8"/>
  <c r="B88" i="44" s="1"/>
  <c r="Z5" i="8"/>
  <c r="B87" i="44" s="1"/>
  <c r="Z4" i="8"/>
  <c r="B86" i="44" s="1"/>
  <c r="S30" i="8"/>
  <c r="B84" i="44" s="1"/>
  <c r="S29" i="8"/>
  <c r="B30" i="28" s="1"/>
  <c r="S28" i="8"/>
  <c r="B29" i="28" s="1"/>
  <c r="S27" i="8"/>
  <c r="B81" i="44" s="1"/>
  <c r="S26" i="8"/>
  <c r="S25" i="8"/>
  <c r="B79" i="44" s="1"/>
  <c r="S24" i="8"/>
  <c r="B78" i="44" s="1"/>
  <c r="S23" i="8"/>
  <c r="B24" i="28" s="1"/>
  <c r="S22" i="8"/>
  <c r="S21" i="8"/>
  <c r="S20" i="8"/>
  <c r="B74" i="44" s="1"/>
  <c r="S19" i="8"/>
  <c r="S18" i="8"/>
  <c r="S17" i="8"/>
  <c r="B71" i="44" s="1"/>
  <c r="S16" i="8"/>
  <c r="S15" i="8"/>
  <c r="S14" i="8"/>
  <c r="B68" i="44" s="1"/>
  <c r="S13" i="8"/>
  <c r="B14" i="28" s="1"/>
  <c r="S12" i="8"/>
  <c r="B66" i="44" s="1"/>
  <c r="S11" i="8"/>
  <c r="S10" i="8"/>
  <c r="B64" i="44" s="1"/>
  <c r="S9" i="8"/>
  <c r="S7" i="8"/>
  <c r="B8" i="28" s="1"/>
  <c r="S6" i="8"/>
  <c r="B7" i="28" s="1"/>
  <c r="S5" i="8"/>
  <c r="B6" i="28" s="1"/>
  <c r="S4" i="8"/>
  <c r="B58" i="44"/>
  <c r="H18" i="12"/>
  <c r="G18" i="12"/>
  <c r="F18" i="12"/>
  <c r="E18" i="12"/>
  <c r="D18" i="12"/>
  <c r="C10" i="54"/>
  <c r="K11" i="54"/>
  <c r="G5" i="54"/>
  <c r="E5" i="54"/>
  <c r="F5" i="54"/>
  <c r="D5" i="54"/>
  <c r="B74" i="55"/>
  <c r="H84" i="55"/>
  <c r="H73" i="55" s="1"/>
  <c r="H70" i="55"/>
  <c r="AB62" i="55"/>
  <c r="AB61" i="55"/>
  <c r="AB58" i="55"/>
  <c r="C3" i="54"/>
  <c r="D3" i="54" s="1"/>
  <c r="G3" i="54"/>
  <c r="C4" i="54"/>
  <c r="G4" i="54" s="1"/>
  <c r="C6" i="54"/>
  <c r="E6" i="54" s="1"/>
  <c r="C8" i="54"/>
  <c r="C9" i="54"/>
  <c r="C13" i="54"/>
  <c r="C14" i="54"/>
  <c r="G14" i="54" s="1"/>
  <c r="C15" i="54"/>
  <c r="B31" i="8"/>
  <c r="DJ31" i="8" s="1"/>
  <c r="B30" i="8"/>
  <c r="DJ30" i="8" s="1"/>
  <c r="B29" i="8"/>
  <c r="DJ29" i="8" s="1"/>
  <c r="B28" i="8"/>
  <c r="DJ28" i="8" s="1"/>
  <c r="B27" i="8"/>
  <c r="DJ27" i="8" s="1"/>
  <c r="B26" i="8"/>
  <c r="DJ26" i="8" s="1"/>
  <c r="B25" i="8"/>
  <c r="DJ25" i="8" s="1"/>
  <c r="B24" i="8"/>
  <c r="DJ24" i="8" s="1"/>
  <c r="B23" i="8"/>
  <c r="DJ23" i="8" s="1"/>
  <c r="B22" i="8"/>
  <c r="DJ22" i="8" s="1"/>
  <c r="B21" i="8"/>
  <c r="DJ21" i="8" s="1"/>
  <c r="B20" i="8"/>
  <c r="DJ20" i="8" s="1"/>
  <c r="B19" i="8"/>
  <c r="DJ19" i="8"/>
  <c r="B18" i="8"/>
  <c r="DJ18" i="8" s="1"/>
  <c r="B17" i="8"/>
  <c r="DJ17" i="8" s="1"/>
  <c r="B16" i="8"/>
  <c r="DJ16" i="8" s="1"/>
  <c r="B15" i="8"/>
  <c r="DJ15" i="8" s="1"/>
  <c r="B14" i="8"/>
  <c r="DJ14" i="8" s="1"/>
  <c r="B13" i="8"/>
  <c r="DJ13" i="8" s="1"/>
  <c r="B12" i="8"/>
  <c r="DJ12" i="8" s="1"/>
  <c r="B11" i="8"/>
  <c r="DJ11" i="8" s="1"/>
  <c r="B10" i="8"/>
  <c r="DJ10" i="8" s="1"/>
  <c r="B9" i="8"/>
  <c r="DJ9" i="8" s="1"/>
  <c r="B8" i="8"/>
  <c r="DJ8" i="8" s="1"/>
  <c r="B7" i="8"/>
  <c r="DJ7" i="8" s="1"/>
  <c r="B6" i="8"/>
  <c r="DJ6" i="8" s="1"/>
  <c r="B5" i="8"/>
  <c r="DJ5" i="8" s="1"/>
  <c r="B4" i="8"/>
  <c r="DJ4" i="8" s="1"/>
  <c r="B13" i="54"/>
  <c r="B9" i="54"/>
  <c r="B8" i="54"/>
  <c r="B4" i="54"/>
  <c r="B3" i="54"/>
  <c r="B19" i="54"/>
  <c r="AB33" i="12"/>
  <c r="B13" i="51"/>
  <c r="N12" i="51"/>
  <c r="M12" i="51"/>
  <c r="B12" i="51"/>
  <c r="T12" i="51" s="1"/>
  <c r="AL30" i="8"/>
  <c r="AL29" i="8"/>
  <c r="AL28" i="8"/>
  <c r="AL27" i="8"/>
  <c r="AL26" i="8"/>
  <c r="AL25" i="8"/>
  <c r="AL24" i="8"/>
  <c r="AL23" i="8"/>
  <c r="AL22" i="8"/>
  <c r="AL21" i="8"/>
  <c r="AL20" i="8"/>
  <c r="AL19" i="8"/>
  <c r="AL18" i="8"/>
  <c r="AL17" i="8"/>
  <c r="AL16" i="8"/>
  <c r="AL15" i="8"/>
  <c r="AL14" i="8"/>
  <c r="AL13" i="8"/>
  <c r="AL12" i="8"/>
  <c r="AL11" i="8"/>
  <c r="AL10" i="8"/>
  <c r="AL9" i="8"/>
  <c r="AL8" i="8"/>
  <c r="AL7" i="8"/>
  <c r="AL6" i="8"/>
  <c r="AL5" i="8"/>
  <c r="AL4" i="8"/>
  <c r="AR95" i="53"/>
  <c r="AT95" i="53" s="1"/>
  <c r="AR94" i="53"/>
  <c r="AR93" i="53"/>
  <c r="AT93" i="53" s="1"/>
  <c r="AR92" i="53"/>
  <c r="AT92" i="53" s="1"/>
  <c r="AR91" i="53"/>
  <c r="AR90" i="53"/>
  <c r="AT90" i="53" s="1"/>
  <c r="AT91" i="53" s="1"/>
  <c r="AR89" i="53"/>
  <c r="AT89" i="53" s="1"/>
  <c r="AR88" i="53"/>
  <c r="AT88" i="53" s="1"/>
  <c r="AR87" i="53"/>
  <c r="AT87" i="53" s="1"/>
  <c r="AR86" i="53"/>
  <c r="AT86" i="53" s="1"/>
  <c r="AT94" i="53" s="1"/>
  <c r="AR85" i="53"/>
  <c r="AT85" i="53" s="1"/>
  <c r="AR84" i="53"/>
  <c r="AT84" i="53" s="1"/>
  <c r="G6" i="7"/>
  <c r="M8" i="7"/>
  <c r="L22" i="7"/>
  <c r="L21" i="7"/>
  <c r="L20" i="7"/>
  <c r="L19" i="7"/>
  <c r="L18" i="7"/>
  <c r="L17" i="7"/>
  <c r="L16" i="7"/>
  <c r="L15" i="7"/>
  <c r="L14" i="7"/>
  <c r="L13" i="7"/>
  <c r="L12" i="7"/>
  <c r="H6" i="7"/>
  <c r="Z34" i="7"/>
  <c r="DO34" i="7" s="1"/>
  <c r="L33" i="7"/>
  <c r="L32" i="7"/>
  <c r="L31" i="7"/>
  <c r="L30" i="7"/>
  <c r="L29" i="7"/>
  <c r="L28" i="7"/>
  <c r="L27" i="7"/>
  <c r="L26" i="7"/>
  <c r="L25" i="7"/>
  <c r="L24" i="7"/>
  <c r="L23" i="7"/>
  <c r="R33" i="7"/>
  <c r="BU33" i="7" s="1"/>
  <c r="R32" i="7"/>
  <c r="BU32" i="7" s="1"/>
  <c r="R31" i="7"/>
  <c r="BU31" i="7" s="1"/>
  <c r="R30" i="7"/>
  <c r="BU30" i="7" s="1"/>
  <c r="R29" i="7"/>
  <c r="BU29" i="7" s="1"/>
  <c r="R28" i="7"/>
  <c r="BU28" i="7" s="1"/>
  <c r="R27" i="7"/>
  <c r="BU27" i="7" s="1"/>
  <c r="R26" i="7"/>
  <c r="BU26" i="7" s="1"/>
  <c r="R25" i="7"/>
  <c r="BU25" i="7" s="1"/>
  <c r="R24" i="7"/>
  <c r="BU24" i="7" s="1"/>
  <c r="R23" i="7"/>
  <c r="BU23" i="7" s="1"/>
  <c r="R22" i="7"/>
  <c r="BU22" i="7" s="1"/>
  <c r="R21" i="7"/>
  <c r="BU21" i="7" s="1"/>
  <c r="R20" i="7"/>
  <c r="BU20" i="7" s="1"/>
  <c r="R19" i="7"/>
  <c r="BU19" i="7" s="1"/>
  <c r="R18" i="7"/>
  <c r="BU18" i="7" s="1"/>
  <c r="R17" i="7"/>
  <c r="BU17" i="7" s="1"/>
  <c r="R16" i="7"/>
  <c r="BU16" i="7" s="1"/>
  <c r="R15" i="7"/>
  <c r="BU15" i="7" s="1"/>
  <c r="R14" i="7"/>
  <c r="BU14" i="7" s="1"/>
  <c r="R13" i="7"/>
  <c r="BU13" i="7" s="1"/>
  <c r="R12" i="7"/>
  <c r="BU12" i="7" s="1"/>
  <c r="F33" i="7"/>
  <c r="EH33" i="7" s="1"/>
  <c r="F32" i="7"/>
  <c r="F31" i="7"/>
  <c r="F30" i="7"/>
  <c r="F29" i="7"/>
  <c r="F28" i="7"/>
  <c r="EH28" i="7" s="1"/>
  <c r="F27" i="7"/>
  <c r="EL27" i="7" s="1"/>
  <c r="F26" i="7"/>
  <c r="F25" i="7"/>
  <c r="EJ25" i="7" s="1"/>
  <c r="F24" i="7"/>
  <c r="EJ24" i="7" s="1"/>
  <c r="F23" i="7"/>
  <c r="F22" i="7"/>
  <c r="EJ22" i="7" s="1"/>
  <c r="F21" i="7"/>
  <c r="F20" i="7"/>
  <c r="EK20" i="7" s="1"/>
  <c r="F19" i="7"/>
  <c r="F18" i="7"/>
  <c r="EL18" i="7" s="1"/>
  <c r="F17" i="7"/>
  <c r="EK17" i="7" s="1"/>
  <c r="F16" i="7"/>
  <c r="F15" i="7"/>
  <c r="F14" i="7"/>
  <c r="F13" i="7"/>
  <c r="EH13" i="7" s="1"/>
  <c r="BF3" i="12"/>
  <c r="BG3" i="12" s="1"/>
  <c r="BH3" i="12" s="1"/>
  <c r="BI3" i="12" s="1"/>
  <c r="BJ3" i="12" s="1"/>
  <c r="BK3" i="12" s="1"/>
  <c r="BL3" i="12" s="1"/>
  <c r="BM3" i="12" s="1"/>
  <c r="BN3" i="12" s="1"/>
  <c r="BO3" i="12" s="1"/>
  <c r="BP3" i="12" s="1"/>
  <c r="BQ3" i="12" s="1"/>
  <c r="BR3" i="12" s="1"/>
  <c r="BS3" i="12" s="1"/>
  <c r="BT3" i="12" s="1"/>
  <c r="BU3" i="12" s="1"/>
  <c r="BV3" i="12" s="1"/>
  <c r="BW3" i="12" s="1"/>
  <c r="BX3" i="12" s="1"/>
  <c r="BY3" i="12" s="1"/>
  <c r="BZ3" i="12" s="1"/>
  <c r="CA3" i="12" s="1"/>
  <c r="CB3" i="12" s="1"/>
  <c r="BP17" i="12"/>
  <c r="BM17" i="12"/>
  <c r="BG17" i="12"/>
  <c r="BI17" i="12" s="1"/>
  <c r="BP16" i="12"/>
  <c r="BM16" i="12"/>
  <c r="BG16" i="12"/>
  <c r="BI16" i="12" s="1"/>
  <c r="BT16" i="12" s="1"/>
  <c r="Y15" i="12" s="1"/>
  <c r="BQ15" i="12"/>
  <c r="BP15" i="12"/>
  <c r="BN15" i="12"/>
  <c r="BM15" i="12"/>
  <c r="BH15" i="12"/>
  <c r="BF15" i="12"/>
  <c r="BG15" i="12" s="1"/>
  <c r="BQ14" i="12"/>
  <c r="BP14" i="12"/>
  <c r="BN14" i="12"/>
  <c r="BM14" i="12"/>
  <c r="BF14" i="12"/>
  <c r="BG14" i="12" s="1"/>
  <c r="BI14" i="12" s="1"/>
  <c r="BQ13" i="12"/>
  <c r="BP13" i="12"/>
  <c r="BN13" i="12"/>
  <c r="BM13" i="12"/>
  <c r="BF13" i="12"/>
  <c r="BG13" i="12" s="1"/>
  <c r="BI13" i="12" s="1"/>
  <c r="BV13" i="12"/>
  <c r="BP12" i="12"/>
  <c r="BM12" i="12"/>
  <c r="BH12" i="12"/>
  <c r="BG12" i="12"/>
  <c r="CB11" i="12"/>
  <c r="BP11" i="12"/>
  <c r="BM11" i="12"/>
  <c r="BG11" i="12"/>
  <c r="BI11" i="12" s="1"/>
  <c r="BT11" i="12" s="1"/>
  <c r="BV11" i="12" s="1"/>
  <c r="BP10" i="12"/>
  <c r="BM10" i="12"/>
  <c r="BG10" i="12"/>
  <c r="BI10" i="12" s="1"/>
  <c r="BT10" i="12" s="1"/>
  <c r="Y6" i="12" s="1"/>
  <c r="BP9" i="12"/>
  <c r="BM9" i="12"/>
  <c r="BG9" i="12"/>
  <c r="BI9" i="12" s="1"/>
  <c r="BP8" i="12"/>
  <c r="BM8" i="12"/>
  <c r="BG8" i="12"/>
  <c r="BI8" i="12" s="1"/>
  <c r="BP7" i="12"/>
  <c r="BM7" i="12"/>
  <c r="BH7" i="12"/>
  <c r="BG7" i="12"/>
  <c r="BO6" i="12"/>
  <c r="BP6" i="12" s="1"/>
  <c r="BM6" i="12"/>
  <c r="BG6" i="12"/>
  <c r="BI6" i="12" s="1"/>
  <c r="BT6" i="12" s="1"/>
  <c r="G7" i="7"/>
  <c r="H7" i="7"/>
  <c r="G8" i="7"/>
  <c r="H8" i="7"/>
  <c r="G9" i="7"/>
  <c r="H9" i="7"/>
  <c r="G10" i="7"/>
  <c r="H10" i="7"/>
  <c r="G11" i="7"/>
  <c r="H11" i="7"/>
  <c r="C12" i="7"/>
  <c r="B36" i="44" s="1"/>
  <c r="D12" i="7"/>
  <c r="E12" i="7"/>
  <c r="G12" i="7"/>
  <c r="H12" i="7"/>
  <c r="C13" i="7"/>
  <c r="B37" i="44" s="1"/>
  <c r="D13" i="7"/>
  <c r="E13" i="7"/>
  <c r="G13" i="7"/>
  <c r="H13" i="7"/>
  <c r="I13" i="7"/>
  <c r="C14" i="7"/>
  <c r="D14" i="7"/>
  <c r="E14" i="7"/>
  <c r="G14" i="7"/>
  <c r="H14" i="7"/>
  <c r="I14" i="7"/>
  <c r="AS14" i="7" s="1"/>
  <c r="F38" i="44" s="1"/>
  <c r="C15" i="7"/>
  <c r="D15" i="7"/>
  <c r="E15" i="7"/>
  <c r="G15" i="7"/>
  <c r="H15" i="7"/>
  <c r="I15" i="7"/>
  <c r="BB15" i="7" s="1"/>
  <c r="AR115" i="7" s="1"/>
  <c r="C16" i="7"/>
  <c r="DG16" i="7" s="1"/>
  <c r="D16" i="7"/>
  <c r="E16" i="7"/>
  <c r="G16" i="7"/>
  <c r="H16" i="7"/>
  <c r="I16" i="7"/>
  <c r="C17" i="7"/>
  <c r="D17" i="7"/>
  <c r="E17" i="7"/>
  <c r="G17" i="7"/>
  <c r="H17" i="7"/>
  <c r="I17" i="7"/>
  <c r="C18" i="7"/>
  <c r="D18" i="7"/>
  <c r="E18" i="7"/>
  <c r="G18" i="7"/>
  <c r="H18" i="7"/>
  <c r="I18" i="7"/>
  <c r="C19" i="7"/>
  <c r="D19" i="7"/>
  <c r="E19" i="7"/>
  <c r="G19" i="7"/>
  <c r="H19" i="7"/>
  <c r="I19" i="7"/>
  <c r="C20" i="7"/>
  <c r="DR20" i="7" s="1"/>
  <c r="D20" i="7"/>
  <c r="E20" i="7"/>
  <c r="G20" i="7"/>
  <c r="H20" i="7"/>
  <c r="I20" i="7"/>
  <c r="C21" i="7"/>
  <c r="B45" i="44" s="1"/>
  <c r="D21" i="7"/>
  <c r="E21" i="7"/>
  <c r="G21" i="7"/>
  <c r="H21" i="7"/>
  <c r="I21" i="7"/>
  <c r="BB21" i="7" s="1"/>
  <c r="AR121" i="7" s="1"/>
  <c r="C22" i="7"/>
  <c r="D22" i="7"/>
  <c r="E22" i="7"/>
  <c r="G22" i="7"/>
  <c r="H22" i="7"/>
  <c r="I22" i="7"/>
  <c r="BB22" i="7" s="1"/>
  <c r="AR122" i="7" s="1"/>
  <c r="C23" i="7"/>
  <c r="B47" i="44" s="1"/>
  <c r="D23" i="7"/>
  <c r="E23" i="7"/>
  <c r="G23" i="7"/>
  <c r="H23" i="7"/>
  <c r="I23" i="7"/>
  <c r="C24" i="7"/>
  <c r="B48" i="44" s="1"/>
  <c r="D24" i="7"/>
  <c r="E24" i="7"/>
  <c r="G24" i="7"/>
  <c r="H24" i="7"/>
  <c r="I24" i="7"/>
  <c r="BB24" i="7" s="1"/>
  <c r="AR124" i="7" s="1"/>
  <c r="C25" i="7"/>
  <c r="D25" i="7"/>
  <c r="E25" i="7"/>
  <c r="G25" i="7"/>
  <c r="H25" i="7"/>
  <c r="I25" i="7"/>
  <c r="C26" i="7"/>
  <c r="DG26" i="7" s="1"/>
  <c r="D26" i="7"/>
  <c r="E26" i="7"/>
  <c r="G26" i="7"/>
  <c r="H26" i="7"/>
  <c r="I26" i="7"/>
  <c r="AS26" i="7" s="1"/>
  <c r="F50" i="44" s="1"/>
  <c r="C27" i="7"/>
  <c r="DR27" i="7" s="1"/>
  <c r="D27" i="7"/>
  <c r="E27" i="7"/>
  <c r="G27" i="7"/>
  <c r="H27" i="7"/>
  <c r="I27" i="7"/>
  <c r="BB27" i="7" s="1"/>
  <c r="AR127" i="7" s="1"/>
  <c r="C28" i="7"/>
  <c r="D28" i="7"/>
  <c r="E28" i="7"/>
  <c r="G28" i="7"/>
  <c r="H28" i="7"/>
  <c r="I28" i="7"/>
  <c r="BB28" i="7" s="1"/>
  <c r="AR128" i="7" s="1"/>
  <c r="C29" i="7"/>
  <c r="D29" i="7"/>
  <c r="E29" i="7"/>
  <c r="G29" i="7"/>
  <c r="H29" i="7"/>
  <c r="I29" i="7"/>
  <c r="C30" i="7"/>
  <c r="B54" i="44" s="1"/>
  <c r="D30" i="7"/>
  <c r="E30" i="7"/>
  <c r="G30" i="7"/>
  <c r="H30" i="7"/>
  <c r="I30" i="7"/>
  <c r="C31" i="7"/>
  <c r="D31" i="7"/>
  <c r="E31" i="7"/>
  <c r="G31" i="7"/>
  <c r="H31" i="7"/>
  <c r="I31" i="7"/>
  <c r="C32" i="7"/>
  <c r="DG32" i="7" s="1"/>
  <c r="D32" i="7"/>
  <c r="E32" i="7"/>
  <c r="G32" i="7"/>
  <c r="H32" i="7"/>
  <c r="I32" i="7"/>
  <c r="C33" i="7"/>
  <c r="D33" i="7"/>
  <c r="E33" i="7"/>
  <c r="G33" i="7"/>
  <c r="H33" i="7"/>
  <c r="I33" i="7"/>
  <c r="BB33" i="7" s="1"/>
  <c r="AR133" i="7" s="1"/>
  <c r="M7" i="7"/>
  <c r="M9" i="7"/>
  <c r="M10" i="7"/>
  <c r="M11" i="7"/>
  <c r="M12" i="7"/>
  <c r="M13" i="7"/>
  <c r="M14" i="7"/>
  <c r="M15" i="7"/>
  <c r="M16" i="7"/>
  <c r="M17" i="7"/>
  <c r="M18" i="7"/>
  <c r="M19" i="7"/>
  <c r="M20" i="7"/>
  <c r="M21" i="7"/>
  <c r="M22" i="7"/>
  <c r="M23" i="7"/>
  <c r="M24" i="7"/>
  <c r="M25" i="7"/>
  <c r="M26" i="7"/>
  <c r="M27" i="7"/>
  <c r="M28" i="7"/>
  <c r="M29" i="7"/>
  <c r="M30" i="7"/>
  <c r="M31" i="7"/>
  <c r="M32" i="7"/>
  <c r="M33" i="7"/>
  <c r="M6" i="7"/>
  <c r="P13" i="7"/>
  <c r="P14" i="7"/>
  <c r="P15" i="7"/>
  <c r="P16" i="7"/>
  <c r="P17" i="7"/>
  <c r="P18" i="7"/>
  <c r="P19" i="7"/>
  <c r="P20" i="7"/>
  <c r="P21" i="7"/>
  <c r="P22" i="7"/>
  <c r="P23" i="7"/>
  <c r="P24" i="7"/>
  <c r="P25" i="7"/>
  <c r="P26" i="7"/>
  <c r="P27" i="7"/>
  <c r="P28" i="7"/>
  <c r="P29" i="7"/>
  <c r="P30" i="7"/>
  <c r="P31" i="7"/>
  <c r="P32" i="7"/>
  <c r="P33" i="7"/>
  <c r="K14" i="7"/>
  <c r="DS14" i="7" s="1"/>
  <c r="K15" i="7"/>
  <c r="DS15" i="7" s="1"/>
  <c r="K16" i="7"/>
  <c r="DS16" i="7" s="1"/>
  <c r="K17" i="7"/>
  <c r="DS17" i="7" s="1"/>
  <c r="K18" i="7"/>
  <c r="DS18" i="7" s="1"/>
  <c r="K19" i="7"/>
  <c r="DS19" i="7" s="1"/>
  <c r="K20" i="7"/>
  <c r="DS20" i="7" s="1"/>
  <c r="K21" i="7"/>
  <c r="DS21" i="7" s="1"/>
  <c r="K22" i="7"/>
  <c r="DS22" i="7" s="1"/>
  <c r="K23" i="7"/>
  <c r="DS23" i="7" s="1"/>
  <c r="K24" i="7"/>
  <c r="DS24" i="7" s="1"/>
  <c r="K25" i="7"/>
  <c r="DS25" i="7" s="1"/>
  <c r="K26" i="7"/>
  <c r="DS26" i="7" s="1"/>
  <c r="K27" i="7"/>
  <c r="DS27" i="7" s="1"/>
  <c r="K28" i="7"/>
  <c r="DS28" i="7" s="1"/>
  <c r="K29" i="7"/>
  <c r="DS29" i="7" s="1"/>
  <c r="K30" i="7"/>
  <c r="DS30" i="7" s="1"/>
  <c r="K31" i="7"/>
  <c r="DS31" i="7" s="1"/>
  <c r="K32" i="7"/>
  <c r="DS32" i="7" s="1"/>
  <c r="K33" i="7"/>
  <c r="DS33" i="7" s="1"/>
  <c r="O12" i="7"/>
  <c r="Q14" i="7"/>
  <c r="O14" i="7" s="1"/>
  <c r="Q15" i="7"/>
  <c r="O15" i="7" s="1"/>
  <c r="Q16" i="7"/>
  <c r="O16" i="7" s="1"/>
  <c r="Q17" i="7"/>
  <c r="O17" i="7" s="1"/>
  <c r="Q18" i="7"/>
  <c r="O18" i="7" s="1"/>
  <c r="Q19" i="7"/>
  <c r="O19" i="7" s="1"/>
  <c r="Q20" i="7"/>
  <c r="O20" i="7" s="1"/>
  <c r="Q21" i="7"/>
  <c r="O21" i="7" s="1"/>
  <c r="Q22" i="7"/>
  <c r="O22" i="7" s="1"/>
  <c r="Q23" i="7"/>
  <c r="O23" i="7" s="1"/>
  <c r="Q24" i="7"/>
  <c r="O24" i="7" s="1"/>
  <c r="Q25" i="7"/>
  <c r="O25" i="7" s="1"/>
  <c r="Q26" i="7"/>
  <c r="O26" i="7" s="1"/>
  <c r="Q27" i="7"/>
  <c r="O27" i="7" s="1"/>
  <c r="Q28" i="7"/>
  <c r="O28" i="7" s="1"/>
  <c r="Q29" i="7"/>
  <c r="O29" i="7" s="1"/>
  <c r="Q30" i="7"/>
  <c r="O30" i="7" s="1"/>
  <c r="Q31" i="7"/>
  <c r="O31" i="7" s="1"/>
  <c r="Q32" i="7"/>
  <c r="O32" i="7" s="1"/>
  <c r="Q33" i="7"/>
  <c r="O33" i="7" s="1"/>
  <c r="BV4" i="63"/>
  <c r="BW4" i="63"/>
  <c r="BX4" i="63"/>
  <c r="BV5" i="63"/>
  <c r="BW5" i="63"/>
  <c r="BX5" i="63"/>
  <c r="BV6" i="63"/>
  <c r="BW6" i="63"/>
  <c r="BX6" i="63"/>
  <c r="BV7" i="63"/>
  <c r="BW7" i="63"/>
  <c r="BX7" i="63"/>
  <c r="BV8" i="63"/>
  <c r="BW8" i="63"/>
  <c r="BX8" i="63"/>
  <c r="BV9" i="63"/>
  <c r="BW9" i="63"/>
  <c r="BX9" i="63"/>
  <c r="BV10" i="63"/>
  <c r="BW10" i="63"/>
  <c r="BX10" i="63"/>
  <c r="BV11" i="63"/>
  <c r="BW11" i="63"/>
  <c r="BX11" i="63"/>
  <c r="BV12" i="63"/>
  <c r="BW12" i="63"/>
  <c r="BX12" i="63"/>
  <c r="BV13" i="63"/>
  <c r="BW13" i="63"/>
  <c r="BX13" i="63"/>
  <c r="BV14" i="63"/>
  <c r="BW14" i="63"/>
  <c r="BX14" i="63"/>
  <c r="BV15" i="63"/>
  <c r="BW15" i="63"/>
  <c r="BX15" i="63"/>
  <c r="BV16" i="63"/>
  <c r="BW16" i="63"/>
  <c r="BX16" i="63"/>
  <c r="BV17" i="63"/>
  <c r="BW17" i="63"/>
  <c r="BX17" i="63"/>
  <c r="BV18" i="63"/>
  <c r="BW18" i="63"/>
  <c r="BX18" i="63"/>
  <c r="BV19" i="63"/>
  <c r="BW19" i="63"/>
  <c r="BX19" i="63"/>
  <c r="BV20" i="63"/>
  <c r="BW20" i="63"/>
  <c r="BX20" i="63"/>
  <c r="BV21" i="63"/>
  <c r="BW21" i="63"/>
  <c r="BX21" i="63"/>
  <c r="BV22" i="63"/>
  <c r="BW22" i="63"/>
  <c r="BX22" i="63"/>
  <c r="BV23" i="63"/>
  <c r="BW23" i="63"/>
  <c r="BX23" i="63"/>
  <c r="BV24" i="63"/>
  <c r="BW24" i="63"/>
  <c r="BX24" i="63"/>
  <c r="BV25" i="63"/>
  <c r="BW25" i="63"/>
  <c r="BX25" i="63"/>
  <c r="BV26" i="63"/>
  <c r="BW26" i="63"/>
  <c r="BX26" i="63"/>
  <c r="BV27" i="63"/>
  <c r="BW27" i="63"/>
  <c r="BX27" i="63"/>
  <c r="BV28" i="63"/>
  <c r="BW28" i="63"/>
  <c r="BX28" i="63"/>
  <c r="BV29" i="63"/>
  <c r="BW29" i="63"/>
  <c r="BX29" i="63"/>
  <c r="BV30" i="63"/>
  <c r="BW30" i="63"/>
  <c r="BX30" i="63"/>
  <c r="BX3" i="63"/>
  <c r="BW3" i="63"/>
  <c r="BV3" i="63"/>
  <c r="Q4" i="63"/>
  <c r="R4" i="63"/>
  <c r="S4" i="63"/>
  <c r="T4" i="63"/>
  <c r="U4" i="63"/>
  <c r="R6" i="63"/>
  <c r="Q7" i="63"/>
  <c r="R7" i="63"/>
  <c r="S7" i="63"/>
  <c r="T7" i="63"/>
  <c r="U7" i="63"/>
  <c r="Q8" i="63"/>
  <c r="R8" i="63"/>
  <c r="S8" i="63"/>
  <c r="T8" i="63"/>
  <c r="U8" i="63"/>
  <c r="Q9" i="63"/>
  <c r="R9" i="63"/>
  <c r="S9" i="63"/>
  <c r="T9" i="63"/>
  <c r="U9" i="63"/>
  <c r="Q10" i="63"/>
  <c r="R10" i="63"/>
  <c r="S10" i="63"/>
  <c r="T10" i="63"/>
  <c r="U10" i="63"/>
  <c r="Q11" i="63"/>
  <c r="R11" i="63"/>
  <c r="S11" i="63"/>
  <c r="T11" i="63"/>
  <c r="U11" i="63"/>
  <c r="Q12" i="63"/>
  <c r="R12" i="63"/>
  <c r="S12" i="63"/>
  <c r="T12" i="63"/>
  <c r="U12" i="63"/>
  <c r="Q13" i="63"/>
  <c r="R13" i="63"/>
  <c r="S13" i="63"/>
  <c r="T13" i="63"/>
  <c r="U13" i="63"/>
  <c r="Q14" i="63"/>
  <c r="R14" i="63"/>
  <c r="S14" i="63"/>
  <c r="T14" i="63"/>
  <c r="U14" i="63"/>
  <c r="Q15" i="63"/>
  <c r="R15" i="63"/>
  <c r="S15" i="63"/>
  <c r="T15" i="63"/>
  <c r="U15" i="63"/>
  <c r="Q16" i="63"/>
  <c r="R16" i="63"/>
  <c r="S16" i="63"/>
  <c r="T16" i="63"/>
  <c r="U16" i="63"/>
  <c r="Q17" i="63"/>
  <c r="R17" i="63"/>
  <c r="S17" i="63"/>
  <c r="T17" i="63"/>
  <c r="U17" i="63"/>
  <c r="Q18" i="63"/>
  <c r="R18" i="63"/>
  <c r="S18" i="63"/>
  <c r="T18" i="63"/>
  <c r="U18" i="63"/>
  <c r="Q19" i="63"/>
  <c r="R19" i="63"/>
  <c r="S19" i="63"/>
  <c r="T19" i="63"/>
  <c r="U19" i="63"/>
  <c r="Q20" i="63"/>
  <c r="R20" i="63"/>
  <c r="S20" i="63"/>
  <c r="T20" i="63"/>
  <c r="U20" i="63"/>
  <c r="Q21" i="63"/>
  <c r="R21" i="63"/>
  <c r="S21" i="63"/>
  <c r="T21" i="63"/>
  <c r="U21" i="63"/>
  <c r="Q22" i="63"/>
  <c r="R22" i="63"/>
  <c r="S22" i="63"/>
  <c r="T22" i="63"/>
  <c r="U22" i="63"/>
  <c r="Q23" i="63"/>
  <c r="R23" i="63"/>
  <c r="S23" i="63"/>
  <c r="T23" i="63"/>
  <c r="U23" i="63"/>
  <c r="Q24" i="63"/>
  <c r="R24" i="63"/>
  <c r="S24" i="63"/>
  <c r="T24" i="63"/>
  <c r="U24" i="63"/>
  <c r="Q25" i="63"/>
  <c r="R25" i="63"/>
  <c r="S25" i="63"/>
  <c r="T25" i="63"/>
  <c r="U25" i="63"/>
  <c r="Q26" i="63"/>
  <c r="R26" i="63"/>
  <c r="S26" i="63"/>
  <c r="T26" i="63"/>
  <c r="U26" i="63"/>
  <c r="Q27" i="63"/>
  <c r="R27" i="63"/>
  <c r="S27" i="63"/>
  <c r="T27" i="63"/>
  <c r="U27" i="63"/>
  <c r="Q28" i="63"/>
  <c r="R28" i="63"/>
  <c r="S28" i="63"/>
  <c r="T28" i="63"/>
  <c r="U28" i="63"/>
  <c r="Q29" i="63"/>
  <c r="R29" i="63"/>
  <c r="S29" i="63"/>
  <c r="T29" i="63"/>
  <c r="U29" i="63"/>
  <c r="Q30" i="63"/>
  <c r="R30" i="63"/>
  <c r="S30" i="63"/>
  <c r="T30" i="63"/>
  <c r="U30" i="63"/>
  <c r="U3" i="63"/>
  <c r="T3" i="63"/>
  <c r="S3" i="63"/>
  <c r="R3" i="63"/>
  <c r="O78" i="8"/>
  <c r="O77" i="8"/>
  <c r="O76" i="8"/>
  <c r="O75" i="8"/>
  <c r="O74" i="8"/>
  <c r="O73" i="8"/>
  <c r="O72" i="8"/>
  <c r="O71" i="8"/>
  <c r="O70" i="8"/>
  <c r="O69" i="8"/>
  <c r="O68" i="8"/>
  <c r="O67" i="8"/>
  <c r="O66" i="8"/>
  <c r="O65" i="8"/>
  <c r="O64" i="8"/>
  <c r="O63" i="8"/>
  <c r="O62" i="8"/>
  <c r="O61" i="8"/>
  <c r="O60" i="8"/>
  <c r="O59" i="8"/>
  <c r="O58" i="8"/>
  <c r="O57" i="8"/>
  <c r="O56" i="8"/>
  <c r="O55" i="8"/>
  <c r="O54" i="8"/>
  <c r="O53" i="8"/>
  <c r="O52" i="8"/>
  <c r="AZ10" i="53"/>
  <c r="P16" i="45" s="1"/>
  <c r="AY10" i="53"/>
  <c r="O16" i="45" s="1"/>
  <c r="AX10" i="53"/>
  <c r="N16" i="45" s="1"/>
  <c r="AW10" i="53"/>
  <c r="M16" i="45" s="1"/>
  <c r="AV10" i="53"/>
  <c r="L16" i="45" s="1"/>
  <c r="AU10" i="53"/>
  <c r="K16" i="45" s="1"/>
  <c r="J31" i="8"/>
  <c r="P31" i="8" s="1"/>
  <c r="Q31" i="8" s="1"/>
  <c r="V30" i="12"/>
  <c r="S40" i="12" s="1"/>
  <c r="P29" i="45"/>
  <c r="O29" i="45"/>
  <c r="N29" i="45"/>
  <c r="M29" i="45"/>
  <c r="L29" i="45"/>
  <c r="K29" i="45"/>
  <c r="BD31" i="53"/>
  <c r="BJ31" i="53" s="1"/>
  <c r="BM31" i="53"/>
  <c r="BS31" i="53" s="1"/>
  <c r="BR23" i="53"/>
  <c r="BQ23" i="53"/>
  <c r="BP23" i="53"/>
  <c r="BO23" i="53"/>
  <c r="BN23" i="53"/>
  <c r="BM23" i="53"/>
  <c r="CB25" i="53"/>
  <c r="CB24" i="53"/>
  <c r="CB22" i="53"/>
  <c r="CB21" i="53"/>
  <c r="CB20" i="53"/>
  <c r="CB18" i="53"/>
  <c r="BS25" i="53"/>
  <c r="BS24" i="53"/>
  <c r="BS22" i="53"/>
  <c r="BS21" i="53"/>
  <c r="BS20" i="53"/>
  <c r="BA31" i="53"/>
  <c r="AU32" i="53"/>
  <c r="AU33" i="53"/>
  <c r="AU35" i="53"/>
  <c r="AU36" i="53"/>
  <c r="BA36" i="53" s="1"/>
  <c r="AU37" i="53"/>
  <c r="BM37" i="53" s="1"/>
  <c r="AT37" i="53"/>
  <c r="AT36" i="53"/>
  <c r="AT35" i="53"/>
  <c r="AT34" i="53"/>
  <c r="AT29" i="53"/>
  <c r="BM10" i="53"/>
  <c r="O30" i="17"/>
  <c r="C62" i="32" s="1"/>
  <c r="J22" i="45"/>
  <c r="P19" i="45"/>
  <c r="O19" i="45"/>
  <c r="N19" i="45"/>
  <c r="M19" i="45"/>
  <c r="L19" i="45"/>
  <c r="K19" i="45"/>
  <c r="P18" i="45"/>
  <c r="O18" i="45"/>
  <c r="N18" i="45"/>
  <c r="M18" i="45"/>
  <c r="L18" i="45"/>
  <c r="K18" i="45"/>
  <c r="P13" i="45"/>
  <c r="O13" i="45"/>
  <c r="N13" i="45"/>
  <c r="M13" i="45"/>
  <c r="L13" i="45"/>
  <c r="K13" i="45"/>
  <c r="J10" i="45"/>
  <c r="J9" i="45"/>
  <c r="BE12" i="53"/>
  <c r="J31" i="45" s="1"/>
  <c r="BE11" i="53"/>
  <c r="J30" i="45" s="1"/>
  <c r="BE10" i="53"/>
  <c r="J29" i="45" s="1"/>
  <c r="BE9" i="53"/>
  <c r="J28" i="45" s="1"/>
  <c r="BE4" i="53"/>
  <c r="J23" i="45" s="1"/>
  <c r="AT5" i="53"/>
  <c r="J11" i="45" s="1"/>
  <c r="AT13" i="53"/>
  <c r="J19" i="45" s="1"/>
  <c r="AT12" i="53"/>
  <c r="J18" i="45" s="1"/>
  <c r="AT11" i="53"/>
  <c r="J17" i="45" s="1"/>
  <c r="AT10" i="53"/>
  <c r="J16" i="45" s="1"/>
  <c r="C4" i="51"/>
  <c r="I4" i="51" s="1"/>
  <c r="K4" i="51" s="1"/>
  <c r="J33" i="7"/>
  <c r="DV33" i="7" s="1"/>
  <c r="J32" i="7"/>
  <c r="DV32" i="7" s="1"/>
  <c r="J31" i="7"/>
  <c r="DV31" i="7" s="1"/>
  <c r="J30" i="7"/>
  <c r="DV30" i="7" s="1"/>
  <c r="J29" i="7"/>
  <c r="DV29" i="7" s="1"/>
  <c r="J28" i="7"/>
  <c r="DV28" i="7" s="1"/>
  <c r="J27" i="7"/>
  <c r="DV27" i="7" s="1"/>
  <c r="J26" i="7"/>
  <c r="DV26" i="7" s="1"/>
  <c r="J25" i="7"/>
  <c r="DV25" i="7" s="1"/>
  <c r="J24" i="7"/>
  <c r="DV24" i="7" s="1"/>
  <c r="J23" i="7"/>
  <c r="DV23" i="7" s="1"/>
  <c r="J22" i="7"/>
  <c r="DV22" i="7" s="1"/>
  <c r="J21" i="7"/>
  <c r="DV21" i="7" s="1"/>
  <c r="J20" i="7"/>
  <c r="DV20" i="7" s="1"/>
  <c r="J19" i="7"/>
  <c r="DV19" i="7" s="1"/>
  <c r="J18" i="7"/>
  <c r="DV18" i="7" s="1"/>
  <c r="J17" i="7"/>
  <c r="DV17" i="7" s="1"/>
  <c r="J16" i="7"/>
  <c r="DV16" i="7" s="1"/>
  <c r="J15" i="7"/>
  <c r="DV15" i="7" s="1"/>
  <c r="J14" i="7"/>
  <c r="DV14" i="7" s="1"/>
  <c r="J13" i="7"/>
  <c r="DV13" i="7" s="1"/>
  <c r="J12" i="7"/>
  <c r="DV12" i="7" s="1"/>
  <c r="J11" i="7"/>
  <c r="DV11" i="7" s="1"/>
  <c r="J10" i="7"/>
  <c r="DV10" i="7" s="1"/>
  <c r="J9" i="7"/>
  <c r="DV9" i="7" s="1"/>
  <c r="J8" i="7"/>
  <c r="DV8" i="7" s="1"/>
  <c r="J7" i="7"/>
  <c r="DV7" i="7" s="1"/>
  <c r="J6" i="7"/>
  <c r="DV6" i="7" s="1"/>
  <c r="K78" i="44"/>
  <c r="K74" i="44"/>
  <c r="K69" i="44"/>
  <c r="K68" i="44"/>
  <c r="C26" i="44"/>
  <c r="Q3" i="63"/>
  <c r="W31" i="63"/>
  <c r="G90" i="45"/>
  <c r="E87" i="17"/>
  <c r="C1" i="51"/>
  <c r="D1" i="51" s="1"/>
  <c r="E1" i="51" s="1"/>
  <c r="F1" i="51" s="1"/>
  <c r="G1" i="51" s="1"/>
  <c r="H1" i="51" s="1"/>
  <c r="I1" i="51" s="1"/>
  <c r="J1" i="51" s="1"/>
  <c r="K1" i="51" s="1"/>
  <c r="L1" i="51" s="1"/>
  <c r="M1" i="51" s="1"/>
  <c r="N1" i="51" s="1"/>
  <c r="O1" i="51" s="1"/>
  <c r="P1" i="51" s="1"/>
  <c r="Q1" i="51" s="1"/>
  <c r="R1" i="51" s="1"/>
  <c r="H1" i="44"/>
  <c r="G1" i="44"/>
  <c r="F1" i="44"/>
  <c r="E1" i="44"/>
  <c r="D1" i="44"/>
  <c r="C1" i="44"/>
  <c r="B113" i="44"/>
  <c r="B85" i="44"/>
  <c r="B59" i="44"/>
  <c r="A18" i="44"/>
  <c r="A26" i="44" s="1"/>
  <c r="B75" i="32" s="1"/>
  <c r="A17" i="44"/>
  <c r="H57" i="44"/>
  <c r="G57" i="44"/>
  <c r="E57" i="44"/>
  <c r="D57" i="44"/>
  <c r="H56" i="44"/>
  <c r="G56" i="44"/>
  <c r="E56" i="44"/>
  <c r="D56" i="44"/>
  <c r="H55" i="44"/>
  <c r="G55" i="44"/>
  <c r="E55" i="44"/>
  <c r="D55" i="44"/>
  <c r="H54" i="44"/>
  <c r="G54" i="44"/>
  <c r="E54" i="44"/>
  <c r="D54" i="44"/>
  <c r="H53" i="44"/>
  <c r="G53" i="44"/>
  <c r="E53" i="44"/>
  <c r="D53" i="44"/>
  <c r="H52" i="44"/>
  <c r="G52" i="44"/>
  <c r="E52" i="44"/>
  <c r="D52" i="44"/>
  <c r="H51" i="44"/>
  <c r="G51" i="44"/>
  <c r="E51" i="44"/>
  <c r="D51" i="44"/>
  <c r="H50" i="44"/>
  <c r="G50" i="44"/>
  <c r="E50" i="44"/>
  <c r="D50" i="44"/>
  <c r="H49" i="44"/>
  <c r="G49" i="44"/>
  <c r="E49" i="44"/>
  <c r="D49" i="44"/>
  <c r="H48" i="44"/>
  <c r="G48" i="44"/>
  <c r="E48" i="44"/>
  <c r="D48" i="44"/>
  <c r="H47" i="44"/>
  <c r="G47" i="44"/>
  <c r="E47" i="44"/>
  <c r="D47" i="44"/>
  <c r="H46" i="44"/>
  <c r="G46" i="44"/>
  <c r="E46" i="44"/>
  <c r="D46" i="44"/>
  <c r="H45" i="44"/>
  <c r="G45" i="44"/>
  <c r="E45" i="44"/>
  <c r="D45" i="44"/>
  <c r="H44" i="44"/>
  <c r="G44" i="44"/>
  <c r="E44" i="44"/>
  <c r="D44" i="44"/>
  <c r="H43" i="44"/>
  <c r="G43" i="44"/>
  <c r="E43" i="44"/>
  <c r="D43" i="44"/>
  <c r="H42" i="44"/>
  <c r="G42" i="44"/>
  <c r="E42" i="44"/>
  <c r="D42" i="44"/>
  <c r="H41" i="44"/>
  <c r="G41" i="44"/>
  <c r="E41" i="44"/>
  <c r="D41" i="44"/>
  <c r="H40" i="44"/>
  <c r="G40" i="44"/>
  <c r="E40" i="44"/>
  <c r="D40" i="44"/>
  <c r="H39" i="44"/>
  <c r="G39" i="44"/>
  <c r="E39" i="44"/>
  <c r="D39" i="44"/>
  <c r="H38" i="44"/>
  <c r="G38" i="44"/>
  <c r="E38" i="44"/>
  <c r="D38" i="44"/>
  <c r="H37" i="44"/>
  <c r="G37" i="44"/>
  <c r="E37" i="44"/>
  <c r="D37" i="44"/>
  <c r="H36" i="44"/>
  <c r="G36" i="44"/>
  <c r="E36" i="44"/>
  <c r="D36" i="44"/>
  <c r="H35" i="44"/>
  <c r="G35" i="44"/>
  <c r="E35" i="44"/>
  <c r="D35" i="44"/>
  <c r="H34" i="44"/>
  <c r="G34" i="44"/>
  <c r="E34" i="44"/>
  <c r="D34" i="44"/>
  <c r="H33" i="44"/>
  <c r="G33" i="44"/>
  <c r="E33" i="44"/>
  <c r="D33" i="44"/>
  <c r="H32" i="44"/>
  <c r="G32" i="44"/>
  <c r="E32" i="44"/>
  <c r="D32" i="44"/>
  <c r="H31" i="44"/>
  <c r="G31" i="44"/>
  <c r="E31" i="44"/>
  <c r="D31" i="44"/>
  <c r="H30" i="44"/>
  <c r="G30" i="44"/>
  <c r="D30" i="44"/>
  <c r="AI30" i="8"/>
  <c r="AI29" i="8"/>
  <c r="AI28" i="8"/>
  <c r="AI27" i="8"/>
  <c r="AI26" i="8"/>
  <c r="AI25" i="8"/>
  <c r="AI24" i="8"/>
  <c r="AI23" i="8"/>
  <c r="AI22" i="8"/>
  <c r="AI21" i="8"/>
  <c r="AI20" i="8"/>
  <c r="AI19" i="8"/>
  <c r="AI18" i="8"/>
  <c r="AI17" i="8"/>
  <c r="AI16" i="8"/>
  <c r="AI15" i="8"/>
  <c r="AI14" i="8"/>
  <c r="AI13" i="8"/>
  <c r="AI12" i="8"/>
  <c r="AI11" i="8"/>
  <c r="AI10" i="8"/>
  <c r="AI9" i="8"/>
  <c r="AI8" i="8"/>
  <c r="D130" i="32"/>
  <c r="CD34" i="7"/>
  <c r="CK34" i="7" s="1"/>
  <c r="CC34" i="7"/>
  <c r="CB34" i="7"/>
  <c r="CA34" i="7"/>
  <c r="BZ34" i="7"/>
  <c r="B33" i="28"/>
  <c r="B32" i="28"/>
  <c r="W33" i="53"/>
  <c r="A1" i="61"/>
  <c r="G68" i="32"/>
  <c r="G67" i="32"/>
  <c r="AJ34" i="7"/>
  <c r="AK34" i="7" s="1"/>
  <c r="AJ33" i="7"/>
  <c r="AK33" i="7" s="1"/>
  <c r="AJ32" i="7"/>
  <c r="AK32" i="7" s="1"/>
  <c r="AJ31" i="7"/>
  <c r="AK31" i="7" s="1"/>
  <c r="AJ30" i="7"/>
  <c r="AK30" i="7" s="1"/>
  <c r="AJ29" i="7"/>
  <c r="AK29" i="7" s="1"/>
  <c r="AJ28" i="7"/>
  <c r="AK28" i="7" s="1"/>
  <c r="AJ27" i="7"/>
  <c r="AK27" i="7" s="1"/>
  <c r="AJ26" i="7"/>
  <c r="AK26" i="7" s="1"/>
  <c r="AJ25" i="7"/>
  <c r="AK25" i="7" s="1"/>
  <c r="AJ24" i="7"/>
  <c r="AK24" i="7" s="1"/>
  <c r="AJ23" i="7"/>
  <c r="AK23" i="7" s="1"/>
  <c r="AJ22" i="7"/>
  <c r="AK22" i="7" s="1"/>
  <c r="AJ21" i="7"/>
  <c r="AK21" i="7" s="1"/>
  <c r="AJ20" i="7"/>
  <c r="AK20" i="7" s="1"/>
  <c r="AJ19" i="7"/>
  <c r="AK19" i="7" s="1"/>
  <c r="AJ18" i="7"/>
  <c r="AK18" i="7" s="1"/>
  <c r="AJ17" i="7"/>
  <c r="AK17" i="7" s="1"/>
  <c r="AJ16" i="7"/>
  <c r="AK16" i="7" s="1"/>
  <c r="AJ15" i="7"/>
  <c r="AK15" i="7" s="1"/>
  <c r="AJ14" i="7"/>
  <c r="AK14" i="7" s="1"/>
  <c r="AJ13" i="7"/>
  <c r="AK13" i="7" s="1"/>
  <c r="AJ12" i="7"/>
  <c r="AK12" i="7" s="1"/>
  <c r="AJ11" i="7"/>
  <c r="AK11" i="7" s="1"/>
  <c r="AJ10" i="7"/>
  <c r="AK10" i="7" s="1"/>
  <c r="C28" i="32"/>
  <c r="C42" i="32"/>
  <c r="C56" i="32" s="1"/>
  <c r="C73" i="32" s="1"/>
  <c r="AD33" i="7"/>
  <c r="AD32" i="7"/>
  <c r="AD31" i="7"/>
  <c r="AD30" i="7"/>
  <c r="AD29" i="7"/>
  <c r="AD28" i="7"/>
  <c r="AD27" i="7"/>
  <c r="AD26" i="7"/>
  <c r="AD25" i="7"/>
  <c r="AD24" i="7"/>
  <c r="AD23" i="7"/>
  <c r="AD22" i="7"/>
  <c r="AD21" i="7"/>
  <c r="AD20" i="7"/>
  <c r="AD19" i="7"/>
  <c r="AD18" i="7"/>
  <c r="AD17" i="7"/>
  <c r="AD16" i="7"/>
  <c r="AD15" i="7"/>
  <c r="AD14" i="7"/>
  <c r="AD13" i="7"/>
  <c r="AD12" i="7"/>
  <c r="AE33" i="7"/>
  <c r="AE32" i="7"/>
  <c r="AE31" i="7"/>
  <c r="AE30" i="7"/>
  <c r="AE29" i="7"/>
  <c r="AE28" i="7"/>
  <c r="AE27" i="7"/>
  <c r="AE26" i="7"/>
  <c r="AE25" i="7"/>
  <c r="AE24" i="7"/>
  <c r="AE23" i="7"/>
  <c r="AE22" i="7"/>
  <c r="AE21" i="7"/>
  <c r="AE20" i="7"/>
  <c r="AE19" i="7"/>
  <c r="AE18" i="7"/>
  <c r="AE17" i="7"/>
  <c r="AE16" i="7"/>
  <c r="AE15" i="7"/>
  <c r="AE14" i="7"/>
  <c r="AE13" i="7"/>
  <c r="AE12" i="7"/>
  <c r="AF33" i="7"/>
  <c r="AF32" i="7"/>
  <c r="AF31" i="7"/>
  <c r="AF30" i="7"/>
  <c r="AF29" i="7"/>
  <c r="AF28" i="7"/>
  <c r="AF27" i="7"/>
  <c r="AF26" i="7"/>
  <c r="AF25" i="7"/>
  <c r="AF24" i="7"/>
  <c r="AF23" i="7"/>
  <c r="AF22" i="7"/>
  <c r="AF21" i="7"/>
  <c r="AF20" i="7"/>
  <c r="AF19" i="7"/>
  <c r="AF18" i="7"/>
  <c r="AF17" i="7"/>
  <c r="AF16" i="7"/>
  <c r="AF15" i="7"/>
  <c r="AF14" i="7"/>
  <c r="AF13" i="7"/>
  <c r="AF12" i="7"/>
  <c r="AF11" i="7"/>
  <c r="AF10" i="7"/>
  <c r="AF9" i="7"/>
  <c r="AF8" i="7"/>
  <c r="AF7" i="7"/>
  <c r="C16" i="32"/>
  <c r="C19" i="32"/>
  <c r="C25" i="32"/>
  <c r="G11" i="32"/>
  <c r="C43" i="32"/>
  <c r="D43" i="32"/>
  <c r="E43" i="32"/>
  <c r="F43" i="32"/>
  <c r="G43" i="32"/>
  <c r="H43" i="32"/>
  <c r="R35" i="12"/>
  <c r="R34" i="12"/>
  <c r="R33" i="12"/>
  <c r="R32" i="12"/>
  <c r="R31" i="12"/>
  <c r="R30" i="12"/>
  <c r="O1" i="7"/>
  <c r="P39" i="12"/>
  <c r="R39" i="12" s="1"/>
  <c r="R73" i="12"/>
  <c r="R72" i="12"/>
  <c r="R71" i="12"/>
  <c r="R70" i="12"/>
  <c r="R69" i="12"/>
  <c r="R68" i="12"/>
  <c r="R67" i="12"/>
  <c r="R66" i="12"/>
  <c r="R65" i="12"/>
  <c r="R64" i="12"/>
  <c r="R63" i="12"/>
  <c r="R62" i="12"/>
  <c r="R61" i="12"/>
  <c r="R60" i="12"/>
  <c r="R59" i="12"/>
  <c r="R58" i="12"/>
  <c r="R57" i="12"/>
  <c r="R56" i="12"/>
  <c r="R55" i="12"/>
  <c r="R54" i="12"/>
  <c r="R53" i="12"/>
  <c r="R52" i="12"/>
  <c r="R51" i="12"/>
  <c r="R50" i="12"/>
  <c r="R49" i="12"/>
  <c r="R48" i="12"/>
  <c r="R47" i="12"/>
  <c r="R46" i="12"/>
  <c r="R45" i="12"/>
  <c r="R44" i="12"/>
  <c r="R38" i="12"/>
  <c r="S38" i="12"/>
  <c r="S73" i="12"/>
  <c r="S72" i="12"/>
  <c r="S71" i="12"/>
  <c r="S70" i="12"/>
  <c r="S69" i="12"/>
  <c r="S68" i="12"/>
  <c r="S66" i="12"/>
  <c r="S65" i="12"/>
  <c r="S64" i="12"/>
  <c r="S63" i="12"/>
  <c r="S62" i="12"/>
  <c r="S59" i="12"/>
  <c r="S58" i="12"/>
  <c r="S57" i="12"/>
  <c r="S56" i="12"/>
  <c r="S52" i="12"/>
  <c r="S51" i="12"/>
  <c r="S50" i="12"/>
  <c r="S45" i="12"/>
  <c r="S44" i="12"/>
  <c r="Y31" i="12"/>
  <c r="S49" i="12" s="1"/>
  <c r="Y30" i="12"/>
  <c r="S43" i="12" s="1"/>
  <c r="X30" i="12"/>
  <c r="S42" i="12" s="1"/>
  <c r="X31" i="12"/>
  <c r="S48" i="12" s="1"/>
  <c r="X32" i="12"/>
  <c r="S54" i="12" s="1"/>
  <c r="Y32" i="12"/>
  <c r="S55" i="12" s="1"/>
  <c r="Y33" i="12"/>
  <c r="S61" i="12" s="1"/>
  <c r="Y34" i="12"/>
  <c r="S67" i="12" s="1"/>
  <c r="X33" i="12"/>
  <c r="S60" i="12" s="1"/>
  <c r="W32" i="12"/>
  <c r="S53" i="12" s="1"/>
  <c r="W30" i="12"/>
  <c r="S41" i="12" s="1"/>
  <c r="U30" i="12"/>
  <c r="S39" i="12" s="1"/>
  <c r="V31" i="12"/>
  <c r="S46" i="12" s="1"/>
  <c r="W31" i="12"/>
  <c r="S47" i="12" s="1"/>
  <c r="AQ83" i="7"/>
  <c r="A30" i="55"/>
  <c r="H5" i="53"/>
  <c r="AQ133" i="7"/>
  <c r="AQ132" i="7"/>
  <c r="AQ131" i="7"/>
  <c r="AQ130" i="7"/>
  <c r="AQ129" i="7"/>
  <c r="AQ128" i="7"/>
  <c r="AQ127" i="7"/>
  <c r="AQ126" i="7"/>
  <c r="AQ125" i="7"/>
  <c r="AQ124" i="7"/>
  <c r="AQ123" i="7"/>
  <c r="AQ122" i="7"/>
  <c r="AQ121" i="7"/>
  <c r="AQ120" i="7"/>
  <c r="AQ119" i="7"/>
  <c r="AQ118" i="7"/>
  <c r="AQ117" i="7"/>
  <c r="AQ116" i="7"/>
  <c r="AQ115" i="7"/>
  <c r="AQ114" i="7"/>
  <c r="AQ113" i="7"/>
  <c r="AQ112" i="7"/>
  <c r="AQ111" i="7"/>
  <c r="AQ110" i="7"/>
  <c r="AQ109" i="7"/>
  <c r="AQ108" i="7"/>
  <c r="AQ107" i="7"/>
  <c r="AQ106" i="7"/>
  <c r="AQ105" i="7"/>
  <c r="AQ104" i="7"/>
  <c r="AQ103" i="7"/>
  <c r="AQ102" i="7"/>
  <c r="AQ101" i="7"/>
  <c r="AQ100" i="7"/>
  <c r="AQ99" i="7"/>
  <c r="AQ98" i="7"/>
  <c r="AQ97" i="7"/>
  <c r="AQ96" i="7"/>
  <c r="AQ95" i="7"/>
  <c r="AQ94" i="7"/>
  <c r="AQ93" i="7"/>
  <c r="AQ92" i="7"/>
  <c r="AQ91" i="7"/>
  <c r="AQ90" i="7"/>
  <c r="AQ89" i="7"/>
  <c r="AQ88" i="7"/>
  <c r="AQ87" i="7"/>
  <c r="AQ86" i="7"/>
  <c r="AQ85" i="7"/>
  <c r="AQ84" i="7"/>
  <c r="AQ82" i="7"/>
  <c r="AQ81" i="7"/>
  <c r="AQ80" i="7"/>
  <c r="AQ79" i="7"/>
  <c r="AQ78" i="7"/>
  <c r="C33" i="17"/>
  <c r="I107" i="55"/>
  <c r="I104" i="55"/>
  <c r="I101" i="55"/>
  <c r="I98" i="55"/>
  <c r="I95" i="55"/>
  <c r="I97" i="55"/>
  <c r="I96" i="55"/>
  <c r="B106" i="55"/>
  <c r="B103" i="55"/>
  <c r="B100" i="55"/>
  <c r="B99" i="55"/>
  <c r="B23" i="55"/>
  <c r="B83" i="55" s="1"/>
  <c r="B24" i="55"/>
  <c r="B70" i="55" s="1"/>
  <c r="G100" i="55"/>
  <c r="F100" i="55"/>
  <c r="E100" i="55"/>
  <c r="D100" i="55"/>
  <c r="C100" i="55"/>
  <c r="G97" i="55"/>
  <c r="F97" i="55"/>
  <c r="E97" i="55"/>
  <c r="D97" i="55"/>
  <c r="C97" i="55"/>
  <c r="B97" i="55"/>
  <c r="G94" i="55"/>
  <c r="F94" i="55"/>
  <c r="E94" i="55"/>
  <c r="D94" i="55"/>
  <c r="C94" i="55"/>
  <c r="B94" i="55"/>
  <c r="G24" i="55"/>
  <c r="G21" i="54" s="1"/>
  <c r="F24" i="55"/>
  <c r="F70" i="55" s="1"/>
  <c r="E24" i="55"/>
  <c r="E70" i="55" s="1"/>
  <c r="D24" i="55"/>
  <c r="D21" i="54" s="1"/>
  <c r="C24" i="55"/>
  <c r="H116" i="55"/>
  <c r="G116" i="55"/>
  <c r="F116" i="55"/>
  <c r="E116" i="55"/>
  <c r="D116" i="55"/>
  <c r="C116" i="55"/>
  <c r="B116" i="55"/>
  <c r="H110" i="55"/>
  <c r="G110" i="55"/>
  <c r="F110" i="55"/>
  <c r="E110" i="55"/>
  <c r="D110" i="55"/>
  <c r="C110" i="55"/>
  <c r="B110" i="55"/>
  <c r="G99" i="55"/>
  <c r="F99" i="55"/>
  <c r="F101" i="55" s="1"/>
  <c r="E99" i="55"/>
  <c r="D99" i="55"/>
  <c r="C99" i="55"/>
  <c r="C101" i="55" s="1"/>
  <c r="H92" i="55"/>
  <c r="G92" i="55"/>
  <c r="F92" i="55"/>
  <c r="E92" i="55"/>
  <c r="D92" i="55"/>
  <c r="C92" i="55"/>
  <c r="B92" i="55"/>
  <c r="G4" i="53"/>
  <c r="H63" i="53" s="1"/>
  <c r="J64" i="53" s="1"/>
  <c r="AN11" i="7"/>
  <c r="N37" i="17"/>
  <c r="L25" i="44" s="1"/>
  <c r="I26" i="44"/>
  <c r="H75" i="32" s="1"/>
  <c r="I22" i="44"/>
  <c r="H57" i="32" s="1"/>
  <c r="I25" i="44"/>
  <c r="H74" i="32" s="1"/>
  <c r="I24" i="44"/>
  <c r="H59" i="32" s="1"/>
  <c r="I23" i="44"/>
  <c r="G65" i="53"/>
  <c r="G5" i="53"/>
  <c r="AC92" i="53"/>
  <c r="BP78" i="53"/>
  <c r="BI78" i="53"/>
  <c r="BE78" i="53"/>
  <c r="BD78" i="53"/>
  <c r="BB78" i="53"/>
  <c r="AZ78" i="53"/>
  <c r="AY78" i="53"/>
  <c r="AR78" i="53"/>
  <c r="AI78" i="53"/>
  <c r="AK78" i="53" s="1"/>
  <c r="AH78" i="53"/>
  <c r="AJ78" i="53" s="1"/>
  <c r="Z78" i="53"/>
  <c r="BP77" i="53"/>
  <c r="BI77" i="53"/>
  <c r="BE77" i="53"/>
  <c r="BD77" i="53"/>
  <c r="BB77" i="53"/>
  <c r="AZ77" i="53"/>
  <c r="AY77" i="53"/>
  <c r="AR77" i="53"/>
  <c r="AI77" i="53"/>
  <c r="AK77" i="53" s="1"/>
  <c r="AH77" i="53"/>
  <c r="AJ77" i="53" s="1"/>
  <c r="Z77" i="53"/>
  <c r="BP76" i="53"/>
  <c r="BI76" i="53"/>
  <c r="BE76" i="53"/>
  <c r="BD76" i="53"/>
  <c r="BB76" i="53"/>
  <c r="AZ76" i="53"/>
  <c r="AY76" i="53"/>
  <c r="AR76" i="53"/>
  <c r="AI76" i="53"/>
  <c r="AK76" i="53" s="1"/>
  <c r="AH76" i="53"/>
  <c r="AJ76" i="53" s="1"/>
  <c r="Z76" i="53"/>
  <c r="BP75" i="53"/>
  <c r="BI75" i="53"/>
  <c r="BE75" i="53"/>
  <c r="BD75" i="53"/>
  <c r="BB75" i="53"/>
  <c r="AZ75" i="53"/>
  <c r="AY75" i="53"/>
  <c r="AR75" i="53"/>
  <c r="AI75" i="53"/>
  <c r="AK75" i="53" s="1"/>
  <c r="AH75" i="53"/>
  <c r="AJ75" i="53" s="1"/>
  <c r="Z75" i="53"/>
  <c r="BP74" i="53"/>
  <c r="BI74" i="53"/>
  <c r="BE74" i="53"/>
  <c r="BD74" i="53"/>
  <c r="BB74" i="53"/>
  <c r="AT74" i="53" s="1"/>
  <c r="AZ74" i="53"/>
  <c r="AY74" i="53"/>
  <c r="AR74" i="53"/>
  <c r="AI74" i="53"/>
  <c r="AK74" i="53" s="1"/>
  <c r="AH74" i="53"/>
  <c r="AJ74" i="53" s="1"/>
  <c r="Z74" i="53"/>
  <c r="BP73" i="53"/>
  <c r="BI73" i="53"/>
  <c r="BE73" i="53"/>
  <c r="BD73" i="53"/>
  <c r="BB73" i="53"/>
  <c r="AZ73" i="53"/>
  <c r="AY73" i="53"/>
  <c r="AR73" i="53"/>
  <c r="AI73" i="53"/>
  <c r="AK73" i="53" s="1"/>
  <c r="AH73" i="53"/>
  <c r="AJ73" i="53" s="1"/>
  <c r="Z73" i="53"/>
  <c r="BP72" i="53"/>
  <c r="BI72" i="53"/>
  <c r="BE72" i="53"/>
  <c r="BD72" i="53"/>
  <c r="BB72" i="53"/>
  <c r="AZ72" i="53"/>
  <c r="AY72" i="53"/>
  <c r="AR72" i="53"/>
  <c r="AH72" i="53"/>
  <c r="AJ72" i="53" s="1"/>
  <c r="Z72" i="53"/>
  <c r="BP71" i="53"/>
  <c r="BI71" i="53"/>
  <c r="BE71" i="53"/>
  <c r="BD71" i="53"/>
  <c r="BB71" i="53"/>
  <c r="AZ71" i="53"/>
  <c r="AY71" i="53"/>
  <c r="AR71" i="53"/>
  <c r="AH71" i="53"/>
  <c r="AJ71" i="53" s="1"/>
  <c r="Z71" i="53"/>
  <c r="BP70" i="53"/>
  <c r="BI70" i="53"/>
  <c r="BE70" i="53"/>
  <c r="BD70" i="53"/>
  <c r="BB70" i="53"/>
  <c r="AT70" i="53" s="1"/>
  <c r="AZ70" i="53"/>
  <c r="AY70" i="53"/>
  <c r="AR70" i="53"/>
  <c r="AI70" i="53"/>
  <c r="AK70" i="53" s="1"/>
  <c r="AH70" i="53"/>
  <c r="AJ70" i="53" s="1"/>
  <c r="Z70" i="53"/>
  <c r="BP69" i="53"/>
  <c r="BI69" i="53"/>
  <c r="BE69" i="53"/>
  <c r="BD69" i="53"/>
  <c r="BB69" i="53"/>
  <c r="AZ69" i="53"/>
  <c r="AY69" i="53"/>
  <c r="AR69" i="53"/>
  <c r="AI69" i="53"/>
  <c r="AK69" i="53" s="1"/>
  <c r="AH69" i="53"/>
  <c r="AJ69" i="53" s="1"/>
  <c r="Z69" i="53"/>
  <c r="BP68" i="53"/>
  <c r="BI68" i="53"/>
  <c r="BB68" i="53"/>
  <c r="AJ68" i="53"/>
  <c r="AI68" i="53"/>
  <c r="AK68" i="53" s="1"/>
  <c r="AE68" i="53"/>
  <c r="BP67" i="53"/>
  <c r="BI67" i="53"/>
  <c r="BB67" i="53"/>
  <c r="AJ67" i="53"/>
  <c r="AI67" i="53"/>
  <c r="AK67" i="53" s="1"/>
  <c r="AE67" i="53"/>
  <c r="BP66" i="53"/>
  <c r="BI66" i="53"/>
  <c r="BB66" i="53"/>
  <c r="AJ66" i="53"/>
  <c r="AI66" i="53"/>
  <c r="AK66" i="53" s="1"/>
  <c r="AE66" i="53"/>
  <c r="AZ66" i="53" s="1"/>
  <c r="BP65" i="53"/>
  <c r="BI65" i="53"/>
  <c r="BB65" i="53"/>
  <c r="AJ65" i="53"/>
  <c r="AI65" i="53"/>
  <c r="AK65" i="53" s="1"/>
  <c r="AE65" i="53"/>
  <c r="E92" i="53"/>
  <c r="BP64" i="53"/>
  <c r="BI64" i="53"/>
  <c r="BB64" i="53"/>
  <c r="AJ64" i="53"/>
  <c r="AI64" i="53"/>
  <c r="AK64" i="53" s="1"/>
  <c r="AE64" i="53"/>
  <c r="BD64" i="53" s="1"/>
  <c r="M91" i="53"/>
  <c r="L91" i="53"/>
  <c r="R91" i="53" s="1"/>
  <c r="K91" i="53"/>
  <c r="Q91" i="53" s="1"/>
  <c r="BP63" i="53"/>
  <c r="BI63" i="53"/>
  <c r="BB63" i="53"/>
  <c r="AL63" i="53"/>
  <c r="AL64" i="53" s="1"/>
  <c r="AL65" i="53" s="1"/>
  <c r="AL66" i="53" s="1"/>
  <c r="AL67" i="53" s="1"/>
  <c r="AL68" i="53" s="1"/>
  <c r="AL69" i="53" s="1"/>
  <c r="AL70" i="53" s="1"/>
  <c r="AL71" i="53" s="1"/>
  <c r="AL72" i="53" s="1"/>
  <c r="AL73" i="53" s="1"/>
  <c r="AL74" i="53" s="1"/>
  <c r="AL75" i="53" s="1"/>
  <c r="AL76" i="53" s="1"/>
  <c r="AL77" i="53" s="1"/>
  <c r="AL78" i="53" s="1"/>
  <c r="AJ63" i="53"/>
  <c r="AI63" i="53"/>
  <c r="AK63" i="53" s="1"/>
  <c r="AE63" i="53"/>
  <c r="Z63" i="53" s="1"/>
  <c r="L90" i="53"/>
  <c r="R90" i="53" s="1"/>
  <c r="BP62" i="53"/>
  <c r="BI62" i="53"/>
  <c r="BB62" i="53"/>
  <c r="AI62" i="53"/>
  <c r="AK62" i="53" s="1"/>
  <c r="AH62" i="53"/>
  <c r="AJ62" i="53" s="1"/>
  <c r="AE62" i="53"/>
  <c r="AS62" i="53" s="1"/>
  <c r="Q89" i="53"/>
  <c r="L88" i="53"/>
  <c r="R88" i="53" s="1"/>
  <c r="AT60" i="53"/>
  <c r="Z60" i="53"/>
  <c r="AA60" i="53" s="1"/>
  <c r="AB60" i="53" s="1"/>
  <c r="AC60" i="53" s="1"/>
  <c r="AD60" i="53" s="1"/>
  <c r="AE60" i="53" s="1"/>
  <c r="AF60" i="53" s="1"/>
  <c r="AG60" i="53" s="1"/>
  <c r="AH60" i="53" s="1"/>
  <c r="AI60" i="53" s="1"/>
  <c r="AJ60" i="53" s="1"/>
  <c r="AK60" i="53" s="1"/>
  <c r="AL60" i="53" s="1"/>
  <c r="AM60" i="53" s="1"/>
  <c r="AD51" i="53"/>
  <c r="W51" i="53"/>
  <c r="AD50" i="53"/>
  <c r="W50" i="53"/>
  <c r="AD49" i="53"/>
  <c r="W49" i="53"/>
  <c r="AD48" i="53"/>
  <c r="W48" i="53"/>
  <c r="AD47" i="53"/>
  <c r="W47" i="53"/>
  <c r="AD46" i="53"/>
  <c r="W46" i="53"/>
  <c r="AD45" i="53"/>
  <c r="W45" i="53"/>
  <c r="AD44" i="53"/>
  <c r="W44" i="53"/>
  <c r="AD43" i="53"/>
  <c r="W43" i="53"/>
  <c r="AD42" i="53"/>
  <c r="W42" i="53"/>
  <c r="AD41" i="53"/>
  <c r="W41" i="53"/>
  <c r="AD40" i="53"/>
  <c r="W40" i="53"/>
  <c r="AD39" i="53"/>
  <c r="W39" i="53"/>
  <c r="AD38" i="53"/>
  <c r="W38" i="53"/>
  <c r="H44" i="53"/>
  <c r="AD37" i="53"/>
  <c r="W37" i="53"/>
  <c r="AD36" i="53"/>
  <c r="W36" i="53"/>
  <c r="AD35" i="53"/>
  <c r="W35" i="53"/>
  <c r="E41" i="53"/>
  <c r="H41" i="53" s="1"/>
  <c r="AD34" i="53"/>
  <c r="W34" i="53"/>
  <c r="I40" i="53"/>
  <c r="E40" i="53"/>
  <c r="AT6" i="53" s="1"/>
  <c r="J12" i="45" s="1"/>
  <c r="AD33" i="53"/>
  <c r="H39" i="53"/>
  <c r="AD32" i="53"/>
  <c r="W32" i="53"/>
  <c r="AD31" i="53"/>
  <c r="W31" i="53"/>
  <c r="AD30" i="53"/>
  <c r="W30" i="53"/>
  <c r="AD29" i="53"/>
  <c r="W29" i="53"/>
  <c r="AD28" i="53"/>
  <c r="W28" i="53"/>
  <c r="AD27" i="53"/>
  <c r="W27" i="53"/>
  <c r="AD26" i="53"/>
  <c r="W26" i="53"/>
  <c r="AD25" i="53"/>
  <c r="W25" i="53"/>
  <c r="M28" i="53"/>
  <c r="AD24" i="53"/>
  <c r="W24" i="53"/>
  <c r="AD23" i="53"/>
  <c r="W23" i="53"/>
  <c r="AD22" i="53"/>
  <c r="W22" i="53"/>
  <c r="N25" i="53"/>
  <c r="AD21" i="53"/>
  <c r="W21" i="53"/>
  <c r="N24" i="53"/>
  <c r="M24" i="53"/>
  <c r="L24" i="53"/>
  <c r="AD20" i="53"/>
  <c r="W20" i="53"/>
  <c r="AD19" i="53"/>
  <c r="W19" i="53"/>
  <c r="AD18" i="53"/>
  <c r="W18" i="53"/>
  <c r="E21" i="53"/>
  <c r="E22" i="53" s="1"/>
  <c r="AD17" i="53"/>
  <c r="W17" i="53"/>
  <c r="AD16" i="53"/>
  <c r="W16" i="53"/>
  <c r="AD15" i="53"/>
  <c r="W15" i="53"/>
  <c r="K18" i="53"/>
  <c r="AD14" i="53"/>
  <c r="W14" i="53"/>
  <c r="AD13" i="53"/>
  <c r="W13" i="53"/>
  <c r="AD12" i="53"/>
  <c r="W12" i="53"/>
  <c r="AD11" i="53"/>
  <c r="W11" i="53"/>
  <c r="AD10" i="53"/>
  <c r="W10" i="53"/>
  <c r="AD9" i="53"/>
  <c r="W9" i="53"/>
  <c r="AD8" i="53"/>
  <c r="W8" i="53"/>
  <c r="AD7" i="53"/>
  <c r="W7" i="53"/>
  <c r="O38" i="53"/>
  <c r="F23" i="53"/>
  <c r="J38" i="53"/>
  <c r="F20" i="53"/>
  <c r="F24" i="53"/>
  <c r="P38" i="53"/>
  <c r="M38" i="53"/>
  <c r="K38" i="53"/>
  <c r="BM71" i="53"/>
  <c r="BM69" i="53"/>
  <c r="BN69" i="53" s="1"/>
  <c r="BM70" i="53"/>
  <c r="BN70" i="53" s="1"/>
  <c r="BM76" i="53"/>
  <c r="BN76" i="53" s="1"/>
  <c r="BM78" i="53"/>
  <c r="BN78" i="53" s="1"/>
  <c r="BM73" i="53"/>
  <c r="BN73" i="53" s="1"/>
  <c r="BM75" i="53"/>
  <c r="BN75" i="53" s="1"/>
  <c r="BM72" i="53"/>
  <c r="BN72" i="53" s="1"/>
  <c r="BM74" i="53"/>
  <c r="BN74" i="53" s="1"/>
  <c r="BM77" i="53"/>
  <c r="BN77" i="53" s="1"/>
  <c r="J44" i="53"/>
  <c r="AN7" i="7"/>
  <c r="AN8" i="7"/>
  <c r="AN9" i="7"/>
  <c r="AN10" i="7"/>
  <c r="AN12" i="7"/>
  <c r="AN13" i="7"/>
  <c r="AN14" i="7"/>
  <c r="AN15" i="7"/>
  <c r="AN16" i="7"/>
  <c r="AN17" i="7"/>
  <c r="AN18" i="7"/>
  <c r="AN19" i="7"/>
  <c r="AN20" i="7"/>
  <c r="AN21" i="7"/>
  <c r="AN22" i="7"/>
  <c r="AN23" i="7"/>
  <c r="AN24" i="7"/>
  <c r="AN25" i="7"/>
  <c r="AN26" i="7"/>
  <c r="AN27" i="7"/>
  <c r="AN28" i="7"/>
  <c r="AN29" i="7"/>
  <c r="AN30" i="7"/>
  <c r="AN31" i="7"/>
  <c r="AN32" i="7"/>
  <c r="AN33" i="7"/>
  <c r="AN6" i="7"/>
  <c r="H47" i="53"/>
  <c r="K47" i="53" s="1"/>
  <c r="W15" i="8"/>
  <c r="E4" i="51"/>
  <c r="E14" i="51"/>
  <c r="D14" i="51"/>
  <c r="C14" i="51"/>
  <c r="E13" i="51"/>
  <c r="D13" i="51"/>
  <c r="C13" i="51"/>
  <c r="E11" i="51"/>
  <c r="D11" i="51"/>
  <c r="D12" i="51" s="1"/>
  <c r="C11" i="51"/>
  <c r="H11" i="51" s="1"/>
  <c r="I11" i="51" s="1"/>
  <c r="K11" i="51" s="1"/>
  <c r="K12" i="51" s="1"/>
  <c r="E10" i="51"/>
  <c r="D10" i="51"/>
  <c r="C10" i="51"/>
  <c r="J10" i="51" s="1"/>
  <c r="L10" i="51" s="1"/>
  <c r="E9" i="51"/>
  <c r="D9" i="51"/>
  <c r="C9" i="51"/>
  <c r="E8" i="51"/>
  <c r="D8" i="51"/>
  <c r="C8" i="51"/>
  <c r="E7" i="51"/>
  <c r="G7" i="51" s="1"/>
  <c r="Q7" i="51" s="1"/>
  <c r="D7" i="51"/>
  <c r="F7" i="51" s="1"/>
  <c r="C7" i="51"/>
  <c r="H7" i="51" s="1"/>
  <c r="E6" i="51"/>
  <c r="D6" i="51"/>
  <c r="C6" i="51"/>
  <c r="H6" i="51" s="1"/>
  <c r="I6" i="51" s="1"/>
  <c r="K6" i="51" s="1"/>
  <c r="E5" i="51"/>
  <c r="D5" i="51"/>
  <c r="C5" i="51"/>
  <c r="D4" i="51"/>
  <c r="S40" i="29"/>
  <c r="R40" i="29"/>
  <c r="Q40" i="29"/>
  <c r="P40" i="29"/>
  <c r="O40" i="29"/>
  <c r="N40" i="29"/>
  <c r="M40" i="29"/>
  <c r="S37" i="29"/>
  <c r="R37" i="29"/>
  <c r="Q37" i="29"/>
  <c r="P37" i="29"/>
  <c r="O37" i="29"/>
  <c r="N37" i="29"/>
  <c r="M37" i="29"/>
  <c r="AD17" i="51"/>
  <c r="AE17" i="51" s="1"/>
  <c r="DA33" i="7"/>
  <c r="DB33" i="7"/>
  <c r="DC33" i="7"/>
  <c r="DD33" i="7"/>
  <c r="DE33" i="7"/>
  <c r="DF33" i="7"/>
  <c r="DO33" i="7"/>
  <c r="EB33" i="7"/>
  <c r="E33" i="12"/>
  <c r="E32" i="12"/>
  <c r="E31" i="12"/>
  <c r="E30" i="12"/>
  <c r="E29" i="12"/>
  <c r="E39" i="12" s="1"/>
  <c r="D29" i="55"/>
  <c r="D22" i="54" s="1"/>
  <c r="CT5" i="8"/>
  <c r="CT6" i="8"/>
  <c r="CT7" i="8"/>
  <c r="CT8" i="8"/>
  <c r="CT9" i="8"/>
  <c r="CT10" i="8"/>
  <c r="CT11" i="8"/>
  <c r="CT12" i="8"/>
  <c r="CT13" i="8"/>
  <c r="CT14" i="8"/>
  <c r="CT15" i="8"/>
  <c r="CT16" i="8"/>
  <c r="CT17" i="8"/>
  <c r="CT18" i="8"/>
  <c r="CT19" i="8"/>
  <c r="CT20" i="8"/>
  <c r="CT21" i="8"/>
  <c r="CT22" i="8"/>
  <c r="CT23" i="8"/>
  <c r="CT24" i="8"/>
  <c r="CT25" i="8"/>
  <c r="CT26" i="8"/>
  <c r="CT27" i="8"/>
  <c r="CT28" i="8"/>
  <c r="CT29" i="8"/>
  <c r="CT30" i="8"/>
  <c r="CT31" i="8"/>
  <c r="CT4" i="8"/>
  <c r="DG34" i="7"/>
  <c r="DG11" i="7"/>
  <c r="C37" i="17"/>
  <c r="BS6" i="23"/>
  <c r="BT5" i="23" a="1"/>
  <c r="BT5" i="23" s="1"/>
  <c r="AP6" i="12"/>
  <c r="AP7" i="12"/>
  <c r="AP8" i="12"/>
  <c r="AP9" i="12"/>
  <c r="AP10" i="12"/>
  <c r="AP11" i="12"/>
  <c r="AP12" i="12"/>
  <c r="AP13" i="12"/>
  <c r="AP14" i="12"/>
  <c r="AP5" i="12"/>
  <c r="C4" i="45"/>
  <c r="D4" i="45"/>
  <c r="E4" i="45"/>
  <c r="F4" i="45"/>
  <c r="G4" i="45"/>
  <c r="B4" i="45"/>
  <c r="B2" i="45"/>
  <c r="F3" i="29"/>
  <c r="G46" i="32" s="1"/>
  <c r="D32" i="17"/>
  <c r="C3" i="29" s="1"/>
  <c r="C2" i="44"/>
  <c r="C13" i="44" s="1"/>
  <c r="A15" i="44"/>
  <c r="A16" i="44"/>
  <c r="A24" i="44" s="1"/>
  <c r="A14" i="44"/>
  <c r="A22" i="44" s="1"/>
  <c r="DO7" i="7"/>
  <c r="DO8" i="7"/>
  <c r="DO9" i="7"/>
  <c r="DO10" i="7"/>
  <c r="DO11" i="7"/>
  <c r="DO12" i="7"/>
  <c r="DO13" i="7"/>
  <c r="DO14" i="7"/>
  <c r="DO15" i="7"/>
  <c r="DO16" i="7"/>
  <c r="DO17" i="7"/>
  <c r="DO18" i="7"/>
  <c r="DO19" i="7"/>
  <c r="DO20" i="7"/>
  <c r="DO21" i="7"/>
  <c r="DO22" i="7"/>
  <c r="DO23" i="7"/>
  <c r="DO24" i="7"/>
  <c r="DO25" i="7"/>
  <c r="DO26" i="7"/>
  <c r="DO27" i="7"/>
  <c r="DO28" i="7"/>
  <c r="DO29" i="7"/>
  <c r="DO30" i="7"/>
  <c r="DO31" i="7"/>
  <c r="DO32" i="7"/>
  <c r="DO35" i="7"/>
  <c r="DO6" i="7"/>
  <c r="L4" i="30"/>
  <c r="A16" i="30"/>
  <c r="A17" i="30"/>
  <c r="A18" i="30"/>
  <c r="A19" i="30"/>
  <c r="A15" i="30"/>
  <c r="BT12" i="7"/>
  <c r="V1" i="23"/>
  <c r="W1" i="23" s="1"/>
  <c r="X1" i="23" s="1"/>
  <c r="Y1" i="23" s="1"/>
  <c r="Z1" i="23" s="1"/>
  <c r="AA1" i="23" s="1"/>
  <c r="C13" i="17"/>
  <c r="F13" i="17"/>
  <c r="AN4" i="29"/>
  <c r="AJ26" i="29"/>
  <c r="A33" i="28"/>
  <c r="C33" i="28"/>
  <c r="D33" i="28" s="1"/>
  <c r="E33"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C13" i="29"/>
  <c r="AN25" i="29"/>
  <c r="AJ28" i="29"/>
  <c r="H46" i="53"/>
  <c r="K46" i="53" s="1"/>
  <c r="B65" i="12"/>
  <c r="B66" i="12"/>
  <c r="B67" i="12"/>
  <c r="B68" i="12"/>
  <c r="B69" i="12"/>
  <c r="C65" i="12"/>
  <c r="C71" i="12" s="1"/>
  <c r="C77" i="12" s="1"/>
  <c r="C83" i="12" s="1"/>
  <c r="C89" i="12" s="1"/>
  <c r="C66" i="12"/>
  <c r="C72" i="12" s="1"/>
  <c r="C78" i="12" s="1"/>
  <c r="C84" i="12" s="1"/>
  <c r="C90" i="12" s="1"/>
  <c r="C67" i="12"/>
  <c r="C73" i="12" s="1"/>
  <c r="C79" i="12" s="1"/>
  <c r="C85" i="12" s="1"/>
  <c r="C68" i="12"/>
  <c r="C74" i="12" s="1"/>
  <c r="C80" i="12" s="1"/>
  <c r="C86" i="12" s="1"/>
  <c r="C69" i="12"/>
  <c r="C75" i="12" s="1"/>
  <c r="C81" i="12" s="1"/>
  <c r="C87" i="12" s="1"/>
  <c r="C64" i="12"/>
  <c r="C70" i="12" s="1"/>
  <c r="C76" i="12" s="1"/>
  <c r="C82" i="12" s="1"/>
  <c r="C88" i="12" s="1"/>
  <c r="B83" i="12"/>
  <c r="B70" i="12"/>
  <c r="B80" i="12"/>
  <c r="B81" i="12"/>
  <c r="B82" i="12"/>
  <c r="B72" i="12"/>
  <c r="B64" i="12"/>
  <c r="B74" i="12"/>
  <c r="B75" i="12"/>
  <c r="B76" i="12"/>
  <c r="B77" i="12"/>
  <c r="B78" i="12"/>
  <c r="B79"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58" i="12"/>
  <c r="B59" i="12" s="1"/>
  <c r="B60" i="12" s="1"/>
  <c r="B61" i="12" s="1"/>
  <c r="B62" i="12" s="1"/>
  <c r="B63" i="12" s="1"/>
  <c r="AF3" i="12"/>
  <c r="AG3" i="12" s="1"/>
  <c r="AH3" i="12" s="1"/>
  <c r="AI3" i="12" s="1"/>
  <c r="AJ3" i="12" s="1"/>
  <c r="AK3" i="12" s="1"/>
  <c r="AL3" i="12" s="1"/>
  <c r="AM3" i="12" s="1"/>
  <c r="AN3" i="12" s="1"/>
  <c r="AO3" i="12" s="1"/>
  <c r="AP3" i="12" s="1"/>
  <c r="AQ3" i="12" s="1"/>
  <c r="AR3" i="12" s="1"/>
  <c r="AS3" i="12" s="1"/>
  <c r="BT20" i="7"/>
  <c r="DA20" i="7"/>
  <c r="DB20" i="7"/>
  <c r="DC20" i="7"/>
  <c r="DD20" i="7"/>
  <c r="DE20" i="7"/>
  <c r="DF20" i="7"/>
  <c r="EB20" i="7"/>
  <c r="BT21" i="7"/>
  <c r="DA21" i="7"/>
  <c r="DB21" i="7"/>
  <c r="DC21" i="7"/>
  <c r="DD21" i="7"/>
  <c r="DE21" i="7"/>
  <c r="DF21" i="7"/>
  <c r="EB21" i="7"/>
  <c r="BT22" i="7"/>
  <c r="DA22" i="7"/>
  <c r="DB22" i="7"/>
  <c r="DC22" i="7"/>
  <c r="DD22" i="7"/>
  <c r="DE22" i="7"/>
  <c r="DF22" i="7"/>
  <c r="EB22" i="7"/>
  <c r="BT23" i="7"/>
  <c r="DA23" i="7"/>
  <c r="DB23" i="7"/>
  <c r="DC23" i="7"/>
  <c r="DD23" i="7"/>
  <c r="DE23" i="7"/>
  <c r="DF23" i="7"/>
  <c r="EB23" i="7"/>
  <c r="EH23" i="7"/>
  <c r="BT24" i="7"/>
  <c r="DA24" i="7"/>
  <c r="DB24" i="7"/>
  <c r="DC24" i="7"/>
  <c r="DD24" i="7"/>
  <c r="DE24" i="7"/>
  <c r="DF24" i="7"/>
  <c r="EB24" i="7"/>
  <c r="BT25" i="7"/>
  <c r="DA25" i="7"/>
  <c r="DB25" i="7"/>
  <c r="DC25" i="7"/>
  <c r="DD25" i="7"/>
  <c r="DE25" i="7"/>
  <c r="DF25" i="7"/>
  <c r="EB25" i="7"/>
  <c r="BT26" i="7"/>
  <c r="DA26" i="7"/>
  <c r="DB26" i="7"/>
  <c r="DC26" i="7"/>
  <c r="DD26" i="7"/>
  <c r="DE26" i="7"/>
  <c r="DF26" i="7"/>
  <c r="EB26" i="7"/>
  <c r="BT27" i="7"/>
  <c r="DA27" i="7"/>
  <c r="DB27" i="7"/>
  <c r="DC27" i="7"/>
  <c r="DD27" i="7"/>
  <c r="DE27" i="7"/>
  <c r="DF27" i="7"/>
  <c r="EB27" i="7"/>
  <c r="BT28" i="7"/>
  <c r="DA28" i="7"/>
  <c r="DB28" i="7"/>
  <c r="DC28" i="7"/>
  <c r="DD28" i="7"/>
  <c r="DE28" i="7"/>
  <c r="DF28" i="7"/>
  <c r="EB28" i="7"/>
  <c r="BT29" i="7"/>
  <c r="DA29" i="7"/>
  <c r="DB29" i="7"/>
  <c r="DC29" i="7"/>
  <c r="DD29" i="7"/>
  <c r="DE29" i="7"/>
  <c r="DF29" i="7"/>
  <c r="EB29" i="7"/>
  <c r="BT30" i="7"/>
  <c r="DA30" i="7"/>
  <c r="DB30" i="7"/>
  <c r="DC30" i="7"/>
  <c r="DD30" i="7"/>
  <c r="DE30" i="7"/>
  <c r="DF30" i="7"/>
  <c r="EB30" i="7"/>
  <c r="BT19" i="7"/>
  <c r="BT31" i="7"/>
  <c r="DA31" i="7"/>
  <c r="DB31" i="7"/>
  <c r="DC31" i="7"/>
  <c r="DD31" i="7"/>
  <c r="DE31" i="7"/>
  <c r="DF31" i="7"/>
  <c r="BT32" i="7"/>
  <c r="DA32" i="7"/>
  <c r="DB32" i="7"/>
  <c r="DC32" i="7"/>
  <c r="DD32" i="7"/>
  <c r="DE32" i="7"/>
  <c r="DF32" i="7"/>
  <c r="BT34" i="7"/>
  <c r="DA34" i="7"/>
  <c r="DB34" i="7"/>
  <c r="DC34" i="7"/>
  <c r="DD34" i="7"/>
  <c r="DE34" i="7"/>
  <c r="DF34" i="7"/>
  <c r="DR34" i="7"/>
  <c r="DS34" i="7"/>
  <c r="DV34" i="7"/>
  <c r="DE5" i="8"/>
  <c r="DE6" i="8"/>
  <c r="DE7" i="8"/>
  <c r="DE8" i="8"/>
  <c r="DE9" i="8"/>
  <c r="DE10" i="8"/>
  <c r="DE11" i="8"/>
  <c r="DE12" i="8"/>
  <c r="DE13" i="8"/>
  <c r="DE14" i="8"/>
  <c r="DE15" i="8"/>
  <c r="DE16" i="8"/>
  <c r="DE17" i="8"/>
  <c r="DE18" i="8"/>
  <c r="DE19" i="8"/>
  <c r="DE20" i="8"/>
  <c r="DE21" i="8"/>
  <c r="DE22" i="8"/>
  <c r="DE23" i="8"/>
  <c r="DE24" i="8"/>
  <c r="DE25" i="8"/>
  <c r="DE26" i="8"/>
  <c r="DE27" i="8"/>
  <c r="DE28" i="8"/>
  <c r="DE29" i="8"/>
  <c r="DE30" i="8"/>
  <c r="DE31" i="8"/>
  <c r="DE4" i="8"/>
  <c r="DR11" i="7"/>
  <c r="M13" i="8"/>
  <c r="DQ5" i="8"/>
  <c r="DQ6" i="8"/>
  <c r="DQ7" i="8"/>
  <c r="DQ8" i="8"/>
  <c r="DQ9" i="8"/>
  <c r="DQ10" i="8"/>
  <c r="DQ11" i="8"/>
  <c r="DQ12" i="8"/>
  <c r="DQ13" i="8"/>
  <c r="DQ14" i="8"/>
  <c r="DQ15" i="8"/>
  <c r="DQ16" i="8"/>
  <c r="DQ17" i="8"/>
  <c r="DQ18" i="8"/>
  <c r="DQ19" i="8"/>
  <c r="DQ20" i="8"/>
  <c r="DQ21" i="8"/>
  <c r="DQ22" i="8"/>
  <c r="DQ23" i="8"/>
  <c r="DQ4" i="8"/>
  <c r="DR4" i="8" s="1"/>
  <c r="F55" i="17"/>
  <c r="J61" i="17" s="1"/>
  <c r="P7" i="8"/>
  <c r="Q7" i="8" s="1"/>
  <c r="M15" i="8"/>
  <c r="P15" i="8"/>
  <c r="Q15" i="8" s="1"/>
  <c r="M16" i="8"/>
  <c r="E17" i="28" s="1"/>
  <c r="P16" i="8"/>
  <c r="Q16" i="8" s="1"/>
  <c r="W16" i="8"/>
  <c r="M17" i="8"/>
  <c r="X17" i="8" s="1"/>
  <c r="AO17" i="8" s="1"/>
  <c r="P17" i="8"/>
  <c r="Q17" i="8" s="1"/>
  <c r="W17" i="8"/>
  <c r="M18" i="8"/>
  <c r="X18" i="8" s="1"/>
  <c r="AN18" i="8" s="1"/>
  <c r="AZ18" i="8" s="1"/>
  <c r="P18" i="8"/>
  <c r="Q18" i="8" s="1"/>
  <c r="M19" i="8"/>
  <c r="P19" i="8"/>
  <c r="Q19" i="8" s="1"/>
  <c r="W19" i="8"/>
  <c r="M20" i="8"/>
  <c r="P20" i="8"/>
  <c r="Q20" i="8" s="1"/>
  <c r="M21" i="8"/>
  <c r="X21" i="8" s="1"/>
  <c r="AN21" i="8" s="1"/>
  <c r="P21" i="8"/>
  <c r="Q21" i="8" s="1"/>
  <c r="W21" i="8"/>
  <c r="M22" i="8"/>
  <c r="E23" i="28" s="1"/>
  <c r="P22" i="8"/>
  <c r="Q22" i="8" s="1"/>
  <c r="M23" i="8"/>
  <c r="P23" i="8"/>
  <c r="Q23" i="8" s="1"/>
  <c r="W23" i="8"/>
  <c r="AD12" i="8"/>
  <c r="AD8" i="8"/>
  <c r="AD7" i="8"/>
  <c r="AD6" i="8"/>
  <c r="AD5" i="8"/>
  <c r="AD4" i="8"/>
  <c r="W6" i="8"/>
  <c r="W4" i="8"/>
  <c r="W7" i="8"/>
  <c r="W8" i="8"/>
  <c r="W9" i="8"/>
  <c r="W11" i="8"/>
  <c r="W12" i="8"/>
  <c r="W13" i="8"/>
  <c r="W25" i="8"/>
  <c r="W26" i="8"/>
  <c r="W27" i="8"/>
  <c r="W29" i="8"/>
  <c r="W30" i="8"/>
  <c r="W31" i="8"/>
  <c r="W5" i="8"/>
  <c r="P4" i="8"/>
  <c r="Q4" i="8" s="1"/>
  <c r="M9" i="8"/>
  <c r="X9" i="8" s="1"/>
  <c r="DA9" i="8" s="1"/>
  <c r="DB9" i="8" s="1"/>
  <c r="C10" i="28" s="1"/>
  <c r="D10" i="28" s="1"/>
  <c r="D46" i="17"/>
  <c r="AU2" i="53" s="1"/>
  <c r="K8" i="45" s="1"/>
  <c r="M11" i="8"/>
  <c r="N11" i="8" s="1"/>
  <c r="O11" i="8" s="1"/>
  <c r="P11" i="8"/>
  <c r="Q11" i="8" s="1"/>
  <c r="M12" i="8"/>
  <c r="P12" i="8"/>
  <c r="Q12" i="8" s="1"/>
  <c r="P13" i="8"/>
  <c r="M14" i="8"/>
  <c r="E15" i="28" s="1"/>
  <c r="P14" i="8"/>
  <c r="Q14" i="8" s="1"/>
  <c r="A5" i="28"/>
  <c r="M5" i="8"/>
  <c r="E6" i="28" s="1"/>
  <c r="M6" i="8"/>
  <c r="M7" i="8"/>
  <c r="E8" i="28" s="1"/>
  <c r="M8" i="8"/>
  <c r="E9" i="28" s="1"/>
  <c r="M10" i="8"/>
  <c r="N10" i="8" s="1"/>
  <c r="O10" i="8" s="1"/>
  <c r="M24" i="8"/>
  <c r="E25" i="28" s="1"/>
  <c r="M25" i="8"/>
  <c r="M26" i="8"/>
  <c r="E27" i="28" s="1"/>
  <c r="M27" i="8"/>
  <c r="X27" i="8" s="1"/>
  <c r="AM27" i="8" s="1"/>
  <c r="M29" i="8"/>
  <c r="E30" i="28" s="1"/>
  <c r="M30" i="8"/>
  <c r="M4" i="8"/>
  <c r="X4" i="8" s="1"/>
  <c r="DA4" i="8" s="1"/>
  <c r="DB4" i="8" s="1"/>
  <c r="C5" i="28" s="1"/>
  <c r="D5" i="28" s="1"/>
  <c r="P9" i="8"/>
  <c r="Q9" i="8" s="1"/>
  <c r="M28" i="8"/>
  <c r="P29" i="8"/>
  <c r="Q29" i="8" s="1"/>
  <c r="P5" i="8"/>
  <c r="Q5" i="8" s="1"/>
  <c r="P6" i="8"/>
  <c r="Q6" i="8" s="1"/>
  <c r="P8" i="8"/>
  <c r="Q8" i="8" s="1"/>
  <c r="P10" i="8"/>
  <c r="Q10" i="8" s="1"/>
  <c r="P24" i="8"/>
  <c r="Q24" i="8" s="1"/>
  <c r="P25" i="8"/>
  <c r="Q25" i="8" s="1"/>
  <c r="P26" i="8"/>
  <c r="Q26" i="8" s="1"/>
  <c r="P27" i="8"/>
  <c r="Q27" i="8" s="1"/>
  <c r="P30" i="8"/>
  <c r="Q30" i="8" s="1"/>
  <c r="AD29" i="8"/>
  <c r="AD13" i="8"/>
  <c r="AD30" i="8"/>
  <c r="AD20" i="8"/>
  <c r="AD19" i="8"/>
  <c r="AD14" i="8"/>
  <c r="AD21" i="8"/>
  <c r="AD15" i="8"/>
  <c r="AD28" i="8"/>
  <c r="AD24" i="8"/>
  <c r="AD16" i="8"/>
  <c r="AD25" i="8"/>
  <c r="AD22" i="8"/>
  <c r="AD17" i="8"/>
  <c r="AD9" i="8"/>
  <c r="AD26" i="8"/>
  <c r="AD23" i="8"/>
  <c r="AD11" i="8"/>
  <c r="AD10" i="8"/>
  <c r="AD27" i="8"/>
  <c r="AD18" i="8"/>
  <c r="AD31" i="8"/>
  <c r="W22" i="8"/>
  <c r="W20" i="8"/>
  <c r="W18" i="8"/>
  <c r="W28" i="8"/>
  <c r="W24" i="8"/>
  <c r="W14" i="8"/>
  <c r="W10" i="8"/>
  <c r="P28" i="8"/>
  <c r="Q28" i="8" s="1"/>
  <c r="J3" i="12"/>
  <c r="K3" i="12" s="1"/>
  <c r="L3" i="12" s="1"/>
  <c r="M3" i="12" s="1"/>
  <c r="N3" i="12" s="1"/>
  <c r="O3" i="12" s="1"/>
  <c r="P3" i="12" s="1"/>
  <c r="Q3" i="12" s="1"/>
  <c r="R3" i="12" s="1"/>
  <c r="S3" i="12" s="1"/>
  <c r="T3" i="12" s="1"/>
  <c r="U3" i="12" s="1"/>
  <c r="V3" i="12" s="1"/>
  <c r="W3" i="12" s="1"/>
  <c r="X3" i="12" s="1"/>
  <c r="Y3" i="12" s="1"/>
  <c r="DR5" i="7"/>
  <c r="BT7" i="7"/>
  <c r="BT8" i="7"/>
  <c r="BT9" i="7"/>
  <c r="BT10" i="7"/>
  <c r="BT11" i="7"/>
  <c r="BT13" i="7"/>
  <c r="BT14" i="7"/>
  <c r="BT15" i="7"/>
  <c r="BT16" i="7"/>
  <c r="BT17" i="7"/>
  <c r="BT18" i="7"/>
  <c r="BT6" i="7"/>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D29" i="12"/>
  <c r="E20" i="53" s="1"/>
  <c r="C34" i="12"/>
  <c r="C33" i="12"/>
  <c r="C32" i="12"/>
  <c r="C37" i="12" s="1"/>
  <c r="C42" i="12" s="1"/>
  <c r="D42" i="12" s="1"/>
  <c r="C31" i="12"/>
  <c r="C30" i="12"/>
  <c r="N7" i="12"/>
  <c r="N6" i="12"/>
  <c r="N8" i="12"/>
  <c r="N10" i="12"/>
  <c r="N11" i="12"/>
  <c r="N13" i="12"/>
  <c r="N14" i="12"/>
  <c r="N5" i="12"/>
  <c r="F1" i="23"/>
  <c r="G1" i="23"/>
  <c r="H1" i="23"/>
  <c r="I1" i="23"/>
  <c r="J1" i="23"/>
  <c r="K1" i="23" s="1"/>
  <c r="L1" i="23" s="1"/>
  <c r="M1" i="23" s="1"/>
  <c r="N1" i="23" s="1"/>
  <c r="O1" i="23" s="1"/>
  <c r="P1" i="23" s="1"/>
  <c r="Q1" i="23" s="1"/>
  <c r="E1" i="23"/>
  <c r="BY5" i="7"/>
  <c r="CF5" i="7" s="1"/>
  <c r="CM5" i="7" s="1"/>
  <c r="CT5" i="7" s="1"/>
  <c r="DA5" i="7" s="1"/>
  <c r="DH5" i="7" s="1"/>
  <c r="EH5" i="7" s="1"/>
  <c r="AM3" i="8"/>
  <c r="D1" i="7"/>
  <c r="J1" i="7" s="1"/>
  <c r="EF13" i="7" s="1"/>
  <c r="D30" i="17"/>
  <c r="E30" i="17" s="1"/>
  <c r="BR6" i="23"/>
  <c r="AN1" i="29"/>
  <c r="AI5" i="8"/>
  <c r="AI4" i="8"/>
  <c r="AI6" i="8"/>
  <c r="AI7" i="8"/>
  <c r="BM7" i="7"/>
  <c r="EB32" i="7"/>
  <c r="EB31" i="7"/>
  <c r="EB19" i="7"/>
  <c r="EB34" i="7"/>
  <c r="AJ7" i="7"/>
  <c r="AK7" i="7" s="1"/>
  <c r="AJ6" i="7"/>
  <c r="AK6" i="7" s="1"/>
  <c r="AJ9" i="7"/>
  <c r="AK9" i="7" s="1"/>
  <c r="BT33" i="7"/>
  <c r="EB8" i="7"/>
  <c r="DE14" i="7"/>
  <c r="DD13" i="7"/>
  <c r="DD15" i="7"/>
  <c r="EB6" i="7"/>
  <c r="DE15" i="7"/>
  <c r="DC6" i="7"/>
  <c r="DC15" i="7"/>
  <c r="DC16" i="7"/>
  <c r="DD19" i="7"/>
  <c r="DE6" i="7"/>
  <c r="DD16" i="7"/>
  <c r="DB15" i="7"/>
  <c r="DD7" i="7"/>
  <c r="DB16" i="7"/>
  <c r="DD8" i="7"/>
  <c r="DA6" i="7"/>
  <c r="DE8" i="7"/>
  <c r="DD14" i="7"/>
  <c r="DA15" i="7"/>
  <c r="DD10" i="7"/>
  <c r="DE9" i="7"/>
  <c r="DA16" i="7"/>
  <c r="DC14" i="7"/>
  <c r="DD17" i="7"/>
  <c r="DE16" i="7"/>
  <c r="DB19" i="7"/>
  <c r="DF6" i="7"/>
  <c r="DF16" i="7"/>
  <c r="DA8" i="7"/>
  <c r="DB14" i="7"/>
  <c r="DF11" i="7"/>
  <c r="DC17" i="7"/>
  <c r="DA19" i="7"/>
  <c r="DB6" i="7"/>
  <c r="DF8" i="7"/>
  <c r="DC8" i="7"/>
  <c r="DF17" i="7"/>
  <c r="DB8" i="7"/>
  <c r="DA14" i="7"/>
  <c r="DE17" i="7"/>
  <c r="DF14" i="7"/>
  <c r="DB17" i="7"/>
  <c r="DE13" i="7"/>
  <c r="DC19" i="7"/>
  <c r="DF13" i="7"/>
  <c r="DF15" i="7"/>
  <c r="DD6" i="7"/>
  <c r="DB13" i="7"/>
  <c r="DA17" i="7"/>
  <c r="DC13" i="7"/>
  <c r="DF19" i="7"/>
  <c r="DA13" i="7"/>
  <c r="DE19" i="7"/>
  <c r="DF18" i="7"/>
  <c r="DE18" i="7"/>
  <c r="DC18" i="7"/>
  <c r="DD18" i="7"/>
  <c r="DB18" i="7"/>
  <c r="DA18" i="7"/>
  <c r="EB7" i="7"/>
  <c r="EB9" i="7"/>
  <c r="DF12" i="7"/>
  <c r="DF10" i="7"/>
  <c r="DE10" i="7"/>
  <c r="DA10" i="7"/>
  <c r="DB12" i="7"/>
  <c r="DC10" i="7"/>
  <c r="DC9" i="7"/>
  <c r="DB11" i="7"/>
  <c r="DC12" i="7"/>
  <c r="DF7" i="7"/>
  <c r="DA9" i="7"/>
  <c r="DD12" i="7"/>
  <c r="DB9" i="7"/>
  <c r="DD9" i="7"/>
  <c r="DE11" i="7"/>
  <c r="DE12" i="7"/>
  <c r="DF9" i="7"/>
  <c r="DE7" i="7"/>
  <c r="DC11" i="7"/>
  <c r="DA7" i="7"/>
  <c r="DC7" i="7"/>
  <c r="DA11" i="7"/>
  <c r="DA12" i="7"/>
  <c r="DB10" i="7"/>
  <c r="DB7" i="7"/>
  <c r="DD11" i="7"/>
  <c r="EB10" i="7"/>
  <c r="EB11" i="7"/>
  <c r="EB12" i="7"/>
  <c r="EB13" i="7"/>
  <c r="EB14" i="7"/>
  <c r="EB15" i="7"/>
  <c r="EB16" i="7"/>
  <c r="EB17" i="7"/>
  <c r="EB18" i="7"/>
  <c r="DH31" i="8"/>
  <c r="DG31" i="8"/>
  <c r="BD19" i="53"/>
  <c r="K25" i="45"/>
  <c r="L25" i="45"/>
  <c r="BE19" i="53"/>
  <c r="N25" i="45"/>
  <c r="BG19" i="53"/>
  <c r="M25" i="45"/>
  <c r="BF19" i="53"/>
  <c r="P25" i="45"/>
  <c r="BI19" i="53"/>
  <c r="O25" i="45"/>
  <c r="BH19" i="53"/>
  <c r="C18" i="12"/>
  <c r="AJ8" i="7"/>
  <c r="AK8" i="7" s="1"/>
  <c r="AZ8" i="53"/>
  <c r="P14" i="45" s="1"/>
  <c r="AX8" i="53"/>
  <c r="N14" i="45" s="1"/>
  <c r="N47" i="53"/>
  <c r="BA13" i="53" s="1"/>
  <c r="AV8" i="53"/>
  <c r="L14" i="45" s="1"/>
  <c r="N46" i="53"/>
  <c r="BA12" i="53" s="1"/>
  <c r="AY8" i="53"/>
  <c r="O14" i="45" s="1"/>
  <c r="AW8" i="53"/>
  <c r="M14" i="45" s="1"/>
  <c r="B25" i="55"/>
  <c r="D25" i="44"/>
  <c r="D74" i="32" s="1"/>
  <c r="D76" i="32" s="1"/>
  <c r="E25" i="44"/>
  <c r="E74" i="32" s="1"/>
  <c r="F25" i="44"/>
  <c r="F74" i="32" s="1"/>
  <c r="G25" i="44"/>
  <c r="G74" i="32" s="1"/>
  <c r="H25" i="44"/>
  <c r="BD63" i="53"/>
  <c r="DG30" i="7"/>
  <c r="BM11" i="7"/>
  <c r="EI16" i="7"/>
  <c r="J62" i="17"/>
  <c r="F34" i="7" s="1"/>
  <c r="EK34" i="7" s="1"/>
  <c r="AS24" i="7"/>
  <c r="F48" i="44" s="1"/>
  <c r="BM63" i="53"/>
  <c r="BN63" i="53" s="1"/>
  <c r="EH16" i="7"/>
  <c r="EM16" i="7"/>
  <c r="EM32" i="7"/>
  <c r="AY68" i="53"/>
  <c r="EL16" i="7"/>
  <c r="N14" i="8"/>
  <c r="O14" i="8" s="1"/>
  <c r="EK12" i="7"/>
  <c r="EK7" i="7"/>
  <c r="EK31" i="7"/>
  <c r="C21" i="44"/>
  <c r="AS11" i="7"/>
  <c r="F35" i="44" s="1"/>
  <c r="AS28" i="7"/>
  <c r="F52" i="44" s="1"/>
  <c r="B67" i="44"/>
  <c r="C29" i="55"/>
  <c r="C22" i="54" s="1"/>
  <c r="BB26" i="7"/>
  <c r="AR126" i="7" s="1"/>
  <c r="B34" i="44"/>
  <c r="N22" i="8"/>
  <c r="O22" i="8" s="1"/>
  <c r="J72" i="17"/>
  <c r="H56" i="17"/>
  <c r="DR6" i="7"/>
  <c r="BF72" i="53"/>
  <c r="BG72" i="53" s="1"/>
  <c r="E3" i="54"/>
  <c r="EJ19" i="7"/>
  <c r="X14" i="8"/>
  <c r="AP14" i="8" s="1"/>
  <c r="K30" i="17"/>
  <c r="EF34" i="7"/>
  <c r="X22" i="8"/>
  <c r="AM22" i="8" s="1"/>
  <c r="AR68" i="53"/>
  <c r="D13" i="55"/>
  <c r="EF24" i="7"/>
  <c r="D46" i="32"/>
  <c r="C4" i="29"/>
  <c r="EH17" i="7"/>
  <c r="DG14" i="7"/>
  <c r="B61" i="44"/>
  <c r="F3" i="54"/>
  <c r="EM17" i="7"/>
  <c r="EI17" i="7"/>
  <c r="EF23" i="7"/>
  <c r="EF14" i="7"/>
  <c r="BM26" i="7"/>
  <c r="BM15" i="7"/>
  <c r="E5" i="28"/>
  <c r="EL26" i="7"/>
  <c r="DR22" i="7"/>
  <c r="BF77" i="53"/>
  <c r="BG77" i="53" s="1"/>
  <c r="Z62" i="53"/>
  <c r="B70" i="44"/>
  <c r="B17" i="28"/>
  <c r="G9" i="54"/>
  <c r="F9" i="54"/>
  <c r="F15" i="55"/>
  <c r="E15" i="55"/>
  <c r="DG9" i="7"/>
  <c r="DR9" i="7"/>
  <c r="AE11" i="7"/>
  <c r="BM13" i="7"/>
  <c r="BM32" i="7"/>
  <c r="BM19" i="7"/>
  <c r="EF15" i="7"/>
  <c r="EF19" i="7"/>
  <c r="EK10" i="7"/>
  <c r="N26" i="8"/>
  <c r="O26" i="8" s="1"/>
  <c r="AR67" i="53"/>
  <c r="B25" i="28"/>
  <c r="D9" i="54"/>
  <c r="F21" i="54"/>
  <c r="EH22" i="7"/>
  <c r="EM26" i="7"/>
  <c r="EJ26" i="7"/>
  <c r="EL30" i="7"/>
  <c r="BB9" i="7"/>
  <c r="AR109" i="7" s="1"/>
  <c r="EK26" i="7"/>
  <c r="DR21" i="7"/>
  <c r="EI23" i="7"/>
  <c r="EM23" i="7"/>
  <c r="EH31" i="7"/>
  <c r="EK23" i="7"/>
  <c r="C8" i="44"/>
  <c r="J7" i="51"/>
  <c r="L7" i="51" s="1"/>
  <c r="I7" i="51"/>
  <c r="K7" i="51" s="1"/>
  <c r="J11" i="51"/>
  <c r="L11" i="51" s="1"/>
  <c r="L12" i="51" s="1"/>
  <c r="C12" i="51"/>
  <c r="B26" i="28"/>
  <c r="AD11" i="7"/>
  <c r="B5" i="28"/>
  <c r="EJ10" i="7"/>
  <c r="EI10" i="7"/>
  <c r="BB10" i="7"/>
  <c r="AR110" i="7" s="1"/>
  <c r="EM10" i="7"/>
  <c r="DG10" i="7"/>
  <c r="EL10" i="7"/>
  <c r="AD10" i="7"/>
  <c r="F15" i="54"/>
  <c r="D15" i="54"/>
  <c r="AS75" i="53"/>
  <c r="AS72" i="53"/>
  <c r="AS68" i="53"/>
  <c r="AS77" i="53"/>
  <c r="DG29" i="7"/>
  <c r="J65" i="17"/>
  <c r="G72" i="17"/>
  <c r="DG13" i="7"/>
  <c r="AR64" i="53"/>
  <c r="AT30" i="53"/>
  <c r="J41" i="53"/>
  <c r="K41" i="53"/>
  <c r="L41" i="53" s="1"/>
  <c r="EI25" i="7"/>
  <c r="G13" i="55"/>
  <c r="AS22" i="7"/>
  <c r="F46" i="44" s="1"/>
  <c r="E9" i="54"/>
  <c r="G18" i="55"/>
  <c r="B60" i="29"/>
  <c r="B69" i="29" s="1"/>
  <c r="D3" i="29"/>
  <c r="E46" i="32" s="1"/>
  <c r="BE5" i="53"/>
  <c r="J24" i="45" s="1"/>
  <c r="BE6" i="53"/>
  <c r="J25" i="45" s="1"/>
  <c r="AQ21" i="8"/>
  <c r="E22" i="28"/>
  <c r="F29" i="55"/>
  <c r="F22" i="54" s="1"/>
  <c r="D70" i="55"/>
  <c r="E14" i="54"/>
  <c r="AR66" i="53"/>
  <c r="Z66" i="53"/>
  <c r="BF66" i="53"/>
  <c r="BG66" i="53" s="1"/>
  <c r="BE66" i="53"/>
  <c r="EM19" i="7"/>
  <c r="EI19" i="7"/>
  <c r="EH27" i="7"/>
  <c r="EI27" i="7"/>
  <c r="EJ27" i="7"/>
  <c r="EK27" i="7"/>
  <c r="EM27" i="7"/>
  <c r="F16" i="55"/>
  <c r="H16" i="55"/>
  <c r="D16" i="55"/>
  <c r="E16" i="55"/>
  <c r="E29" i="55"/>
  <c r="E22" i="54" s="1"/>
  <c r="E3" i="29"/>
  <c r="F46" i="32" s="1"/>
  <c r="AN27" i="29"/>
  <c r="AB2" i="29" s="1"/>
  <c r="Y3" i="63"/>
  <c r="Y10" i="63"/>
  <c r="Y25" i="63"/>
  <c r="BB13" i="7"/>
  <c r="AR113" i="7" s="1"/>
  <c r="AS13" i="7"/>
  <c r="F37" i="44" s="1"/>
  <c r="EL20" i="7"/>
  <c r="E4" i="54"/>
  <c r="BE64" i="53"/>
  <c r="AR65" i="53"/>
  <c r="B55" i="44"/>
  <c r="B51" i="44"/>
  <c r="B43" i="44"/>
  <c r="DR19" i="7"/>
  <c r="DG19" i="7"/>
  <c r="BF2" i="53"/>
  <c r="AU27" i="53" s="1"/>
  <c r="Y19" i="63"/>
  <c r="G10" i="54"/>
  <c r="F10" i="54"/>
  <c r="B60" i="44"/>
  <c r="B15" i="28"/>
  <c r="B76" i="44"/>
  <c r="B23" i="28"/>
  <c r="B31" i="28"/>
  <c r="Z64" i="53"/>
  <c r="C16" i="55"/>
  <c r="BF76" i="53"/>
  <c r="BG76" i="53" s="1"/>
  <c r="AR62" i="53"/>
  <c r="AT7" i="53"/>
  <c r="J13" i="45" s="1"/>
  <c r="P40" i="12"/>
  <c r="P41" i="12" s="1"/>
  <c r="R41" i="12" s="1"/>
  <c r="F13" i="55"/>
  <c r="AB21" i="7"/>
  <c r="AB12" i="7"/>
  <c r="AB20" i="7"/>
  <c r="AB8" i="7"/>
  <c r="AE8" i="7" s="1"/>
  <c r="AB17" i="7"/>
  <c r="AB27" i="7"/>
  <c r="AB16" i="7"/>
  <c r="AB19" i="7"/>
  <c r="AB22" i="7"/>
  <c r="AB28" i="7"/>
  <c r="BM16" i="7"/>
  <c r="BM8" i="7"/>
  <c r="BM22" i="7"/>
  <c r="BM21" i="7"/>
  <c r="BM28" i="7"/>
  <c r="BM20" i="7"/>
  <c r="BM35" i="7"/>
  <c r="AB28" i="29" s="1"/>
  <c r="EF30" i="7"/>
  <c r="EF31" i="7"/>
  <c r="AB6" i="7"/>
  <c r="AE6" i="7" s="1"/>
  <c r="BM6" i="7"/>
  <c r="AB18" i="7"/>
  <c r="AB23" i="7"/>
  <c r="AB26" i="7"/>
  <c r="AB14" i="7"/>
  <c r="BM14" i="7"/>
  <c r="BM9" i="7"/>
  <c r="BM30" i="7"/>
  <c r="BM24" i="7"/>
  <c r="BM10" i="7"/>
  <c r="BM29" i="7"/>
  <c r="BM12" i="7"/>
  <c r="EF21" i="7"/>
  <c r="AE10" i="7"/>
  <c r="AB9" i="7"/>
  <c r="AB7" i="7"/>
  <c r="AE7" i="7" s="1"/>
  <c r="AB30" i="7"/>
  <c r="AB24" i="7"/>
  <c r="E26" i="28"/>
  <c r="E21" i="28"/>
  <c r="X19" i="8"/>
  <c r="K32" i="17"/>
  <c r="N24" i="8"/>
  <c r="O24" i="8" s="1"/>
  <c r="J6" i="51"/>
  <c r="L6" i="51" s="1"/>
  <c r="F11" i="51"/>
  <c r="P11" i="51" s="1"/>
  <c r="P12" i="51" s="1"/>
  <c r="AZ63" i="53"/>
  <c r="AR63" i="53"/>
  <c r="AS70" i="53"/>
  <c r="AS73" i="53"/>
  <c r="L75" i="8"/>
  <c r="BT8" i="12"/>
  <c r="Y14" i="12" s="1"/>
  <c r="E10" i="54"/>
  <c r="D10" i="54"/>
  <c r="F18" i="55"/>
  <c r="G16" i="55"/>
  <c r="DA17" i="8"/>
  <c r="DB17" i="8" s="1"/>
  <c r="C18" i="28" s="1"/>
  <c r="D18" i="28" s="1"/>
  <c r="AP18" i="8"/>
  <c r="EJ34" i="7"/>
  <c r="AQ22" i="8"/>
  <c r="AR22" i="8"/>
  <c r="AE8" i="8"/>
  <c r="DA22" i="8"/>
  <c r="DB22" i="8" s="1"/>
  <c r="C23" i="28" s="1"/>
  <c r="D23" i="28" s="1"/>
  <c r="AE7" i="8"/>
  <c r="AH9" i="8"/>
  <c r="AH7" i="8"/>
  <c r="AE29" i="8"/>
  <c r="AE23" i="8"/>
  <c r="AE24" i="8"/>
  <c r="AE20" i="8"/>
  <c r="AE18" i="8"/>
  <c r="AE4" i="8"/>
  <c r="AE16" i="8"/>
  <c r="AE12" i="8"/>
  <c r="AE13" i="8"/>
  <c r="AE28" i="8"/>
  <c r="AE11" i="8"/>
  <c r="AE30" i="8"/>
  <c r="AH11" i="8"/>
  <c r="AH10" i="8"/>
  <c r="AH25" i="8"/>
  <c r="AH28" i="8"/>
  <c r="AH15" i="8"/>
  <c r="AH13" i="8"/>
  <c r="AH16" i="8"/>
  <c r="AH20" i="8"/>
  <c r="AH23" i="8"/>
  <c r="AH17" i="8"/>
  <c r="AH12" i="8"/>
  <c r="AH22" i="8"/>
  <c r="AH18" i="8"/>
  <c r="AH27" i="8"/>
  <c r="AH26" i="8"/>
  <c r="AH14" i="8"/>
  <c r="AH30" i="8"/>
  <c r="AH24" i="8"/>
  <c r="AH21" i="8"/>
  <c r="AH19" i="8"/>
  <c r="AH29" i="8"/>
  <c r="AE9" i="8"/>
  <c r="AE26" i="8"/>
  <c r="AE17" i="8"/>
  <c r="AE14" i="8"/>
  <c r="AE21" i="8"/>
  <c r="AE25" i="8"/>
  <c r="AE19" i="8"/>
  <c r="AE27" i="8"/>
  <c r="AE10" i="8"/>
  <c r="AE22" i="8"/>
  <c r="AE15" i="8"/>
  <c r="AH4" i="8"/>
  <c r="AE6" i="8"/>
  <c r="AH8" i="8"/>
  <c r="AH6" i="8"/>
  <c r="AY6" i="53"/>
  <c r="O12" i="45" s="1"/>
  <c r="AX6" i="53"/>
  <c r="N12" i="45" s="1"/>
  <c r="AZ6" i="53"/>
  <c r="P12" i="45" s="1"/>
  <c r="AW6" i="53"/>
  <c r="M12" i="45" s="1"/>
  <c r="N40" i="53"/>
  <c r="BA6" i="53" s="1"/>
  <c r="AV6" i="53"/>
  <c r="L12" i="45" s="1"/>
  <c r="P42" i="53"/>
  <c r="BJ20" i="53" s="1"/>
  <c r="AU6" i="53"/>
  <c r="K12" i="45" s="1"/>
  <c r="P40" i="53"/>
  <c r="EF11" i="7"/>
  <c r="EF10" i="7"/>
  <c r="B26" i="55"/>
  <c r="B6" i="29"/>
  <c r="EI34" i="7" l="1"/>
  <c r="DA21" i="8"/>
  <c r="DB21" i="8" s="1"/>
  <c r="C22" i="28" s="1"/>
  <c r="D22" i="28" s="1"/>
  <c r="BM66" i="53"/>
  <c r="BN66" i="53" s="1"/>
  <c r="BE63" i="53"/>
  <c r="AR98" i="7"/>
  <c r="AO21" i="8"/>
  <c r="BM62" i="53"/>
  <c r="BN62" i="53" s="1"/>
  <c r="D37" i="12"/>
  <c r="BD66" i="53"/>
  <c r="BF63" i="53"/>
  <c r="BG63" i="53" s="1"/>
  <c r="AZ62" i="53"/>
  <c r="N17" i="8"/>
  <c r="O17" i="8" s="1"/>
  <c r="X24" i="8"/>
  <c r="AP24" i="8" s="1"/>
  <c r="AP21" i="8"/>
  <c r="AY63" i="53"/>
  <c r="N21" i="8"/>
  <c r="O21" i="8" s="1"/>
  <c r="EH25" i="7"/>
  <c r="C47" i="12"/>
  <c r="C52" i="12" s="1"/>
  <c r="D52" i="12" s="1"/>
  <c r="AM17" i="8"/>
  <c r="AR100" i="7"/>
  <c r="AP17" i="8"/>
  <c r="AU17" i="8" s="1"/>
  <c r="H10" i="51"/>
  <c r="I10" i="51" s="1"/>
  <c r="K10" i="51" s="1"/>
  <c r="AR94" i="7"/>
  <c r="AY66" i="53"/>
  <c r="BA66" i="53" s="1"/>
  <c r="BC66" i="53" s="1"/>
  <c r="AM21" i="8"/>
  <c r="X5" i="8"/>
  <c r="DA5" i="8" s="1"/>
  <c r="DB5" i="8" s="1"/>
  <c r="C6" i="28" s="1"/>
  <c r="D6" i="28" s="1"/>
  <c r="AR18" i="8"/>
  <c r="EJ20" i="7"/>
  <c r="E19" i="28"/>
  <c r="AB33" i="7"/>
  <c r="BM27" i="7"/>
  <c r="Q6" i="63"/>
  <c r="AB59" i="55"/>
  <c r="EI20" i="7"/>
  <c r="H4" i="51"/>
  <c r="N18" i="8"/>
  <c r="O18" i="8" s="1"/>
  <c r="EF20" i="7"/>
  <c r="AB31" i="7"/>
  <c r="DA18" i="8"/>
  <c r="DB18" i="8" s="1"/>
  <c r="C19" i="28" s="1"/>
  <c r="D19" i="28" s="1"/>
  <c r="K34" i="17"/>
  <c r="AM18" i="8"/>
  <c r="EH20" i="7"/>
  <c r="F4" i="51"/>
  <c r="O4" i="51" s="1"/>
  <c r="AS15" i="7"/>
  <c r="F39" i="44" s="1"/>
  <c r="G4" i="51"/>
  <c r="B82" i="44"/>
  <c r="AR96" i="7"/>
  <c r="B13" i="28"/>
  <c r="EF18" i="7"/>
  <c r="BM33" i="7"/>
  <c r="EF16" i="7"/>
  <c r="AB15" i="7"/>
  <c r="U6" i="63"/>
  <c r="BI7" i="12"/>
  <c r="BW7" i="12" s="1"/>
  <c r="BD36" i="53"/>
  <c r="BJ36" i="53" s="1"/>
  <c r="J4" i="51"/>
  <c r="L4" i="51" s="1"/>
  <c r="B21" i="28"/>
  <c r="T6" i="63"/>
  <c r="V6" i="63" s="1"/>
  <c r="BM36" i="53"/>
  <c r="BS36" i="53" s="1"/>
  <c r="D101" i="55"/>
  <c r="S6" i="63"/>
  <c r="BA69" i="53"/>
  <c r="BA70" i="53"/>
  <c r="BA72" i="53"/>
  <c r="BA73" i="53"/>
  <c r="F4" i="54"/>
  <c r="D4" i="54"/>
  <c r="C7" i="54"/>
  <c r="G7" i="54" s="1"/>
  <c r="EJ9" i="7"/>
  <c r="EL9" i="7"/>
  <c r="O6" i="7"/>
  <c r="AT64" i="53"/>
  <c r="B101" i="55"/>
  <c r="BX9" i="12"/>
  <c r="BZ9" i="12" s="1"/>
  <c r="G10" i="51"/>
  <c r="Q10" i="51" s="1"/>
  <c r="AD9" i="7"/>
  <c r="L55" i="8"/>
  <c r="O7" i="7"/>
  <c r="AP66" i="53"/>
  <c r="AN66" i="53" s="1"/>
  <c r="B11" i="28"/>
  <c r="O9" i="7"/>
  <c r="EH9" i="7"/>
  <c r="EK9" i="7"/>
  <c r="AR82" i="7"/>
  <c r="EM9" i="7"/>
  <c r="EI9" i="7"/>
  <c r="DG6" i="7"/>
  <c r="AD6" i="7"/>
  <c r="BB23" i="7"/>
  <c r="AR123" i="7" s="1"/>
  <c r="AS23" i="7"/>
  <c r="F47" i="44" s="1"/>
  <c r="EJ14" i="7"/>
  <c r="EH14" i="7"/>
  <c r="EL14" i="7"/>
  <c r="EL33" i="7"/>
  <c r="EM14" i="7"/>
  <c r="E31" i="28"/>
  <c r="N30" i="8"/>
  <c r="O30" i="8" s="1"/>
  <c r="N25" i="8"/>
  <c r="O25" i="8" s="1"/>
  <c r="X25" i="8"/>
  <c r="AP25" i="8" s="1"/>
  <c r="L56" i="8"/>
  <c r="L60" i="8"/>
  <c r="L64" i="8"/>
  <c r="V25" i="63"/>
  <c r="DG31" i="7"/>
  <c r="DR31" i="7"/>
  <c r="DR25" i="7"/>
  <c r="DG25" i="7"/>
  <c r="B47" i="29"/>
  <c r="J7" i="29"/>
  <c r="H15" i="55"/>
  <c r="G15" i="55"/>
  <c r="C15" i="55"/>
  <c r="AR6" i="7"/>
  <c r="E30" i="44" s="1"/>
  <c r="EL6" i="7"/>
  <c r="EH6" i="7"/>
  <c r="EJ12" i="7"/>
  <c r="EM12" i="7"/>
  <c r="F12" i="51"/>
  <c r="H12" i="51"/>
  <c r="I12" i="51" s="1"/>
  <c r="BB17" i="7"/>
  <c r="AR117" i="7" s="1"/>
  <c r="AS17" i="7"/>
  <c r="F41" i="44" s="1"/>
  <c r="EH29" i="7"/>
  <c r="EM29" i="7"/>
  <c r="EJ29" i="7"/>
  <c r="EI29" i="7"/>
  <c r="EL29" i="7"/>
  <c r="AM14" i="8"/>
  <c r="EK33" i="7"/>
  <c r="AS27" i="7"/>
  <c r="AR99" i="7" s="1"/>
  <c r="BU10" i="12"/>
  <c r="Z6" i="12" s="1"/>
  <c r="EK25" i="7"/>
  <c r="EL34" i="7"/>
  <c r="EM34" i="7"/>
  <c r="AR106" i="7"/>
  <c r="EH34" i="7"/>
  <c r="N20" i="8"/>
  <c r="O20" i="8" s="1"/>
  <c r="X20" i="8"/>
  <c r="AP20" i="8" s="1"/>
  <c r="E18" i="28"/>
  <c r="DR16" i="7"/>
  <c r="E49" i="12"/>
  <c r="BF75" i="53"/>
  <c r="BF78" i="53"/>
  <c r="BG78" i="53" s="1"/>
  <c r="BF64" i="53"/>
  <c r="BF69" i="53"/>
  <c r="BG69" i="53" s="1"/>
  <c r="BF68" i="53"/>
  <c r="BG68" i="53" s="1"/>
  <c r="BF62" i="53"/>
  <c r="BG62" i="53" s="1"/>
  <c r="BF70" i="53"/>
  <c r="AS69" i="53"/>
  <c r="AS74" i="53"/>
  <c r="BD32" i="53"/>
  <c r="BJ32" i="53" s="1"/>
  <c r="BM32" i="53"/>
  <c r="E15" i="54"/>
  <c r="G15" i="54"/>
  <c r="B10" i="28"/>
  <c r="B63" i="44"/>
  <c r="B22" i="28"/>
  <c r="B75" i="44"/>
  <c r="EL22" i="7"/>
  <c r="EM22" i="7"/>
  <c r="J12" i="51"/>
  <c r="EJ33" i="7"/>
  <c r="AR86" i="7"/>
  <c r="X30" i="8"/>
  <c r="AQ30" i="8" s="1"/>
  <c r="C17" i="55"/>
  <c r="AS21" i="7"/>
  <c r="AR93" i="7" s="1"/>
  <c r="EM25" i="7"/>
  <c r="X8" i="8"/>
  <c r="DA8" i="8" s="1"/>
  <c r="DB8" i="8" s="1"/>
  <c r="C9" i="28" s="1"/>
  <c r="D9" i="28" s="1"/>
  <c r="EK29" i="7"/>
  <c r="AQ18" i="8"/>
  <c r="BC18" i="8" s="1"/>
  <c r="AO18" i="8"/>
  <c r="AN17" i="8"/>
  <c r="AT17" i="8" s="1"/>
  <c r="AR17" i="8"/>
  <c r="AQ17" i="8"/>
  <c r="BC17" i="8" s="1"/>
  <c r="F6" i="51"/>
  <c r="P6" i="51" s="1"/>
  <c r="F10" i="51"/>
  <c r="P10" i="51" s="1"/>
  <c r="AT63" i="53"/>
  <c r="AT65" i="53"/>
  <c r="C70" i="55"/>
  <c r="C21" i="54"/>
  <c r="DG22" i="7"/>
  <c r="B46" i="44"/>
  <c r="B40" i="44"/>
  <c r="EL21" i="7"/>
  <c r="EM21" i="7"/>
  <c r="EL25" i="7"/>
  <c r="EK32" i="7"/>
  <c r="EL32" i="7"/>
  <c r="EJ32" i="7"/>
  <c r="EH32" i="7"/>
  <c r="EI32" i="7"/>
  <c r="D7" i="54"/>
  <c r="B72" i="44"/>
  <c r="B19" i="28"/>
  <c r="G6" i="51"/>
  <c r="AP62" i="53"/>
  <c r="AN62" i="53" s="1"/>
  <c r="AS64" i="53"/>
  <c r="AT66" i="53"/>
  <c r="BA63" i="53"/>
  <c r="BC63" i="53" s="1"/>
  <c r="AR21" i="8"/>
  <c r="AW21" i="8" s="1"/>
  <c r="DR5" i="8"/>
  <c r="AT69" i="53"/>
  <c r="AT77" i="53"/>
  <c r="E43" i="12"/>
  <c r="E42" i="12"/>
  <c r="AR19" i="8"/>
  <c r="AQ19" i="8"/>
  <c r="D31" i="12"/>
  <c r="C36" i="12"/>
  <c r="C41" i="12" s="1"/>
  <c r="D41" i="12" s="1"/>
  <c r="AM9" i="53"/>
  <c r="AM5" i="53"/>
  <c r="AM6" i="53"/>
  <c r="Y7" i="63"/>
  <c r="Y4" i="63"/>
  <c r="Y8" i="63"/>
  <c r="Y16" i="63"/>
  <c r="Y17" i="63"/>
  <c r="Y14" i="63"/>
  <c r="Y15" i="63"/>
  <c r="Y5" i="63"/>
  <c r="Y23" i="63"/>
  <c r="L66" i="8"/>
  <c r="L53" i="8"/>
  <c r="M53" i="8" s="1"/>
  <c r="N53" i="8" s="1"/>
  <c r="L77" i="8"/>
  <c r="L68" i="8"/>
  <c r="DR15" i="7"/>
  <c r="B39" i="44"/>
  <c r="BT17" i="12"/>
  <c r="BW17" i="12"/>
  <c r="E17" i="55"/>
  <c r="H17" i="55"/>
  <c r="AS8" i="7"/>
  <c r="AR80" i="7" s="1"/>
  <c r="BB8" i="7"/>
  <c r="AR108" i="7" s="1"/>
  <c r="F17" i="55"/>
  <c r="BX17" i="12"/>
  <c r="CB17" i="12" s="1"/>
  <c r="L72" i="8"/>
  <c r="AE9" i="7"/>
  <c r="Y22" i="63"/>
  <c r="Y28" i="63"/>
  <c r="Y20" i="63"/>
  <c r="L5" i="53"/>
  <c r="N19" i="8"/>
  <c r="O19" i="8" s="1"/>
  <c r="E20" i="28"/>
  <c r="BA74" i="53"/>
  <c r="BC74" i="53" s="1"/>
  <c r="BA78" i="53"/>
  <c r="BC78" i="53" s="1"/>
  <c r="AS19" i="7"/>
  <c r="BB19" i="7"/>
  <c r="AR119" i="7" s="1"/>
  <c r="AP19" i="8"/>
  <c r="Y7" i="12"/>
  <c r="Y11" i="63"/>
  <c r="Y26" i="63"/>
  <c r="DG15" i="7"/>
  <c r="Y29" i="63"/>
  <c r="Y21" i="63"/>
  <c r="Y27" i="63"/>
  <c r="Y12" i="63"/>
  <c r="AM7" i="53"/>
  <c r="BW11" i="12"/>
  <c r="G70" i="55"/>
  <c r="BX11" i="12"/>
  <c r="BZ11" i="12" s="1"/>
  <c r="AS3" i="8"/>
  <c r="BG3" i="8" s="1"/>
  <c r="BO3" i="8"/>
  <c r="N23" i="8"/>
  <c r="O23" i="8" s="1"/>
  <c r="E24" i="28"/>
  <c r="BB32" i="7"/>
  <c r="AR132" i="7" s="1"/>
  <c r="AS32" i="7"/>
  <c r="AS30" i="7"/>
  <c r="BB30" i="7"/>
  <c r="AR130" i="7" s="1"/>
  <c r="EH19" i="7"/>
  <c r="EK19" i="7"/>
  <c r="EL19" i="7"/>
  <c r="EL23" i="7"/>
  <c r="EJ23" i="7"/>
  <c r="EH26" i="7"/>
  <c r="EI26" i="7"/>
  <c r="EJ30" i="7"/>
  <c r="EK30" i="7"/>
  <c r="EM30" i="7"/>
  <c r="EH30" i="7"/>
  <c r="EI30" i="7"/>
  <c r="O7" i="51"/>
  <c r="P7" i="51"/>
  <c r="G11" i="51"/>
  <c r="E12" i="51"/>
  <c r="G12" i="51" s="1"/>
  <c r="Q12" i="51" s="1"/>
  <c r="K33" i="17"/>
  <c r="A25" i="44"/>
  <c r="B74" i="32" s="1"/>
  <c r="BD37" i="53"/>
  <c r="BJ37" i="53" s="1"/>
  <c r="BA37" i="53"/>
  <c r="O79" i="8"/>
  <c r="M31" i="8"/>
  <c r="DG18" i="7"/>
  <c r="B42" i="44"/>
  <c r="AN19" i="8"/>
  <c r="AZ19" i="8" s="1"/>
  <c r="CU19" i="8" s="1"/>
  <c r="C101" i="44" s="1"/>
  <c r="BA32" i="53"/>
  <c r="L76" i="8"/>
  <c r="Y9" i="63"/>
  <c r="N15" i="8"/>
  <c r="O15" i="8" s="1"/>
  <c r="X15" i="8"/>
  <c r="E16" i="28"/>
  <c r="AZ64" i="53"/>
  <c r="BM64" i="53"/>
  <c r="BN64" i="53" s="1"/>
  <c r="AT75" i="53"/>
  <c r="DR29" i="7"/>
  <c r="B53" i="44"/>
  <c r="DG23" i="7"/>
  <c r="DR23" i="7"/>
  <c r="AR25" i="8"/>
  <c r="AM19" i="8"/>
  <c r="BV30" i="53"/>
  <c r="CB30" i="53" s="1"/>
  <c r="D17" i="55"/>
  <c r="L61" i="8"/>
  <c r="L71" i="8"/>
  <c r="C13" i="55"/>
  <c r="AT62" i="53"/>
  <c r="DG27" i="7"/>
  <c r="Y30" i="63"/>
  <c r="AY64" i="53"/>
  <c r="Y18" i="63"/>
  <c r="Y24" i="63"/>
  <c r="Y13" i="63"/>
  <c r="AM8" i="53"/>
  <c r="L62" i="8"/>
  <c r="B49" i="44"/>
  <c r="DR18" i="7"/>
  <c r="AP22" i="8"/>
  <c r="AO22" i="8"/>
  <c r="AN22" i="8"/>
  <c r="AZ22" i="8" s="1"/>
  <c r="CU22" i="8" s="1"/>
  <c r="C104" i="44" s="1"/>
  <c r="DR13" i="7"/>
  <c r="E13" i="55"/>
  <c r="C2" i="45"/>
  <c r="BZ5" i="7"/>
  <c r="CG5" i="7" s="1"/>
  <c r="CN5" i="7" s="1"/>
  <c r="CU5" i="7" s="1"/>
  <c r="DB5" i="7" s="1"/>
  <c r="DI5" i="7" s="1"/>
  <c r="EI5" i="7" s="1"/>
  <c r="C23" i="55"/>
  <c r="C83" i="55" s="1"/>
  <c r="C1" i="29"/>
  <c r="C60" i="29" s="1"/>
  <c r="C69" i="29" s="1"/>
  <c r="E46" i="17"/>
  <c r="AV2" i="53" s="1"/>
  <c r="D34" i="12"/>
  <c r="C39" i="12"/>
  <c r="D39" i="12" s="1"/>
  <c r="N29" i="8"/>
  <c r="O29" i="8" s="1"/>
  <c r="X29" i="8"/>
  <c r="AO29" i="8" s="1"/>
  <c r="CJ34" i="7"/>
  <c r="Y6" i="63"/>
  <c r="BD33" i="53"/>
  <c r="BJ33" i="53" s="1"/>
  <c r="BA33" i="53"/>
  <c r="BM33" i="53"/>
  <c r="L59" i="8"/>
  <c r="L63" i="8"/>
  <c r="L67" i="8"/>
  <c r="EJ16" i="7"/>
  <c r="EK16" i="7"/>
  <c r="BX6" i="12"/>
  <c r="BZ6" i="12" s="1"/>
  <c r="DR30" i="7"/>
  <c r="EL17" i="7"/>
  <c r="EL24" i="7"/>
  <c r="B56" i="44"/>
  <c r="EM20" i="7"/>
  <c r="BA77" i="53"/>
  <c r="BC77" i="53" s="1"/>
  <c r="AT78" i="53"/>
  <c r="L54" i="8"/>
  <c r="L65" i="8"/>
  <c r="L78" i="8"/>
  <c r="V21" i="63"/>
  <c r="BU6" i="12"/>
  <c r="Z5" i="12" s="1"/>
  <c r="BU11" i="12"/>
  <c r="Z7" i="12" s="1"/>
  <c r="BW16" i="12"/>
  <c r="DG21" i="7"/>
  <c r="EI14" i="7"/>
  <c r="EK14" i="7"/>
  <c r="DR32" i="7"/>
  <c r="EK24" i="7"/>
  <c r="EJ17" i="7"/>
  <c r="AT72" i="53"/>
  <c r="AT73" i="53"/>
  <c r="AT76" i="53"/>
  <c r="E18" i="55"/>
  <c r="D18" i="55"/>
  <c r="C18" i="55"/>
  <c r="G5" i="51"/>
  <c r="H5" i="51"/>
  <c r="I5" i="51" s="1"/>
  <c r="K5" i="51" s="1"/>
  <c r="BL75" i="53"/>
  <c r="BK73" i="53"/>
  <c r="BO73" i="53" s="1"/>
  <c r="BQ73" i="53" s="1"/>
  <c r="BL78" i="53"/>
  <c r="BK63" i="53"/>
  <c r="BO63" i="53" s="1"/>
  <c r="BQ63" i="53" s="1"/>
  <c r="BL76" i="53"/>
  <c r="BK68" i="53"/>
  <c r="BK75" i="53"/>
  <c r="BO75" i="53" s="1"/>
  <c r="BQ75" i="53" s="1"/>
  <c r="BK76" i="53"/>
  <c r="BO76" i="53" s="1"/>
  <c r="BQ76" i="53" s="1"/>
  <c r="BL72" i="53"/>
  <c r="BL63" i="53"/>
  <c r="BK69" i="53"/>
  <c r="BO69" i="53" s="1"/>
  <c r="BQ69" i="53" s="1"/>
  <c r="BL64" i="53"/>
  <c r="BK72" i="53"/>
  <c r="BO72" i="53" s="1"/>
  <c r="BQ72" i="53" s="1"/>
  <c r="BK62" i="53"/>
  <c r="BO62" i="53" s="1"/>
  <c r="BQ62" i="53" s="1"/>
  <c r="BK64" i="53"/>
  <c r="AU34" i="53"/>
  <c r="M55" i="53"/>
  <c r="B32" i="44"/>
  <c r="DG8" i="7"/>
  <c r="EK11" i="7"/>
  <c r="EL11" i="7"/>
  <c r="BD15" i="53"/>
  <c r="BD27" i="53" s="1"/>
  <c r="B28" i="28"/>
  <c r="E11" i="28"/>
  <c r="X10" i="8"/>
  <c r="AR10" i="8" s="1"/>
  <c r="EJ31" i="7"/>
  <c r="EL31" i="7"/>
  <c r="EI31" i="7"/>
  <c r="EM31" i="7"/>
  <c r="A23" i="44"/>
  <c r="K31" i="17"/>
  <c r="E50" i="12"/>
  <c r="E38" i="12"/>
  <c r="E36" i="12"/>
  <c r="E34" i="12"/>
  <c r="E40" i="12"/>
  <c r="H9" i="51"/>
  <c r="I9" i="51" s="1"/>
  <c r="K9" i="51" s="1"/>
  <c r="J9" i="51"/>
  <c r="L9" i="51" s="1"/>
  <c r="G9" i="51"/>
  <c r="Q9" i="51" s="1"/>
  <c r="F14" i="51"/>
  <c r="P14" i="51" s="1"/>
  <c r="J14" i="51"/>
  <c r="L14" i="51" s="1"/>
  <c r="H14" i="51"/>
  <c r="I14" i="51" s="1"/>
  <c r="K14" i="51" s="1"/>
  <c r="BD65" i="53"/>
  <c r="BL65" i="53"/>
  <c r="AS65" i="53"/>
  <c r="AP65" i="53"/>
  <c r="AN65" i="53" s="1"/>
  <c r="BE65" i="53"/>
  <c r="Z65" i="53"/>
  <c r="AZ65" i="53"/>
  <c r="BM65" i="53"/>
  <c r="BN65" i="53" s="1"/>
  <c r="BF65" i="53"/>
  <c r="BG65" i="53" s="1"/>
  <c r="B20" i="28"/>
  <c r="B73" i="44"/>
  <c r="R6" i="51"/>
  <c r="Q6" i="51"/>
  <c r="BK66" i="53"/>
  <c r="BO66" i="53" s="1"/>
  <c r="BL66" i="53"/>
  <c r="B77" i="44"/>
  <c r="CA5" i="7"/>
  <c r="CH5" i="7" s="1"/>
  <c r="CO5" i="7" s="1"/>
  <c r="CV5" i="7" s="1"/>
  <c r="DC5" i="7" s="1"/>
  <c r="DJ5" i="7" s="1"/>
  <c r="EJ5" i="7" s="1"/>
  <c r="D23" i="55"/>
  <c r="D83" i="55" s="1"/>
  <c r="F33" i="44"/>
  <c r="AR81" i="7"/>
  <c r="L9" i="12"/>
  <c r="L5" i="12"/>
  <c r="L7" i="12"/>
  <c r="H58" i="32"/>
  <c r="L22" i="44"/>
  <c r="L23" i="44" s="1"/>
  <c r="L24" i="44" s="1"/>
  <c r="L57" i="8"/>
  <c r="L58" i="8"/>
  <c r="L69" i="8"/>
  <c r="L70" i="8"/>
  <c r="L73" i="8"/>
  <c r="L74" i="8"/>
  <c r="V24" i="63"/>
  <c r="V12" i="63"/>
  <c r="V8" i="63"/>
  <c r="DR33" i="7"/>
  <c r="DG33" i="7"/>
  <c r="B57" i="44"/>
  <c r="BB31" i="7"/>
  <c r="AR131" i="7" s="1"/>
  <c r="AS31" i="7"/>
  <c r="BB29" i="7"/>
  <c r="AR129" i="7" s="1"/>
  <c r="AS29" i="7"/>
  <c r="F53" i="44" s="1"/>
  <c r="DG28" i="7"/>
  <c r="B52" i="44"/>
  <c r="DR28" i="7"/>
  <c r="B41" i="44"/>
  <c r="DG17" i="7"/>
  <c r="DR17" i="7"/>
  <c r="B38" i="44"/>
  <c r="DR14" i="7"/>
  <c r="BT14" i="12"/>
  <c r="BV14" i="12" s="1"/>
  <c r="BW14" i="12"/>
  <c r="BU14" i="12"/>
  <c r="BX14" i="12"/>
  <c r="BZ14" i="12" s="1"/>
  <c r="EJ15" i="7"/>
  <c r="EM15" i="7"/>
  <c r="EH15" i="7"/>
  <c r="EI15" i="7"/>
  <c r="EM18" i="7"/>
  <c r="EI18" i="7"/>
  <c r="EJ18" i="7"/>
  <c r="EK18" i="7"/>
  <c r="EH18" i="7"/>
  <c r="EM28" i="7"/>
  <c r="EI28" i="7"/>
  <c r="EJ28" i="7"/>
  <c r="EK28" i="7"/>
  <c r="EL28" i="7"/>
  <c r="K21" i="45"/>
  <c r="BM15" i="53"/>
  <c r="BV15" i="53" s="1"/>
  <c r="BV27" i="53" s="1"/>
  <c r="O10" i="51"/>
  <c r="AZ67" i="53"/>
  <c r="BD67" i="53"/>
  <c r="Z67" i="53"/>
  <c r="BL67" i="53"/>
  <c r="F13" i="54"/>
  <c r="G13" i="54"/>
  <c r="D13" i="54"/>
  <c r="E13" i="54"/>
  <c r="AP64" i="53"/>
  <c r="AN64" i="53" s="1"/>
  <c r="AY65" i="53"/>
  <c r="F6" i="54"/>
  <c r="BK71" i="53"/>
  <c r="BO71" i="53" s="1"/>
  <c r="BQ71" i="53" s="1"/>
  <c r="P42" i="12"/>
  <c r="AN24" i="8"/>
  <c r="AZ24" i="8" s="1"/>
  <c r="CU24" i="8" s="1"/>
  <c r="C106" i="44" s="1"/>
  <c r="AP63" i="53"/>
  <c r="AN63" i="53" s="1"/>
  <c r="BK65" i="53"/>
  <c r="BK67" i="53"/>
  <c r="E37" i="12"/>
  <c r="AS67" i="53"/>
  <c r="AQ14" i="8"/>
  <c r="AV14" i="8" s="1"/>
  <c r="BR14" i="8" s="1"/>
  <c r="AR14" i="8"/>
  <c r="AO14" i="8"/>
  <c r="AU14" i="8" s="1"/>
  <c r="BI14" i="8" s="1"/>
  <c r="DA14" i="8"/>
  <c r="DB14" i="8" s="1"/>
  <c r="C15" i="28" s="1"/>
  <c r="D15" i="28" s="1"/>
  <c r="AN14" i="8"/>
  <c r="BL77" i="53"/>
  <c r="BM35" i="53"/>
  <c r="BA35" i="53"/>
  <c r="E76" i="32"/>
  <c r="F9" i="51"/>
  <c r="K44" i="53"/>
  <c r="AT67" i="53"/>
  <c r="BA71" i="53"/>
  <c r="BC71" i="53" s="1"/>
  <c r="BH72" i="53"/>
  <c r="BJ72" i="53" s="1"/>
  <c r="J45" i="53"/>
  <c r="AO19" i="8"/>
  <c r="AU19" i="8" s="1"/>
  <c r="BC73" i="53"/>
  <c r="EF22" i="7"/>
  <c r="EF17" i="7"/>
  <c r="BM25" i="7"/>
  <c r="E52" i="12"/>
  <c r="G14" i="51"/>
  <c r="BC70" i="53"/>
  <c r="V29" i="63"/>
  <c r="V26" i="63"/>
  <c r="V17" i="63"/>
  <c r="V14" i="63"/>
  <c r="V13" i="63"/>
  <c r="V9" i="63"/>
  <c r="V4" i="63"/>
  <c r="DA19" i="8"/>
  <c r="DB19" i="8" s="1"/>
  <c r="C20" i="28" s="1"/>
  <c r="D20" i="28" s="1"/>
  <c r="BH66" i="53"/>
  <c r="BJ66" i="53" s="1"/>
  <c r="BC72" i="53"/>
  <c r="AU72" i="53" s="1"/>
  <c r="AX72" i="53" s="1"/>
  <c r="BM23" i="7"/>
  <c r="EF26" i="7"/>
  <c r="BM31" i="7"/>
  <c r="BM18" i="7"/>
  <c r="AB29" i="7"/>
  <c r="EF29" i="7"/>
  <c r="BW13" i="12"/>
  <c r="BX13" i="12"/>
  <c r="BZ13" i="12" s="1"/>
  <c r="BX16" i="12"/>
  <c r="CB16" i="12" s="1"/>
  <c r="AV19" i="8"/>
  <c r="BJ19" i="8" s="1"/>
  <c r="AV21" i="8"/>
  <c r="BR21" i="8" s="1"/>
  <c r="CI34" i="7"/>
  <c r="C46" i="12"/>
  <c r="BC69" i="53"/>
  <c r="EJ13" i="7"/>
  <c r="EK13" i="7"/>
  <c r="E8" i="54"/>
  <c r="F8" i="54"/>
  <c r="AM24" i="8"/>
  <c r="D36" i="12"/>
  <c r="AR85" i="7"/>
  <c r="AP27" i="8"/>
  <c r="E42" i="32"/>
  <c r="E56" i="32" s="1"/>
  <c r="E73" i="32" s="1"/>
  <c r="AR95" i="7"/>
  <c r="BV16" i="12"/>
  <c r="AO3" i="8"/>
  <c r="AR84" i="7"/>
  <c r="F14" i="54"/>
  <c r="DR8" i="7"/>
  <c r="L10" i="12"/>
  <c r="L14" i="12"/>
  <c r="BU16" i="12"/>
  <c r="Z15" i="12" s="1"/>
  <c r="AP67" i="53"/>
  <c r="AN67" i="53" s="1"/>
  <c r="B9" i="28"/>
  <c r="DR7" i="7"/>
  <c r="DG7" i="7"/>
  <c r="BV10" i="12"/>
  <c r="EL13" i="7"/>
  <c r="D32" i="12"/>
  <c r="D2" i="44"/>
  <c r="DG12" i="7"/>
  <c r="B83" i="44"/>
  <c r="BB12" i="7"/>
  <c r="AR112" i="7" s="1"/>
  <c r="DR12" i="7"/>
  <c r="E7" i="28"/>
  <c r="X6" i="8"/>
  <c r="DA6" i="8" s="1"/>
  <c r="DB6" i="8" s="1"/>
  <c r="C7" i="28" s="1"/>
  <c r="D7" i="28" s="1"/>
  <c r="BA75" i="53"/>
  <c r="D49" i="32"/>
  <c r="DR26" i="7"/>
  <c r="B50" i="44"/>
  <c r="DG24" i="7"/>
  <c r="DR24" i="7"/>
  <c r="BB20" i="7"/>
  <c r="AR120" i="7" s="1"/>
  <c r="AS20" i="7"/>
  <c r="BX10" i="12"/>
  <c r="EH24" i="7"/>
  <c r="EM24" i="7"/>
  <c r="EI24" i="7"/>
  <c r="AS33" i="7"/>
  <c r="EI33" i="7"/>
  <c r="EM33" i="7"/>
  <c r="B27" i="28"/>
  <c r="B80" i="44"/>
  <c r="EJ6" i="7"/>
  <c r="EI6" i="7"/>
  <c r="EK6" i="7"/>
  <c r="EH12" i="7"/>
  <c r="EI12" i="7"/>
  <c r="EL12" i="7"/>
  <c r="Q5" i="63"/>
  <c r="U5" i="63"/>
  <c r="T5" i="63"/>
  <c r="S5" i="63"/>
  <c r="R5" i="63"/>
  <c r="C75" i="32"/>
  <c r="B105" i="55"/>
  <c r="B107" i="55" s="1"/>
  <c r="A8" i="30"/>
  <c r="EJ11" i="7"/>
  <c r="EM11" i="7"/>
  <c r="EI11" i="7"/>
  <c r="AQ24" i="8"/>
  <c r="BC24" i="8" s="1"/>
  <c r="AR27" i="8"/>
  <c r="F46" i="17"/>
  <c r="AW2" i="53" s="1"/>
  <c r="M8" i="45" s="1"/>
  <c r="D2" i="45"/>
  <c r="D14" i="54"/>
  <c r="L6" i="12"/>
  <c r="L12" i="12"/>
  <c r="BU13" i="12"/>
  <c r="BB14" i="7"/>
  <c r="AR114" i="7" s="1"/>
  <c r="D8" i="54"/>
  <c r="B18" i="28"/>
  <c r="N12" i="8"/>
  <c r="O12" i="8" s="1"/>
  <c r="E13" i="28"/>
  <c r="N16" i="8"/>
  <c r="O16" i="8" s="1"/>
  <c r="X16" i="8"/>
  <c r="E35" i="12"/>
  <c r="E44" i="12"/>
  <c r="BB25" i="7"/>
  <c r="AR125" i="7" s="1"/>
  <c r="AS25" i="7"/>
  <c r="F49" i="44" s="1"/>
  <c r="DG20" i="7"/>
  <c r="B44" i="44"/>
  <c r="AS16" i="7"/>
  <c r="BB16" i="7"/>
  <c r="AR116" i="7" s="1"/>
  <c r="BI15" i="12"/>
  <c r="EL15" i="7"/>
  <c r="EK15" i="7"/>
  <c r="EJ21" i="7"/>
  <c r="EK21" i="7"/>
  <c r="EI21" i="7"/>
  <c r="EH21" i="7"/>
  <c r="D6" i="54"/>
  <c r="G6" i="54"/>
  <c r="B12" i="28"/>
  <c r="B65" i="44"/>
  <c r="B16" i="28"/>
  <c r="B69" i="44"/>
  <c r="C35" i="12"/>
  <c r="D30" i="12"/>
  <c r="R40" i="12"/>
  <c r="AR83" i="7"/>
  <c r="L13" i="12"/>
  <c r="BW10" i="12"/>
  <c r="BH70" i="53"/>
  <c r="BJ70" i="53" s="1"/>
  <c r="EH11" i="7"/>
  <c r="EM13" i="7"/>
  <c r="EI13" i="7"/>
  <c r="BI12" i="12"/>
  <c r="EK22" i="7"/>
  <c r="EI22" i="7"/>
  <c r="G8" i="54"/>
  <c r="B27" i="54"/>
  <c r="B45" i="32"/>
  <c r="C14" i="55"/>
  <c r="E14" i="55"/>
  <c r="D14" i="55"/>
  <c r="G14" i="55"/>
  <c r="BH78" i="53"/>
  <c r="BJ78" i="53" s="1"/>
  <c r="B31" i="55"/>
  <c r="B46" i="55" s="1"/>
  <c r="AB39" i="29"/>
  <c r="V30" i="63"/>
  <c r="V28" i="63"/>
  <c r="V22" i="63"/>
  <c r="V20" i="63"/>
  <c r="V18" i="63"/>
  <c r="V16" i="63"/>
  <c r="V10" i="63"/>
  <c r="F76" i="32"/>
  <c r="DR6" i="8"/>
  <c r="DR7" i="8" s="1"/>
  <c r="DR8" i="8" s="1"/>
  <c r="DR9" i="8" s="1"/>
  <c r="DR10" i="8" s="1"/>
  <c r="DR11" i="8" s="1"/>
  <c r="DR12" i="8" s="1"/>
  <c r="DR13" i="8" s="1"/>
  <c r="BW6" i="12"/>
  <c r="V3" i="63"/>
  <c r="AV22" i="8"/>
  <c r="BJ22" i="8" s="1"/>
  <c r="V27" i="63"/>
  <c r="V23" i="63"/>
  <c r="V19" i="63"/>
  <c r="V15" i="63"/>
  <c r="V11" i="63"/>
  <c r="G69" i="32"/>
  <c r="E21" i="54"/>
  <c r="DF35" i="7"/>
  <c r="H3" i="44" s="1"/>
  <c r="V7" i="63"/>
  <c r="BG64" i="53"/>
  <c r="BH64" i="53"/>
  <c r="BJ64" i="53" s="1"/>
  <c r="N28" i="8"/>
  <c r="O28" i="8" s="1"/>
  <c r="E29" i="28"/>
  <c r="BD22" i="8"/>
  <c r="BE22" i="8" s="1"/>
  <c r="BH63" i="53"/>
  <c r="BJ63" i="53" s="1"/>
  <c r="DA35" i="7"/>
  <c r="C3" i="44" s="1"/>
  <c r="Q13" i="8"/>
  <c r="Q32" i="8" s="1"/>
  <c r="P32" i="8"/>
  <c r="X13" i="8"/>
  <c r="N13" i="8"/>
  <c r="O13" i="8" s="1"/>
  <c r="BN71" i="53"/>
  <c r="BW8" i="12"/>
  <c r="BU8" i="12"/>
  <c r="Z14" i="12" s="1"/>
  <c r="BX8" i="12"/>
  <c r="AW22" i="8"/>
  <c r="BK22" i="8" s="1"/>
  <c r="R10" i="51"/>
  <c r="R7" i="51"/>
  <c r="BB21" i="8"/>
  <c r="BC21" i="8"/>
  <c r="X28" i="8"/>
  <c r="AM28" i="8" s="1"/>
  <c r="BS37" i="53"/>
  <c r="BV37" i="53"/>
  <c r="CB37" i="53" s="1"/>
  <c r="E10" i="28"/>
  <c r="AZ21" i="8"/>
  <c r="CU21" i="8" s="1"/>
  <c r="C103" i="44" s="1"/>
  <c r="AT21" i="8"/>
  <c r="BH21" i="8" s="1"/>
  <c r="Q4" i="51"/>
  <c r="R4" i="51"/>
  <c r="F30" i="17"/>
  <c r="E2" i="44"/>
  <c r="D1" i="29"/>
  <c r="E14" i="28"/>
  <c r="AQ25" i="8"/>
  <c r="AW25" i="8" s="1"/>
  <c r="AO25" i="8"/>
  <c r="AM25" i="8"/>
  <c r="DA25" i="8"/>
  <c r="DB25" i="8" s="1"/>
  <c r="C26" i="28" s="1"/>
  <c r="D26" i="28" s="1"/>
  <c r="AQ27" i="8"/>
  <c r="DA27" i="8"/>
  <c r="DB27" i="8" s="1"/>
  <c r="C28" i="28" s="1"/>
  <c r="D28" i="28" s="1"/>
  <c r="AN27" i="8"/>
  <c r="R11" i="51"/>
  <c r="Q11" i="51"/>
  <c r="E28" i="28"/>
  <c r="N27" i="8"/>
  <c r="O27" i="8" s="1"/>
  <c r="J8" i="51"/>
  <c r="L8" i="51" s="1"/>
  <c r="F8" i="51"/>
  <c r="G8" i="51"/>
  <c r="F13" i="51"/>
  <c r="J13" i="51"/>
  <c r="L13" i="51" s="1"/>
  <c r="G13" i="51"/>
  <c r="AN25" i="8"/>
  <c r="BV8" i="12"/>
  <c r="O11" i="51"/>
  <c r="O12" i="51" s="1"/>
  <c r="AO27" i="8"/>
  <c r="CB6" i="12"/>
  <c r="H8" i="51"/>
  <c r="I8" i="51" s="1"/>
  <c r="K8" i="51" s="1"/>
  <c r="AO24" i="8"/>
  <c r="DA24" i="8"/>
  <c r="DB24" i="8" s="1"/>
  <c r="C25" i="28" s="1"/>
  <c r="D25" i="28" s="1"/>
  <c r="AR24" i="8"/>
  <c r="X7" i="8"/>
  <c r="DA7" i="8" s="1"/>
  <c r="DB7" i="8" s="1"/>
  <c r="C8" i="28" s="1"/>
  <c r="D8" i="28" s="1"/>
  <c r="C44" i="12"/>
  <c r="BU9" i="12"/>
  <c r="Z13" i="12" s="1"/>
  <c r="X23" i="8"/>
  <c r="BW9" i="12"/>
  <c r="BT9" i="12"/>
  <c r="H13" i="51"/>
  <c r="I13" i="51" s="1"/>
  <c r="K13" i="51" s="1"/>
  <c r="AU21" i="8"/>
  <c r="BI21" i="8" s="1"/>
  <c r="D4" i="29"/>
  <c r="E4" i="29" s="1"/>
  <c r="F4" i="29" s="1"/>
  <c r="G4" i="29" s="1"/>
  <c r="H4" i="29" s="1"/>
  <c r="E12" i="30"/>
  <c r="P4" i="30"/>
  <c r="D5" i="30" s="1"/>
  <c r="DC35" i="7"/>
  <c r="E3" i="44" s="1"/>
  <c r="BL62" i="53"/>
  <c r="E101" i="55"/>
  <c r="CG34" i="7"/>
  <c r="CM34" i="7" s="1"/>
  <c r="CT34" i="7" s="1"/>
  <c r="DH34" i="7" s="1"/>
  <c r="E23" i="53"/>
  <c r="P44" i="53" s="1"/>
  <c r="BJ22" i="53" s="1"/>
  <c r="BK70" i="53"/>
  <c r="BO70" i="53" s="1"/>
  <c r="AT68" i="53"/>
  <c r="BH77" i="53"/>
  <c r="BJ77" i="53" s="1"/>
  <c r="DF31" i="8"/>
  <c r="AT71" i="53"/>
  <c r="BA76" i="53"/>
  <c r="BC76" i="53" s="1"/>
  <c r="D33" i="17"/>
  <c r="K76" i="44"/>
  <c r="H14" i="55"/>
  <c r="DE35" i="7"/>
  <c r="G3" i="44" s="1"/>
  <c r="BA34" i="53"/>
  <c r="BM34" i="53"/>
  <c r="BS34" i="53" s="1"/>
  <c r="BD34" i="53"/>
  <c r="BJ34" i="53" s="1"/>
  <c r="E24" i="53"/>
  <c r="DD35" i="7"/>
  <c r="F3" i="44" s="1"/>
  <c r="BF7" i="53"/>
  <c r="BD20" i="53" s="1"/>
  <c r="BB14" i="8"/>
  <c r="CH34" i="7"/>
  <c r="U55" i="53"/>
  <c r="BL7" i="53"/>
  <c r="CN18" i="8"/>
  <c r="CU18" i="8"/>
  <c r="C100" i="44" s="1"/>
  <c r="AS18" i="8"/>
  <c r="AS21" i="8"/>
  <c r="BA18" i="8"/>
  <c r="BA21" i="8"/>
  <c r="C6" i="29"/>
  <c r="C25" i="54"/>
  <c r="C26" i="55"/>
  <c r="BL5" i="53"/>
  <c r="BF5" i="53"/>
  <c r="BJ18" i="53"/>
  <c r="AU18" i="8"/>
  <c r="DA29" i="8"/>
  <c r="DB29" i="8" s="1"/>
  <c r="C30" i="28" s="1"/>
  <c r="D30" i="28" s="1"/>
  <c r="AM29" i="8"/>
  <c r="AP29" i="8"/>
  <c r="AQ29" i="8"/>
  <c r="AT18" i="8"/>
  <c r="BB18" i="8"/>
  <c r="BV6" i="12"/>
  <c r="Y5" i="12"/>
  <c r="BH76" i="53"/>
  <c r="D42" i="32"/>
  <c r="D56" i="32" s="1"/>
  <c r="D73" i="32" s="1"/>
  <c r="D33" i="12"/>
  <c r="C38" i="12"/>
  <c r="X12" i="8"/>
  <c r="E53" i="12"/>
  <c r="E51" i="12"/>
  <c r="E47" i="12"/>
  <c r="E41" i="12"/>
  <c r="J39" i="53"/>
  <c r="K39" i="53" s="1"/>
  <c r="E45" i="12"/>
  <c r="AS76" i="53"/>
  <c r="AS63" i="53"/>
  <c r="AS78" i="53"/>
  <c r="AS71" i="53"/>
  <c r="BE62" i="53"/>
  <c r="AZ68" i="53"/>
  <c r="BA68" i="53" s="1"/>
  <c r="BM68" i="53"/>
  <c r="BN68" i="53" s="1"/>
  <c r="Z68" i="53"/>
  <c r="BE68" i="53"/>
  <c r="BL68" i="53"/>
  <c r="BV31" i="53"/>
  <c r="CB31" i="53" s="1"/>
  <c r="AY67" i="53"/>
  <c r="BF67" i="53"/>
  <c r="BE67" i="53"/>
  <c r="BM67" i="53"/>
  <c r="BB18" i="7"/>
  <c r="AS18" i="7"/>
  <c r="BD30" i="53"/>
  <c r="BJ30" i="53" s="1"/>
  <c r="BA30" i="53"/>
  <c r="EJ7" i="7"/>
  <c r="AS7" i="7"/>
  <c r="EI7" i="7"/>
  <c r="EL7" i="7"/>
  <c r="EM7" i="7"/>
  <c r="F12" i="17"/>
  <c r="L11" i="12"/>
  <c r="G15" i="30" a="1"/>
  <c r="EH7" i="7"/>
  <c r="X11" i="8"/>
  <c r="E12" i="28"/>
  <c r="J5" i="51"/>
  <c r="L5" i="51" s="1"/>
  <c r="F5" i="51"/>
  <c r="BF74" i="53"/>
  <c r="BF73" i="53"/>
  <c r="BF71" i="53"/>
  <c r="E46" i="12"/>
  <c r="BG70" i="53"/>
  <c r="BU17" i="12"/>
  <c r="Z8" i="12" s="1"/>
  <c r="AY62" i="53"/>
  <c r="E48" i="12"/>
  <c r="L8" i="12"/>
  <c r="AP68" i="53"/>
  <c r="AN3" i="8"/>
  <c r="BD62" i="53"/>
  <c r="BH62" i="53" s="1"/>
  <c r="BJ62" i="53" s="1"/>
  <c r="AS66" i="53"/>
  <c r="BD68" i="53"/>
  <c r="G76" i="32"/>
  <c r="DB35" i="7"/>
  <c r="D3" i="44" s="1"/>
  <c r="AB25" i="7"/>
  <c r="EF32" i="7"/>
  <c r="BM17" i="7"/>
  <c r="EF25" i="7"/>
  <c r="AD7" i="7"/>
  <c r="EF27" i="7"/>
  <c r="AB13" i="7"/>
  <c r="EF33" i="7"/>
  <c r="EF12" i="7"/>
  <c r="AB32" i="7"/>
  <c r="EF28" i="7"/>
  <c r="AD8" i="7"/>
  <c r="X26" i="8"/>
  <c r="BK74" i="53"/>
  <c r="BO74" i="53" s="1"/>
  <c r="BQ74" i="53" s="1"/>
  <c r="BK77" i="53"/>
  <c r="BO77" i="53" s="1"/>
  <c r="BL73" i="53"/>
  <c r="BL69" i="53"/>
  <c r="BK78" i="53"/>
  <c r="BO78" i="53" s="1"/>
  <c r="BL71" i="53"/>
  <c r="BL70" i="53"/>
  <c r="BL74" i="53"/>
  <c r="BB7" i="7"/>
  <c r="G101" i="55"/>
  <c r="BV36" i="53" l="1"/>
  <c r="CB36" i="53" s="1"/>
  <c r="R12" i="51"/>
  <c r="BZ17" i="12"/>
  <c r="D47" i="12"/>
  <c r="BT7" i="12"/>
  <c r="BU7" i="12"/>
  <c r="Z10" i="12" s="1"/>
  <c r="F32" i="44"/>
  <c r="BX7" i="12"/>
  <c r="CB7" i="12" s="1"/>
  <c r="DA30" i="8"/>
  <c r="DB30" i="8" s="1"/>
  <c r="C31" i="28" s="1"/>
  <c r="D31" i="28" s="1"/>
  <c r="AW19" i="8"/>
  <c r="BK19" i="8" s="1"/>
  <c r="AP28" i="8"/>
  <c r="BB17" i="8"/>
  <c r="AR28" i="8"/>
  <c r="AQ66" i="53"/>
  <c r="AO66" i="53" s="1"/>
  <c r="P4" i="51"/>
  <c r="DA28" i="8"/>
  <c r="DB28" i="8" s="1"/>
  <c r="C29" i="28" s="1"/>
  <c r="D29" i="28" s="1"/>
  <c r="R9" i="51"/>
  <c r="AR87" i="7"/>
  <c r="O6" i="51"/>
  <c r="E7" i="54"/>
  <c r="F45" i="44"/>
  <c r="F7" i="54"/>
  <c r="AQ20" i="8"/>
  <c r="AV20" i="8" s="1"/>
  <c r="BJ20" i="8" s="1"/>
  <c r="AQ28" i="8"/>
  <c r="AW28" i="8" s="1"/>
  <c r="CN24" i="8"/>
  <c r="AT24" i="8"/>
  <c r="BH24" i="8" s="1"/>
  <c r="AS24" i="8"/>
  <c r="CB9" i="12"/>
  <c r="AR20" i="8"/>
  <c r="CN19" i="8"/>
  <c r="AO20" i="8"/>
  <c r="BB20" i="8" s="1"/>
  <c r="AR97" i="7"/>
  <c r="AW18" i="8"/>
  <c r="AX18" i="8" s="1"/>
  <c r="AU63" i="53"/>
  <c r="AX63" i="53" s="1"/>
  <c r="BD18" i="8"/>
  <c r="BE18" i="8" s="1"/>
  <c r="AN20" i="8"/>
  <c r="BD17" i="8"/>
  <c r="BE17" i="8" s="1"/>
  <c r="BA22" i="8"/>
  <c r="AV17" i="8"/>
  <c r="BD19" i="8"/>
  <c r="BE19" i="8" s="1"/>
  <c r="AR89" i="7"/>
  <c r="DA20" i="8"/>
  <c r="DB20" i="8" s="1"/>
  <c r="C21" i="28" s="1"/>
  <c r="D21" i="28" s="1"/>
  <c r="AW17" i="8"/>
  <c r="BS17" i="8" s="1"/>
  <c r="CN22" i="8"/>
  <c r="CO22" i="8" s="1"/>
  <c r="CP22" i="8" s="1"/>
  <c r="BD21" i="8"/>
  <c r="BE21" i="8" s="1"/>
  <c r="F51" i="44"/>
  <c r="BH65" i="53"/>
  <c r="BJ65" i="53" s="1"/>
  <c r="AV18" i="8"/>
  <c r="BJ18" i="8" s="1"/>
  <c r="AS22" i="8"/>
  <c r="BO22" i="8" s="1"/>
  <c r="BV22" i="8" s="1"/>
  <c r="CH22" i="8" s="1"/>
  <c r="C76" i="44" s="1"/>
  <c r="AU22" i="8"/>
  <c r="AM20" i="8"/>
  <c r="AZ3" i="8"/>
  <c r="BM27" i="53"/>
  <c r="BA65" i="53"/>
  <c r="AQ10" i="8"/>
  <c r="BD10" i="8" s="1"/>
  <c r="BE10" i="8" s="1"/>
  <c r="L81" i="8"/>
  <c r="AS6" i="7"/>
  <c r="F30" i="44" s="1"/>
  <c r="BD24" i="8"/>
  <c r="BE24" i="8" s="1"/>
  <c r="BB25" i="8"/>
  <c r="BS22" i="8"/>
  <c r="AS19" i="8"/>
  <c r="BO19" i="8" s="1"/>
  <c r="BV19" i="8" s="1"/>
  <c r="E25" i="53"/>
  <c r="T44" i="53" s="1"/>
  <c r="BP17" i="8"/>
  <c r="BH17" i="8"/>
  <c r="AX21" i="8"/>
  <c r="BK21" i="8"/>
  <c r="BS21" i="8"/>
  <c r="AW72" i="53"/>
  <c r="Y72" i="53" s="1"/>
  <c r="BC22" i="8"/>
  <c r="C47" i="29"/>
  <c r="M54" i="8"/>
  <c r="N54" i="8" s="1"/>
  <c r="AP30" i="8"/>
  <c r="BA64" i="53"/>
  <c r="BC64" i="53" s="1"/>
  <c r="BC19" i="8"/>
  <c r="BV32" i="53"/>
  <c r="CB32" i="53" s="1"/>
  <c r="BS32" i="53"/>
  <c r="AS17" i="8"/>
  <c r="BG17" i="8" s="1"/>
  <c r="CB22" i="8"/>
  <c r="C20" i="54"/>
  <c r="BA17" i="8"/>
  <c r="AZ17" i="8"/>
  <c r="CN17" i="8" s="1"/>
  <c r="AV72" i="53"/>
  <c r="AQ65" i="53"/>
  <c r="AO65" i="53" s="1"/>
  <c r="BO64" i="53"/>
  <c r="BQ64" i="53" s="1"/>
  <c r="BH69" i="53"/>
  <c r="BJ69" i="53" s="1"/>
  <c r="AU69" i="53" s="1"/>
  <c r="AX69" i="53" s="1"/>
  <c r="AN30" i="8"/>
  <c r="AO30" i="8"/>
  <c r="BB22" i="8"/>
  <c r="BJ21" i="8"/>
  <c r="BG22" i="8"/>
  <c r="AR30" i="8"/>
  <c r="AM30" i="8"/>
  <c r="AT14" i="8"/>
  <c r="BH14" i="8" s="1"/>
  <c r="BO65" i="53"/>
  <c r="BQ65" i="53" s="1"/>
  <c r="BG75" i="53"/>
  <c r="BH75" i="53"/>
  <c r="BJ75" i="53" s="1"/>
  <c r="F43" i="44"/>
  <c r="AR91" i="7"/>
  <c r="CB13" i="12"/>
  <c r="AV69" i="53"/>
  <c r="AN10" i="8"/>
  <c r="AS10" i="8" s="1"/>
  <c r="CB14" i="12"/>
  <c r="AQ64" i="53"/>
  <c r="BS33" i="53"/>
  <c r="BV33" i="53"/>
  <c r="CB33" i="53" s="1"/>
  <c r="BQ21" i="8"/>
  <c r="DA10" i="8"/>
  <c r="DB10" i="8" s="1"/>
  <c r="C11" i="28" s="1"/>
  <c r="D11" i="28" s="1"/>
  <c r="AT19" i="8"/>
  <c r="BH19" i="8" s="1"/>
  <c r="BA19" i="8"/>
  <c r="CV19" i="8" s="1"/>
  <c r="D101" i="44" s="1"/>
  <c r="AR101" i="7"/>
  <c r="AR29" i="8"/>
  <c r="BD29" i="8" s="1"/>
  <c r="AN29" i="8"/>
  <c r="BA29" i="8" s="1"/>
  <c r="L8" i="45"/>
  <c r="BG2" i="53"/>
  <c r="AT22" i="8"/>
  <c r="AM15" i="8"/>
  <c r="DA15" i="8"/>
  <c r="DB15" i="8" s="1"/>
  <c r="C16" i="28" s="1"/>
  <c r="D16" i="28" s="1"/>
  <c r="AQ15" i="8"/>
  <c r="AN15" i="8"/>
  <c r="AR15" i="8"/>
  <c r="AO15" i="8"/>
  <c r="AP15" i="8"/>
  <c r="F54" i="44"/>
  <c r="AR102" i="7"/>
  <c r="BV17" i="12"/>
  <c r="Y8" i="12"/>
  <c r="BH2" i="53"/>
  <c r="BF15" i="53" s="1"/>
  <c r="BF27" i="53" s="1"/>
  <c r="BP21" i="8"/>
  <c r="K7" i="29"/>
  <c r="AE3" i="29"/>
  <c r="E32" i="28"/>
  <c r="X31" i="8"/>
  <c r="DA31" i="8" s="1"/>
  <c r="DB31" i="8" s="1"/>
  <c r="C32" i="28" s="1"/>
  <c r="D32" i="28" s="1"/>
  <c r="AR104" i="7"/>
  <c r="F56" i="44"/>
  <c r="BV3" i="8"/>
  <c r="CB3" i="8"/>
  <c r="CU3" i="8" s="1"/>
  <c r="CH3" i="8" s="1"/>
  <c r="CN3" i="8" s="1"/>
  <c r="C8" i="29"/>
  <c r="D45" i="32" s="1"/>
  <c r="E8" i="29"/>
  <c r="F45" i="32" s="1"/>
  <c r="D30" i="55"/>
  <c r="D27" i="54" s="1"/>
  <c r="B8" i="29"/>
  <c r="C45" i="32" s="1"/>
  <c r="BQ19" i="8"/>
  <c r="BI19" i="8"/>
  <c r="CN21" i="8"/>
  <c r="CO21" i="8" s="1"/>
  <c r="BA25" i="8"/>
  <c r="BB19" i="8"/>
  <c r="BR19" i="8"/>
  <c r="AU25" i="8"/>
  <c r="BI25" i="8" s="1"/>
  <c r="AZ14" i="8"/>
  <c r="CU14" i="8" s="1"/>
  <c r="C96" i="44" s="1"/>
  <c r="BQ66" i="53"/>
  <c r="AU66" i="53" s="1"/>
  <c r="AX66" i="53" s="1"/>
  <c r="AW66" i="53"/>
  <c r="Y66" i="53" s="1"/>
  <c r="AO64" i="53"/>
  <c r="D8" i="29"/>
  <c r="E45" i="32" s="1"/>
  <c r="F30" i="55"/>
  <c r="F27" i="54" s="1"/>
  <c r="F8" i="29"/>
  <c r="G45" i="32" s="1"/>
  <c r="G8" i="29"/>
  <c r="H45" i="32" s="1"/>
  <c r="BP24" i="8"/>
  <c r="B57" i="55"/>
  <c r="AS14" i="8"/>
  <c r="O14" i="51"/>
  <c r="BD14" i="8"/>
  <c r="BE14" i="8" s="1"/>
  <c r="AR103" i="7"/>
  <c r="F55" i="44"/>
  <c r="AR78" i="7"/>
  <c r="BF9" i="53"/>
  <c r="BD22" i="53" s="1"/>
  <c r="C30" i="55"/>
  <c r="C27" i="54" s="1"/>
  <c r="E30" i="55"/>
  <c r="E27" i="54" s="1"/>
  <c r="BA14" i="8"/>
  <c r="BJ14" i="8"/>
  <c r="B39" i="55"/>
  <c r="AW14" i="8"/>
  <c r="BC14" i="8"/>
  <c r="BV35" i="53"/>
  <c r="CB35" i="53" s="1"/>
  <c r="BS35" i="53"/>
  <c r="R42" i="12"/>
  <c r="P43" i="12"/>
  <c r="R43" i="12" s="1"/>
  <c r="BL9" i="53"/>
  <c r="G30" i="55"/>
  <c r="G27" i="54" s="1"/>
  <c r="B30" i="55"/>
  <c r="B79" i="55" s="1"/>
  <c r="AU24" i="8"/>
  <c r="BI24" i="8" s="1"/>
  <c r="BR22" i="8"/>
  <c r="V5" i="63"/>
  <c r="R14" i="51"/>
  <c r="Q14" i="51"/>
  <c r="O9" i="51"/>
  <c r="P9" i="51"/>
  <c r="AO10" i="8"/>
  <c r="AP10" i="8"/>
  <c r="AV10" i="8" s="1"/>
  <c r="AM10" i="8"/>
  <c r="R5" i="51"/>
  <c r="Q5" i="51"/>
  <c r="AQ63" i="53"/>
  <c r="AO63" i="53" s="1"/>
  <c r="AV24" i="8"/>
  <c r="CV21" i="8"/>
  <c r="CW21" i="8" s="1"/>
  <c r="E103" i="44" s="1"/>
  <c r="BD25" i="8"/>
  <c r="BE25" i="8" s="1"/>
  <c r="CO19" i="8"/>
  <c r="B63" i="55"/>
  <c r="B68" i="55"/>
  <c r="B36" i="55"/>
  <c r="B41" i="55"/>
  <c r="B49" i="55"/>
  <c r="D21" i="44"/>
  <c r="D13" i="44"/>
  <c r="BQ3" i="8"/>
  <c r="AU3" i="8"/>
  <c r="C51" i="12"/>
  <c r="D51" i="12" s="1"/>
  <c r="D46" i="12"/>
  <c r="BT15" i="12"/>
  <c r="BU15" i="12"/>
  <c r="Z12" i="12" s="1"/>
  <c r="AE5" i="8" s="1"/>
  <c r="BW15" i="12"/>
  <c r="BX15" i="12"/>
  <c r="F57" i="44"/>
  <c r="AR105" i="7"/>
  <c r="CB10" i="12"/>
  <c r="BZ10" i="12"/>
  <c r="BC75" i="53"/>
  <c r="AW75" i="53"/>
  <c r="Y75" i="53" s="1"/>
  <c r="BX12" i="12"/>
  <c r="BW12" i="12"/>
  <c r="BT12" i="12"/>
  <c r="BU12" i="12"/>
  <c r="Z9" i="12" s="1"/>
  <c r="BV7" i="12"/>
  <c r="Y10" i="12"/>
  <c r="AN16" i="8"/>
  <c r="DA16" i="8"/>
  <c r="DB16" i="8" s="1"/>
  <c r="C17" i="28" s="1"/>
  <c r="D17" i="28" s="1"/>
  <c r="AQ16" i="8"/>
  <c r="AR16" i="8"/>
  <c r="AO16" i="8"/>
  <c r="AP16" i="8"/>
  <c r="AM16" i="8"/>
  <c r="F44" i="44"/>
  <c r="AR92" i="7"/>
  <c r="D35" i="12"/>
  <c r="C40" i="12"/>
  <c r="F40" i="44"/>
  <c r="AR88" i="7"/>
  <c r="AT25" i="8"/>
  <c r="BP25" i="8" s="1"/>
  <c r="BQ14" i="8"/>
  <c r="AW24" i="8"/>
  <c r="AX24" i="8" s="1"/>
  <c r="BL24" i="8" s="1"/>
  <c r="BP19" i="8"/>
  <c r="CV18" i="8"/>
  <c r="D100" i="44" s="1"/>
  <c r="AX22" i="8"/>
  <c r="BT22" i="8" s="1"/>
  <c r="BS25" i="8"/>
  <c r="AX25" i="8"/>
  <c r="BL25" i="8" s="1"/>
  <c r="BK25" i="8"/>
  <c r="C49" i="12"/>
  <c r="D49" i="12" s="1"/>
  <c r="D44" i="12"/>
  <c r="AT27" i="8"/>
  <c r="BA27" i="8"/>
  <c r="O13" i="51"/>
  <c r="P13" i="51"/>
  <c r="D20" i="54"/>
  <c r="D60" i="29"/>
  <c r="D69" i="29" s="1"/>
  <c r="L7" i="29"/>
  <c r="D47" i="29"/>
  <c r="BZ8" i="12"/>
  <c r="CB8" i="12"/>
  <c r="BB24" i="8"/>
  <c r="AU27" i="8"/>
  <c r="BQ27" i="8" s="1"/>
  <c r="AW70" i="53"/>
  <c r="Y70" i="53" s="1"/>
  <c r="BQ70" i="53"/>
  <c r="AZ25" i="8"/>
  <c r="AS25" i="8"/>
  <c r="Q8" i="51"/>
  <c r="R8" i="51"/>
  <c r="E21" i="44"/>
  <c r="E13" i="44"/>
  <c r="BG24" i="8"/>
  <c r="BO24" i="8"/>
  <c r="BV24" i="8" s="1"/>
  <c r="BV9" i="12"/>
  <c r="Y13" i="12"/>
  <c r="BC27" i="8"/>
  <c r="AV27" i="8"/>
  <c r="AV25" i="8"/>
  <c r="BC25" i="8"/>
  <c r="BD27" i="8"/>
  <c r="BE27" i="8" s="1"/>
  <c r="AQ67" i="53"/>
  <c r="AO67" i="53" s="1"/>
  <c r="BB27" i="8"/>
  <c r="BA24" i="8"/>
  <c r="CV24" i="8" s="1"/>
  <c r="D106" i="44" s="1"/>
  <c r="AM23" i="8"/>
  <c r="AN23" i="8"/>
  <c r="DA23" i="8"/>
  <c r="DB23" i="8" s="1"/>
  <c r="C24" i="28" s="1"/>
  <c r="D24" i="28" s="1"/>
  <c r="AP23" i="8"/>
  <c r="AO23" i="8"/>
  <c r="AQ23" i="8"/>
  <c r="AR23" i="8"/>
  <c r="Q13" i="51"/>
  <c r="R13" i="51"/>
  <c r="P8" i="51"/>
  <c r="O8" i="51"/>
  <c r="AS27" i="8"/>
  <c r="AZ27" i="8"/>
  <c r="E1" i="29"/>
  <c r="G30" i="17"/>
  <c r="CB5" i="7"/>
  <c r="CI5" i="7" s="1"/>
  <c r="CP5" i="7" s="1"/>
  <c r="CW5" i="7" s="1"/>
  <c r="DD5" i="7" s="1"/>
  <c r="DK5" i="7" s="1"/>
  <c r="EK5" i="7" s="1"/>
  <c r="AP3" i="8"/>
  <c r="G46" i="17"/>
  <c r="AX2" i="53" s="1"/>
  <c r="F42" i="32"/>
  <c r="F56" i="32" s="1"/>
  <c r="F73" i="32" s="1"/>
  <c r="E2" i="45"/>
  <c r="E23" i="55"/>
  <c r="E83" i="55" s="1"/>
  <c r="F2" i="44"/>
  <c r="AO13" i="8"/>
  <c r="AM13" i="8"/>
  <c r="AR13" i="8"/>
  <c r="AQ13" i="8"/>
  <c r="AP13" i="8"/>
  <c r="AN13" i="8"/>
  <c r="DA13" i="8"/>
  <c r="DB13" i="8" s="1"/>
  <c r="C14" i="28" s="1"/>
  <c r="D14" i="28" s="1"/>
  <c r="AV63" i="53"/>
  <c r="AW27" i="8"/>
  <c r="BS27" i="8" s="1"/>
  <c r="E33" i="17"/>
  <c r="F33" i="17" s="1"/>
  <c r="G33" i="17" s="1"/>
  <c r="H33" i="17" s="1"/>
  <c r="AO28" i="8"/>
  <c r="AN28" i="8"/>
  <c r="AW63" i="53"/>
  <c r="Y63" i="53" s="1"/>
  <c r="BV34" i="53"/>
  <c r="CB34" i="53" s="1"/>
  <c r="BG7" i="53"/>
  <c r="BH7" i="53" s="1"/>
  <c r="CN34" i="7"/>
  <c r="BM20" i="53"/>
  <c r="CO18" i="8"/>
  <c r="CP18" i="8" s="1"/>
  <c r="CQ18" i="8" s="1"/>
  <c r="BO18" i="8"/>
  <c r="BV18" i="8" s="1"/>
  <c r="BG18" i="8"/>
  <c r="BO21" i="8"/>
  <c r="BV21" i="8" s="1"/>
  <c r="BG21" i="8"/>
  <c r="AP26" i="8"/>
  <c r="DA26" i="8"/>
  <c r="DB26" i="8" s="1"/>
  <c r="C27" i="28" s="1"/>
  <c r="D27" i="28" s="1"/>
  <c r="AM26" i="8"/>
  <c r="AR26" i="8"/>
  <c r="AN26" i="8"/>
  <c r="AQ26" i="8"/>
  <c r="AO26" i="8"/>
  <c r="D35" i="17"/>
  <c r="G37" i="17" s="1"/>
  <c r="K13" i="17"/>
  <c r="BC68" i="53"/>
  <c r="AP12" i="8"/>
  <c r="AQ12" i="8"/>
  <c r="AN12" i="8"/>
  <c r="AR12" i="8"/>
  <c r="DA12" i="8"/>
  <c r="DB12" i="8" s="1"/>
  <c r="C13" i="28" s="1"/>
  <c r="D13" i="28" s="1"/>
  <c r="AM12" i="8"/>
  <c r="AO12" i="8"/>
  <c r="BB29" i="8"/>
  <c r="AU29" i="8"/>
  <c r="BI18" i="8"/>
  <c r="BQ18" i="8"/>
  <c r="BM18" i="53"/>
  <c r="BD18" i="53"/>
  <c r="BG71" i="53"/>
  <c r="BH71" i="53"/>
  <c r="BG74" i="53"/>
  <c r="BH74" i="53"/>
  <c r="DA11" i="8"/>
  <c r="DB11" i="8" s="1"/>
  <c r="C12" i="28" s="1"/>
  <c r="D12" i="28" s="1"/>
  <c r="AP11" i="8"/>
  <c r="AQ11" i="8"/>
  <c r="AO11" i="8"/>
  <c r="AM11" i="8"/>
  <c r="AR11" i="8"/>
  <c r="AN11" i="8"/>
  <c r="O5" i="51"/>
  <c r="P5" i="51"/>
  <c r="EM8" i="7"/>
  <c r="EK8" i="7"/>
  <c r="EJ8" i="7"/>
  <c r="EH8" i="7"/>
  <c r="EL8" i="7"/>
  <c r="EI8" i="7"/>
  <c r="F31" i="44"/>
  <c r="AR79" i="7"/>
  <c r="F42" i="44"/>
  <c r="AR90" i="7"/>
  <c r="BG67" i="53"/>
  <c r="BH67" i="53"/>
  <c r="BJ67" i="53" s="1"/>
  <c r="C43" i="12"/>
  <c r="D38" i="12"/>
  <c r="BJ76" i="53"/>
  <c r="AW76" i="53"/>
  <c r="Y76" i="53" s="1"/>
  <c r="BQ22" i="8"/>
  <c r="BI22" i="8"/>
  <c r="BQ17" i="8"/>
  <c r="BI17" i="8"/>
  <c r="X72" i="53"/>
  <c r="BK18" i="8"/>
  <c r="CO17" i="8"/>
  <c r="BG5" i="53"/>
  <c r="D25" i="54"/>
  <c r="D26" i="55"/>
  <c r="AW77" i="53"/>
  <c r="Y77" i="53" s="1"/>
  <c r="BQ77" i="53"/>
  <c r="AQ62" i="53"/>
  <c r="AO62" i="53" s="1"/>
  <c r="BA62" i="53"/>
  <c r="BA67" i="53"/>
  <c r="BC65" i="53"/>
  <c r="AW65" i="53"/>
  <c r="Y65" i="53" s="1"/>
  <c r="CV22" i="8"/>
  <c r="CW22" i="8" s="1"/>
  <c r="E104" i="44" s="1"/>
  <c r="BO68" i="53"/>
  <c r="BQ68" i="53" s="1"/>
  <c r="BR17" i="8"/>
  <c r="BJ17" i="8"/>
  <c r="AT3" i="8"/>
  <c r="BP3" i="8"/>
  <c r="G15" i="30"/>
  <c r="H17" i="30"/>
  <c r="H16" i="30"/>
  <c r="H20" i="30"/>
  <c r="H18" i="30"/>
  <c r="H19" i="30"/>
  <c r="AR118" i="7"/>
  <c r="AR107" i="7"/>
  <c r="BQ78" i="53"/>
  <c r="AW78" i="53"/>
  <c r="Y78" i="53" s="1"/>
  <c r="BH68" i="53"/>
  <c r="BJ68" i="53" s="1"/>
  <c r="AQ68" i="53"/>
  <c r="AO68" i="53" s="1"/>
  <c r="AN68" i="53"/>
  <c r="BG73" i="53"/>
  <c r="BH73" i="53"/>
  <c r="BN67" i="53"/>
  <c r="BO67" i="53"/>
  <c r="BQ67" i="53" s="1"/>
  <c r="BC28" i="8"/>
  <c r="BH18" i="8"/>
  <c r="BP18" i="8"/>
  <c r="AV29" i="8"/>
  <c r="BC29" i="8"/>
  <c r="D6" i="29"/>
  <c r="E6" i="29" s="1"/>
  <c r="F6" i="29" s="1"/>
  <c r="G6" i="29" s="1"/>
  <c r="H6" i="29" s="1"/>
  <c r="AV28" i="8" l="1"/>
  <c r="CR18" i="8"/>
  <c r="BD20" i="8"/>
  <c r="BE20" i="8" s="1"/>
  <c r="BD28" i="8"/>
  <c r="BS19" i="8"/>
  <c r="AW10" i="8"/>
  <c r="AX10" i="8" s="1"/>
  <c r="BL10" i="8" s="1"/>
  <c r="BC20" i="8"/>
  <c r="AU28" i="8"/>
  <c r="M21" i="45"/>
  <c r="BR20" i="8"/>
  <c r="AX19" i="8"/>
  <c r="BT19" i="8" s="1"/>
  <c r="X63" i="53"/>
  <c r="AU20" i="8"/>
  <c r="AT20" i="8"/>
  <c r="BP20" i="8" s="1"/>
  <c r="BZ7" i="12"/>
  <c r="AT29" i="8"/>
  <c r="AW69" i="53"/>
  <c r="Y69" i="53" s="1"/>
  <c r="BH20" i="8"/>
  <c r="AZ20" i="8"/>
  <c r="AW20" i="8"/>
  <c r="AX20" i="8" s="1"/>
  <c r="AX17" i="8"/>
  <c r="BT17" i="8" s="1"/>
  <c r="BS18" i="8"/>
  <c r="BA20" i="8"/>
  <c r="CU17" i="8"/>
  <c r="C99" i="44" s="1"/>
  <c r="BR18" i="8"/>
  <c r="AS20" i="8"/>
  <c r="CP19" i="8"/>
  <c r="CQ19" i="8" s="1"/>
  <c r="CR19" i="8" s="1"/>
  <c r="CS19" i="8" s="1"/>
  <c r="BP14" i="8"/>
  <c r="AW29" i="8"/>
  <c r="BK29" i="8" s="1"/>
  <c r="BA10" i="8"/>
  <c r="BG19" i="8"/>
  <c r="CV14" i="8"/>
  <c r="CW14" i="8" s="1"/>
  <c r="E96" i="44" s="1"/>
  <c r="BK17" i="8"/>
  <c r="CX21" i="8"/>
  <c r="F103" i="44" s="1"/>
  <c r="CN14" i="8"/>
  <c r="AU64" i="53"/>
  <c r="AX64" i="53" s="1"/>
  <c r="X69" i="53"/>
  <c r="BQ25" i="8"/>
  <c r="AT10" i="8"/>
  <c r="BH10" i="8" s="1"/>
  <c r="BQ24" i="8"/>
  <c r="AZ10" i="8"/>
  <c r="CN10" i="8" s="1"/>
  <c r="CW19" i="8"/>
  <c r="E101" i="44" s="1"/>
  <c r="D103" i="44"/>
  <c r="BH25" i="8"/>
  <c r="BO17" i="8"/>
  <c r="BV17" i="8" s="1"/>
  <c r="CH17" i="8" s="1"/>
  <c r="C71" i="44" s="1"/>
  <c r="AW27" i="53"/>
  <c r="BO15" i="53"/>
  <c r="BO27" i="53" s="1"/>
  <c r="AW64" i="53"/>
  <c r="Y64" i="53" s="1"/>
  <c r="AS30" i="8"/>
  <c r="AZ30" i="8"/>
  <c r="BC30" i="8"/>
  <c r="AU30" i="8"/>
  <c r="BB30" i="8"/>
  <c r="AV30" i="8"/>
  <c r="AV64" i="53"/>
  <c r="AV66" i="53"/>
  <c r="X66" i="53" s="1"/>
  <c r="M55" i="8"/>
  <c r="N55" i="8" s="1"/>
  <c r="AW30" i="8"/>
  <c r="BD30" i="8"/>
  <c r="BE30" i="8" s="1"/>
  <c r="AT30" i="8"/>
  <c r="BA30" i="8"/>
  <c r="BL21" i="8"/>
  <c r="BT21" i="8"/>
  <c r="BM22" i="53"/>
  <c r="K28" i="45" s="1"/>
  <c r="AT15" i="8"/>
  <c r="BA15" i="8"/>
  <c r="E5" i="53"/>
  <c r="BG9" i="53"/>
  <c r="BN22" i="53" s="1"/>
  <c r="AW15" i="8"/>
  <c r="BD15" i="8"/>
  <c r="BE15" i="8" s="1"/>
  <c r="AZ29" i="8"/>
  <c r="AS29" i="8"/>
  <c r="AZ15" i="8"/>
  <c r="AS15" i="8"/>
  <c r="BP22" i="8"/>
  <c r="BW22" i="8" s="1"/>
  <c r="BH22" i="8"/>
  <c r="AU15" i="8"/>
  <c r="BB15" i="8"/>
  <c r="BC15" i="8"/>
  <c r="AV15" i="8"/>
  <c r="L21" i="45"/>
  <c r="AV27" i="53"/>
  <c r="BE15" i="53"/>
  <c r="BE27" i="53" s="1"/>
  <c r="BN15" i="53"/>
  <c r="BT24" i="8"/>
  <c r="BK24" i="8"/>
  <c r="BS14" i="8"/>
  <c r="BK14" i="8"/>
  <c r="AX14" i="8"/>
  <c r="BG14" i="8"/>
  <c r="BO14" i="8"/>
  <c r="BV14" i="8" s="1"/>
  <c r="CB14" i="8" s="1"/>
  <c r="BB10" i="8"/>
  <c r="AU10" i="8"/>
  <c r="CO14" i="8"/>
  <c r="CP14" i="8" s="1"/>
  <c r="CW18" i="8"/>
  <c r="E100" i="44" s="1"/>
  <c r="BC10" i="8"/>
  <c r="BS24" i="8"/>
  <c r="BJ24" i="8"/>
  <c r="BR24" i="8"/>
  <c r="AT16" i="8"/>
  <c r="BA16" i="8"/>
  <c r="AS16" i="8"/>
  <c r="AZ16" i="8"/>
  <c r="BV12" i="12"/>
  <c r="Y9" i="12"/>
  <c r="BI3" i="8"/>
  <c r="BB3" i="8"/>
  <c r="D40" i="12"/>
  <c r="C45" i="12"/>
  <c r="BD16" i="8"/>
  <c r="BE16" i="8" s="1"/>
  <c r="AW16" i="8"/>
  <c r="AU75" i="53"/>
  <c r="AX75" i="53" s="1"/>
  <c r="AV75" i="53"/>
  <c r="BV15" i="12"/>
  <c r="Y12" i="12"/>
  <c r="AH5" i="8" s="1"/>
  <c r="BX3" i="8"/>
  <c r="CP3" i="8" s="1"/>
  <c r="CD3" i="8"/>
  <c r="CW3" i="8" s="1"/>
  <c r="CJ3" i="8" s="1"/>
  <c r="BB28" i="8"/>
  <c r="AV16" i="8"/>
  <c r="BC16" i="8"/>
  <c r="CB12" i="12"/>
  <c r="BZ12" i="12"/>
  <c r="CB15" i="12"/>
  <c r="BZ15" i="12"/>
  <c r="AU16" i="8"/>
  <c r="BB16" i="8"/>
  <c r="BS10" i="8"/>
  <c r="BL22" i="8"/>
  <c r="BK10" i="8"/>
  <c r="BW19" i="8"/>
  <c r="BX19" i="8" s="1"/>
  <c r="CH19" i="8"/>
  <c r="C73" i="44" s="1"/>
  <c r="CB19" i="8"/>
  <c r="BW21" i="8"/>
  <c r="BX21" i="8" s="1"/>
  <c r="BT25" i="8"/>
  <c r="AZ13" i="8"/>
  <c r="AS13" i="8"/>
  <c r="BG27" i="8"/>
  <c r="BO27" i="8"/>
  <c r="BV27" i="8" s="1"/>
  <c r="CH27" i="8" s="1"/>
  <c r="C81" i="44" s="1"/>
  <c r="BB23" i="8"/>
  <c r="AU23" i="8"/>
  <c r="BG25" i="8"/>
  <c r="BO25" i="8"/>
  <c r="BP27" i="8"/>
  <c r="BH27" i="8"/>
  <c r="BI27" i="8"/>
  <c r="CW24" i="8"/>
  <c r="E106" i="44" s="1"/>
  <c r="AT28" i="8"/>
  <c r="BA28" i="8"/>
  <c r="AX27" i="8"/>
  <c r="BK27" i="8"/>
  <c r="BC13" i="8"/>
  <c r="AU13" i="8"/>
  <c r="BB13" i="8"/>
  <c r="BA13" i="8"/>
  <c r="AT13" i="8"/>
  <c r="G2" i="44"/>
  <c r="G42" i="32"/>
  <c r="G56" i="32" s="1"/>
  <c r="G73" i="32" s="1"/>
  <c r="CC5" i="7"/>
  <c r="CJ5" i="7" s="1"/>
  <c r="CQ5" i="7" s="1"/>
  <c r="CX5" i="7" s="1"/>
  <c r="DE5" i="7" s="1"/>
  <c r="DL5" i="7" s="1"/>
  <c r="EL5" i="7" s="1"/>
  <c r="H46" i="17"/>
  <c r="AY2" i="53" s="1"/>
  <c r="F2" i="45"/>
  <c r="H30" i="17"/>
  <c r="F1" i="29"/>
  <c r="F23" i="55"/>
  <c r="F83" i="55" s="1"/>
  <c r="AQ3" i="8"/>
  <c r="BD23" i="8"/>
  <c r="BE23" i="8" s="1"/>
  <c r="AW23" i="8"/>
  <c r="CH24" i="8"/>
  <c r="C78" i="44" s="1"/>
  <c r="CB24" i="8"/>
  <c r="BO20" i="8"/>
  <c r="BV20" i="8" s="1"/>
  <c r="BG20" i="8"/>
  <c r="CN25" i="8"/>
  <c r="CO25" i="8" s="1"/>
  <c r="CP25" i="8" s="1"/>
  <c r="CQ25" i="8" s="1"/>
  <c r="CR25" i="8" s="1"/>
  <c r="CS25" i="8" s="1"/>
  <c r="CU25" i="8"/>
  <c r="BO10" i="8"/>
  <c r="BV10" i="8" s="1"/>
  <c r="CH10" i="8" s="1"/>
  <c r="C64" i="44" s="1"/>
  <c r="BG10" i="8"/>
  <c r="AS28" i="8"/>
  <c r="AZ28" i="8"/>
  <c r="BW18" i="8"/>
  <c r="CC18" i="8" s="1"/>
  <c r="AV13" i="8"/>
  <c r="F13" i="44"/>
  <c r="F21" i="44"/>
  <c r="BI2" i="53"/>
  <c r="N8" i="45"/>
  <c r="E20" i="54"/>
  <c r="M7" i="29"/>
  <c r="E60" i="29"/>
  <c r="E69" i="29" s="1"/>
  <c r="E47" i="29"/>
  <c r="BC23" i="8"/>
  <c r="AV23" i="8"/>
  <c r="AZ23" i="8"/>
  <c r="AS23" i="8"/>
  <c r="BJ25" i="8"/>
  <c r="BR25" i="8"/>
  <c r="BP10" i="8"/>
  <c r="AV70" i="53"/>
  <c r="AU70" i="53"/>
  <c r="AX70" i="53" s="1"/>
  <c r="BS20" i="8"/>
  <c r="BK20" i="8"/>
  <c r="CO24" i="8"/>
  <c r="CP24" i="8" s="1"/>
  <c r="CQ24" i="8" s="1"/>
  <c r="CR24" i="8" s="1"/>
  <c r="AB60" i="55"/>
  <c r="AB65" i="55" s="1"/>
  <c r="AW13" i="8"/>
  <c r="BD13" i="8"/>
  <c r="BE13" i="8" s="1"/>
  <c r="AV3" i="8"/>
  <c r="BR3" i="8"/>
  <c r="CU27" i="8"/>
  <c r="C109" i="44" s="1"/>
  <c r="CN27" i="8"/>
  <c r="CO27" i="8" s="1"/>
  <c r="AT23" i="8"/>
  <c r="BA23" i="8"/>
  <c r="BJ27" i="8"/>
  <c r="BR27" i="8"/>
  <c r="BJ10" i="8"/>
  <c r="BR10" i="8"/>
  <c r="CU20" i="8"/>
  <c r="CN20" i="8"/>
  <c r="BW24" i="8"/>
  <c r="BN20" i="53"/>
  <c r="BE20" i="53"/>
  <c r="K26" i="45"/>
  <c r="BV20" i="53"/>
  <c r="CU34" i="7"/>
  <c r="DI34" i="7" s="1"/>
  <c r="BF20" i="53"/>
  <c r="BO20" i="53"/>
  <c r="BI7" i="53"/>
  <c r="CO34" i="7"/>
  <c r="CB21" i="8"/>
  <c r="CH21" i="8"/>
  <c r="C75" i="44" s="1"/>
  <c r="CH18" i="8"/>
  <c r="C72" i="44" s="1"/>
  <c r="CB18" i="8"/>
  <c r="CP21" i="8"/>
  <c r="CQ21" i="8" s="1"/>
  <c r="CR21" i="8" s="1"/>
  <c r="BL18" i="8"/>
  <c r="BT18" i="8"/>
  <c r="BV18" i="53"/>
  <c r="K24" i="45"/>
  <c r="BI29" i="8"/>
  <c r="BQ29" i="8"/>
  <c r="AU12" i="8"/>
  <c r="BB12" i="8"/>
  <c r="AT26" i="8"/>
  <c r="BA26" i="8"/>
  <c r="BW3" i="8"/>
  <c r="CO3" i="8" s="1"/>
  <c r="CC3" i="8"/>
  <c r="CV3" i="8" s="1"/>
  <c r="CI3" i="8" s="1"/>
  <c r="BC62" i="53"/>
  <c r="AW62" i="53"/>
  <c r="Y62" i="53" s="1"/>
  <c r="E26" i="55"/>
  <c r="E25" i="54"/>
  <c r="BN18" i="53"/>
  <c r="BE18" i="53"/>
  <c r="AV76" i="53"/>
  <c r="AU76" i="53"/>
  <c r="AX76" i="53" s="1"/>
  <c r="X76" i="53" s="1"/>
  <c r="AT11" i="8"/>
  <c r="BA11" i="8"/>
  <c r="BJ74" i="53"/>
  <c r="AW74" i="53"/>
  <c r="Y74" i="53" s="1"/>
  <c r="BD12" i="8"/>
  <c r="AW12" i="8"/>
  <c r="AW68" i="53"/>
  <c r="Y68" i="53" s="1"/>
  <c r="C16" i="54"/>
  <c r="K45" i="17"/>
  <c r="F64" i="32" s="1"/>
  <c r="C26" i="32"/>
  <c r="J64" i="17"/>
  <c r="H16" i="17"/>
  <c r="AN15" i="29"/>
  <c r="M13" i="17"/>
  <c r="F42" i="17"/>
  <c r="E16" i="17"/>
  <c r="B19" i="55"/>
  <c r="L17" i="17"/>
  <c r="AO15" i="29"/>
  <c r="AN16" i="29"/>
  <c r="F18" i="17"/>
  <c r="G23" i="17" s="1"/>
  <c r="G9" i="53" s="1"/>
  <c r="D42" i="17"/>
  <c r="E43" i="17"/>
  <c r="G67" i="17"/>
  <c r="K42" i="17"/>
  <c r="AO16" i="29"/>
  <c r="J63" i="17"/>
  <c r="K44" i="17"/>
  <c r="AV26" i="8"/>
  <c r="BC26" i="8"/>
  <c r="BR29" i="8"/>
  <c r="BJ29" i="8"/>
  <c r="BJ28" i="8"/>
  <c r="BR28" i="8"/>
  <c r="AV68" i="53"/>
  <c r="AU68" i="53"/>
  <c r="AX68" i="53" s="1"/>
  <c r="CQ22" i="8"/>
  <c r="CR22" i="8" s="1"/>
  <c r="AX29" i="8"/>
  <c r="BI28" i="8"/>
  <c r="BQ28" i="8"/>
  <c r="AU78" i="53"/>
  <c r="AX78" i="53" s="1"/>
  <c r="AV78" i="53"/>
  <c r="BA3" i="8"/>
  <c r="BH3" i="8"/>
  <c r="AU65" i="53"/>
  <c r="AX65" i="53" s="1"/>
  <c r="AV65" i="53"/>
  <c r="BS28" i="8"/>
  <c r="BK28" i="8"/>
  <c r="AX28" i="8"/>
  <c r="AZ11" i="8"/>
  <c r="AS11" i="8"/>
  <c r="AV11" i="8"/>
  <c r="BC11" i="8"/>
  <c r="CP17" i="8"/>
  <c r="BA12" i="8"/>
  <c r="AT12" i="8"/>
  <c r="AS12" i="8"/>
  <c r="AZ12" i="8"/>
  <c r="AZ26" i="8"/>
  <c r="AS26" i="8"/>
  <c r="AU26" i="8"/>
  <c r="BB26" i="8"/>
  <c r="BH29" i="8"/>
  <c r="BP29" i="8"/>
  <c r="BE29" i="8"/>
  <c r="BJ73" i="53"/>
  <c r="AW73" i="53"/>
  <c r="Y73" i="53" s="1"/>
  <c r="CS18" i="8"/>
  <c r="CX22" i="8"/>
  <c r="F104" i="44" s="1"/>
  <c r="D104" i="44"/>
  <c r="BC67" i="53"/>
  <c r="AV67" i="53" s="1"/>
  <c r="AW67" i="53"/>
  <c r="Y67" i="53" s="1"/>
  <c r="AU77" i="53"/>
  <c r="AX77" i="53" s="1"/>
  <c r="AV77" i="53"/>
  <c r="BH5" i="53"/>
  <c r="BI5" i="53" s="1"/>
  <c r="BE28" i="8"/>
  <c r="C48" i="12"/>
  <c r="D43" i="12"/>
  <c r="BD11" i="8"/>
  <c r="AW11" i="8"/>
  <c r="BB11" i="8"/>
  <c r="AU11" i="8"/>
  <c r="BJ71" i="53"/>
  <c r="AW71" i="53"/>
  <c r="Y71" i="53" s="1"/>
  <c r="AV12" i="8"/>
  <c r="BC12" i="8"/>
  <c r="BD26" i="8"/>
  <c r="AW26" i="8"/>
  <c r="CH14" i="8" l="1"/>
  <c r="C68" i="44" s="1"/>
  <c r="X64" i="53"/>
  <c r="BL19" i="8"/>
  <c r="CC21" i="8"/>
  <c r="BT10" i="8"/>
  <c r="BL17" i="8"/>
  <c r="CO20" i="8"/>
  <c r="CP20" i="8" s="1"/>
  <c r="CQ20" i="8" s="1"/>
  <c r="CR20" i="8" s="1"/>
  <c r="CS20" i="8" s="1"/>
  <c r="BI20" i="8"/>
  <c r="BQ20" i="8"/>
  <c r="BS29" i="8"/>
  <c r="BX15" i="53"/>
  <c r="BX27" i="53" s="1"/>
  <c r="D96" i="44"/>
  <c r="CV17" i="8"/>
  <c r="D99" i="44" s="1"/>
  <c r="CB17" i="8"/>
  <c r="CX19" i="8"/>
  <c r="CY19" i="8" s="1"/>
  <c r="G101" i="44" s="1"/>
  <c r="CI21" i="8"/>
  <c r="D75" i="44" s="1"/>
  <c r="CY21" i="8"/>
  <c r="G103" i="44" s="1"/>
  <c r="CX14" i="8"/>
  <c r="F96" i="44" s="1"/>
  <c r="X65" i="53"/>
  <c r="X77" i="53"/>
  <c r="X78" i="53"/>
  <c r="CU10" i="8"/>
  <c r="C92" i="44" s="1"/>
  <c r="BE22" i="53"/>
  <c r="BV22" i="53"/>
  <c r="BH9" i="53"/>
  <c r="BO22" i="53" s="1"/>
  <c r="CX18" i="8"/>
  <c r="F100" i="44" s="1"/>
  <c r="BW17" i="8"/>
  <c r="CC17" i="8" s="1"/>
  <c r="BK30" i="8"/>
  <c r="BS30" i="8"/>
  <c r="AX30" i="8"/>
  <c r="BJ30" i="8"/>
  <c r="BR30" i="8"/>
  <c r="CU30" i="8"/>
  <c r="CV30" i="8" s="1"/>
  <c r="D112" i="44" s="1"/>
  <c r="CN30" i="8"/>
  <c r="CO30" i="8" s="1"/>
  <c r="CI17" i="8"/>
  <c r="D71" i="44" s="1"/>
  <c r="BH30" i="8"/>
  <c r="BP30" i="8"/>
  <c r="M56" i="8"/>
  <c r="M57" i="8" s="1"/>
  <c r="BO30" i="8"/>
  <c r="BV30" i="8" s="1"/>
  <c r="BG30" i="8"/>
  <c r="BQ30" i="8"/>
  <c r="BI30" i="8"/>
  <c r="CC22" i="8"/>
  <c r="CI22" i="8"/>
  <c r="D76" i="44" s="1"/>
  <c r="CN29" i="8"/>
  <c r="CO29" i="8" s="1"/>
  <c r="CP29" i="8" s="1"/>
  <c r="CU29" i="8"/>
  <c r="BX22" i="8"/>
  <c r="BG15" i="8"/>
  <c r="BO15" i="8"/>
  <c r="BV15" i="8" s="1"/>
  <c r="BI15" i="8"/>
  <c r="BQ15" i="8"/>
  <c r="CU15" i="8"/>
  <c r="CV15" i="8" s="1"/>
  <c r="D97" i="44" s="1"/>
  <c r="CN15" i="8"/>
  <c r="CO15" i="8" s="1"/>
  <c r="AX15" i="8"/>
  <c r="BK15" i="8"/>
  <c r="BS15" i="8"/>
  <c r="BN27" i="53"/>
  <c r="BW15" i="53"/>
  <c r="BW27" i="53" s="1"/>
  <c r="BJ15" i="8"/>
  <c r="BR15" i="8"/>
  <c r="BO29" i="8"/>
  <c r="BV29" i="8" s="1"/>
  <c r="BG29" i="8"/>
  <c r="BH15" i="8"/>
  <c r="BP15" i="8"/>
  <c r="CI18" i="8"/>
  <c r="D72" i="44" s="1"/>
  <c r="CQ14" i="8"/>
  <c r="CR14" i="8" s="1"/>
  <c r="BL14" i="8"/>
  <c r="BT14" i="8"/>
  <c r="BQ10" i="8"/>
  <c r="BI10" i="8"/>
  <c r="BW14" i="8"/>
  <c r="BQ16" i="8"/>
  <c r="BI16" i="8"/>
  <c r="CU16" i="8"/>
  <c r="CN16" i="8"/>
  <c r="CO16" i="8" s="1"/>
  <c r="CP16" i="8" s="1"/>
  <c r="CQ16" i="8" s="1"/>
  <c r="CR16" i="8" s="1"/>
  <c r="C50" i="12"/>
  <c r="D50" i="12" s="1"/>
  <c r="D45" i="12"/>
  <c r="CB27" i="8"/>
  <c r="CZ19" i="8"/>
  <c r="H101" i="44" s="1"/>
  <c r="X75" i="53"/>
  <c r="BW27" i="8"/>
  <c r="BX27" i="8" s="1"/>
  <c r="BO16" i="8"/>
  <c r="BV16" i="8" s="1"/>
  <c r="BG16" i="8"/>
  <c r="X70" i="53"/>
  <c r="BR16" i="8"/>
  <c r="BJ16" i="8"/>
  <c r="BS16" i="8"/>
  <c r="BK16" i="8"/>
  <c r="AX16" i="8"/>
  <c r="BP16" i="8"/>
  <c r="BH16" i="8"/>
  <c r="BX18" i="8"/>
  <c r="BY18" i="8" s="1"/>
  <c r="CE18" i="8" s="1"/>
  <c r="CD19" i="8"/>
  <c r="CJ19" i="8"/>
  <c r="E73" i="44" s="1"/>
  <c r="CC19" i="8"/>
  <c r="CI19" i="8"/>
  <c r="D73" i="44" s="1"/>
  <c r="BY19" i="8"/>
  <c r="CP27" i="8"/>
  <c r="CQ27" i="8" s="1"/>
  <c r="CR27" i="8" s="1"/>
  <c r="CS27" i="8" s="1"/>
  <c r="C102" i="44"/>
  <c r="BK13" i="8"/>
  <c r="AX13" i="8"/>
  <c r="BS13" i="8"/>
  <c r="BG23" i="8"/>
  <c r="BO23" i="8"/>
  <c r="BV23" i="8" s="1"/>
  <c r="BJ13" i="8"/>
  <c r="BR13" i="8"/>
  <c r="CB20" i="8"/>
  <c r="CH20" i="8"/>
  <c r="C74" i="44" s="1"/>
  <c r="O8" i="45"/>
  <c r="BJ2" i="53"/>
  <c r="BP13" i="8"/>
  <c r="BH13" i="8"/>
  <c r="BH28" i="8"/>
  <c r="BP28" i="8"/>
  <c r="CB10" i="8"/>
  <c r="CS24" i="8"/>
  <c r="CV27" i="8"/>
  <c r="CW27" i="8" s="1"/>
  <c r="E109" i="44" s="1"/>
  <c r="CE3" i="8"/>
  <c r="CX3" i="8" s="1"/>
  <c r="CK3" i="8" s="1"/>
  <c r="BY3" i="8"/>
  <c r="CQ3" i="8" s="1"/>
  <c r="BW20" i="8"/>
  <c r="BT20" i="8"/>
  <c r="BL20" i="8"/>
  <c r="BW10" i="8"/>
  <c r="CN23" i="8"/>
  <c r="CO23" i="8" s="1"/>
  <c r="CU23" i="8"/>
  <c r="CV23" i="8" s="1"/>
  <c r="N21" i="45"/>
  <c r="AX27" i="53"/>
  <c r="BG15" i="53"/>
  <c r="BG27" i="53" s="1"/>
  <c r="BP15" i="53"/>
  <c r="CU28" i="8"/>
  <c r="CV28" i="8" s="1"/>
  <c r="D110" i="44" s="1"/>
  <c r="CN28" i="8"/>
  <c r="C107" i="44"/>
  <c r="CV25" i="8"/>
  <c r="AX23" i="8"/>
  <c r="BS23" i="8"/>
  <c r="BK23" i="8"/>
  <c r="F47" i="29"/>
  <c r="F20" i="54"/>
  <c r="F60" i="29"/>
  <c r="F69" i="29" s="1"/>
  <c r="N7" i="29"/>
  <c r="BV25" i="8"/>
  <c r="BW25" i="8"/>
  <c r="BQ23" i="8"/>
  <c r="BI23" i="8"/>
  <c r="BO13" i="8"/>
  <c r="BV13" i="8" s="1"/>
  <c r="CH13" i="8" s="1"/>
  <c r="C67" i="44" s="1"/>
  <c r="BG13" i="8"/>
  <c r="CO10" i="8"/>
  <c r="CP10" i="8" s="1"/>
  <c r="BH23" i="8"/>
  <c r="BP23" i="8"/>
  <c r="BC3" i="8"/>
  <c r="BJ3" i="8"/>
  <c r="BR23" i="8"/>
  <c r="BJ23" i="8"/>
  <c r="BO28" i="8"/>
  <c r="BV28" i="8" s="1"/>
  <c r="BG28" i="8"/>
  <c r="H42" i="32"/>
  <c r="I46" i="17"/>
  <c r="AZ2" i="53" s="1"/>
  <c r="H2" i="44"/>
  <c r="G1" i="29"/>
  <c r="G23" i="55"/>
  <c r="G83" i="55" s="1"/>
  <c r="I30" i="17"/>
  <c r="G2" i="45"/>
  <c r="CD5" i="7"/>
  <c r="CK5" i="7" s="1"/>
  <c r="CR5" i="7" s="1"/>
  <c r="CY5" i="7" s="1"/>
  <c r="DF5" i="7" s="1"/>
  <c r="DM5" i="7" s="1"/>
  <c r="EM5" i="7" s="1"/>
  <c r="AR3" i="8"/>
  <c r="BT27" i="8"/>
  <c r="BL27" i="8"/>
  <c r="CN13" i="8"/>
  <c r="CO13" i="8" s="1"/>
  <c r="CU13" i="8"/>
  <c r="CX24" i="8"/>
  <c r="CI24" i="8"/>
  <c r="D78" i="44" s="1"/>
  <c r="CC24" i="8"/>
  <c r="AW3" i="8"/>
  <c r="BS3" i="8"/>
  <c r="G21" i="44"/>
  <c r="G13" i="44"/>
  <c r="BI13" i="8"/>
  <c r="BQ13" i="8"/>
  <c r="CO28" i="8"/>
  <c r="CV20" i="8"/>
  <c r="D102" i="44" s="1"/>
  <c r="BX24" i="8"/>
  <c r="CY18" i="8"/>
  <c r="G100" i="44" s="1"/>
  <c r="L26" i="45"/>
  <c r="BW20" i="53"/>
  <c r="CV34" i="7"/>
  <c r="DJ34" i="7" s="1"/>
  <c r="BP20" i="53"/>
  <c r="BG20" i="53"/>
  <c r="BJ7" i="53"/>
  <c r="M26" i="45"/>
  <c r="BX20" i="53"/>
  <c r="CP34" i="7"/>
  <c r="CW34" i="7" s="1"/>
  <c r="DK34" i="7" s="1"/>
  <c r="CY22" i="8"/>
  <c r="G104" i="44" s="1"/>
  <c r="CS21" i="8"/>
  <c r="BY21" i="8"/>
  <c r="BZ21" i="8" s="1"/>
  <c r="CD21" i="8"/>
  <c r="CJ21" i="8"/>
  <c r="E75" i="44" s="1"/>
  <c r="CS22" i="8"/>
  <c r="BP18" i="53"/>
  <c r="BG18" i="53"/>
  <c r="BJ5" i="53"/>
  <c r="BK5" i="53" s="1"/>
  <c r="BR12" i="8"/>
  <c r="BJ12" i="8"/>
  <c r="AV71" i="53"/>
  <c r="AU71" i="53"/>
  <c r="AX71" i="53" s="1"/>
  <c r="BE11" i="8"/>
  <c r="CN26" i="8"/>
  <c r="CO26" i="8" s="1"/>
  <c r="CU26" i="8"/>
  <c r="C108" i="44" s="1"/>
  <c r="BJ11" i="8"/>
  <c r="BR11" i="8"/>
  <c r="CZ21" i="8"/>
  <c r="H103" i="44" s="1"/>
  <c r="C33" i="32"/>
  <c r="K64" i="17"/>
  <c r="K1" i="7"/>
  <c r="C19" i="30"/>
  <c r="S6" i="7"/>
  <c r="K63" i="17"/>
  <c r="AQ15" i="29"/>
  <c r="C17" i="30"/>
  <c r="C58" i="29"/>
  <c r="C15" i="30"/>
  <c r="N4" i="29"/>
  <c r="E5" i="30"/>
  <c r="C4" i="8"/>
  <c r="J5" i="28"/>
  <c r="K72" i="17"/>
  <c r="I73" i="17" s="1"/>
  <c r="B47" i="32"/>
  <c r="D37" i="32"/>
  <c r="E51" i="32"/>
  <c r="AM77" i="7"/>
  <c r="C16" i="30"/>
  <c r="D4" i="60"/>
  <c r="A31" i="55"/>
  <c r="A3" i="45"/>
  <c r="C17" i="54"/>
  <c r="AK4" i="7"/>
  <c r="C56" i="29"/>
  <c r="C20" i="30"/>
  <c r="B44" i="32"/>
  <c r="E50" i="32"/>
  <c r="H72" i="17"/>
  <c r="C18" i="30"/>
  <c r="B20" i="55"/>
  <c r="F16" i="54"/>
  <c r="G16" i="54"/>
  <c r="E16" i="54"/>
  <c r="D16" i="54"/>
  <c r="BP11" i="8"/>
  <c r="BH11" i="8"/>
  <c r="F26" i="55"/>
  <c r="F25" i="54"/>
  <c r="AU67" i="53"/>
  <c r="AX67" i="53" s="1"/>
  <c r="X67" i="53" s="1"/>
  <c r="CU12" i="8"/>
  <c r="C94" i="44" s="1"/>
  <c r="CN12" i="8"/>
  <c r="CO12" i="8" s="1"/>
  <c r="BO11" i="8"/>
  <c r="BV11" i="8" s="1"/>
  <c r="BG11" i="8"/>
  <c r="X68" i="53"/>
  <c r="CQ17" i="8"/>
  <c r="CR17" i="8" s="1"/>
  <c r="CS17" i="8" s="1"/>
  <c r="D47" i="17"/>
  <c r="E62" i="32"/>
  <c r="G50" i="17"/>
  <c r="H50" i="17"/>
  <c r="I50" i="17"/>
  <c r="E50" i="17"/>
  <c r="D50" i="17"/>
  <c r="F50" i="17"/>
  <c r="BI12" i="8"/>
  <c r="BQ12" i="8"/>
  <c r="AX26" i="8"/>
  <c r="BK26" i="8"/>
  <c r="BS26" i="8"/>
  <c r="BE26" i="8"/>
  <c r="BQ26" i="8"/>
  <c r="BI26" i="8"/>
  <c r="BG12" i="8"/>
  <c r="BO12" i="8"/>
  <c r="BV12" i="8" s="1"/>
  <c r="CU11" i="8"/>
  <c r="C93" i="44" s="1"/>
  <c r="CN11" i="8"/>
  <c r="CO11" i="8" s="1"/>
  <c r="BT29" i="8"/>
  <c r="BL29" i="8"/>
  <c r="G1" i="7"/>
  <c r="H14" i="17"/>
  <c r="E14" i="17"/>
  <c r="BS12" i="8"/>
  <c r="BK12" i="8"/>
  <c r="AX12" i="8"/>
  <c r="AU74" i="53"/>
  <c r="AX74" i="53" s="1"/>
  <c r="AV74" i="53"/>
  <c r="L24" i="45"/>
  <c r="BW18" i="53"/>
  <c r="AV62" i="53"/>
  <c r="AU62" i="53"/>
  <c r="AX62" i="53" s="1"/>
  <c r="CB13" i="8"/>
  <c r="BI11" i="8"/>
  <c r="BQ11" i="8"/>
  <c r="D48" i="12"/>
  <c r="AK35" i="7" s="1"/>
  <c r="C53" i="12"/>
  <c r="D53" i="12" s="1"/>
  <c r="BK11" i="8"/>
  <c r="BS11" i="8"/>
  <c r="AX11" i="8"/>
  <c r="BO18" i="53"/>
  <c r="BF18" i="53"/>
  <c r="AU73" i="53"/>
  <c r="AX73" i="53" s="1"/>
  <c r="AV73" i="53"/>
  <c r="BO26" i="8"/>
  <c r="BV26" i="8" s="1"/>
  <c r="BG26" i="8"/>
  <c r="BP12" i="8"/>
  <c r="BH12" i="8"/>
  <c r="BT28" i="8"/>
  <c r="BL28" i="8"/>
  <c r="BW22" i="53"/>
  <c r="L28" i="45"/>
  <c r="BJ26" i="8"/>
  <c r="BR26" i="8"/>
  <c r="E47" i="17"/>
  <c r="I47" i="17"/>
  <c r="F63" i="32"/>
  <c r="G47" i="17"/>
  <c r="H47" i="17"/>
  <c r="F47" i="17"/>
  <c r="E19" i="55"/>
  <c r="D19" i="55"/>
  <c r="G19" i="55"/>
  <c r="H19" i="55"/>
  <c r="C19" i="55"/>
  <c r="F19" i="55"/>
  <c r="BE12" i="8"/>
  <c r="BP26" i="8"/>
  <c r="BH26" i="8"/>
  <c r="CY14" i="8" l="1"/>
  <c r="G96" i="44" s="1"/>
  <c r="CV10" i="8"/>
  <c r="CW17" i="8"/>
  <c r="F101" i="44"/>
  <c r="BW30" i="8"/>
  <c r="CC30" i="8" s="1"/>
  <c r="BF22" i="53"/>
  <c r="BI9" i="53"/>
  <c r="BJ9" i="53" s="1"/>
  <c r="BH22" i="53" s="1"/>
  <c r="N56" i="8"/>
  <c r="CK18" i="8"/>
  <c r="F72" i="44" s="1"/>
  <c r="CJ18" i="8"/>
  <c r="E72" i="44" s="1"/>
  <c r="BW15" i="8"/>
  <c r="BX15" i="8" s="1"/>
  <c r="CQ29" i="8"/>
  <c r="CR29" i="8" s="1"/>
  <c r="CS29" i="8" s="1"/>
  <c r="BX17" i="8"/>
  <c r="BY17" i="8" s="1"/>
  <c r="CP30" i="8"/>
  <c r="CQ30" i="8" s="1"/>
  <c r="CH30" i="8"/>
  <c r="C84" i="44" s="1"/>
  <c r="CB30" i="8"/>
  <c r="CW30" i="8"/>
  <c r="E112" i="44" s="1"/>
  <c r="C112" i="44"/>
  <c r="BT30" i="8"/>
  <c r="BL30" i="8"/>
  <c r="CP15" i="8"/>
  <c r="CQ15" i="8" s="1"/>
  <c r="CR15" i="8" s="1"/>
  <c r="CS15" i="8" s="1"/>
  <c r="N57" i="8"/>
  <c r="M58" i="8"/>
  <c r="N58" i="8" s="1"/>
  <c r="CH29" i="8"/>
  <c r="C83" i="44" s="1"/>
  <c r="CB29" i="8"/>
  <c r="CW15" i="8"/>
  <c r="CX15" i="8" s="1"/>
  <c r="F97" i="44" s="1"/>
  <c r="C111" i="44"/>
  <c r="CV29" i="8"/>
  <c r="BL15" i="8"/>
  <c r="BT15" i="8"/>
  <c r="CH15" i="8"/>
  <c r="C69" i="44" s="1"/>
  <c r="CB15" i="8"/>
  <c r="BW29" i="8"/>
  <c r="C97" i="44"/>
  <c r="CJ22" i="8"/>
  <c r="E76" i="44" s="1"/>
  <c r="CD22" i="8"/>
  <c r="BY22" i="8"/>
  <c r="BY27" i="8"/>
  <c r="CE27" i="8" s="1"/>
  <c r="CD27" i="8"/>
  <c r="BZ18" i="8"/>
  <c r="CL18" i="8" s="1"/>
  <c r="G72" i="44" s="1"/>
  <c r="CS14" i="8"/>
  <c r="CD18" i="8"/>
  <c r="X62" i="53"/>
  <c r="X60" i="53" s="1"/>
  <c r="BW16" i="8"/>
  <c r="CC16" i="8" s="1"/>
  <c r="CC14" i="8"/>
  <c r="CI14" i="8"/>
  <c r="D68" i="44" s="1"/>
  <c r="BX14" i="8"/>
  <c r="BT16" i="8"/>
  <c r="BL16" i="8"/>
  <c r="CH16" i="8"/>
  <c r="C70" i="44" s="1"/>
  <c r="CB16" i="8"/>
  <c r="CV16" i="8"/>
  <c r="C98" i="44"/>
  <c r="X71" i="53"/>
  <c r="CI27" i="8"/>
  <c r="D81" i="44" s="1"/>
  <c r="CC27" i="8"/>
  <c r="CJ27" i="8"/>
  <c r="E81" i="44" s="1"/>
  <c r="CV26" i="8"/>
  <c r="D108" i="44" s="1"/>
  <c r="CK19" i="8"/>
  <c r="F73" i="44" s="1"/>
  <c r="BZ19" i="8"/>
  <c r="CE19" i="8"/>
  <c r="BW12" i="8"/>
  <c r="CC12" i="8" s="1"/>
  <c r="CP13" i="8"/>
  <c r="CQ13" i="8" s="1"/>
  <c r="CR13" i="8" s="1"/>
  <c r="CS13" i="8" s="1"/>
  <c r="CS16" i="8"/>
  <c r="CV11" i="8"/>
  <c r="D93" i="44" s="1"/>
  <c r="BW28" i="8"/>
  <c r="CC28" i="8" s="1"/>
  <c r="CZ22" i="8"/>
  <c r="H104" i="44" s="1"/>
  <c r="D105" i="44"/>
  <c r="X73" i="53"/>
  <c r="D92" i="44"/>
  <c r="CW10" i="8"/>
  <c r="E92" i="44" s="1"/>
  <c r="BK2" i="53"/>
  <c r="P8" i="45"/>
  <c r="O21" i="45"/>
  <c r="AY27" i="53"/>
  <c r="BH15" i="53"/>
  <c r="BH27" i="53" s="1"/>
  <c r="BQ15" i="53"/>
  <c r="CB23" i="8"/>
  <c r="CH23" i="8"/>
  <c r="C77" i="44" s="1"/>
  <c r="BY24" i="8"/>
  <c r="CD24" i="8"/>
  <c r="CJ24" i="8"/>
  <c r="E78" i="44" s="1"/>
  <c r="CP23" i="8"/>
  <c r="CQ23" i="8" s="1"/>
  <c r="CR23" i="8" s="1"/>
  <c r="CS23" i="8" s="1"/>
  <c r="AX3" i="8"/>
  <c r="BT3" i="8"/>
  <c r="BW23" i="8"/>
  <c r="CX27" i="8"/>
  <c r="CC20" i="8"/>
  <c r="CI20" i="8"/>
  <c r="D74" i="44" s="1"/>
  <c r="CW20" i="8"/>
  <c r="CX20" i="8" s="1"/>
  <c r="F102" i="44" s="1"/>
  <c r="BD3" i="8"/>
  <c r="BK3" i="8"/>
  <c r="H1" i="29"/>
  <c r="H23" i="55"/>
  <c r="H83" i="55" s="1"/>
  <c r="BP27" i="53"/>
  <c r="BY15" i="53"/>
  <c r="BY27" i="53" s="1"/>
  <c r="C105" i="44"/>
  <c r="CY24" i="8"/>
  <c r="G106" i="44" s="1"/>
  <c r="F106" i="44"/>
  <c r="CW23" i="8"/>
  <c r="E105" i="44" s="1"/>
  <c r="O7" i="29"/>
  <c r="G60" i="29"/>
  <c r="G69" i="29" s="1"/>
  <c r="G47" i="29"/>
  <c r="G20" i="54"/>
  <c r="CC25" i="8"/>
  <c r="CI25" i="8"/>
  <c r="D79" i="44" s="1"/>
  <c r="BT23" i="8"/>
  <c r="BL23" i="8"/>
  <c r="CP28" i="8"/>
  <c r="CI10" i="8"/>
  <c r="D64" i="44" s="1"/>
  <c r="BX10" i="8"/>
  <c r="CC10" i="8"/>
  <c r="D109" i="44"/>
  <c r="BZ3" i="8"/>
  <c r="CR3" i="8" s="1"/>
  <c r="CF3" i="8"/>
  <c r="CY3" i="8" s="1"/>
  <c r="CL3" i="8" s="1"/>
  <c r="C95" i="44"/>
  <c r="CV13" i="8"/>
  <c r="H21" i="44"/>
  <c r="H13" i="44"/>
  <c r="CB28" i="8"/>
  <c r="CH28" i="8"/>
  <c r="C82" i="44" s="1"/>
  <c r="CQ10" i="8"/>
  <c r="CH25" i="8"/>
  <c r="C79" i="44" s="1"/>
  <c r="CB25" i="8"/>
  <c r="BX25" i="8"/>
  <c r="CW25" i="8"/>
  <c r="D107" i="44"/>
  <c r="C110" i="44"/>
  <c r="CW28" i="8"/>
  <c r="CX28" i="8" s="1"/>
  <c r="F110" i="44" s="1"/>
  <c r="BW13" i="8"/>
  <c r="BX20" i="8"/>
  <c r="BT13" i="8"/>
  <c r="BL13" i="8"/>
  <c r="CZ18" i="8"/>
  <c r="H100" i="44" s="1"/>
  <c r="BH20" i="53"/>
  <c r="BQ20" i="53"/>
  <c r="N26" i="45"/>
  <c r="BY20" i="53"/>
  <c r="BK7" i="53"/>
  <c r="CQ34" i="7"/>
  <c r="CX34" i="7" s="1"/>
  <c r="DL34" i="7" s="1"/>
  <c r="BW26" i="8"/>
  <c r="BX26" i="8" s="1"/>
  <c r="CE21" i="8"/>
  <c r="CK21" i="8"/>
  <c r="F75" i="44" s="1"/>
  <c r="CA21" i="8"/>
  <c r="BM5" i="53"/>
  <c r="CF21" i="8"/>
  <c r="CL21" i="8"/>
  <c r="G75" i="44" s="1"/>
  <c r="AP31" i="8"/>
  <c r="AP6" i="8"/>
  <c r="G48" i="17"/>
  <c r="AP9" i="8"/>
  <c r="AP8" i="8"/>
  <c r="AP4" i="8"/>
  <c r="AX3" i="53"/>
  <c r="AP7" i="8"/>
  <c r="AP5" i="8"/>
  <c r="BT12" i="8"/>
  <c r="BL12" i="8"/>
  <c r="BY8" i="7"/>
  <c r="BY23" i="7"/>
  <c r="BY20" i="7"/>
  <c r="BY14" i="7"/>
  <c r="BY12" i="7"/>
  <c r="BY25" i="7"/>
  <c r="BY32" i="7"/>
  <c r="BY22" i="7"/>
  <c r="BY28" i="7"/>
  <c r="BY16" i="7"/>
  <c r="BY9" i="7"/>
  <c r="BY15" i="7"/>
  <c r="BY27" i="7"/>
  <c r="BY19" i="7"/>
  <c r="BY26" i="7"/>
  <c r="BY24" i="7"/>
  <c r="D51" i="17"/>
  <c r="BY33" i="7"/>
  <c r="BY21" i="7"/>
  <c r="BY6" i="7"/>
  <c r="BY34" i="7"/>
  <c r="CF34" i="7" s="1"/>
  <c r="BY11" i="7"/>
  <c r="BY10" i="7"/>
  <c r="BY7" i="7"/>
  <c r="BY29" i="7"/>
  <c r="BY18" i="7"/>
  <c r="BY13" i="7"/>
  <c r="BY31" i="7"/>
  <c r="BY17" i="7"/>
  <c r="BY30" i="7"/>
  <c r="BT11" i="8"/>
  <c r="BL11" i="8"/>
  <c r="X74" i="53"/>
  <c r="CB12" i="8"/>
  <c r="CH12" i="8"/>
  <c r="C66" i="44" s="1"/>
  <c r="BZ29" i="7"/>
  <c r="BZ32" i="7"/>
  <c r="BZ10" i="7"/>
  <c r="BZ12" i="7"/>
  <c r="BZ9" i="7"/>
  <c r="BZ24" i="7"/>
  <c r="BZ15" i="7"/>
  <c r="BZ22" i="7"/>
  <c r="BZ19" i="7"/>
  <c r="BZ14" i="7"/>
  <c r="BZ17" i="7"/>
  <c r="BZ8" i="7"/>
  <c r="BZ21" i="7"/>
  <c r="BZ20" i="7"/>
  <c r="J50" i="17"/>
  <c r="BZ16" i="7"/>
  <c r="BZ7" i="7"/>
  <c r="BZ23" i="7"/>
  <c r="BZ33" i="7"/>
  <c r="E51" i="17"/>
  <c r="BZ31" i="7"/>
  <c r="BZ26" i="7"/>
  <c r="BZ11" i="7"/>
  <c r="BZ6" i="7"/>
  <c r="BZ18" i="7"/>
  <c r="BZ13" i="7"/>
  <c r="BZ27" i="7"/>
  <c r="BZ25" i="7"/>
  <c r="BZ30" i="7"/>
  <c r="BZ28" i="7"/>
  <c r="CH11" i="8"/>
  <c r="C65" i="44" s="1"/>
  <c r="CB11" i="8"/>
  <c r="CP12" i="8"/>
  <c r="CQ12" i="8" s="1"/>
  <c r="CR12" i="8" s="1"/>
  <c r="F20" i="55"/>
  <c r="D20" i="55"/>
  <c r="E20" i="55"/>
  <c r="G20" i="55"/>
  <c r="H20" i="55"/>
  <c r="C20" i="55"/>
  <c r="D17" i="54"/>
  <c r="G17" i="54"/>
  <c r="E17" i="54"/>
  <c r="F17" i="54"/>
  <c r="D16" i="30"/>
  <c r="G8" i="30"/>
  <c r="K5" i="30"/>
  <c r="D17" i="30"/>
  <c r="D19" i="30"/>
  <c r="BL26" i="8"/>
  <c r="BT26" i="8"/>
  <c r="AR31" i="8"/>
  <c r="AR5" i="8"/>
  <c r="AR7" i="8"/>
  <c r="AR4" i="8"/>
  <c r="AR8" i="8"/>
  <c r="AR6" i="8"/>
  <c r="I48" i="17"/>
  <c r="AZ3" i="53"/>
  <c r="AR9" i="8"/>
  <c r="CH26" i="8"/>
  <c r="C80" i="44" s="1"/>
  <c r="CB26" i="8"/>
  <c r="CP11" i="8"/>
  <c r="CQ11" i="8" s="1"/>
  <c r="CD6" i="7"/>
  <c r="CD12" i="7"/>
  <c r="CD16" i="7"/>
  <c r="CD13" i="7"/>
  <c r="CD19" i="7"/>
  <c r="CD27" i="7"/>
  <c r="CD18" i="7"/>
  <c r="CD22" i="7"/>
  <c r="CD32" i="7"/>
  <c r="CD11" i="7"/>
  <c r="CD10" i="7"/>
  <c r="CD9" i="7"/>
  <c r="CD7" i="7"/>
  <c r="CD28" i="7"/>
  <c r="CD29" i="7"/>
  <c r="CD20" i="7"/>
  <c r="CD21" i="7"/>
  <c r="CD26" i="7"/>
  <c r="CD14" i="7"/>
  <c r="CD25" i="7"/>
  <c r="CD15" i="7"/>
  <c r="CD30" i="7"/>
  <c r="CD8" i="7"/>
  <c r="I51" i="17"/>
  <c r="CD31" i="7"/>
  <c r="CD24" i="7"/>
  <c r="CD17" i="7"/>
  <c r="CD23" i="7"/>
  <c r="CD33" i="7"/>
  <c r="AM31" i="8"/>
  <c r="AU3" i="53"/>
  <c r="AM8" i="8"/>
  <c r="AM5" i="8"/>
  <c r="AM6" i="8"/>
  <c r="AM9" i="8"/>
  <c r="L6" i="53"/>
  <c r="AM4" i="8"/>
  <c r="J47" i="17"/>
  <c r="J48" i="17" s="1"/>
  <c r="AM7" i="8"/>
  <c r="D48" i="17"/>
  <c r="CP26" i="8"/>
  <c r="G26" i="55"/>
  <c r="H26" i="55" s="1"/>
  <c r="G25" i="54"/>
  <c r="D18" i="30"/>
  <c r="D20" i="30"/>
  <c r="AR15" i="29"/>
  <c r="AM16" i="29" s="1"/>
  <c r="AM15" i="29"/>
  <c r="AL98" i="7"/>
  <c r="AH98" i="7" s="1"/>
  <c r="AI29" i="7"/>
  <c r="AI14" i="7"/>
  <c r="R34" i="7"/>
  <c r="AV27" i="7"/>
  <c r="AW27" i="7" s="1"/>
  <c r="AX27" i="7" s="1"/>
  <c r="AY27" i="7" s="1"/>
  <c r="AS99" i="7" s="1"/>
  <c r="AV13" i="7"/>
  <c r="AW13" i="7" s="1"/>
  <c r="AX13" i="7" s="1"/>
  <c r="AY13" i="7" s="1"/>
  <c r="AS85" i="7" s="1"/>
  <c r="BE27" i="7"/>
  <c r="BF27" i="7" s="1"/>
  <c r="BG27" i="7" s="1"/>
  <c r="BH27" i="7" s="1"/>
  <c r="AS127" i="7" s="1"/>
  <c r="AL91" i="7"/>
  <c r="AH91" i="7" s="1"/>
  <c r="AV24" i="7"/>
  <c r="AW24" i="7" s="1"/>
  <c r="AX24" i="7" s="1"/>
  <c r="AY24" i="7" s="1"/>
  <c r="AS96" i="7" s="1"/>
  <c r="BE30" i="7"/>
  <c r="BF30" i="7" s="1"/>
  <c r="BG30" i="7" s="1"/>
  <c r="BH30" i="7" s="1"/>
  <c r="AS130" i="7" s="1"/>
  <c r="AL89" i="7"/>
  <c r="AH89" i="7" s="1"/>
  <c r="BE29" i="7"/>
  <c r="BF29" i="7" s="1"/>
  <c r="BG29" i="7" s="1"/>
  <c r="BH29" i="7" s="1"/>
  <c r="AS129" i="7" s="1"/>
  <c r="BE12" i="7"/>
  <c r="BF12" i="7" s="1"/>
  <c r="BG12" i="7" s="1"/>
  <c r="BH12" i="7" s="1"/>
  <c r="AS112" i="7" s="1"/>
  <c r="AI28" i="7"/>
  <c r="AV9" i="7"/>
  <c r="AW9" i="7" s="1"/>
  <c r="AX9" i="7" s="1"/>
  <c r="AY9" i="7" s="1"/>
  <c r="AS81" i="7" s="1"/>
  <c r="AI12" i="7"/>
  <c r="AI18" i="7"/>
  <c r="AV16" i="7"/>
  <c r="AW16" i="7" s="1"/>
  <c r="AX16" i="7" s="1"/>
  <c r="AY16" i="7" s="1"/>
  <c r="AS88" i="7" s="1"/>
  <c r="AL95" i="7"/>
  <c r="AH95" i="7" s="1"/>
  <c r="AV11" i="7"/>
  <c r="AW11" i="7" s="1"/>
  <c r="AX11" i="7" s="1"/>
  <c r="AY11" i="7" s="1"/>
  <c r="AS83" i="7" s="1"/>
  <c r="AL81" i="7"/>
  <c r="AH81" i="7" s="1"/>
  <c r="AI23" i="7"/>
  <c r="BE19" i="7"/>
  <c r="BF19" i="7" s="1"/>
  <c r="BG19" i="7" s="1"/>
  <c r="BH19" i="7" s="1"/>
  <c r="AS119" i="7" s="1"/>
  <c r="BE15" i="7"/>
  <c r="BF15" i="7" s="1"/>
  <c r="BG15" i="7" s="1"/>
  <c r="BH15" i="7" s="1"/>
  <c r="AS115" i="7" s="1"/>
  <c r="AL79" i="7"/>
  <c r="AH79" i="7" s="1"/>
  <c r="AI6" i="7"/>
  <c r="AI7" i="7"/>
  <c r="AL88" i="7"/>
  <c r="AH88" i="7" s="1"/>
  <c r="AV25" i="7"/>
  <c r="AW25" i="7" s="1"/>
  <c r="AX25" i="7" s="1"/>
  <c r="AY25" i="7" s="1"/>
  <c r="AS97" i="7" s="1"/>
  <c r="AL94" i="7"/>
  <c r="AH94" i="7" s="1"/>
  <c r="AV10" i="7"/>
  <c r="AW10" i="7" s="1"/>
  <c r="AX10" i="7" s="1"/>
  <c r="AY10" i="7" s="1"/>
  <c r="AS82" i="7" s="1"/>
  <c r="AV17" i="7"/>
  <c r="AW17" i="7" s="1"/>
  <c r="AX17" i="7" s="1"/>
  <c r="AY17" i="7" s="1"/>
  <c r="AS89" i="7" s="1"/>
  <c r="AI15" i="7"/>
  <c r="AI33" i="7"/>
  <c r="AV29" i="7"/>
  <c r="AW29" i="7" s="1"/>
  <c r="AX29" i="7" s="1"/>
  <c r="AY29" i="7" s="1"/>
  <c r="AS101" i="7" s="1"/>
  <c r="BE18" i="7"/>
  <c r="BF18" i="7" s="1"/>
  <c r="BG18" i="7" s="1"/>
  <c r="BH18" i="7" s="1"/>
  <c r="AS118" i="7" s="1"/>
  <c r="AI21" i="7"/>
  <c r="AV6" i="7"/>
  <c r="AW6" i="7" s="1"/>
  <c r="AX6" i="7" s="1"/>
  <c r="AY6" i="7" s="1"/>
  <c r="AS78" i="7" s="1"/>
  <c r="AV12" i="7"/>
  <c r="AW12" i="7" s="1"/>
  <c r="AX12" i="7" s="1"/>
  <c r="AY12" i="7" s="1"/>
  <c r="AS84" i="7" s="1"/>
  <c r="AL105" i="7"/>
  <c r="AH105" i="7" s="1"/>
  <c r="AL96" i="7"/>
  <c r="AH96" i="7" s="1"/>
  <c r="Z4" i="7"/>
  <c r="AL100" i="7"/>
  <c r="AH100" i="7" s="1"/>
  <c r="AI27" i="7"/>
  <c r="BE33" i="7"/>
  <c r="BF33" i="7" s="1"/>
  <c r="BG33" i="7" s="1"/>
  <c r="BH33" i="7" s="1"/>
  <c r="AS133" i="7" s="1"/>
  <c r="AI24" i="7"/>
  <c r="BE28" i="7"/>
  <c r="BF28" i="7" s="1"/>
  <c r="BG28" i="7" s="1"/>
  <c r="BH28" i="7" s="1"/>
  <c r="AS128" i="7" s="1"/>
  <c r="BG4" i="7"/>
  <c r="AV8" i="7"/>
  <c r="AW8" i="7" s="1"/>
  <c r="AX8" i="7" s="1"/>
  <c r="AY8" i="7" s="1"/>
  <c r="AS80" i="7" s="1"/>
  <c r="AL86" i="7"/>
  <c r="AH86" i="7" s="1"/>
  <c r="AV26" i="7"/>
  <c r="AW26" i="7" s="1"/>
  <c r="AX26" i="7" s="1"/>
  <c r="AY26" i="7" s="1"/>
  <c r="AS98" i="7" s="1"/>
  <c r="AV7" i="7"/>
  <c r="AW7" i="7" s="1"/>
  <c r="AX7" i="7" s="1"/>
  <c r="AY7" i="7" s="1"/>
  <c r="AS79" i="7" s="1"/>
  <c r="BE26" i="7"/>
  <c r="BF26" i="7" s="1"/>
  <c r="BG26" i="7" s="1"/>
  <c r="BH26" i="7" s="1"/>
  <c r="AS126" i="7" s="1"/>
  <c r="AI9" i="7"/>
  <c r="AL102" i="7"/>
  <c r="AH102" i="7" s="1"/>
  <c r="AI31" i="7"/>
  <c r="BE9" i="7"/>
  <c r="BF9" i="7" s="1"/>
  <c r="BG9" i="7" s="1"/>
  <c r="BH9" i="7" s="1"/>
  <c r="AS109" i="7" s="1"/>
  <c r="AL90" i="7"/>
  <c r="AH90" i="7" s="1"/>
  <c r="BE31" i="7"/>
  <c r="BF31" i="7" s="1"/>
  <c r="BG31" i="7" s="1"/>
  <c r="BH31" i="7" s="1"/>
  <c r="AS131" i="7" s="1"/>
  <c r="BE13" i="7"/>
  <c r="BF13" i="7" s="1"/>
  <c r="BG13" i="7" s="1"/>
  <c r="BH13" i="7" s="1"/>
  <c r="AS113" i="7" s="1"/>
  <c r="AL80" i="7"/>
  <c r="AH80" i="7" s="1"/>
  <c r="AI30" i="7"/>
  <c r="AI19" i="7"/>
  <c r="AL93" i="7"/>
  <c r="AH93" i="7" s="1"/>
  <c r="BE32" i="7"/>
  <c r="BF32" i="7" s="1"/>
  <c r="BG32" i="7" s="1"/>
  <c r="BH32" i="7" s="1"/>
  <c r="AS132" i="7" s="1"/>
  <c r="BE22" i="7"/>
  <c r="BF22" i="7" s="1"/>
  <c r="BG22" i="7" s="1"/>
  <c r="BH22" i="7" s="1"/>
  <c r="AS122" i="7" s="1"/>
  <c r="AI16" i="7"/>
  <c r="BE8" i="7"/>
  <c r="BF8" i="7" s="1"/>
  <c r="BG8" i="7" s="1"/>
  <c r="BH8" i="7" s="1"/>
  <c r="AS108" i="7" s="1"/>
  <c r="BE21" i="7"/>
  <c r="BF21" i="7" s="1"/>
  <c r="BG21" i="7" s="1"/>
  <c r="BH21" i="7" s="1"/>
  <c r="AS121" i="7" s="1"/>
  <c r="AI8" i="7"/>
  <c r="AI34" i="7"/>
  <c r="AV31" i="7"/>
  <c r="AW31" i="7" s="1"/>
  <c r="AX31" i="7" s="1"/>
  <c r="AY31" i="7" s="1"/>
  <c r="AS103" i="7" s="1"/>
  <c r="AV19" i="7"/>
  <c r="AW19" i="7" s="1"/>
  <c r="AX19" i="7" s="1"/>
  <c r="AY19" i="7" s="1"/>
  <c r="AS91" i="7" s="1"/>
  <c r="BE23" i="7"/>
  <c r="BF23" i="7" s="1"/>
  <c r="BG23" i="7" s="1"/>
  <c r="BH23" i="7" s="1"/>
  <c r="AS123" i="7" s="1"/>
  <c r="AI22" i="7"/>
  <c r="BE17" i="7"/>
  <c r="BF17" i="7" s="1"/>
  <c r="BG17" i="7" s="1"/>
  <c r="BH17" i="7" s="1"/>
  <c r="AS117" i="7" s="1"/>
  <c r="AL78" i="7"/>
  <c r="AH78" i="7" s="1"/>
  <c r="AL103" i="7"/>
  <c r="AH103" i="7" s="1"/>
  <c r="AL84" i="7"/>
  <c r="AH84" i="7" s="1"/>
  <c r="AV23" i="7"/>
  <c r="AW23" i="7" s="1"/>
  <c r="AX23" i="7" s="1"/>
  <c r="AY23" i="7" s="1"/>
  <c r="AS95" i="7" s="1"/>
  <c r="AL82" i="7"/>
  <c r="AH82" i="7" s="1"/>
  <c r="AV33" i="7"/>
  <c r="AW33" i="7" s="1"/>
  <c r="AX33" i="7" s="1"/>
  <c r="AY33" i="7" s="1"/>
  <c r="AS105" i="7" s="1"/>
  <c r="AI26" i="7"/>
  <c r="BE10" i="7"/>
  <c r="BF10" i="7" s="1"/>
  <c r="BG10" i="7" s="1"/>
  <c r="BH10" i="7" s="1"/>
  <c r="AS110" i="7" s="1"/>
  <c r="AV30" i="7"/>
  <c r="AW30" i="7" s="1"/>
  <c r="AX30" i="7" s="1"/>
  <c r="AY30" i="7" s="1"/>
  <c r="AS102" i="7" s="1"/>
  <c r="AI13" i="7"/>
  <c r="AL83" i="7"/>
  <c r="AH83" i="7" s="1"/>
  <c r="AV14" i="7"/>
  <c r="AW14" i="7" s="1"/>
  <c r="AX14" i="7" s="1"/>
  <c r="AY14" i="7" s="1"/>
  <c r="AS86" i="7" s="1"/>
  <c r="AL104" i="7"/>
  <c r="AH104" i="7" s="1"/>
  <c r="BE6" i="7"/>
  <c r="BF6" i="7" s="1"/>
  <c r="BG6" i="7" s="1"/>
  <c r="BH6" i="7" s="1"/>
  <c r="BH4" i="7"/>
  <c r="AI20" i="7"/>
  <c r="AV28" i="7"/>
  <c r="AW28" i="7" s="1"/>
  <c r="AX28" i="7" s="1"/>
  <c r="AY28" i="7" s="1"/>
  <c r="AS100" i="7" s="1"/>
  <c r="BE20" i="7"/>
  <c r="BF20" i="7" s="1"/>
  <c r="BG20" i="7" s="1"/>
  <c r="BH20" i="7" s="1"/>
  <c r="AS120" i="7" s="1"/>
  <c r="AL99" i="7"/>
  <c r="AH99" i="7" s="1"/>
  <c r="AL87" i="7"/>
  <c r="AH87" i="7" s="1"/>
  <c r="BE25" i="7"/>
  <c r="BF25" i="7" s="1"/>
  <c r="BG25" i="7" s="1"/>
  <c r="BH25" i="7" s="1"/>
  <c r="AS125" i="7" s="1"/>
  <c r="AY4" i="7"/>
  <c r="AV15" i="7"/>
  <c r="AW15" i="7" s="1"/>
  <c r="AX15" i="7" s="1"/>
  <c r="AY15" i="7" s="1"/>
  <c r="AS87" i="7" s="1"/>
  <c r="AI32" i="7"/>
  <c r="Y4" i="7"/>
  <c r="AV21" i="7"/>
  <c r="AW21" i="7" s="1"/>
  <c r="AX21" i="7" s="1"/>
  <c r="AY21" i="7" s="1"/>
  <c r="AS93" i="7" s="1"/>
  <c r="BE14" i="7"/>
  <c r="BF14" i="7" s="1"/>
  <c r="BG14" i="7" s="1"/>
  <c r="BH14" i="7" s="1"/>
  <c r="AS114" i="7" s="1"/>
  <c r="BE24" i="7"/>
  <c r="BF24" i="7" s="1"/>
  <c r="BG24" i="7" s="1"/>
  <c r="BH24" i="7" s="1"/>
  <c r="AS124" i="7" s="1"/>
  <c r="AI11" i="7"/>
  <c r="AX4" i="7"/>
  <c r="AV22" i="7"/>
  <c r="AW22" i="7" s="1"/>
  <c r="AX22" i="7" s="1"/>
  <c r="AY22" i="7" s="1"/>
  <c r="AS94" i="7" s="1"/>
  <c r="AL92" i="7"/>
  <c r="AH92" i="7" s="1"/>
  <c r="AL85" i="7"/>
  <c r="AH85" i="7" s="1"/>
  <c r="BE7" i="7"/>
  <c r="BF7" i="7" s="1"/>
  <c r="BG7" i="7" s="1"/>
  <c r="BH7" i="7" s="1"/>
  <c r="AS107" i="7" s="1"/>
  <c r="AI25" i="7"/>
  <c r="AL101" i="7"/>
  <c r="AH101" i="7" s="1"/>
  <c r="AI10" i="7"/>
  <c r="BE11" i="7"/>
  <c r="BF11" i="7" s="1"/>
  <c r="BG11" i="7" s="1"/>
  <c r="BH11" i="7" s="1"/>
  <c r="AS111" i="7" s="1"/>
  <c r="AV20" i="7"/>
  <c r="AW20" i="7" s="1"/>
  <c r="AX20" i="7" s="1"/>
  <c r="AY20" i="7" s="1"/>
  <c r="AS92" i="7" s="1"/>
  <c r="AI17" i="7"/>
  <c r="AL97" i="7"/>
  <c r="AH97" i="7" s="1"/>
  <c r="AV32" i="7"/>
  <c r="AW32" i="7" s="1"/>
  <c r="AX32" i="7" s="1"/>
  <c r="AY32" i="7" s="1"/>
  <c r="AS104" i="7" s="1"/>
  <c r="AV18" i="7"/>
  <c r="AW18" i="7" s="1"/>
  <c r="AX18" i="7" s="1"/>
  <c r="AY18" i="7" s="1"/>
  <c r="AS90" i="7" s="1"/>
  <c r="BE16" i="7"/>
  <c r="BF16" i="7" s="1"/>
  <c r="BG16" i="7" s="1"/>
  <c r="BH16" i="7" s="1"/>
  <c r="AS116" i="7" s="1"/>
  <c r="AN78" i="7"/>
  <c r="AN79" i="7"/>
  <c r="AM79" i="7"/>
  <c r="AM78" i="7"/>
  <c r="BR18" i="53"/>
  <c r="BI18" i="53"/>
  <c r="D17" i="17"/>
  <c r="C18" i="54"/>
  <c r="I14" i="17"/>
  <c r="H12" i="30" s="1"/>
  <c r="J12" i="30" s="1"/>
  <c r="G3" i="53"/>
  <c r="CB31" i="7"/>
  <c r="CB12" i="7"/>
  <c r="CB11" i="7"/>
  <c r="CB28" i="7"/>
  <c r="CB32" i="7"/>
  <c r="CB6" i="7"/>
  <c r="CB23" i="7"/>
  <c r="G51" i="17"/>
  <c r="CB10" i="7"/>
  <c r="CB7" i="7"/>
  <c r="CB21" i="7"/>
  <c r="CB25" i="7"/>
  <c r="CB17" i="7"/>
  <c r="CB30" i="7"/>
  <c r="CB20" i="7"/>
  <c r="CB18" i="7"/>
  <c r="CB26" i="7"/>
  <c r="CB24" i="7"/>
  <c r="CB15" i="7"/>
  <c r="CB19" i="7"/>
  <c r="CB33" i="7"/>
  <c r="CB22" i="7"/>
  <c r="CB9" i="7"/>
  <c r="CB16" i="7"/>
  <c r="CB29" i="7"/>
  <c r="CB27" i="7"/>
  <c r="CB8" i="7"/>
  <c r="CB13" i="7"/>
  <c r="CB14" i="7"/>
  <c r="AO31" i="8"/>
  <c r="AO4" i="8"/>
  <c r="AO9" i="8"/>
  <c r="AO6" i="8"/>
  <c r="AO5" i="8"/>
  <c r="AO8" i="8"/>
  <c r="AW3" i="53"/>
  <c r="AO7" i="8"/>
  <c r="F48" i="17"/>
  <c r="AQ31" i="8"/>
  <c r="AQ7" i="8"/>
  <c r="AQ8" i="8"/>
  <c r="AY3" i="53"/>
  <c r="AQ5" i="8"/>
  <c r="AQ6" i="8"/>
  <c r="AQ4" i="8"/>
  <c r="H48" i="17"/>
  <c r="AQ9" i="8"/>
  <c r="AN31" i="8"/>
  <c r="AN4" i="8"/>
  <c r="E48" i="17"/>
  <c r="AN5" i="8"/>
  <c r="AV3" i="53"/>
  <c r="AN7" i="8"/>
  <c r="AN6" i="8"/>
  <c r="AN8" i="8"/>
  <c r="AN9" i="8"/>
  <c r="M24" i="45"/>
  <c r="BX18" i="53"/>
  <c r="BX22" i="53"/>
  <c r="M28" i="45"/>
  <c r="CA18" i="7"/>
  <c r="CA9" i="7"/>
  <c r="F51" i="17"/>
  <c r="CA33" i="7"/>
  <c r="CA11" i="7"/>
  <c r="CA6" i="7"/>
  <c r="CA15" i="7"/>
  <c r="CA23" i="7"/>
  <c r="CA27" i="7"/>
  <c r="CA22" i="7"/>
  <c r="CA19" i="7"/>
  <c r="CA7" i="7"/>
  <c r="CA8" i="7"/>
  <c r="CA10" i="7"/>
  <c r="CG10" i="7" s="1"/>
  <c r="CA16" i="7"/>
  <c r="CA26" i="7"/>
  <c r="CA20" i="7"/>
  <c r="CA30" i="7"/>
  <c r="CA21" i="7"/>
  <c r="CA25" i="7"/>
  <c r="CA17" i="7"/>
  <c r="CG17" i="7" s="1"/>
  <c r="CA29" i="7"/>
  <c r="CA28" i="7"/>
  <c r="CA31" i="7"/>
  <c r="CA14" i="7"/>
  <c r="CA13" i="7"/>
  <c r="CA12" i="7"/>
  <c r="CA24" i="7"/>
  <c r="CA32" i="7"/>
  <c r="CC21" i="7"/>
  <c r="CC13" i="7"/>
  <c r="CC14" i="7"/>
  <c r="H51" i="17"/>
  <c r="CC10" i="7"/>
  <c r="CC8" i="7"/>
  <c r="CC25" i="7"/>
  <c r="CC11" i="7"/>
  <c r="CC29" i="7"/>
  <c r="CC6" i="7"/>
  <c r="CC19" i="7"/>
  <c r="CC31" i="7"/>
  <c r="CC26" i="7"/>
  <c r="CC15" i="7"/>
  <c r="CC30" i="7"/>
  <c r="CC16" i="7"/>
  <c r="CC12" i="7"/>
  <c r="CC17" i="7"/>
  <c r="CC18" i="7"/>
  <c r="CC24" i="7"/>
  <c r="CC27" i="7"/>
  <c r="CC7" i="7"/>
  <c r="CC22" i="7"/>
  <c r="CC23" i="7"/>
  <c r="CC33" i="7"/>
  <c r="CC32" i="7"/>
  <c r="CC28" i="7"/>
  <c r="CC20" i="7"/>
  <c r="CC9" i="7"/>
  <c r="BW11" i="8"/>
  <c r="BX11" i="8" s="1"/>
  <c r="K5" i="28"/>
  <c r="L5" i="28" s="1"/>
  <c r="J6" i="28"/>
  <c r="D15" i="30"/>
  <c r="D4" i="8"/>
  <c r="E4" i="8" s="1"/>
  <c r="AJ4" i="8" s="1"/>
  <c r="C5" i="8"/>
  <c r="S7" i="7"/>
  <c r="BV6" i="7"/>
  <c r="T6" i="7"/>
  <c r="U6" i="7" s="1"/>
  <c r="Y6" i="7" s="1"/>
  <c r="CV12" i="8"/>
  <c r="BQ18" i="53"/>
  <c r="BH18" i="53"/>
  <c r="BY18" i="53"/>
  <c r="N24" i="45"/>
  <c r="CG15" i="7" l="1"/>
  <c r="CF8" i="7"/>
  <c r="CF18" i="8"/>
  <c r="CG33" i="7"/>
  <c r="CG31" i="7"/>
  <c r="CG28" i="7"/>
  <c r="CZ14" i="8"/>
  <c r="H96" i="44" s="1"/>
  <c r="CI15" i="7"/>
  <c r="CI8" i="7"/>
  <c r="CX30" i="8"/>
  <c r="F112" i="44" s="1"/>
  <c r="BX30" i="8"/>
  <c r="BY30" i="8" s="1"/>
  <c r="CE30" i="8" s="1"/>
  <c r="CG18" i="7"/>
  <c r="CM18" i="7" s="1"/>
  <c r="CT18" i="7" s="1"/>
  <c r="DH18" i="7" s="1"/>
  <c r="CF12" i="7"/>
  <c r="E99" i="44"/>
  <c r="CX17" i="8"/>
  <c r="W73" i="53"/>
  <c r="W67" i="53"/>
  <c r="BK9" i="53"/>
  <c r="CR30" i="8"/>
  <c r="CS30" i="8" s="1"/>
  <c r="CI12" i="8"/>
  <c r="D66" i="44" s="1"/>
  <c r="CI30" i="8"/>
  <c r="D84" i="44" s="1"/>
  <c r="BX12" i="8"/>
  <c r="CJ12" i="8" s="1"/>
  <c r="E66" i="44" s="1"/>
  <c r="W71" i="53"/>
  <c r="CF6" i="7"/>
  <c r="BQ22" i="53"/>
  <c r="BZ22" i="53" s="1"/>
  <c r="BG22" i="53"/>
  <c r="BP22" i="53"/>
  <c r="N28" i="45" s="1"/>
  <c r="CG7" i="7"/>
  <c r="CM7" i="7" s="1"/>
  <c r="CT7" i="7" s="1"/>
  <c r="DH7" i="7" s="1"/>
  <c r="CE17" i="8"/>
  <c r="CK17" i="8"/>
  <c r="F71" i="44" s="1"/>
  <c r="BZ17" i="8"/>
  <c r="CI15" i="8"/>
  <c r="D69" i="44" s="1"/>
  <c r="CC15" i="8"/>
  <c r="CJ17" i="8"/>
  <c r="E71" i="44" s="1"/>
  <c r="CD17" i="8"/>
  <c r="CK30" i="8"/>
  <c r="F84" i="44" s="1"/>
  <c r="W68" i="53"/>
  <c r="M59" i="8"/>
  <c r="BX16" i="8"/>
  <c r="BY16" i="8" s="1"/>
  <c r="CE16" i="8" s="1"/>
  <c r="CI16" i="8"/>
  <c r="D70" i="44" s="1"/>
  <c r="BX29" i="8"/>
  <c r="CC29" i="8"/>
  <c r="CI29" i="8"/>
  <c r="D83" i="44" s="1"/>
  <c r="E97" i="44"/>
  <c r="CY15" i="8"/>
  <c r="BY15" i="8"/>
  <c r="CD15" i="8"/>
  <c r="CJ15" i="8"/>
  <c r="E69" i="44" s="1"/>
  <c r="D111" i="44"/>
  <c r="CW29" i="8"/>
  <c r="BZ22" i="8"/>
  <c r="CA22" i="8" s="1"/>
  <c r="CE22" i="8"/>
  <c r="CK22" i="8"/>
  <c r="F76" i="44" s="1"/>
  <c r="CF27" i="7"/>
  <c r="CF17" i="7"/>
  <c r="CI7" i="7"/>
  <c r="CI6" i="7"/>
  <c r="CG12" i="7"/>
  <c r="CG16" i="7"/>
  <c r="CM16" i="7" s="1"/>
  <c r="CT16" i="7" s="1"/>
  <c r="DH16" i="7" s="1"/>
  <c r="CF28" i="7"/>
  <c r="CF14" i="7"/>
  <c r="CF24" i="7"/>
  <c r="CA18" i="8"/>
  <c r="CG18" i="8" s="1"/>
  <c r="BZ27" i="8"/>
  <c r="CK27" i="8"/>
  <c r="F81" i="44" s="1"/>
  <c r="CW26" i="8"/>
  <c r="E108" i="44" s="1"/>
  <c r="CI32" i="7"/>
  <c r="CI17" i="7"/>
  <c r="CI13" i="7"/>
  <c r="CG21" i="7"/>
  <c r="CM21" i="7" s="1"/>
  <c r="CT21" i="7" s="1"/>
  <c r="DH21" i="7" s="1"/>
  <c r="CG19" i="7"/>
  <c r="CM19" i="7" s="1"/>
  <c r="CT19" i="7" s="1"/>
  <c r="DH19" i="7" s="1"/>
  <c r="CF22" i="7"/>
  <c r="W74" i="53"/>
  <c r="CG29" i="7"/>
  <c r="CM29" i="7" s="1"/>
  <c r="CT29" i="7" s="1"/>
  <c r="DH29" i="7" s="1"/>
  <c r="CG30" i="7"/>
  <c r="CM30" i="7" s="1"/>
  <c r="CT30" i="7" s="1"/>
  <c r="DH30" i="7" s="1"/>
  <c r="CG9" i="7"/>
  <c r="CW11" i="8"/>
  <c r="E93" i="44" s="1"/>
  <c r="CF13" i="7"/>
  <c r="CF26" i="7"/>
  <c r="CF20" i="7"/>
  <c r="CF32" i="7"/>
  <c r="BY14" i="8"/>
  <c r="BZ14" i="8" s="1"/>
  <c r="CJ14" i="8"/>
  <c r="E68" i="44" s="1"/>
  <c r="CD14" i="8"/>
  <c r="CI10" i="7"/>
  <c r="CG22" i="7"/>
  <c r="CM22" i="7" s="1"/>
  <c r="CT22" i="7" s="1"/>
  <c r="DH22" i="7" s="1"/>
  <c r="CG6" i="7"/>
  <c r="CM6" i="7" s="1"/>
  <c r="CT6" i="7" s="1"/>
  <c r="DH6" i="7" s="1"/>
  <c r="CF15" i="7"/>
  <c r="CF23" i="7"/>
  <c r="CW16" i="8"/>
  <c r="CX16" i="8" s="1"/>
  <c r="F98" i="44" s="1"/>
  <c r="D98" i="44"/>
  <c r="CG8" i="7"/>
  <c r="CM8" i="7" s="1"/>
  <c r="CT8" i="7" s="1"/>
  <c r="DH8" i="7" s="1"/>
  <c r="CG25" i="7"/>
  <c r="CM25" i="7" s="1"/>
  <c r="CT25" i="7" s="1"/>
  <c r="DH25" i="7" s="1"/>
  <c r="CF30" i="7"/>
  <c r="CF18" i="7"/>
  <c r="CF31" i="7"/>
  <c r="CF7" i="7"/>
  <c r="CF19" i="7"/>
  <c r="CF29" i="7"/>
  <c r="CI26" i="8"/>
  <c r="D80" i="44" s="1"/>
  <c r="CI9" i="7"/>
  <c r="CI28" i="8"/>
  <c r="D82" i="44" s="1"/>
  <c r="CI21" i="7"/>
  <c r="CF19" i="8"/>
  <c r="CL19" i="8"/>
  <c r="G73" i="44" s="1"/>
  <c r="CY28" i="8"/>
  <c r="G110" i="44" s="1"/>
  <c r="CZ24" i="8"/>
  <c r="H106" i="44" s="1"/>
  <c r="CA19" i="8"/>
  <c r="CG27" i="7"/>
  <c r="CM27" i="7" s="1"/>
  <c r="CT27" i="7" s="1"/>
  <c r="DH27" i="7" s="1"/>
  <c r="CG11" i="7"/>
  <c r="CM11" i="7" s="1"/>
  <c r="CT11" i="7" s="1"/>
  <c r="DH11" i="7" s="1"/>
  <c r="BX28" i="8"/>
  <c r="BY26" i="8"/>
  <c r="BZ26" i="8" s="1"/>
  <c r="CL26" i="8" s="1"/>
  <c r="G80" i="44" s="1"/>
  <c r="CI27" i="7"/>
  <c r="CG13" i="7"/>
  <c r="CM13" i="7" s="1"/>
  <c r="CT13" i="7" s="1"/>
  <c r="DH13" i="7" s="1"/>
  <c r="CF21" i="7"/>
  <c r="CF9" i="7"/>
  <c r="CC26" i="8"/>
  <c r="CJ20" i="8"/>
  <c r="E74" i="44" s="1"/>
  <c r="CD20" i="8"/>
  <c r="H60" i="29"/>
  <c r="H69" i="29" s="1"/>
  <c r="H47" i="29"/>
  <c r="CY27" i="8"/>
  <c r="F109" i="44"/>
  <c r="BL3" i="8"/>
  <c r="BE3" i="8"/>
  <c r="BQ27" i="53"/>
  <c r="BZ15" i="53"/>
  <c r="BZ27" i="53" s="1"/>
  <c r="CI12" i="7"/>
  <c r="CI20" i="7"/>
  <c r="CI23" i="7"/>
  <c r="CI24" i="7"/>
  <c r="CI11" i="7"/>
  <c r="CG32" i="7"/>
  <c r="CG14" i="7"/>
  <c r="CM14" i="7" s="1"/>
  <c r="CT14" i="7" s="1"/>
  <c r="DH14" i="7" s="1"/>
  <c r="CG20" i="7"/>
  <c r="CM20" i="7" s="1"/>
  <c r="CT20" i="7" s="1"/>
  <c r="DH20" i="7" s="1"/>
  <c r="CF25" i="7"/>
  <c r="CF16" i="7"/>
  <c r="W62" i="53"/>
  <c r="CC13" i="8"/>
  <c r="CI13" i="8"/>
  <c r="D67" i="44" s="1"/>
  <c r="E110" i="44"/>
  <c r="CJ25" i="8"/>
  <c r="E79" i="44" s="1"/>
  <c r="CD25" i="8"/>
  <c r="BY25" i="8"/>
  <c r="D95" i="44"/>
  <c r="CW13" i="8"/>
  <c r="CX13" i="8" s="1"/>
  <c r="F95" i="44" s="1"/>
  <c r="BX13" i="8"/>
  <c r="E102" i="44"/>
  <c r="CY20" i="8"/>
  <c r="CC23" i="8"/>
  <c r="CI23" i="8"/>
  <c r="D77" i="44" s="1"/>
  <c r="BZ24" i="8"/>
  <c r="CA24" i="8" s="1"/>
  <c r="CK24" i="8"/>
  <c r="F78" i="44" s="1"/>
  <c r="CE24" i="8"/>
  <c r="CI22" i="7"/>
  <c r="CI30" i="7"/>
  <c r="CG24" i="7"/>
  <c r="CG26" i="7"/>
  <c r="CM26" i="7" s="1"/>
  <c r="CT26" i="7" s="1"/>
  <c r="DH26" i="7" s="1"/>
  <c r="CG23" i="7"/>
  <c r="CM23" i="7" s="1"/>
  <c r="CT23" i="7" s="1"/>
  <c r="DH23" i="7" s="1"/>
  <c r="CF11" i="7"/>
  <c r="CF33" i="7"/>
  <c r="CF10" i="7"/>
  <c r="CR10" i="8"/>
  <c r="CS10" i="8" s="1"/>
  <c r="E107" i="44"/>
  <c r="CX25" i="8"/>
  <c r="BY20" i="8"/>
  <c r="CD10" i="8"/>
  <c r="CJ10" i="8"/>
  <c r="E64" i="44" s="1"/>
  <c r="BY10" i="8"/>
  <c r="CQ28" i="8"/>
  <c r="CR28" i="8" s="1"/>
  <c r="CX23" i="8"/>
  <c r="F105" i="44" s="1"/>
  <c r="BR15" i="53"/>
  <c r="P21" i="45"/>
  <c r="BI15" i="53"/>
  <c r="BI27" i="53" s="1"/>
  <c r="AZ27" i="53"/>
  <c r="BX23" i="8"/>
  <c r="CG3" i="8"/>
  <c r="CZ3" i="8" s="1"/>
  <c r="CM3" i="8" s="1"/>
  <c r="CA3" i="8"/>
  <c r="CS3" i="8" s="1"/>
  <c r="CX10" i="8"/>
  <c r="E49" i="17"/>
  <c r="CI33" i="7"/>
  <c r="CI26" i="7"/>
  <c r="CI16" i="7"/>
  <c r="CI28" i="7"/>
  <c r="CI18" i="7"/>
  <c r="CI19" i="7"/>
  <c r="CI25" i="7"/>
  <c r="CI14" i="7"/>
  <c r="CI29" i="7"/>
  <c r="CH14" i="7"/>
  <c r="CH17" i="7"/>
  <c r="CH32" i="7"/>
  <c r="O26" i="45"/>
  <c r="BZ20" i="53"/>
  <c r="BM7" i="53"/>
  <c r="BI20" i="53"/>
  <c r="BR20" i="53"/>
  <c r="CH8" i="7"/>
  <c r="CH20" i="7"/>
  <c r="CH11" i="7"/>
  <c r="CR34" i="7"/>
  <c r="CY34" i="7" s="1"/>
  <c r="DM34" i="7" s="1"/>
  <c r="EA34" i="7" s="1"/>
  <c r="EC34" i="7" s="1"/>
  <c r="CG21" i="8"/>
  <c r="CM21" i="8"/>
  <c r="H75" i="44" s="1"/>
  <c r="CJ11" i="8"/>
  <c r="E65" i="44" s="1"/>
  <c r="CD11" i="8"/>
  <c r="BY11" i="8"/>
  <c r="BZ11" i="8" s="1"/>
  <c r="CA11" i="8" s="1"/>
  <c r="DH4" i="8"/>
  <c r="CM31" i="7"/>
  <c r="CT31" i="7" s="1"/>
  <c r="DH31" i="7" s="1"/>
  <c r="CM33" i="7"/>
  <c r="CT33" i="7" s="1"/>
  <c r="DH33" i="7" s="1"/>
  <c r="AZ6" i="8"/>
  <c r="AS6" i="8"/>
  <c r="H49" i="17"/>
  <c r="AY4" i="53"/>
  <c r="O9" i="45"/>
  <c r="AT7" i="8"/>
  <c r="BA7" i="8"/>
  <c r="AT6" i="8"/>
  <c r="BA6" i="8"/>
  <c r="CH9" i="7"/>
  <c r="CH15" i="7"/>
  <c r="CH21" i="7"/>
  <c r="CH23" i="7"/>
  <c r="H17" i="17"/>
  <c r="G22" i="17" s="1"/>
  <c r="E17" i="17"/>
  <c r="C27" i="32"/>
  <c r="G24" i="17"/>
  <c r="G10" i="53" s="1"/>
  <c r="G21" i="17"/>
  <c r="CA18" i="53"/>
  <c r="P24" i="45"/>
  <c r="AM106" i="7"/>
  <c r="AN106" i="7"/>
  <c r="AL106" i="7"/>
  <c r="CJ33" i="7"/>
  <c r="CK33" i="7" s="1"/>
  <c r="CJ31" i="7"/>
  <c r="CK31" i="7" s="1"/>
  <c r="CJ15" i="7"/>
  <c r="CK15" i="7" s="1"/>
  <c r="CJ21" i="7"/>
  <c r="CK21" i="7" s="1"/>
  <c r="CJ7" i="7"/>
  <c r="CK7" i="7" s="1"/>
  <c r="CJ32" i="7"/>
  <c r="CK32" i="7" s="1"/>
  <c r="CJ19" i="7"/>
  <c r="CK19" i="7" s="1"/>
  <c r="CJ6" i="7"/>
  <c r="AW9" i="8"/>
  <c r="BD9" i="8"/>
  <c r="AW8" i="8"/>
  <c r="BD8" i="8"/>
  <c r="BD31" i="8"/>
  <c r="AW31" i="8"/>
  <c r="BB5" i="8"/>
  <c r="AU5" i="8"/>
  <c r="AU8" i="8"/>
  <c r="BB8" i="8"/>
  <c r="AU31" i="8"/>
  <c r="BB31" i="8"/>
  <c r="CR11" i="8"/>
  <c r="CS11" i="8" s="1"/>
  <c r="M5" i="28"/>
  <c r="Q5" i="28"/>
  <c r="U5" i="28"/>
  <c r="D94" i="44"/>
  <c r="BX6" i="7"/>
  <c r="CW12" i="8"/>
  <c r="E94" i="44" s="1"/>
  <c r="CI11" i="8"/>
  <c r="D65" i="44" s="1"/>
  <c r="CC11" i="8"/>
  <c r="CM12" i="7"/>
  <c r="CT12" i="7" s="1"/>
  <c r="DH12" i="7" s="1"/>
  <c r="CM28" i="7"/>
  <c r="CT28" i="7" s="1"/>
  <c r="DH28" i="7" s="1"/>
  <c r="CM15" i="7"/>
  <c r="CT15" i="7" s="1"/>
  <c r="DH15" i="7" s="1"/>
  <c r="AS7" i="8"/>
  <c r="AZ7" i="8"/>
  <c r="AS4" i="8"/>
  <c r="AZ4" i="8"/>
  <c r="BC4" i="8"/>
  <c r="AV4" i="8"/>
  <c r="AV8" i="8"/>
  <c r="BC8" i="8"/>
  <c r="CS12" i="8"/>
  <c r="M9" i="45"/>
  <c r="AW4" i="53"/>
  <c r="AT9" i="8"/>
  <c r="BA9" i="8"/>
  <c r="CH27" i="7"/>
  <c r="CH22" i="7"/>
  <c r="CH24" i="7"/>
  <c r="CH30" i="7"/>
  <c r="CH7" i="7"/>
  <c r="CH6" i="7"/>
  <c r="CH12" i="7"/>
  <c r="B15" i="30"/>
  <c r="B19" i="30"/>
  <c r="BU34" i="7"/>
  <c r="B17" i="30"/>
  <c r="B16" i="30"/>
  <c r="AL29" i="29" a="1"/>
  <c r="AL29" i="29" s="1"/>
  <c r="AL28" i="29" a="1"/>
  <c r="AL28" i="29" s="1"/>
  <c r="AL30" i="29" a="1"/>
  <c r="AL30" i="29" s="1"/>
  <c r="M48" i="17"/>
  <c r="D49" i="17"/>
  <c r="CJ23" i="7"/>
  <c r="CK23" i="7" s="1"/>
  <c r="CJ25" i="7"/>
  <c r="CJ20" i="7"/>
  <c r="CK20" i="7" s="1"/>
  <c r="CJ9" i="7"/>
  <c r="CK9" i="7" s="1"/>
  <c r="CJ22" i="7"/>
  <c r="CK22" i="7" s="1"/>
  <c r="CJ13" i="7"/>
  <c r="CK13" i="7" s="1"/>
  <c r="BR22" i="53"/>
  <c r="BI22" i="53"/>
  <c r="BM9" i="53"/>
  <c r="AZ4" i="53"/>
  <c r="P9" i="45"/>
  <c r="AW4" i="8"/>
  <c r="BD4" i="8"/>
  <c r="CD12" i="8"/>
  <c r="W64" i="53"/>
  <c r="W63" i="53"/>
  <c r="W75" i="53"/>
  <c r="W70" i="53"/>
  <c r="W72" i="53"/>
  <c r="W66" i="53"/>
  <c r="W69" i="53"/>
  <c r="W77" i="53"/>
  <c r="W76" i="53"/>
  <c r="W65" i="53"/>
  <c r="W78" i="53"/>
  <c r="AU7" i="8"/>
  <c r="BB7" i="8"/>
  <c r="AU9" i="8"/>
  <c r="BB9" i="8"/>
  <c r="CQ26" i="8"/>
  <c r="CR26" i="8" s="1"/>
  <c r="BJ6" i="7"/>
  <c r="BK6" i="7"/>
  <c r="BI6" i="7"/>
  <c r="BN6" i="7"/>
  <c r="BO6" i="7"/>
  <c r="BV7" i="7"/>
  <c r="S8" i="7"/>
  <c r="T7" i="7"/>
  <c r="U7" i="7" s="1"/>
  <c r="Y7" i="7" s="1"/>
  <c r="CM10" i="7"/>
  <c r="CT10" i="7" s="1"/>
  <c r="DH10" i="7" s="1"/>
  <c r="AS31" i="8"/>
  <c r="AZ31" i="8"/>
  <c r="BC7" i="8"/>
  <c r="AV7" i="8"/>
  <c r="BA8" i="8"/>
  <c r="AT8" i="8"/>
  <c r="AT4" i="8"/>
  <c r="BA4" i="8"/>
  <c r="CH29" i="7"/>
  <c r="CH33" i="7"/>
  <c r="CH26" i="7"/>
  <c r="CH10" i="7"/>
  <c r="CH31" i="7"/>
  <c r="K9" i="45"/>
  <c r="AU4" i="53"/>
  <c r="CJ17" i="7"/>
  <c r="CJ8" i="7"/>
  <c r="CK8" i="7" s="1"/>
  <c r="CJ14" i="7"/>
  <c r="CK14" i="7" s="1"/>
  <c r="CJ29" i="7"/>
  <c r="CK29" i="7" s="1"/>
  <c r="CJ10" i="7"/>
  <c r="CJ18" i="7"/>
  <c r="CK18" i="7" s="1"/>
  <c r="CJ16" i="7"/>
  <c r="I49" i="17"/>
  <c r="AW7" i="8"/>
  <c r="BD7" i="8"/>
  <c r="N9" i="45"/>
  <c r="AX4" i="53"/>
  <c r="G49" i="17"/>
  <c r="O24" i="45"/>
  <c r="BZ18" i="53"/>
  <c r="CM9" i="7"/>
  <c r="CT9" i="7" s="1"/>
  <c r="DH9" i="7" s="1"/>
  <c r="AZ9" i="8"/>
  <c r="AS9" i="8"/>
  <c r="L9" i="45"/>
  <c r="AV4" i="53"/>
  <c r="AV6" i="8"/>
  <c r="BC6" i="8"/>
  <c r="C6" i="8"/>
  <c r="D5" i="8"/>
  <c r="E5" i="8" s="1"/>
  <c r="AJ5" i="8" s="1"/>
  <c r="DH5" i="8" s="1"/>
  <c r="K6" i="28"/>
  <c r="L6" i="28" s="1"/>
  <c r="J7" i="28"/>
  <c r="CI31" i="7"/>
  <c r="CM32" i="7"/>
  <c r="CT32" i="7" s="1"/>
  <c r="DH32" i="7" s="1"/>
  <c r="CM17" i="7"/>
  <c r="CT17" i="7" s="1"/>
  <c r="DH17" i="7" s="1"/>
  <c r="AZ8" i="8"/>
  <c r="AS8" i="8"/>
  <c r="AS5" i="8"/>
  <c r="AZ5" i="8"/>
  <c r="AV9" i="8"/>
  <c r="BC9" i="8"/>
  <c r="BC5" i="8"/>
  <c r="AV5" i="8"/>
  <c r="AV31" i="8"/>
  <c r="BC31" i="8"/>
  <c r="F49" i="17"/>
  <c r="BA5" i="8"/>
  <c r="AT5" i="8"/>
  <c r="BA31" i="8"/>
  <c r="AT31" i="8"/>
  <c r="CH13" i="7"/>
  <c r="CH16" i="7"/>
  <c r="CH19" i="7"/>
  <c r="CH18" i="7"/>
  <c r="CH25" i="7"/>
  <c r="CH28" i="7"/>
  <c r="D18" i="54"/>
  <c r="F18" i="54"/>
  <c r="E18" i="54"/>
  <c r="G18" i="54"/>
  <c r="BD37" i="7"/>
  <c r="AS106" i="7"/>
  <c r="CJ24" i="7"/>
  <c r="CJ30" i="7"/>
  <c r="CK30" i="7" s="1"/>
  <c r="CJ26" i="7"/>
  <c r="CK26" i="7" s="1"/>
  <c r="CJ28" i="7"/>
  <c r="CK28" i="7" s="1"/>
  <c r="CJ11" i="7"/>
  <c r="CJ27" i="7"/>
  <c r="CK27" i="7" s="1"/>
  <c r="CJ12" i="7"/>
  <c r="AW6" i="8"/>
  <c r="BD6" i="8"/>
  <c r="AW5" i="8"/>
  <c r="BD5" i="8"/>
  <c r="CJ26" i="8"/>
  <c r="E80" i="44" s="1"/>
  <c r="CD26" i="8"/>
  <c r="BB4" i="8"/>
  <c r="AU4" i="8"/>
  <c r="BB6" i="8"/>
  <c r="AU6" i="8"/>
  <c r="CJ30" i="8" l="1"/>
  <c r="E84" i="44" s="1"/>
  <c r="CD30" i="8"/>
  <c r="BZ30" i="8"/>
  <c r="CA30" i="8" s="1"/>
  <c r="CY30" i="8"/>
  <c r="G112" i="44" s="1"/>
  <c r="BY12" i="8"/>
  <c r="CE12" i="8" s="1"/>
  <c r="CK16" i="8"/>
  <c r="F70" i="44" s="1"/>
  <c r="F99" i="44"/>
  <c r="CY17" i="8"/>
  <c r="G99" i="44" s="1"/>
  <c r="CM18" i="8"/>
  <c r="H72" i="44" s="1"/>
  <c r="CZ30" i="8"/>
  <c r="H112" i="44" s="1"/>
  <c r="O28" i="45"/>
  <c r="AJ84" i="53"/>
  <c r="AL84" i="53" s="1"/>
  <c r="AM84" i="53" s="1"/>
  <c r="BY22" i="53"/>
  <c r="BZ16" i="8"/>
  <c r="CA16" i="8" s="1"/>
  <c r="CM16" i="8" s="1"/>
  <c r="H70" i="44" s="1"/>
  <c r="CJ16" i="8"/>
  <c r="E70" i="44" s="1"/>
  <c r="CD16" i="8"/>
  <c r="CX26" i="8"/>
  <c r="F108" i="44" s="1"/>
  <c r="CX11" i="8"/>
  <c r="F93" i="44" s="1"/>
  <c r="CA17" i="8"/>
  <c r="CF17" i="8"/>
  <c r="CL17" i="8"/>
  <c r="G71" i="44" s="1"/>
  <c r="M60" i="8"/>
  <c r="M61" i="8" s="1"/>
  <c r="CG30" i="8"/>
  <c r="CM30" i="8"/>
  <c r="H84" i="44" s="1"/>
  <c r="CF30" i="8"/>
  <c r="CL30" i="8"/>
  <c r="G84" i="44" s="1"/>
  <c r="CY23" i="8"/>
  <c r="G105" i="44" s="1"/>
  <c r="N59" i="8"/>
  <c r="CG22" i="8"/>
  <c r="CM22" i="8"/>
  <c r="H76" i="44" s="1"/>
  <c r="CX29" i="8"/>
  <c r="E111" i="44"/>
  <c r="CK15" i="8"/>
  <c r="F69" i="44" s="1"/>
  <c r="CE15" i="8"/>
  <c r="BZ15" i="8"/>
  <c r="L10" i="53"/>
  <c r="G97" i="44"/>
  <c r="CZ15" i="8"/>
  <c r="H97" i="44" s="1"/>
  <c r="CJ29" i="8"/>
  <c r="E83" i="44" s="1"/>
  <c r="CD29" i="8"/>
  <c r="BY29" i="8"/>
  <c r="CF22" i="8"/>
  <c r="CL22" i="8"/>
  <c r="G76" i="44" s="1"/>
  <c r="CL27" i="8"/>
  <c r="G81" i="44" s="1"/>
  <c r="CF27" i="8"/>
  <c r="CA27" i="8"/>
  <c r="CA14" i="8"/>
  <c r="CL14" i="8"/>
  <c r="G68" i="44" s="1"/>
  <c r="CF14" i="8"/>
  <c r="CE14" i="8"/>
  <c r="CK14" i="8"/>
  <c r="F68" i="44" s="1"/>
  <c r="CK26" i="8"/>
  <c r="F80" i="44" s="1"/>
  <c r="AJ85" i="53"/>
  <c r="AL85" i="53" s="1"/>
  <c r="AM85" i="53" s="1"/>
  <c r="CF26" i="8"/>
  <c r="CE26" i="8"/>
  <c r="AF86" i="53"/>
  <c r="AE87" i="53"/>
  <c r="CA26" i="8"/>
  <c r="CG26" i="8" s="1"/>
  <c r="CL16" i="8"/>
  <c r="G70" i="44" s="1"/>
  <c r="E98" i="44"/>
  <c r="CY16" i="8"/>
  <c r="G98" i="44" s="1"/>
  <c r="AK87" i="53"/>
  <c r="AF85" i="53"/>
  <c r="CZ28" i="8"/>
  <c r="H110" i="44" s="1"/>
  <c r="CG19" i="8"/>
  <c r="CM19" i="8"/>
  <c r="H73" i="44" s="1"/>
  <c r="CZ23" i="8"/>
  <c r="H105" i="44" s="1"/>
  <c r="BY28" i="8"/>
  <c r="BZ28" i="8" s="1"/>
  <c r="CF28" i="8" s="1"/>
  <c r="CD28" i="8"/>
  <c r="CJ28" i="8"/>
  <c r="E82" i="44" s="1"/>
  <c r="CM24" i="8"/>
  <c r="H78" i="44" s="1"/>
  <c r="CG24" i="8"/>
  <c r="CN6" i="7"/>
  <c r="CU6" i="7" s="1"/>
  <c r="DI6" i="7" s="1"/>
  <c r="N10" i="53"/>
  <c r="AE86" i="53"/>
  <c r="AE84" i="53"/>
  <c r="AK85" i="53"/>
  <c r="AK84" i="53"/>
  <c r="H40" i="53"/>
  <c r="C37" i="53" s="1"/>
  <c r="AE85" i="53"/>
  <c r="AK86" i="53"/>
  <c r="AJ86" i="53"/>
  <c r="AL86" i="53" s="1"/>
  <c r="AM86" i="53" s="1"/>
  <c r="H42" i="53"/>
  <c r="AJ87" i="53"/>
  <c r="AL87" i="53" s="1"/>
  <c r="S14" i="53"/>
  <c r="AF87" i="53"/>
  <c r="S15" i="53"/>
  <c r="J42" i="53"/>
  <c r="M10" i="53"/>
  <c r="N11" i="53" s="1"/>
  <c r="CN29" i="7"/>
  <c r="CU29" i="7" s="1"/>
  <c r="DI29" i="7" s="1"/>
  <c r="CJ23" i="8"/>
  <c r="E77" i="44" s="1"/>
  <c r="CD23" i="8"/>
  <c r="CA15" i="53"/>
  <c r="CA27" i="53" s="1"/>
  <c r="BR27" i="53"/>
  <c r="BZ10" i="8"/>
  <c r="CE10" i="8"/>
  <c r="CK10" i="8"/>
  <c r="F64" i="44" s="1"/>
  <c r="F107" i="44"/>
  <c r="CY25" i="8"/>
  <c r="G107" i="44" s="1"/>
  <c r="CD13" i="8"/>
  <c r="CJ13" i="8"/>
  <c r="E67" i="44" s="1"/>
  <c r="CK25" i="8"/>
  <c r="F79" i="44" s="1"/>
  <c r="CE25" i="8"/>
  <c r="BZ25" i="8"/>
  <c r="G109" i="44"/>
  <c r="CZ27" i="8"/>
  <c r="H109" i="44" s="1"/>
  <c r="CN21" i="7"/>
  <c r="CU21" i="7" s="1"/>
  <c r="DI21" i="7" s="1"/>
  <c r="CN31" i="7"/>
  <c r="CU31" i="7" s="1"/>
  <c r="DI31" i="7" s="1"/>
  <c r="F92" i="44"/>
  <c r="CY10" i="8"/>
  <c r="G92" i="44" s="1"/>
  <c r="G102" i="44"/>
  <c r="CZ20" i="8"/>
  <c r="H102" i="44" s="1"/>
  <c r="CY13" i="8"/>
  <c r="E95" i="44"/>
  <c r="V5" i="28"/>
  <c r="AF4" i="8" s="1"/>
  <c r="AG4" i="8" s="1"/>
  <c r="AK4" i="8" s="1"/>
  <c r="CM24" i="7"/>
  <c r="BY23" i="8"/>
  <c r="BZ23" i="8" s="1"/>
  <c r="CA23" i="8" s="1"/>
  <c r="CS28" i="8"/>
  <c r="CL24" i="8"/>
  <c r="G78" i="44" s="1"/>
  <c r="CF24" i="8"/>
  <c r="BY13" i="8"/>
  <c r="AF84" i="53"/>
  <c r="BZ20" i="8"/>
  <c r="CE20" i="8"/>
  <c r="CK20" i="8"/>
  <c r="F74" i="44" s="1"/>
  <c r="DK21" i="8"/>
  <c r="CN10" i="7"/>
  <c r="CU10" i="7" s="1"/>
  <c r="DI10" i="7" s="1"/>
  <c r="CN28" i="7"/>
  <c r="CU28" i="7" s="1"/>
  <c r="DI28" i="7" s="1"/>
  <c r="P26" i="45"/>
  <c r="CA20" i="53"/>
  <c r="CN14" i="7"/>
  <c r="CU14" i="7" s="1"/>
  <c r="DI14" i="7" s="1"/>
  <c r="CN9" i="7"/>
  <c r="CU9" i="7" s="1"/>
  <c r="DI9" i="7" s="1"/>
  <c r="CN30" i="7"/>
  <c r="CU30" i="7" s="1"/>
  <c r="DI30" i="7" s="1"/>
  <c r="CN17" i="7"/>
  <c r="CU17" i="7" s="1"/>
  <c r="DI17" i="7" s="1"/>
  <c r="CN22" i="7"/>
  <c r="CU22" i="7" s="1"/>
  <c r="DI22" i="7" s="1"/>
  <c r="CN13" i="7"/>
  <c r="CU13" i="7" s="1"/>
  <c r="DI13" i="7" s="1"/>
  <c r="CN19" i="7"/>
  <c r="CU19" i="7" s="1"/>
  <c r="DI19" i="7" s="1"/>
  <c r="CN23" i="7"/>
  <c r="CO23" i="7" s="1"/>
  <c r="CV23" i="7" s="1"/>
  <c r="DJ23" i="7" s="1"/>
  <c r="CG11" i="8"/>
  <c r="CM11" i="8"/>
  <c r="H65" i="44" s="1"/>
  <c r="BH31" i="8"/>
  <c r="BP31" i="8"/>
  <c r="CU8" i="8"/>
  <c r="C90" i="44" s="1"/>
  <c r="CN8" i="8"/>
  <c r="CO8" i="8" s="1"/>
  <c r="CP8" i="8" s="1"/>
  <c r="D6" i="8"/>
  <c r="E6" i="8" s="1"/>
  <c r="AJ6" i="8" s="1"/>
  <c r="DH6" i="8" s="1"/>
  <c r="C7" i="8"/>
  <c r="BK7" i="8"/>
  <c r="AX7" i="8"/>
  <c r="BS7" i="8"/>
  <c r="BH8" i="8"/>
  <c r="BP8" i="8"/>
  <c r="CN31" i="8"/>
  <c r="CU31" i="8"/>
  <c r="C113" i="44" s="1"/>
  <c r="BJ7" i="7"/>
  <c r="BN7" i="7"/>
  <c r="DX7" i="7" s="1"/>
  <c r="BI7" i="7"/>
  <c r="BO7" i="7"/>
  <c r="BK7" i="7"/>
  <c r="DX6" i="7"/>
  <c r="BS4" i="8"/>
  <c r="BK4" i="8"/>
  <c r="AX4" i="8"/>
  <c r="N9" i="8"/>
  <c r="O9" i="8" s="1"/>
  <c r="N6" i="8"/>
  <c r="O6" i="8" s="1"/>
  <c r="N8" i="8"/>
  <c r="O8" i="8" s="1"/>
  <c r="N5" i="8"/>
  <c r="O5" i="8" s="1"/>
  <c r="N4" i="8"/>
  <c r="O4" i="8" s="1"/>
  <c r="N7" i="8"/>
  <c r="O7" i="8" s="1"/>
  <c r="N31" i="8"/>
  <c r="O31" i="8" s="1"/>
  <c r="M10" i="45"/>
  <c r="BH3" i="53"/>
  <c r="BR8" i="8"/>
  <c r="BJ8" i="8"/>
  <c r="BG4" i="8"/>
  <c r="BO4" i="8"/>
  <c r="BV4" i="8" s="1"/>
  <c r="C39" i="44"/>
  <c r="C40" i="44"/>
  <c r="CX12" i="8"/>
  <c r="F94" i="44" s="1"/>
  <c r="BQ8" i="8"/>
  <c r="BI8" i="8"/>
  <c r="CS26" i="8"/>
  <c r="BE31" i="8"/>
  <c r="BK9" i="8"/>
  <c r="AX9" i="8"/>
  <c r="BS9" i="8"/>
  <c r="CN6" i="8"/>
  <c r="CO6" i="8" s="1"/>
  <c r="CP6" i="8" s="1"/>
  <c r="CQ6" i="8" s="1"/>
  <c r="CR6" i="8" s="1"/>
  <c r="CU6" i="8"/>
  <c r="C88" i="44" s="1"/>
  <c r="C57" i="44"/>
  <c r="C31" i="44"/>
  <c r="C49" i="44"/>
  <c r="BR9" i="8"/>
  <c r="BJ9" i="8"/>
  <c r="C32" i="44"/>
  <c r="C56" i="44"/>
  <c r="BQ4" i="8"/>
  <c r="BI4" i="8"/>
  <c r="BK5" i="8"/>
  <c r="AX5" i="8"/>
  <c r="BS5" i="8"/>
  <c r="BJ5" i="8"/>
  <c r="BR5" i="8"/>
  <c r="CN5" i="8"/>
  <c r="CO5" i="8" s="1"/>
  <c r="CP5" i="8" s="1"/>
  <c r="CU5" i="8"/>
  <c r="C87" i="44" s="1"/>
  <c r="CN18" i="7"/>
  <c r="CU18" i="7" s="1"/>
  <c r="DI18" i="7" s="1"/>
  <c r="CN27" i="7"/>
  <c r="CU27" i="7" s="1"/>
  <c r="DI27" i="7" s="1"/>
  <c r="CN20" i="7"/>
  <c r="CU20" i="7" s="1"/>
  <c r="DI20" i="7" s="1"/>
  <c r="C38" i="44"/>
  <c r="BO9" i="8"/>
  <c r="BV9" i="8" s="1"/>
  <c r="BG9" i="8"/>
  <c r="C33" i="44"/>
  <c r="C54" i="44"/>
  <c r="N10" i="45"/>
  <c r="BI3" i="53"/>
  <c r="K10" i="45"/>
  <c r="BF3" i="53"/>
  <c r="BO31" i="8"/>
  <c r="BV31" i="8" s="1"/>
  <c r="BG31" i="8"/>
  <c r="C34" i="44"/>
  <c r="S9" i="7"/>
  <c r="BV8" i="7"/>
  <c r="T8" i="7"/>
  <c r="U8" i="7" s="1"/>
  <c r="Y8" i="7" s="1"/>
  <c r="BQ7" i="8"/>
  <c r="BI7" i="8"/>
  <c r="BR4" i="8"/>
  <c r="BJ4" i="8"/>
  <c r="CN7" i="8"/>
  <c r="CO7" i="8" s="1"/>
  <c r="CU7" i="8"/>
  <c r="C89" i="44" s="1"/>
  <c r="C43" i="44"/>
  <c r="C45" i="44"/>
  <c r="CN12" i="7"/>
  <c r="CO12" i="7" s="1"/>
  <c r="CV12" i="7" s="1"/>
  <c r="DJ12" i="7" s="1"/>
  <c r="BI5" i="8"/>
  <c r="BQ5" i="8"/>
  <c r="BE8" i="8"/>
  <c r="CK6" i="7"/>
  <c r="BP6" i="8"/>
  <c r="BH6" i="8"/>
  <c r="O10" i="45"/>
  <c r="BJ3" i="53"/>
  <c r="C47" i="44"/>
  <c r="CN26" i="7"/>
  <c r="CO26" i="7" s="1"/>
  <c r="CV26" i="7" s="1"/>
  <c r="DJ26" i="7" s="1"/>
  <c r="C55" i="44"/>
  <c r="U6" i="28"/>
  <c r="M6" i="28"/>
  <c r="Q6" i="28"/>
  <c r="BO5" i="8"/>
  <c r="BV5" i="8" s="1"/>
  <c r="BG5" i="8"/>
  <c r="C42" i="44"/>
  <c r="C51" i="44"/>
  <c r="C44" i="44"/>
  <c r="BR6" i="8"/>
  <c r="BJ6" i="8"/>
  <c r="CU9" i="8"/>
  <c r="C91" i="44" s="1"/>
  <c r="CN9" i="8"/>
  <c r="CO9" i="8" s="1"/>
  <c r="BJ7" i="8"/>
  <c r="BR7" i="8"/>
  <c r="BX7" i="7"/>
  <c r="AY9" i="53"/>
  <c r="O15" i="45" s="1"/>
  <c r="AZ9" i="53"/>
  <c r="P15" i="45" s="1"/>
  <c r="AX9" i="53"/>
  <c r="N15" i="45" s="1"/>
  <c r="P43" i="53"/>
  <c r="P47" i="53"/>
  <c r="AU9" i="53"/>
  <c r="K15" i="45" s="1"/>
  <c r="AW9" i="53"/>
  <c r="M15" i="45" s="1"/>
  <c r="AV9" i="53"/>
  <c r="L15" i="45" s="1"/>
  <c r="BK3" i="53"/>
  <c r="P10" i="45"/>
  <c r="P28" i="45"/>
  <c r="CA22" i="53"/>
  <c r="BG7" i="8"/>
  <c r="BO7" i="8"/>
  <c r="BV7" i="8" s="1"/>
  <c r="C36" i="44"/>
  <c r="BI31" i="8"/>
  <c r="BQ31" i="8"/>
  <c r="AX8" i="8"/>
  <c r="BK8" i="8"/>
  <c r="BS8" i="8"/>
  <c r="G7" i="53"/>
  <c r="G25" i="17"/>
  <c r="G8" i="53"/>
  <c r="C34" i="32"/>
  <c r="C50" i="44"/>
  <c r="BE5" i="8"/>
  <c r="BJ31" i="8"/>
  <c r="BR31" i="8"/>
  <c r="C35" i="44"/>
  <c r="BE6" i="8"/>
  <c r="BP5" i="8"/>
  <c r="BH5" i="8"/>
  <c r="BI6" i="8"/>
  <c r="BQ6" i="8"/>
  <c r="AX6" i="8"/>
  <c r="BS6" i="8"/>
  <c r="BK6" i="8"/>
  <c r="CK12" i="7"/>
  <c r="CK11" i="7"/>
  <c r="CK24" i="7"/>
  <c r="BG8" i="8"/>
  <c r="BO8" i="8"/>
  <c r="BV8" i="8" s="1"/>
  <c r="CN11" i="7"/>
  <c r="CU11" i="7" s="1"/>
  <c r="DI11" i="7" s="1"/>
  <c r="CN8" i="7"/>
  <c r="CU8" i="7" s="1"/>
  <c r="DI8" i="7" s="1"/>
  <c r="C41" i="44"/>
  <c r="CN32" i="7"/>
  <c r="CU32" i="7" s="1"/>
  <c r="DI32" i="7" s="1"/>
  <c r="K7" i="28"/>
  <c r="L7" i="28" s="1"/>
  <c r="J8" i="28"/>
  <c r="L10" i="45"/>
  <c r="BG3" i="53"/>
  <c r="C46" i="44"/>
  <c r="C37" i="44"/>
  <c r="BE7" i="8"/>
  <c r="CK16" i="7"/>
  <c r="CK10" i="7"/>
  <c r="CK17" i="7"/>
  <c r="BP4" i="8"/>
  <c r="BH4" i="8"/>
  <c r="C30" i="44"/>
  <c r="C53" i="44"/>
  <c r="BP6" i="7"/>
  <c r="BL6" i="7"/>
  <c r="BQ9" i="8"/>
  <c r="BI9" i="8"/>
  <c r="BE4" i="8"/>
  <c r="CL11" i="8"/>
  <c r="G65" i="44" s="1"/>
  <c r="CF11" i="8"/>
  <c r="CK25" i="7"/>
  <c r="BH9" i="8"/>
  <c r="BP9" i="8"/>
  <c r="CN4" i="8"/>
  <c r="CU4" i="8"/>
  <c r="CN15" i="7"/>
  <c r="CO15" i="7" s="1"/>
  <c r="CV15" i="7" s="1"/>
  <c r="DJ15" i="7" s="1"/>
  <c r="CN16" i="7"/>
  <c r="C52" i="44"/>
  <c r="AX31" i="8"/>
  <c r="BK31" i="8"/>
  <c r="BS31" i="8"/>
  <c r="BE9" i="8"/>
  <c r="BP7" i="8"/>
  <c r="BH7" i="8"/>
  <c r="BG6" i="8"/>
  <c r="BO6" i="8"/>
  <c r="BV6" i="8" s="1"/>
  <c r="CN33" i="7"/>
  <c r="CO33" i="7" s="1"/>
  <c r="CV33" i="7" s="1"/>
  <c r="DJ33" i="7" s="1"/>
  <c r="CN7" i="7"/>
  <c r="CN25" i="7"/>
  <c r="CE11" i="8"/>
  <c r="CK11" i="8"/>
  <c r="F65" i="44" s="1"/>
  <c r="AN84" i="53" l="1"/>
  <c r="Y84" i="53" s="1"/>
  <c r="DK18" i="8"/>
  <c r="CM26" i="8"/>
  <c r="H80" i="44" s="1"/>
  <c r="CO29" i="7"/>
  <c r="CV29" i="7" s="1"/>
  <c r="DJ29" i="7" s="1"/>
  <c r="CZ17" i="8"/>
  <c r="H99" i="44" s="1"/>
  <c r="CO10" i="7"/>
  <c r="CV10" i="7" s="1"/>
  <c r="DJ10" i="7" s="1"/>
  <c r="BZ12" i="8"/>
  <c r="CK12" i="8"/>
  <c r="F66" i="44" s="1"/>
  <c r="CF16" i="8"/>
  <c r="CG16" i="8"/>
  <c r="DK16" i="8" s="1"/>
  <c r="DK30" i="8"/>
  <c r="CY11" i="8"/>
  <c r="CZ11" i="8" s="1"/>
  <c r="H93" i="44" s="1"/>
  <c r="CV5" i="8"/>
  <c r="D87" i="44" s="1"/>
  <c r="CY26" i="8"/>
  <c r="CV7" i="8"/>
  <c r="D89" i="44" s="1"/>
  <c r="CG17" i="8"/>
  <c r="CM17" i="8"/>
  <c r="H71" i="44" s="1"/>
  <c r="BW9" i="8"/>
  <c r="CC9" i="8" s="1"/>
  <c r="BW4" i="8"/>
  <c r="E42" i="53"/>
  <c r="AT32" i="53" s="1"/>
  <c r="AN85" i="53"/>
  <c r="Y85" i="53" s="1"/>
  <c r="N60" i="8"/>
  <c r="N61" i="8"/>
  <c r="M62" i="8"/>
  <c r="CF15" i="8"/>
  <c r="CA15" i="8"/>
  <c r="CL15" i="8"/>
  <c r="G69" i="44" s="1"/>
  <c r="DK22" i="8"/>
  <c r="F111" i="44"/>
  <c r="BZ29" i="8"/>
  <c r="CE29" i="8"/>
  <c r="CK29" i="8"/>
  <c r="F83" i="44" s="1"/>
  <c r="CY29" i="8"/>
  <c r="G111" i="44" s="1"/>
  <c r="CG27" i="8"/>
  <c r="CM27" i="8"/>
  <c r="H81" i="44" s="1"/>
  <c r="CG14" i="8"/>
  <c r="CM14" i="8"/>
  <c r="H68" i="44" s="1"/>
  <c r="BW5" i="8"/>
  <c r="CI5" i="8" s="1"/>
  <c r="D59" i="44" s="1"/>
  <c r="DG4" i="8"/>
  <c r="DF4" i="8" s="1"/>
  <c r="K42" i="53"/>
  <c r="CZ16" i="8"/>
  <c r="H98" i="44" s="1"/>
  <c r="BJ8" i="7"/>
  <c r="AN80" i="7"/>
  <c r="CO17" i="7"/>
  <c r="CV17" i="7" s="1"/>
  <c r="DJ17" i="7" s="1"/>
  <c r="CO21" i="7"/>
  <c r="CV21" i="7" s="1"/>
  <c r="DJ21" i="7" s="1"/>
  <c r="DK19" i="8"/>
  <c r="DK24" i="8"/>
  <c r="CL28" i="8"/>
  <c r="G82" i="44" s="1"/>
  <c r="CO30" i="7"/>
  <c r="CV30" i="7" s="1"/>
  <c r="DJ30" i="7" s="1"/>
  <c r="CA28" i="8"/>
  <c r="CG28" i="8" s="1"/>
  <c r="CZ10" i="8"/>
  <c r="H92" i="44" s="1"/>
  <c r="CY12" i="8"/>
  <c r="G94" i="44" s="1"/>
  <c r="CO18" i="7"/>
  <c r="CV18" i="7" s="1"/>
  <c r="DJ18" i="7" s="1"/>
  <c r="CV8" i="8"/>
  <c r="D90" i="44" s="1"/>
  <c r="CV31" i="8"/>
  <c r="D113" i="44" s="1"/>
  <c r="CO9" i="7"/>
  <c r="CV9" i="7" s="1"/>
  <c r="DJ9" i="7" s="1"/>
  <c r="BW7" i="8"/>
  <c r="BX7" i="8" s="1"/>
  <c r="BY7" i="8" s="1"/>
  <c r="CK28" i="8"/>
  <c r="F82" i="44" s="1"/>
  <c r="CE28" i="8"/>
  <c r="CM23" i="8"/>
  <c r="H77" i="44" s="1"/>
  <c r="CG23" i="8"/>
  <c r="CL23" i="8"/>
  <c r="G77" i="44" s="1"/>
  <c r="CF23" i="8"/>
  <c r="CE23" i="8"/>
  <c r="CK23" i="8"/>
  <c r="F77" i="44" s="1"/>
  <c r="CM28" i="8"/>
  <c r="H82" i="44" s="1"/>
  <c r="CL25" i="8"/>
  <c r="G79" i="44" s="1"/>
  <c r="CF25" i="8"/>
  <c r="K40" i="53"/>
  <c r="CT24" i="7"/>
  <c r="DH24" i="7" s="1"/>
  <c r="G95" i="44"/>
  <c r="CZ13" i="8"/>
  <c r="H95" i="44" s="1"/>
  <c r="CL10" i="8"/>
  <c r="G64" i="44" s="1"/>
  <c r="CF10" i="8"/>
  <c r="CN24" i="7"/>
  <c r="CO11" i="7"/>
  <c r="CV11" i="7" s="1"/>
  <c r="DJ11" i="7" s="1"/>
  <c r="CO20" i="7"/>
  <c r="CV20" i="7" s="1"/>
  <c r="DJ20" i="7" s="1"/>
  <c r="V6" i="28"/>
  <c r="AF5" i="8" s="1"/>
  <c r="AG5" i="8" s="1"/>
  <c r="AK5" i="8" s="1"/>
  <c r="CK13" i="8"/>
  <c r="F67" i="44" s="1"/>
  <c r="CE13" i="8"/>
  <c r="AM87" i="53"/>
  <c r="AN87" i="53"/>
  <c r="Y87" i="53" s="1"/>
  <c r="CP29" i="7"/>
  <c r="CW29" i="7" s="1"/>
  <c r="DK29" i="7" s="1"/>
  <c r="CO6" i="7"/>
  <c r="CV6" i="7" s="1"/>
  <c r="DJ6" i="7" s="1"/>
  <c r="CO14" i="7"/>
  <c r="CF20" i="8"/>
  <c r="CL20" i="8"/>
  <c r="G74" i="44" s="1"/>
  <c r="CA20" i="8"/>
  <c r="CA25" i="8"/>
  <c r="BZ13" i="8"/>
  <c r="CA13" i="8" s="1"/>
  <c r="CZ25" i="8"/>
  <c r="H107" i="44" s="1"/>
  <c r="CA10" i="8"/>
  <c r="CO31" i="7"/>
  <c r="CP31" i="7" s="1"/>
  <c r="AN86" i="53"/>
  <c r="Y86" i="53" s="1"/>
  <c r="DK26" i="8"/>
  <c r="CO13" i="7"/>
  <c r="CO28" i="7"/>
  <c r="CV9" i="8"/>
  <c r="D91" i="44" s="1"/>
  <c r="CP9" i="8"/>
  <c r="CQ9" i="8" s="1"/>
  <c r="CO27" i="7"/>
  <c r="CO31" i="8"/>
  <c r="CP31" i="8" s="1"/>
  <c r="CQ31" i="8" s="1"/>
  <c r="CP7" i="8"/>
  <c r="CQ7" i="8" s="1"/>
  <c r="G108" i="44"/>
  <c r="CZ26" i="8"/>
  <c r="H108" i="44" s="1"/>
  <c r="CN32" i="8"/>
  <c r="C4" i="44" s="1"/>
  <c r="CV6" i="8"/>
  <c r="D88" i="44" s="1"/>
  <c r="CO22" i="7"/>
  <c r="CV22" i="7" s="1"/>
  <c r="DJ22" i="7" s="1"/>
  <c r="CU23" i="7"/>
  <c r="DI23" i="7" s="1"/>
  <c r="CP23" i="7"/>
  <c r="CW23" i="7" s="1"/>
  <c r="DK23" i="7" s="1"/>
  <c r="CO19" i="7"/>
  <c r="CU25" i="7"/>
  <c r="DI25" i="7" s="1"/>
  <c r="CU7" i="7"/>
  <c r="DI7" i="7" s="1"/>
  <c r="BX9" i="8"/>
  <c r="BY9" i="8" s="1"/>
  <c r="J9" i="28"/>
  <c r="K8" i="28"/>
  <c r="L8" i="28" s="1"/>
  <c r="CS6" i="8"/>
  <c r="CH7" i="8"/>
  <c r="C61" i="44" s="1"/>
  <c r="CB7" i="8"/>
  <c r="BL12" i="53"/>
  <c r="BJ25" i="53"/>
  <c r="BF12" i="53"/>
  <c r="CO4" i="8"/>
  <c r="CH5" i="8"/>
  <c r="C59" i="44" s="1"/>
  <c r="CB5" i="8"/>
  <c r="BD16" i="53"/>
  <c r="BD28" i="53" s="1"/>
  <c r="BM16" i="53"/>
  <c r="K22" i="45"/>
  <c r="AU28" i="53"/>
  <c r="N22" i="45"/>
  <c r="BP16" i="53"/>
  <c r="AX28" i="53"/>
  <c r="BG16" i="53"/>
  <c r="BG28" i="53" s="1"/>
  <c r="CB9" i="8"/>
  <c r="CH9" i="8"/>
  <c r="C63" i="44" s="1"/>
  <c r="BV32" i="8"/>
  <c r="CH4" i="8"/>
  <c r="CB4" i="8"/>
  <c r="BO16" i="53"/>
  <c r="M22" i="45"/>
  <c r="AW28" i="53"/>
  <c r="BF16" i="53"/>
  <c r="BF28" i="53" s="1"/>
  <c r="BL4" i="8"/>
  <c r="BT4" i="8"/>
  <c r="BP7" i="7"/>
  <c r="BQ7" i="7" s="1"/>
  <c r="BR7" i="7" s="1"/>
  <c r="CU33" i="7"/>
  <c r="DI33" i="7" s="1"/>
  <c r="CP33" i="7"/>
  <c r="CW33" i="7" s="1"/>
  <c r="DK33" i="7" s="1"/>
  <c r="CU16" i="7"/>
  <c r="DI16" i="7" s="1"/>
  <c r="U7" i="28"/>
  <c r="Q7" i="28"/>
  <c r="M7" i="28"/>
  <c r="B119" i="55"/>
  <c r="G11" i="53"/>
  <c r="BT8" i="8"/>
  <c r="BL8" i="8"/>
  <c r="BI16" i="53"/>
  <c r="BI28" i="53" s="1"/>
  <c r="AZ28" i="53"/>
  <c r="P22" i="45"/>
  <c r="BR16" i="53"/>
  <c r="BL8" i="53"/>
  <c r="BJ21" i="53"/>
  <c r="R55" i="53"/>
  <c r="C6" i="44" s="1"/>
  <c r="CV4" i="8"/>
  <c r="BW6" i="8"/>
  <c r="BX6" i="8" s="1"/>
  <c r="CO7" i="7"/>
  <c r="CV7" i="7" s="1"/>
  <c r="DJ7" i="7" s="1"/>
  <c r="BI32" i="8"/>
  <c r="BG32" i="8"/>
  <c r="BK32" i="8"/>
  <c r="CO32" i="7"/>
  <c r="CV32" i="7" s="1"/>
  <c r="DJ32" i="7" s="1"/>
  <c r="BT31" i="8"/>
  <c r="BL31" i="8"/>
  <c r="BQ6" i="7"/>
  <c r="BH32" i="8"/>
  <c r="DK11" i="8"/>
  <c r="CH6" i="8"/>
  <c r="C60" i="44" s="1"/>
  <c r="CB6" i="8"/>
  <c r="CU15" i="7"/>
  <c r="DI15" i="7" s="1"/>
  <c r="CP15" i="7"/>
  <c r="CQ8" i="8"/>
  <c r="CR8" i="8" s="1"/>
  <c r="CS8" i="8" s="1"/>
  <c r="CI4" i="8"/>
  <c r="CC4" i="8"/>
  <c r="L22" i="45"/>
  <c r="AV28" i="53"/>
  <c r="BE16" i="53"/>
  <c r="BE28" i="53" s="1"/>
  <c r="BN16" i="53"/>
  <c r="BT6" i="8"/>
  <c r="BL6" i="8"/>
  <c r="CW5" i="8"/>
  <c r="E87" i="44" s="1"/>
  <c r="CQ5" i="8"/>
  <c r="CR5" i="8" s="1"/>
  <c r="CS5" i="8" s="1"/>
  <c r="BH16" i="53"/>
  <c r="BH28" i="53" s="1"/>
  <c r="BQ16" i="53"/>
  <c r="O22" i="45"/>
  <c r="AY28" i="53"/>
  <c r="CO8" i="7"/>
  <c r="CV8" i="7" s="1"/>
  <c r="DJ8" i="7" s="1"/>
  <c r="BJ32" i="8"/>
  <c r="T9" i="7"/>
  <c r="U9" i="7" s="1"/>
  <c r="Y9" i="7" s="1"/>
  <c r="S10" i="7"/>
  <c r="BV9" i="7"/>
  <c r="BX4" i="8"/>
  <c r="BY4" i="8" s="1"/>
  <c r="BW8" i="8"/>
  <c r="BX8" i="8" s="1"/>
  <c r="C8" i="8"/>
  <c r="D7" i="8"/>
  <c r="E7" i="8" s="1"/>
  <c r="AJ7" i="8" s="1"/>
  <c r="BW31" i="8"/>
  <c r="CU32" i="8"/>
  <c r="C86" i="44"/>
  <c r="CB8" i="8"/>
  <c r="CH8" i="8"/>
  <c r="C62" i="44" s="1"/>
  <c r="CO25" i="7"/>
  <c r="CV25" i="7" s="1"/>
  <c r="DJ25" i="7" s="1"/>
  <c r="CO16" i="7"/>
  <c r="CV16" i="7" s="1"/>
  <c r="DJ16" i="7" s="1"/>
  <c r="CU26" i="7"/>
  <c r="DI26" i="7" s="1"/>
  <c r="CP26" i="7"/>
  <c r="CW26" i="7" s="1"/>
  <c r="DK26" i="7" s="1"/>
  <c r="CP21" i="7"/>
  <c r="CW21" i="7" s="1"/>
  <c r="DK21" i="7" s="1"/>
  <c r="CU12" i="7"/>
  <c r="DI12" i="7" s="1"/>
  <c r="CP12" i="7"/>
  <c r="CW12" i="7" s="1"/>
  <c r="DK12" i="7" s="1"/>
  <c r="CB31" i="8"/>
  <c r="CH31" i="8"/>
  <c r="C85" i="44" s="1"/>
  <c r="BL5" i="8"/>
  <c r="BT5" i="8"/>
  <c r="BL9" i="8"/>
  <c r="BT9" i="8"/>
  <c r="CW7" i="8"/>
  <c r="BL7" i="7"/>
  <c r="BT7" i="8"/>
  <c r="BL7" i="8"/>
  <c r="CP10" i="7" l="1"/>
  <c r="CW10" i="7" s="1"/>
  <c r="DK10" i="7" s="1"/>
  <c r="G93" i="44"/>
  <c r="CI9" i="8"/>
  <c r="D63" i="44" s="1"/>
  <c r="CF12" i="8"/>
  <c r="CA12" i="8"/>
  <c r="CL12" i="8"/>
  <c r="G66" i="44" s="1"/>
  <c r="AT8" i="53"/>
  <c r="J14" i="45" s="1"/>
  <c r="BE7" i="53"/>
  <c r="J26" i="45" s="1"/>
  <c r="CC5" i="8"/>
  <c r="BX5" i="8"/>
  <c r="BY5" i="8" s="1"/>
  <c r="DK17" i="8"/>
  <c r="DK27" i="8"/>
  <c r="CP17" i="7"/>
  <c r="CW17" i="7" s="1"/>
  <c r="DK17" i="7" s="1"/>
  <c r="CW9" i="8"/>
  <c r="CX9" i="8" s="1"/>
  <c r="N62" i="8"/>
  <c r="M63" i="8"/>
  <c r="M64" i="8" s="1"/>
  <c r="BN8" i="7"/>
  <c r="DX8" i="7" s="1"/>
  <c r="DG5" i="8"/>
  <c r="DF5" i="8" s="1"/>
  <c r="CL29" i="8"/>
  <c r="G83" i="44" s="1"/>
  <c r="CF29" i="8"/>
  <c r="CZ29" i="8"/>
  <c r="H111" i="44" s="1"/>
  <c r="CM15" i="8"/>
  <c r="H69" i="44" s="1"/>
  <c r="CG15" i="8"/>
  <c r="DK15" i="8" s="1"/>
  <c r="CA29" i="8"/>
  <c r="BK8" i="7"/>
  <c r="BL8" i="7" s="1"/>
  <c r="CZ12" i="8"/>
  <c r="H94" i="44" s="1"/>
  <c r="DK14" i="8"/>
  <c r="BS7" i="7"/>
  <c r="DW7" i="7" s="1"/>
  <c r="DT7" i="7" s="1"/>
  <c r="BN9" i="7"/>
  <c r="AN81" i="7"/>
  <c r="BO8" i="7"/>
  <c r="BP8" i="7" s="1"/>
  <c r="BI8" i="7"/>
  <c r="CP6" i="7"/>
  <c r="CW6" i="7" s="1"/>
  <c r="DK6" i="7" s="1"/>
  <c r="CP11" i="7"/>
  <c r="CW11" i="7" s="1"/>
  <c r="DK11" i="7" s="1"/>
  <c r="CC7" i="8"/>
  <c r="CP18" i="7"/>
  <c r="CW18" i="7" s="1"/>
  <c r="DK18" i="7" s="1"/>
  <c r="CI7" i="8"/>
  <c r="D61" i="44" s="1"/>
  <c r="CP30" i="7"/>
  <c r="CP9" i="7"/>
  <c r="CW9" i="7" s="1"/>
  <c r="DK9" i="7" s="1"/>
  <c r="CQ29" i="7"/>
  <c r="CW31" i="8"/>
  <c r="CX31" i="8" s="1"/>
  <c r="CW8" i="8"/>
  <c r="E90" i="44" s="1"/>
  <c r="DK23" i="8"/>
  <c r="CP20" i="7"/>
  <c r="CQ20" i="7" s="1"/>
  <c r="CP4" i="8"/>
  <c r="CQ4" i="8" s="1"/>
  <c r="CW31" i="7"/>
  <c r="DK31" i="7" s="1"/>
  <c r="CG10" i="8"/>
  <c r="CM10" i="8"/>
  <c r="H64" i="44" s="1"/>
  <c r="CM13" i="8"/>
  <c r="H67" i="44" s="1"/>
  <c r="CG13" i="8"/>
  <c r="CV14" i="7"/>
  <c r="DJ14" i="7" s="1"/>
  <c r="CP14" i="7"/>
  <c r="CU24" i="7"/>
  <c r="DI24" i="7" s="1"/>
  <c r="CO24" i="7"/>
  <c r="CP24" i="7" s="1"/>
  <c r="CW24" i="7" s="1"/>
  <c r="DK24" i="7" s="1"/>
  <c r="V7" i="28"/>
  <c r="AF6" i="8" s="1"/>
  <c r="AG6" i="8" s="1"/>
  <c r="AK6" i="8" s="1"/>
  <c r="CL13" i="8"/>
  <c r="G67" i="44" s="1"/>
  <c r="CF13" i="8"/>
  <c r="CM20" i="8"/>
  <c r="H74" i="44" s="1"/>
  <c r="CG20" i="8"/>
  <c r="B111" i="55"/>
  <c r="CV31" i="7"/>
  <c r="DJ31" i="7" s="1"/>
  <c r="CQ31" i="7"/>
  <c r="CX31" i="7" s="1"/>
  <c r="DL31" i="7" s="1"/>
  <c r="CM25" i="8"/>
  <c r="H79" i="44" s="1"/>
  <c r="CG25" i="8"/>
  <c r="DH35" i="7"/>
  <c r="C48" i="44"/>
  <c r="DK28" i="8"/>
  <c r="CP22" i="7"/>
  <c r="CV28" i="7"/>
  <c r="DJ28" i="7" s="1"/>
  <c r="CP28" i="7"/>
  <c r="CR7" i="8"/>
  <c r="CS7" i="8" s="1"/>
  <c r="CV13" i="7"/>
  <c r="DJ13" i="7" s="1"/>
  <c r="CP13" i="7"/>
  <c r="CR9" i="8"/>
  <c r="CS9" i="8" s="1"/>
  <c r="CV27" i="7"/>
  <c r="DJ27" i="7" s="1"/>
  <c r="CP27" i="7"/>
  <c r="CW27" i="7" s="1"/>
  <c r="DK27" i="7" s="1"/>
  <c r="CW6" i="8"/>
  <c r="E88" i="44" s="1"/>
  <c r="CV19" i="7"/>
  <c r="DJ19" i="7" s="1"/>
  <c r="CP19" i="7"/>
  <c r="CQ19" i="7" s="1"/>
  <c r="CX19" i="7" s="1"/>
  <c r="DL19" i="7" s="1"/>
  <c r="BZ7" i="8"/>
  <c r="CA7" i="8" s="1"/>
  <c r="BZ9" i="8"/>
  <c r="CA9" i="8" s="1"/>
  <c r="CW4" i="8"/>
  <c r="CX4" i="8" s="1"/>
  <c r="CQ23" i="7"/>
  <c r="CR31" i="8"/>
  <c r="CS31" i="8" s="1"/>
  <c r="CJ8" i="8"/>
  <c r="E62" i="44" s="1"/>
  <c r="CD8" i="8"/>
  <c r="BY8" i="8"/>
  <c r="BK9" i="7"/>
  <c r="BO9" i="7"/>
  <c r="BJ9" i="7"/>
  <c r="E89" i="44"/>
  <c r="CX7" i="8"/>
  <c r="F89" i="44" s="1"/>
  <c r="CP8" i="7"/>
  <c r="CC31" i="8"/>
  <c r="CI31" i="8"/>
  <c r="D85" i="44" s="1"/>
  <c r="CJ4" i="8"/>
  <c r="CD4" i="8"/>
  <c r="CJ7" i="8"/>
  <c r="E61" i="44" s="1"/>
  <c r="CD7" i="8"/>
  <c r="D58" i="44"/>
  <c r="CW30" i="7"/>
  <c r="DK30" i="7" s="1"/>
  <c r="CI6" i="8"/>
  <c r="D60" i="44" s="1"/>
  <c r="CC6" i="8"/>
  <c r="CH32" i="8"/>
  <c r="C58" i="44"/>
  <c r="BP28" i="53"/>
  <c r="BY16" i="53"/>
  <c r="BY28" i="53" s="1"/>
  <c r="BV16" i="53"/>
  <c r="BV28" i="53" s="1"/>
  <c r="BM28" i="53"/>
  <c r="BM25" i="53"/>
  <c r="BV25" i="53" s="1"/>
  <c r="BD25" i="53"/>
  <c r="K31" i="45"/>
  <c r="K9" i="28"/>
  <c r="L9" i="28" s="1"/>
  <c r="J10" i="28"/>
  <c r="CP7" i="7"/>
  <c r="DH7" i="8"/>
  <c r="CC8" i="8"/>
  <c r="CI8" i="8"/>
  <c r="D62" i="44" s="1"/>
  <c r="CK7" i="8"/>
  <c r="F61" i="44" s="1"/>
  <c r="CE7" i="8"/>
  <c r="CW15" i="7"/>
  <c r="DK15" i="7" s="1"/>
  <c r="CQ15" i="7"/>
  <c r="CX15" i="7" s="1"/>
  <c r="DL15" i="7" s="1"/>
  <c r="CX5" i="8"/>
  <c r="CY5" i="8" s="1"/>
  <c r="G87" i="44" s="1"/>
  <c r="BX31" i="8"/>
  <c r="BY31" i="8" s="1"/>
  <c r="DI35" i="7"/>
  <c r="CQ21" i="7"/>
  <c r="CD6" i="8"/>
  <c r="CJ6" i="8"/>
  <c r="E60" i="44" s="1"/>
  <c r="CK4" i="8"/>
  <c r="CE4" i="8"/>
  <c r="BY6" i="8"/>
  <c r="BZ6" i="8" s="1"/>
  <c r="C9" i="8"/>
  <c r="D8" i="8"/>
  <c r="E8" i="8" s="1"/>
  <c r="AJ8" i="8" s="1"/>
  <c r="DH8" i="8" s="1"/>
  <c r="BZ4" i="8"/>
  <c r="CA4" i="8" s="1"/>
  <c r="S11" i="7"/>
  <c r="BV10" i="7"/>
  <c r="T10" i="7"/>
  <c r="U10" i="7" s="1"/>
  <c r="Y10" i="7" s="1"/>
  <c r="BZ16" i="53"/>
  <c r="BZ28" i="53" s="1"/>
  <c r="BQ28" i="53"/>
  <c r="BW32" i="8"/>
  <c r="CQ30" i="7"/>
  <c r="CX30" i="7" s="1"/>
  <c r="DL30" i="7" s="1"/>
  <c r="CP32" i="7"/>
  <c r="BL32" i="8"/>
  <c r="BO28" i="53"/>
  <c r="BX16" i="53"/>
  <c r="BX28" i="53" s="1"/>
  <c r="CO32" i="8"/>
  <c r="BG12" i="53"/>
  <c r="CJ9" i="8"/>
  <c r="E63" i="44" s="1"/>
  <c r="CD9" i="8"/>
  <c r="C15" i="44"/>
  <c r="C23" i="44" s="1"/>
  <c r="C58" i="32"/>
  <c r="BN28" i="53"/>
  <c r="BW16" i="53"/>
  <c r="BW28" i="53" s="1"/>
  <c r="BR6" i="7"/>
  <c r="D86" i="44"/>
  <c r="CV32" i="8"/>
  <c r="BR28" i="53"/>
  <c r="CA16" i="53"/>
  <c r="CA28" i="53" s="1"/>
  <c r="CQ26" i="7"/>
  <c r="CX26" i="7" s="1"/>
  <c r="DL26" i="7" s="1"/>
  <c r="CP16" i="7"/>
  <c r="CW16" i="7" s="1"/>
  <c r="DK16" i="7" s="1"/>
  <c r="CB32" i="8"/>
  <c r="CE9" i="8"/>
  <c r="CK9" i="8"/>
  <c r="F63" i="44" s="1"/>
  <c r="CQ12" i="7"/>
  <c r="CX12" i="7" s="1"/>
  <c r="DL12" i="7" s="1"/>
  <c r="Q8" i="28"/>
  <c r="U8" i="28"/>
  <c r="M8" i="28"/>
  <c r="CQ33" i="7"/>
  <c r="CP25" i="7"/>
  <c r="CW25" i="7" s="1"/>
  <c r="DK25" i="7" s="1"/>
  <c r="CQ10" i="7"/>
  <c r="CX10" i="7" s="1"/>
  <c r="DL10" i="7" s="1"/>
  <c r="CW20" i="7" l="1"/>
  <c r="DK20" i="7" s="1"/>
  <c r="CQ11" i="7"/>
  <c r="CX11" i="7" s="1"/>
  <c r="DL11" i="7" s="1"/>
  <c r="CD5" i="8"/>
  <c r="CG12" i="8"/>
  <c r="DK12" i="8" s="1"/>
  <c r="CM12" i="8"/>
  <c r="H66" i="44" s="1"/>
  <c r="E91" i="44"/>
  <c r="N63" i="8"/>
  <c r="CJ5" i="8"/>
  <c r="E59" i="44" s="1"/>
  <c r="BZ5" i="8"/>
  <c r="CA5" i="8" s="1"/>
  <c r="CK5" i="8"/>
  <c r="F59" i="44" s="1"/>
  <c r="CQ17" i="7"/>
  <c r="CX17" i="7" s="1"/>
  <c r="DL17" i="7" s="1"/>
  <c r="CE5" i="8"/>
  <c r="N64" i="8"/>
  <c r="M65" i="8"/>
  <c r="M66" i="8" s="1"/>
  <c r="M67" i="8" s="1"/>
  <c r="M68" i="8" s="1"/>
  <c r="E113" i="44"/>
  <c r="DK10" i="8"/>
  <c r="CG29" i="8"/>
  <c r="CM29" i="8"/>
  <c r="H83" i="44" s="1"/>
  <c r="CQ18" i="7"/>
  <c r="CX18" i="7" s="1"/>
  <c r="DL18" i="7" s="1"/>
  <c r="BL9" i="7"/>
  <c r="CQ9" i="7"/>
  <c r="CR9" i="7" s="1"/>
  <c r="CY9" i="7" s="1"/>
  <c r="DM9" i="7" s="1"/>
  <c r="CX8" i="8"/>
  <c r="F90" i="44" s="1"/>
  <c r="DG6" i="8"/>
  <c r="DF6" i="8" s="1"/>
  <c r="BI9" i="7"/>
  <c r="CQ6" i="7"/>
  <c r="CY31" i="8"/>
  <c r="G113" i="44" s="1"/>
  <c r="CQ24" i="7"/>
  <c r="CX24" i="7" s="1"/>
  <c r="DL24" i="7" s="1"/>
  <c r="CX29" i="7"/>
  <c r="DL29" i="7" s="1"/>
  <c r="CR29" i="7"/>
  <c r="CY29" i="7" s="1"/>
  <c r="DM29" i="7" s="1"/>
  <c r="E86" i="44"/>
  <c r="CP32" i="8"/>
  <c r="CR4" i="8"/>
  <c r="CR32" i="8" s="1"/>
  <c r="CQ32" i="8"/>
  <c r="DK25" i="8"/>
  <c r="F113" i="44"/>
  <c r="CR31" i="7"/>
  <c r="CY31" i="7" s="1"/>
  <c r="DM31" i="7" s="1"/>
  <c r="EA31" i="7" s="1"/>
  <c r="EC31" i="7" s="1"/>
  <c r="CW14" i="7"/>
  <c r="DK14" i="7" s="1"/>
  <c r="CQ14" i="7"/>
  <c r="CX14" i="7" s="1"/>
  <c r="DL14" i="7" s="1"/>
  <c r="CF9" i="8"/>
  <c r="C14" i="44"/>
  <c r="C22" i="44" s="1"/>
  <c r="B93" i="55"/>
  <c r="B95" i="55" s="1"/>
  <c r="C59" i="32"/>
  <c r="DK13" i="8"/>
  <c r="CV24" i="7"/>
  <c r="DJ24" i="7" s="1"/>
  <c r="DJ35" i="7" s="1"/>
  <c r="E14" i="44" s="1"/>
  <c r="E22" i="44" s="1"/>
  <c r="DK20" i="8"/>
  <c r="CL7" i="8"/>
  <c r="G61" i="44" s="1"/>
  <c r="CR15" i="7"/>
  <c r="CY15" i="7" s="1"/>
  <c r="DM15" i="7" s="1"/>
  <c r="EA15" i="7" s="1"/>
  <c r="EC15" i="7" s="1"/>
  <c r="CF7" i="8"/>
  <c r="CM7" i="8"/>
  <c r="H61" i="44" s="1"/>
  <c r="CG7" i="8"/>
  <c r="F86" i="44"/>
  <c r="CY4" i="8"/>
  <c r="CZ4" i="8" s="1"/>
  <c r="H86" i="44" s="1"/>
  <c r="CC32" i="8"/>
  <c r="D5" i="44" s="1"/>
  <c r="CW28" i="7"/>
  <c r="DK28" i="7" s="1"/>
  <c r="CQ28" i="7"/>
  <c r="CX28" i="7" s="1"/>
  <c r="DL28" i="7" s="1"/>
  <c r="CW13" i="7"/>
  <c r="DK13" i="7" s="1"/>
  <c r="CQ13" i="7"/>
  <c r="CX13" i="7" s="1"/>
  <c r="DL13" i="7" s="1"/>
  <c r="CW32" i="8"/>
  <c r="E15" i="44" s="1"/>
  <c r="E23" i="44" s="1"/>
  <c r="CW22" i="7"/>
  <c r="DK22" i="7" s="1"/>
  <c r="CQ22" i="7"/>
  <c r="CX6" i="8"/>
  <c r="F88" i="44" s="1"/>
  <c r="CY7" i="8"/>
  <c r="CW19" i="7"/>
  <c r="DK19" i="7" s="1"/>
  <c r="CR19" i="7"/>
  <c r="CY19" i="7" s="1"/>
  <c r="DM19" i="7" s="1"/>
  <c r="CQ27" i="7"/>
  <c r="CL9" i="8"/>
  <c r="G63" i="44" s="1"/>
  <c r="CX23" i="7"/>
  <c r="DL23" i="7" s="1"/>
  <c r="CR23" i="7"/>
  <c r="CY23" i="7" s="1"/>
  <c r="DM23" i="7" s="1"/>
  <c r="CM4" i="8"/>
  <c r="CG4" i="8"/>
  <c r="CK31" i="8"/>
  <c r="F85" i="44" s="1"/>
  <c r="CE31" i="8"/>
  <c r="BY32" i="8"/>
  <c r="BZ31" i="8"/>
  <c r="CA31" i="8" s="1"/>
  <c r="L31" i="45"/>
  <c r="BN25" i="53"/>
  <c r="BW25" i="53" s="1"/>
  <c r="BE25" i="53"/>
  <c r="CF6" i="8"/>
  <c r="CL6" i="8"/>
  <c r="G60" i="44" s="1"/>
  <c r="CW32" i="7"/>
  <c r="DK32" i="7" s="1"/>
  <c r="CQ32" i="7"/>
  <c r="CX32" i="7" s="1"/>
  <c r="DL32" i="7" s="1"/>
  <c r="D9" i="8"/>
  <c r="E9" i="8" s="1"/>
  <c r="AJ9" i="8" s="1"/>
  <c r="DH9" i="8" s="1"/>
  <c r="C10" i="8"/>
  <c r="Q9" i="28"/>
  <c r="M9" i="28"/>
  <c r="U9" i="28"/>
  <c r="CW8" i="7"/>
  <c r="DK8" i="7" s="1"/>
  <c r="CQ8" i="7"/>
  <c r="CX33" i="7"/>
  <c r="DL33" i="7" s="1"/>
  <c r="CR33" i="7"/>
  <c r="CY33" i="7" s="1"/>
  <c r="DM33" i="7" s="1"/>
  <c r="D58" i="32"/>
  <c r="D15" i="44"/>
  <c r="D23" i="44" s="1"/>
  <c r="AN82" i="7"/>
  <c r="CX21" i="7"/>
  <c r="DL21" i="7" s="1"/>
  <c r="CR21" i="7"/>
  <c r="CY21" i="7" s="1"/>
  <c r="DM21" i="7" s="1"/>
  <c r="E58" i="44"/>
  <c r="BP9" i="7"/>
  <c r="BQ9" i="7" s="1"/>
  <c r="BR9" i="7" s="1"/>
  <c r="V8" i="28"/>
  <c r="AF7" i="8" s="1"/>
  <c r="AG7" i="8" s="1"/>
  <c r="CQ25" i="7"/>
  <c r="CX25" i="7" s="1"/>
  <c r="DL25" i="7" s="1"/>
  <c r="BS6" i="7"/>
  <c r="DW6" i="7" s="1"/>
  <c r="B112" i="55"/>
  <c r="C5" i="44"/>
  <c r="CQ16" i="7"/>
  <c r="CX16" i="7" s="1"/>
  <c r="DL16" i="7" s="1"/>
  <c r="BH12" i="53"/>
  <c r="BI12" i="53" s="1"/>
  <c r="BJ12" i="53" s="1"/>
  <c r="D4" i="44"/>
  <c r="C111" i="55"/>
  <c r="CR11" i="7"/>
  <c r="CY11" i="7" s="1"/>
  <c r="DM11" i="7" s="1"/>
  <c r="EA11" i="7" s="1"/>
  <c r="EC11" i="7" s="1"/>
  <c r="BW10" i="7"/>
  <c r="CL4" i="8"/>
  <c r="CF4" i="8"/>
  <c r="CR12" i="7"/>
  <c r="CY12" i="7" s="1"/>
  <c r="DM12" i="7" s="1"/>
  <c r="EA12" i="7" s="1"/>
  <c r="EC12" i="7" s="1"/>
  <c r="F58" i="44"/>
  <c r="CD31" i="8"/>
  <c r="CJ31" i="8"/>
  <c r="E85" i="44" s="1"/>
  <c r="F87" i="44"/>
  <c r="CZ5" i="8"/>
  <c r="H87" i="44" s="1"/>
  <c r="CR10" i="7"/>
  <c r="CY10" i="7" s="1"/>
  <c r="DM10" i="7" s="1"/>
  <c r="EA10" i="7" s="1"/>
  <c r="EC10" i="7" s="1"/>
  <c r="CW7" i="7"/>
  <c r="DK7" i="7" s="1"/>
  <c r="CQ7" i="7"/>
  <c r="F91" i="44"/>
  <c r="CE8" i="8"/>
  <c r="CK8" i="8"/>
  <c r="F62" i="44" s="1"/>
  <c r="EF7" i="7"/>
  <c r="EG7" i="7" s="1"/>
  <c r="B7" i="7"/>
  <c r="BW7" i="7" s="1"/>
  <c r="CR26" i="7"/>
  <c r="CY26" i="7" s="1"/>
  <c r="DM26" i="7" s="1"/>
  <c r="EA26" i="7" s="1"/>
  <c r="EC26" i="7" s="1"/>
  <c r="D4" i="30"/>
  <c r="B7" i="30" s="1"/>
  <c r="B8" i="30" s="1"/>
  <c r="S12" i="7"/>
  <c r="BV11" i="7"/>
  <c r="T11" i="7"/>
  <c r="U11" i="7" s="1"/>
  <c r="Y11" i="7" s="1"/>
  <c r="CE6" i="8"/>
  <c r="CK6" i="8"/>
  <c r="F60" i="44" s="1"/>
  <c r="C93" i="55"/>
  <c r="C95" i="55" s="1"/>
  <c r="D59" i="32"/>
  <c r="D14" i="44"/>
  <c r="CX20" i="7"/>
  <c r="DL20" i="7" s="1"/>
  <c r="CR20" i="7"/>
  <c r="CY20" i="7" s="1"/>
  <c r="DM20" i="7" s="1"/>
  <c r="BQ8" i="7"/>
  <c r="CA6" i="8"/>
  <c r="J11" i="28"/>
  <c r="K10" i="28"/>
  <c r="L10" i="28" s="1"/>
  <c r="C16" i="44"/>
  <c r="C24" i="44" s="1"/>
  <c r="C57" i="32"/>
  <c r="B96" i="55"/>
  <c r="B98" i="55" s="1"/>
  <c r="CY9" i="8"/>
  <c r="G91" i="44" s="1"/>
  <c r="CR30" i="7"/>
  <c r="CY30" i="7" s="1"/>
  <c r="DM30" i="7" s="1"/>
  <c r="EA30" i="7" s="1"/>
  <c r="EC30" i="7" s="1"/>
  <c r="CI32" i="8"/>
  <c r="BX32" i="8"/>
  <c r="CM9" i="8"/>
  <c r="H63" i="44" s="1"/>
  <c r="CG9" i="8"/>
  <c r="DX9" i="7"/>
  <c r="BZ8" i="8"/>
  <c r="CR24" i="7" l="1"/>
  <c r="CY24" i="7" s="1"/>
  <c r="DM24" i="7" s="1"/>
  <c r="BH25" i="53"/>
  <c r="O31" i="45"/>
  <c r="BQ25" i="53"/>
  <c r="BZ25" i="53" s="1"/>
  <c r="BK12" i="53"/>
  <c r="BR25" i="53" s="1"/>
  <c r="CA25" i="53" s="1"/>
  <c r="N65" i="8"/>
  <c r="CG5" i="8"/>
  <c r="CM5" i="8"/>
  <c r="H59" i="44" s="1"/>
  <c r="N67" i="8"/>
  <c r="N66" i="8"/>
  <c r="CF5" i="8"/>
  <c r="CL5" i="8"/>
  <c r="G59" i="44" s="1"/>
  <c r="CR17" i="7"/>
  <c r="CY17" i="7" s="1"/>
  <c r="DM17" i="7" s="1"/>
  <c r="EA17" i="7" s="1"/>
  <c r="EC17" i="7" s="1"/>
  <c r="CE32" i="8"/>
  <c r="E112" i="55" s="1"/>
  <c r="CX9" i="7"/>
  <c r="DL9" i="7" s="1"/>
  <c r="EA9" i="7" s="1"/>
  <c r="EC9" i="7" s="1"/>
  <c r="DK29" i="8"/>
  <c r="CR18" i="7"/>
  <c r="CY18" i="7" s="1"/>
  <c r="DM18" i="7" s="1"/>
  <c r="EA18" i="7" s="1"/>
  <c r="EC18" i="7" s="1"/>
  <c r="CZ31" i="8"/>
  <c r="H113" i="44" s="1"/>
  <c r="CY8" i="8"/>
  <c r="V9" i="28"/>
  <c r="AF8" i="8" s="1"/>
  <c r="AG8" i="8" s="1"/>
  <c r="DG8" i="8" s="1"/>
  <c r="DF8" i="8" s="1"/>
  <c r="EA24" i="7"/>
  <c r="EC24" i="7" s="1"/>
  <c r="BS9" i="7"/>
  <c r="DW9" i="7" s="1"/>
  <c r="DT9" i="7" s="1"/>
  <c r="D93" i="55"/>
  <c r="D95" i="55" s="1"/>
  <c r="CX6" i="7"/>
  <c r="DL6" i="7" s="1"/>
  <c r="CR6" i="7"/>
  <c r="CY6" i="7" s="1"/>
  <c r="DM6" i="7" s="1"/>
  <c r="CS4" i="8"/>
  <c r="CS32" i="8" s="1"/>
  <c r="G111" i="55" s="1"/>
  <c r="EA29" i="7"/>
  <c r="EC29" i="7" s="1"/>
  <c r="E4" i="44"/>
  <c r="D111" i="55"/>
  <c r="C60" i="32"/>
  <c r="E58" i="32"/>
  <c r="E111" i="55"/>
  <c r="F4" i="44"/>
  <c r="CR14" i="7"/>
  <c r="CY14" i="7" s="1"/>
  <c r="DM14" i="7" s="1"/>
  <c r="EA14" i="7" s="1"/>
  <c r="EC14" i="7" s="1"/>
  <c r="C112" i="55"/>
  <c r="C114" i="55" s="1"/>
  <c r="C84" i="55" s="1"/>
  <c r="M69" i="8"/>
  <c r="E59" i="32"/>
  <c r="N68" i="8"/>
  <c r="DK7" i="8"/>
  <c r="EA21" i="7"/>
  <c r="EC21" i="7" s="1"/>
  <c r="CR13" i="7"/>
  <c r="CY13" i="7" s="1"/>
  <c r="DM13" i="7" s="1"/>
  <c r="EA13" i="7" s="1"/>
  <c r="EC13" i="7" s="1"/>
  <c r="CR28" i="7"/>
  <c r="CY28" i="7" s="1"/>
  <c r="DM28" i="7" s="1"/>
  <c r="EA28" i="7" s="1"/>
  <c r="EC28" i="7" s="1"/>
  <c r="CX32" i="8"/>
  <c r="F15" i="44" s="1"/>
  <c r="F23" i="44" s="1"/>
  <c r="CR32" i="7"/>
  <c r="CY32" i="7" s="1"/>
  <c r="DM32" i="7" s="1"/>
  <c r="EA32" i="7" s="1"/>
  <c r="EC32" i="7" s="1"/>
  <c r="CY6" i="8"/>
  <c r="G88" i="44" s="1"/>
  <c r="G86" i="44"/>
  <c r="EA20" i="7"/>
  <c r="EC20" i="7" s="1"/>
  <c r="CX22" i="7"/>
  <c r="DL22" i="7" s="1"/>
  <c r="CR22" i="7"/>
  <c r="CY22" i="7" s="1"/>
  <c r="DM22" i="7" s="1"/>
  <c r="EA33" i="7"/>
  <c r="EC33" i="7" s="1"/>
  <c r="EA23" i="7"/>
  <c r="EC23" i="7" s="1"/>
  <c r="EA19" i="7"/>
  <c r="EC19" i="7" s="1"/>
  <c r="DK9" i="8"/>
  <c r="CX27" i="7"/>
  <c r="DL27" i="7" s="1"/>
  <c r="CR27" i="7"/>
  <c r="CY27" i="7" s="1"/>
  <c r="DM27" i="7" s="1"/>
  <c r="BZ32" i="8"/>
  <c r="G89" i="44"/>
  <c r="CZ7" i="8"/>
  <c r="H89" i="44" s="1"/>
  <c r="G4" i="44"/>
  <c r="F111" i="55"/>
  <c r="CR16" i="7"/>
  <c r="CY16" i="7" s="1"/>
  <c r="DM16" i="7" s="1"/>
  <c r="EA16" i="7" s="1"/>
  <c r="EC16" i="7" s="1"/>
  <c r="BN10" i="7"/>
  <c r="BK10" i="7"/>
  <c r="BI10" i="7"/>
  <c r="BJ10" i="7"/>
  <c r="BO10" i="7"/>
  <c r="CX8" i="7"/>
  <c r="DL8" i="7" s="1"/>
  <c r="CR8" i="7"/>
  <c r="CY8" i="7" s="1"/>
  <c r="DM8" i="7" s="1"/>
  <c r="H58" i="44"/>
  <c r="AN83" i="7"/>
  <c r="M10" i="28"/>
  <c r="U10" i="28"/>
  <c r="Q10" i="28"/>
  <c r="BW11" i="7"/>
  <c r="BG25" i="53"/>
  <c r="BP25" i="53"/>
  <c r="BY25" i="53" s="1"/>
  <c r="N31" i="45"/>
  <c r="CZ9" i="8"/>
  <c r="H91" i="44" s="1"/>
  <c r="CK32" i="8"/>
  <c r="G58" i="44"/>
  <c r="D11" i="44"/>
  <c r="C61" i="29" s="1"/>
  <c r="CR25" i="7"/>
  <c r="CY25" i="7" s="1"/>
  <c r="DM25" i="7" s="1"/>
  <c r="EA25" i="7" s="1"/>
  <c r="EC25" i="7" s="1"/>
  <c r="CM31" i="8"/>
  <c r="H85" i="44" s="1"/>
  <c r="CG31" i="8"/>
  <c r="BR8" i="7"/>
  <c r="BS8" i="7" s="1"/>
  <c r="DW8" i="7" s="1"/>
  <c r="DK35" i="7"/>
  <c r="DK4" i="8"/>
  <c r="C96" i="55"/>
  <c r="C98" i="55" s="1"/>
  <c r="C108" i="55" s="1"/>
  <c r="D57" i="32"/>
  <c r="D60" i="32" s="1"/>
  <c r="D16" i="44"/>
  <c r="D24" i="44" s="1"/>
  <c r="K11" i="28"/>
  <c r="L11" i="28" s="1"/>
  <c r="J12" i="28"/>
  <c r="T12" i="7"/>
  <c r="U12" i="7" s="1"/>
  <c r="Y12" i="7" s="1"/>
  <c r="S13" i="7"/>
  <c r="BV12" i="7"/>
  <c r="BO25" i="53"/>
  <c r="BX25" i="53" s="1"/>
  <c r="BF25" i="53"/>
  <c r="M31" i="45"/>
  <c r="DT6" i="7"/>
  <c r="CF31" i="8"/>
  <c r="CL31" i="8"/>
  <c r="G85" i="44" s="1"/>
  <c r="CL8" i="8"/>
  <c r="G62" i="44" s="1"/>
  <c r="CF8" i="8"/>
  <c r="CA8" i="8"/>
  <c r="CM6" i="8"/>
  <c r="H60" i="44" s="1"/>
  <c r="CG6" i="8"/>
  <c r="D22" i="44"/>
  <c r="CX7" i="7"/>
  <c r="DL7" i="7" s="1"/>
  <c r="CR7" i="7"/>
  <c r="CY7" i="7" s="1"/>
  <c r="DM7" i="7" s="1"/>
  <c r="H4" i="44"/>
  <c r="AK7" i="8"/>
  <c r="DG7" i="8"/>
  <c r="DF7" i="8" s="1"/>
  <c r="CJ32" i="8"/>
  <c r="CD32" i="8"/>
  <c r="D10" i="8"/>
  <c r="E10" i="8" s="1"/>
  <c r="AJ10" i="8" s="1"/>
  <c r="DH10" i="8" s="1"/>
  <c r="C11" i="8"/>
  <c r="P31" i="45" l="1"/>
  <c r="BM12" i="53"/>
  <c r="BI25" i="53"/>
  <c r="DK5" i="8"/>
  <c r="CY32" i="8"/>
  <c r="G15" i="44" s="1"/>
  <c r="G23" i="44" s="1"/>
  <c r="F5" i="44"/>
  <c r="F11" i="44" s="1"/>
  <c r="E61" i="29" s="1"/>
  <c r="CZ6" i="8"/>
  <c r="H88" i="44" s="1"/>
  <c r="E114" i="55"/>
  <c r="E84" i="55" s="1"/>
  <c r="E88" i="55" s="1"/>
  <c r="F88" i="55" s="1"/>
  <c r="G88" i="55" s="1"/>
  <c r="H88" i="55" s="1"/>
  <c r="AK8" i="8"/>
  <c r="F58" i="32"/>
  <c r="EA6" i="7"/>
  <c r="EC6" i="7" s="1"/>
  <c r="ED6" i="7" s="1"/>
  <c r="G90" i="44"/>
  <c r="CZ8" i="8"/>
  <c r="H90" i="44" s="1"/>
  <c r="ED9" i="7"/>
  <c r="C73" i="55"/>
  <c r="C86" i="55"/>
  <c r="D86" i="55" s="1"/>
  <c r="E86" i="55" s="1"/>
  <c r="F86" i="55" s="1"/>
  <c r="G86" i="55" s="1"/>
  <c r="M70" i="8"/>
  <c r="D27" i="44"/>
  <c r="N69" i="8"/>
  <c r="DM35" i="7"/>
  <c r="H14" i="44" s="1"/>
  <c r="DK6" i="8"/>
  <c r="EA8" i="7"/>
  <c r="EC8" i="7" s="1"/>
  <c r="ED8" i="7" s="1"/>
  <c r="EA22" i="7"/>
  <c r="EC22" i="7" s="1"/>
  <c r="D10" i="44"/>
  <c r="EA27" i="7"/>
  <c r="EC27" i="7" s="1"/>
  <c r="DL35" i="7"/>
  <c r="F93" i="55" s="1"/>
  <c r="F95" i="55" s="1"/>
  <c r="D19" i="44"/>
  <c r="AN84" i="7"/>
  <c r="CF32" i="8"/>
  <c r="DT8" i="7"/>
  <c r="BP10" i="7"/>
  <c r="DX10" i="7"/>
  <c r="C12" i="8"/>
  <c r="D11" i="8"/>
  <c r="E11" i="8" s="1"/>
  <c r="AJ11" i="8" s="1"/>
  <c r="DH11" i="8" s="1"/>
  <c r="D112" i="55"/>
  <c r="D114" i="55" s="1"/>
  <c r="D84" i="55" s="1"/>
  <c r="E5" i="44"/>
  <c r="E11" i="44" s="1"/>
  <c r="D61" i="29" s="1"/>
  <c r="EF6" i="7"/>
  <c r="EG6" i="7" s="1"/>
  <c r="B6" i="7"/>
  <c r="E16" i="44"/>
  <c r="D96" i="55"/>
  <c r="D98" i="55" s="1"/>
  <c r="D108" i="55" s="1"/>
  <c r="E57" i="32"/>
  <c r="E60" i="32" s="1"/>
  <c r="DK31" i="8"/>
  <c r="C63" i="29"/>
  <c r="D63" i="29" s="1"/>
  <c r="E63" i="29" s="1"/>
  <c r="F63" i="29" s="1"/>
  <c r="G63" i="29" s="1"/>
  <c r="C50" i="29"/>
  <c r="F57" i="32"/>
  <c r="E96" i="55"/>
  <c r="E98" i="55" s="1"/>
  <c r="F16" i="44"/>
  <c r="F24" i="44" s="1"/>
  <c r="BL10" i="7"/>
  <c r="CG8" i="8"/>
  <c r="CG32" i="8" s="1"/>
  <c r="CM8" i="8"/>
  <c r="H62" i="44" s="1"/>
  <c r="BW12" i="7"/>
  <c r="K12" i="28"/>
  <c r="L12" i="28" s="1"/>
  <c r="J13" i="28"/>
  <c r="EA7" i="7"/>
  <c r="EC7" i="7" s="1"/>
  <c r="ED7" i="7" s="1"/>
  <c r="BN11" i="7"/>
  <c r="DX11" i="7" s="1"/>
  <c r="BJ11" i="7"/>
  <c r="BK11" i="7"/>
  <c r="BI11" i="7"/>
  <c r="BO11" i="7"/>
  <c r="BV13" i="7"/>
  <c r="S14" i="7"/>
  <c r="T13" i="7"/>
  <c r="U13" i="7" s="1"/>
  <c r="Y13" i="7" s="1"/>
  <c r="U11" i="28"/>
  <c r="Q11" i="28"/>
  <c r="M11" i="28"/>
  <c r="E93" i="55"/>
  <c r="E95" i="55" s="1"/>
  <c r="F59" i="32"/>
  <c r="F14" i="44"/>
  <c r="CL32" i="8"/>
  <c r="V10" i="28"/>
  <c r="AF9" i="8" s="1"/>
  <c r="AG9" i="8" s="1"/>
  <c r="B9" i="7"/>
  <c r="EF9" i="7"/>
  <c r="EG9" i="7" s="1"/>
  <c r="CA32" i="8"/>
  <c r="E73" i="55" l="1"/>
  <c r="E68" i="54" s="1"/>
  <c r="G58" i="32"/>
  <c r="CZ32" i="8"/>
  <c r="CU36" i="8" s="1"/>
  <c r="E65" i="29"/>
  <c r="F65" i="29" s="1"/>
  <c r="G65" i="29" s="1"/>
  <c r="H65" i="29" s="1"/>
  <c r="E50" i="29"/>
  <c r="BW9" i="7"/>
  <c r="AM81" i="7"/>
  <c r="BX9" i="7"/>
  <c r="G14" i="44"/>
  <c r="G22" i="44" s="1"/>
  <c r="M71" i="8"/>
  <c r="M72" i="8" s="1"/>
  <c r="N72" i="8" s="1"/>
  <c r="N70" i="8"/>
  <c r="G93" i="55"/>
  <c r="G95" i="55" s="1"/>
  <c r="G59" i="32"/>
  <c r="BL11" i="7"/>
  <c r="G112" i="55"/>
  <c r="G114" i="55" s="1"/>
  <c r="G84" i="55" s="1"/>
  <c r="G73" i="55" s="1"/>
  <c r="G68" i="54" s="1"/>
  <c r="H5" i="44"/>
  <c r="H11" i="44" s="1"/>
  <c r="G61" i="29" s="1"/>
  <c r="G50" i="29" s="1"/>
  <c r="DG9" i="8"/>
  <c r="DF9" i="8" s="1"/>
  <c r="AK9" i="8"/>
  <c r="F19" i="44"/>
  <c r="F22" i="44"/>
  <c r="F27" i="44" s="1"/>
  <c r="V11" i="28"/>
  <c r="AF10" i="8" s="1"/>
  <c r="AG10" i="8" s="1"/>
  <c r="BW13" i="7"/>
  <c r="H22" i="44"/>
  <c r="D73" i="55"/>
  <c r="D68" i="54" s="1"/>
  <c r="D87" i="55"/>
  <c r="E87" i="55" s="1"/>
  <c r="F87" i="55" s="1"/>
  <c r="G87" i="55" s="1"/>
  <c r="BQ10" i="7"/>
  <c r="B8" i="7"/>
  <c r="EF8" i="7"/>
  <c r="EG8" i="7" s="1"/>
  <c r="BO12" i="7"/>
  <c r="BN12" i="7"/>
  <c r="DX12" i="7" s="1"/>
  <c r="BK12" i="7"/>
  <c r="BI12" i="7"/>
  <c r="BJ12" i="7"/>
  <c r="J14" i="28"/>
  <c r="K13" i="28"/>
  <c r="L13" i="28" s="1"/>
  <c r="E108" i="55"/>
  <c r="CM32" i="8"/>
  <c r="U12" i="28"/>
  <c r="M12" i="28"/>
  <c r="Q12" i="28"/>
  <c r="F60" i="32"/>
  <c r="E24" i="44"/>
  <c r="E10" i="44" s="1"/>
  <c r="E19" i="44"/>
  <c r="D12" i="8"/>
  <c r="E12" i="8" s="1"/>
  <c r="AJ12" i="8" s="1"/>
  <c r="DH12" i="8" s="1"/>
  <c r="C13" i="8"/>
  <c r="F112" i="55"/>
  <c r="F114" i="55" s="1"/>
  <c r="F84" i="55" s="1"/>
  <c r="G5" i="44"/>
  <c r="G11" i="44" s="1"/>
  <c r="F61" i="29" s="1"/>
  <c r="AN85" i="7"/>
  <c r="BP11" i="7"/>
  <c r="BQ11" i="7" s="1"/>
  <c r="BR11" i="7" s="1"/>
  <c r="F96" i="55"/>
  <c r="F98" i="55" s="1"/>
  <c r="F108" i="55" s="1"/>
  <c r="G16" i="44"/>
  <c r="G24" i="44" s="1"/>
  <c r="G57" i="32"/>
  <c r="T14" i="7"/>
  <c r="U14" i="7" s="1"/>
  <c r="Y14" i="7" s="1"/>
  <c r="S15" i="7"/>
  <c r="BV14" i="7"/>
  <c r="H15" i="30"/>
  <c r="BW6" i="7"/>
  <c r="D50" i="29"/>
  <c r="D64" i="29"/>
  <c r="E64" i="29" s="1"/>
  <c r="F64" i="29" s="1"/>
  <c r="G64" i="29" s="1"/>
  <c r="H64" i="29" s="1"/>
  <c r="DK8" i="8"/>
  <c r="G60" i="32" l="1"/>
  <c r="AJ27" i="29"/>
  <c r="AB38" i="29" s="1"/>
  <c r="AB36" i="29" s="1"/>
  <c r="H15" i="44"/>
  <c r="H23" i="44" s="1"/>
  <c r="M73" i="8"/>
  <c r="N73" i="8" s="1"/>
  <c r="N71" i="8"/>
  <c r="AM80" i="7"/>
  <c r="BX8" i="7"/>
  <c r="G27" i="44"/>
  <c r="BS11" i="7"/>
  <c r="DW11" i="7" s="1"/>
  <c r="DT11" i="7" s="1"/>
  <c r="AB19" i="29"/>
  <c r="H21" i="30"/>
  <c r="I15" i="30" s="1"/>
  <c r="G10" i="44"/>
  <c r="BW14" i="7"/>
  <c r="D13" i="8"/>
  <c r="E13" i="8" s="1"/>
  <c r="AJ13" i="8" s="1"/>
  <c r="DH13" i="8" s="1"/>
  <c r="C14" i="8"/>
  <c r="E27" i="44"/>
  <c r="V12" i="28"/>
  <c r="AF11" i="8" s="1"/>
  <c r="AG11" i="8" s="1"/>
  <c r="H16" i="44"/>
  <c r="G96" i="55"/>
  <c r="G98" i="55" s="1"/>
  <c r="G108" i="55" s="1"/>
  <c r="BL12" i="7"/>
  <c r="BP12" i="7"/>
  <c r="BQ12" i="7" s="1"/>
  <c r="BR12" i="7" s="1"/>
  <c r="F10" i="44"/>
  <c r="T15" i="7"/>
  <c r="U15" i="7" s="1"/>
  <c r="S16" i="7"/>
  <c r="BV15" i="7"/>
  <c r="BI13" i="7"/>
  <c r="BK13" i="7"/>
  <c r="BJ13" i="7"/>
  <c r="BO13" i="7"/>
  <c r="BN13" i="7"/>
  <c r="DX13" i="7" s="1"/>
  <c r="BR10" i="7"/>
  <c r="AK10" i="8"/>
  <c r="DG10" i="8"/>
  <c r="DF10" i="8" s="1"/>
  <c r="AN86" i="7"/>
  <c r="M13" i="28"/>
  <c r="Q13" i="28"/>
  <c r="U13" i="28"/>
  <c r="F50" i="29"/>
  <c r="F66" i="29"/>
  <c r="G66" i="29" s="1"/>
  <c r="H66" i="29" s="1"/>
  <c r="H67" i="29" s="1"/>
  <c r="H36" i="29" s="1"/>
  <c r="G19" i="44"/>
  <c r="F89" i="55"/>
  <c r="G89" i="55" s="1"/>
  <c r="H89" i="55" s="1"/>
  <c r="F73" i="55"/>
  <c r="F68" i="54" s="1"/>
  <c r="J15" i="28"/>
  <c r="K14" i="28"/>
  <c r="L14" i="28" s="1"/>
  <c r="A7" i="30"/>
  <c r="BW8" i="7"/>
  <c r="H87" i="55"/>
  <c r="CU37" i="8"/>
  <c r="CU38" i="8" s="1"/>
  <c r="M74" i="8" l="1"/>
  <c r="N74" i="8" s="1"/>
  <c r="ED11" i="7"/>
  <c r="G90" i="55"/>
  <c r="G59" i="55" s="1"/>
  <c r="G54" i="54" s="1"/>
  <c r="H90" i="55"/>
  <c r="H59" i="55" s="1"/>
  <c r="G67" i="29"/>
  <c r="G36" i="29" s="1"/>
  <c r="V13" i="28"/>
  <c r="AF12" i="8" s="1"/>
  <c r="AG12" i="8" s="1"/>
  <c r="BL13" i="7"/>
  <c r="T16" i="7"/>
  <c r="U16" i="7" s="1"/>
  <c r="BV16" i="7"/>
  <c r="S17" i="7"/>
  <c r="BS12" i="7"/>
  <c r="DW12" i="7" s="1"/>
  <c r="H24" i="44"/>
  <c r="H10" i="44" s="1"/>
  <c r="H19" i="44"/>
  <c r="D14" i="8"/>
  <c r="E14" i="8" s="1"/>
  <c r="AJ14" i="8" s="1"/>
  <c r="DH14" i="8" s="1"/>
  <c r="C15" i="8"/>
  <c r="B11" i="7"/>
  <c r="EG11" i="7"/>
  <c r="Y15" i="7"/>
  <c r="AN87" i="7"/>
  <c r="AK11" i="8"/>
  <c r="DG11" i="8"/>
  <c r="DF11" i="8" s="1"/>
  <c r="I21" i="30"/>
  <c r="I20" i="30"/>
  <c r="I18" i="30"/>
  <c r="I19" i="30"/>
  <c r="I16" i="30"/>
  <c r="I17" i="30"/>
  <c r="Q14" i="28"/>
  <c r="U14" i="28"/>
  <c r="M14" i="28"/>
  <c r="K15" i="28"/>
  <c r="L15" i="28" s="1"/>
  <c r="J16" i="28"/>
  <c r="BK14" i="7"/>
  <c r="BI14" i="7"/>
  <c r="BJ14" i="7"/>
  <c r="BO14" i="7"/>
  <c r="BN14" i="7"/>
  <c r="DX14" i="7" s="1"/>
  <c r="BS10" i="7"/>
  <c r="DW10" i="7" s="1"/>
  <c r="BP13" i="7"/>
  <c r="BQ13" i="7" s="1"/>
  <c r="BR13" i="7" s="1"/>
  <c r="BW15" i="7"/>
  <c r="M75" i="8" l="1"/>
  <c r="N75" i="8" s="1"/>
  <c r="BS13" i="7"/>
  <c r="DW13" i="7" s="1"/>
  <c r="BL14" i="7"/>
  <c r="K16" i="28"/>
  <c r="L16" i="28" s="1"/>
  <c r="J17" i="28"/>
  <c r="V14" i="28"/>
  <c r="AF13" i="8" s="1"/>
  <c r="AG13" i="8" s="1"/>
  <c r="BJ15" i="7"/>
  <c r="BO15" i="7"/>
  <c r="BI15" i="7"/>
  <c r="BK15" i="7"/>
  <c r="BN15" i="7"/>
  <c r="DX15" i="7" s="1"/>
  <c r="AM83" i="7"/>
  <c r="BX11" i="7"/>
  <c r="BW16" i="7"/>
  <c r="D15" i="8"/>
  <c r="E15" i="8" s="1"/>
  <c r="AJ15" i="8" s="1"/>
  <c r="DH15" i="8" s="1"/>
  <c r="C16" i="8"/>
  <c r="H27" i="44"/>
  <c r="Y16" i="7"/>
  <c r="AN88" i="7"/>
  <c r="DG12" i="8"/>
  <c r="DF12" i="8" s="1"/>
  <c r="AK12" i="8"/>
  <c r="ED10" i="7"/>
  <c r="DT10" i="7"/>
  <c r="DT12" i="7"/>
  <c r="ED12" i="7"/>
  <c r="Q15" i="28"/>
  <c r="U15" i="28"/>
  <c r="M15" i="28"/>
  <c r="BP14" i="7"/>
  <c r="BQ14" i="7" s="1"/>
  <c r="BR14" i="7" s="1"/>
  <c r="BV17" i="7"/>
  <c r="S18" i="7"/>
  <c r="T17" i="7"/>
  <c r="U17" i="7" s="1"/>
  <c r="M76" i="8" l="1"/>
  <c r="N76" i="8" s="1"/>
  <c r="BS14" i="7"/>
  <c r="DW14" i="7" s="1"/>
  <c r="ED14" i="7" s="1"/>
  <c r="V15" i="28"/>
  <c r="AF14" i="8" s="1"/>
  <c r="AG14" i="8" s="1"/>
  <c r="DG14" i="8" s="1"/>
  <c r="DF14" i="8" s="1"/>
  <c r="S19" i="7"/>
  <c r="T18" i="7"/>
  <c r="U18" i="7" s="1"/>
  <c r="BV18" i="7"/>
  <c r="BW17" i="7"/>
  <c r="U16" i="28"/>
  <c r="Q16" i="28"/>
  <c r="M16" i="28"/>
  <c r="BP15" i="7"/>
  <c r="BQ15" i="7" s="1"/>
  <c r="BR15" i="7" s="1"/>
  <c r="EG12" i="7"/>
  <c r="B12" i="7"/>
  <c r="BL15" i="7"/>
  <c r="DT14" i="7"/>
  <c r="Y17" i="7"/>
  <c r="AN89" i="7"/>
  <c r="B10" i="7"/>
  <c r="EG10" i="7"/>
  <c r="C17" i="8"/>
  <c r="D16" i="8"/>
  <c r="E16" i="8" s="1"/>
  <c r="AJ16" i="8" s="1"/>
  <c r="DH16" i="8" s="1"/>
  <c r="AK13" i="8"/>
  <c r="DG13" i="8"/>
  <c r="DF13" i="8" s="1"/>
  <c r="ED13" i="7"/>
  <c r="DT13" i="7"/>
  <c r="BN16" i="7"/>
  <c r="DX16" i="7" s="1"/>
  <c r="BO16" i="7"/>
  <c r="BJ16" i="7"/>
  <c r="BI16" i="7"/>
  <c r="BK16" i="7"/>
  <c r="J18" i="28"/>
  <c r="K17" i="28"/>
  <c r="L17" i="28" s="1"/>
  <c r="AK14" i="8" l="1"/>
  <c r="M77" i="8"/>
  <c r="BL16" i="7"/>
  <c r="J19" i="28"/>
  <c r="K18" i="28"/>
  <c r="L18" i="28" s="1"/>
  <c r="BP16" i="7"/>
  <c r="BQ16" i="7" s="1"/>
  <c r="BR16" i="7" s="1"/>
  <c r="B13" i="7"/>
  <c r="EG13" i="7"/>
  <c r="D17" i="8"/>
  <c r="E17" i="8" s="1"/>
  <c r="AJ17" i="8" s="1"/>
  <c r="DH17" i="8" s="1"/>
  <c r="C18" i="8"/>
  <c r="M78" i="8"/>
  <c r="N78" i="8" s="1"/>
  <c r="BS15" i="7"/>
  <c r="DW15" i="7" s="1"/>
  <c r="Q17" i="28"/>
  <c r="U17" i="28"/>
  <c r="M17" i="28"/>
  <c r="BI17" i="7"/>
  <c r="BK17" i="7"/>
  <c r="BO17" i="7"/>
  <c r="BJ17" i="7"/>
  <c r="BN17" i="7"/>
  <c r="DX17" i="7" s="1"/>
  <c r="BW18" i="7"/>
  <c r="AM82" i="7"/>
  <c r="BX10" i="7"/>
  <c r="AM84" i="7"/>
  <c r="BX12" i="7"/>
  <c r="Y18" i="7"/>
  <c r="AN90" i="7"/>
  <c r="N77" i="8"/>
  <c r="EG14" i="7"/>
  <c r="B14" i="7"/>
  <c r="V16" i="28"/>
  <c r="AF15" i="8" s="1"/>
  <c r="AG15" i="8" s="1"/>
  <c r="S20" i="7"/>
  <c r="T19" i="7"/>
  <c r="U19" i="7" s="1"/>
  <c r="BV19" i="7"/>
  <c r="V17" i="28" l="1"/>
  <c r="AF16" i="8" s="1"/>
  <c r="AG16" i="8" s="1"/>
  <c r="DG16" i="8" s="1"/>
  <c r="DF16" i="8" s="1"/>
  <c r="BS16" i="7"/>
  <c r="DW16" i="7" s="1"/>
  <c r="T20" i="7"/>
  <c r="U20" i="7" s="1"/>
  <c r="S21" i="7"/>
  <c r="BV20" i="7"/>
  <c r="DG15" i="8"/>
  <c r="DF15" i="8" s="1"/>
  <c r="AK15" i="8"/>
  <c r="Q18" i="28"/>
  <c r="U18" i="28"/>
  <c r="M18" i="28"/>
  <c r="DT15" i="7"/>
  <c r="ED15" i="7"/>
  <c r="BL17" i="7"/>
  <c r="BW19" i="7"/>
  <c r="AM86" i="7"/>
  <c r="BX14" i="7"/>
  <c r="BO18" i="7"/>
  <c r="BI18" i="7"/>
  <c r="BN18" i="7"/>
  <c r="DX18" i="7" s="1"/>
  <c r="BJ18" i="7"/>
  <c r="BK18" i="7"/>
  <c r="BP17" i="7"/>
  <c r="BQ17" i="7" s="1"/>
  <c r="BR17" i="7" s="1"/>
  <c r="M79" i="8"/>
  <c r="N79" i="8" s="1"/>
  <c r="AM85" i="7"/>
  <c r="BX13" i="7"/>
  <c r="J20" i="28"/>
  <c r="K19" i="28"/>
  <c r="L19" i="28" s="1"/>
  <c r="Y19" i="7"/>
  <c r="AN91" i="7"/>
  <c r="D18" i="8"/>
  <c r="E18" i="8" s="1"/>
  <c r="AJ18" i="8" s="1"/>
  <c r="DH18" i="8" s="1"/>
  <c r="C19" i="8"/>
  <c r="AK16" i="8" l="1"/>
  <c r="V18" i="28"/>
  <c r="AF17" i="8" s="1"/>
  <c r="AG17" i="8" s="1"/>
  <c r="BL18" i="7"/>
  <c r="BI19" i="7"/>
  <c r="BN19" i="7"/>
  <c r="DX19" i="7" s="1"/>
  <c r="BJ19" i="7"/>
  <c r="BO19" i="7"/>
  <c r="BK19" i="7"/>
  <c r="BW20" i="7"/>
  <c r="Q19" i="28"/>
  <c r="M19" i="28"/>
  <c r="U19" i="28"/>
  <c r="E3" i="53"/>
  <c r="AM23" i="29"/>
  <c r="I65" i="53"/>
  <c r="AK17" i="8"/>
  <c r="DG17" i="8"/>
  <c r="DF17" i="8" s="1"/>
  <c r="T21" i="7"/>
  <c r="U21" i="7" s="1"/>
  <c r="S22" i="7"/>
  <c r="BV21" i="7"/>
  <c r="Y20" i="7"/>
  <c r="AN92" i="7"/>
  <c r="K20" i="28"/>
  <c r="L20" i="28" s="1"/>
  <c r="J21" i="28"/>
  <c r="EG15" i="7"/>
  <c r="B15" i="7"/>
  <c r="D19" i="8"/>
  <c r="E19" i="8" s="1"/>
  <c r="AJ19" i="8" s="1"/>
  <c r="DH19" i="8" s="1"/>
  <c r="C20" i="8"/>
  <c r="BS17" i="7"/>
  <c r="DW17" i="7" s="1"/>
  <c r="BP18" i="7"/>
  <c r="BQ18" i="7" s="1"/>
  <c r="BR18" i="7" s="1"/>
  <c r="BS18" i="7"/>
  <c r="DW18" i="7" s="1"/>
  <c r="DT16" i="7"/>
  <c r="ED16" i="7"/>
  <c r="BL19" i="7" l="1"/>
  <c r="AM87" i="7"/>
  <c r="BX15" i="7"/>
  <c r="DT17" i="7"/>
  <c r="ED17" i="7"/>
  <c r="BJ20" i="7"/>
  <c r="BO20" i="7"/>
  <c r="BN20" i="7"/>
  <c r="DX20" i="7" s="1"/>
  <c r="BK20" i="7"/>
  <c r="BI20" i="7"/>
  <c r="J63" i="53"/>
  <c r="E4" i="53"/>
  <c r="W3" i="53"/>
  <c r="V19" i="28"/>
  <c r="BP19" i="7"/>
  <c r="BQ19" i="7" s="1"/>
  <c r="BR19" i="7" s="1"/>
  <c r="ED18" i="7"/>
  <c r="DT18" i="7"/>
  <c r="B16" i="7"/>
  <c r="EG16" i="7"/>
  <c r="D20" i="8"/>
  <c r="E20" i="8" s="1"/>
  <c r="AJ20" i="8" s="1"/>
  <c r="DH20" i="8" s="1"/>
  <c r="C21" i="8"/>
  <c r="J22" i="28"/>
  <c r="K21" i="28"/>
  <c r="L21" i="28" s="1"/>
  <c r="BW21" i="7"/>
  <c r="M20" i="28"/>
  <c r="Q20" i="28"/>
  <c r="U20" i="28"/>
  <c r="T22" i="7"/>
  <c r="U22" i="7" s="1"/>
  <c r="BV22" i="7"/>
  <c r="S23" i="7"/>
  <c r="W4" i="53"/>
  <c r="Q62" i="53"/>
  <c r="Y21" i="7"/>
  <c r="AN93" i="7"/>
  <c r="BS19" i="7" l="1"/>
  <c r="DW19" i="7" s="1"/>
  <c r="Y22" i="7"/>
  <c r="AN94" i="7"/>
  <c r="C22" i="8"/>
  <c r="D21" i="8"/>
  <c r="E21" i="8" s="1"/>
  <c r="AJ21" i="8" s="1"/>
  <c r="DH21" i="8" s="1"/>
  <c r="B18" i="7"/>
  <c r="EG18" i="7"/>
  <c r="AF18" i="8"/>
  <c r="AG18" i="8" s="1"/>
  <c r="AF24" i="8"/>
  <c r="BL20" i="7"/>
  <c r="AB4" i="53"/>
  <c r="AD4" i="53"/>
  <c r="Z4" i="53"/>
  <c r="AA4" i="53"/>
  <c r="N65" i="53" s="1"/>
  <c r="L65" i="53"/>
  <c r="AC4" i="53"/>
  <c r="AB3" i="53"/>
  <c r="AA3" i="53"/>
  <c r="AC3" i="53"/>
  <c r="AD3" i="53"/>
  <c r="BV23" i="7"/>
  <c r="S24" i="7"/>
  <c r="T23" i="7"/>
  <c r="U23" i="7" s="1"/>
  <c r="V20" i="28"/>
  <c r="O65" i="53"/>
  <c r="O68" i="53"/>
  <c r="S56" i="53"/>
  <c r="U5" i="53" s="1"/>
  <c r="S52" i="53"/>
  <c r="L47" i="53"/>
  <c r="S49" i="53"/>
  <c r="S51" i="53"/>
  <c r="L38" i="53"/>
  <c r="O63" i="53"/>
  <c r="U6" i="53" s="1"/>
  <c r="M90" i="53" s="1"/>
  <c r="R56" i="53"/>
  <c r="L54" i="53"/>
  <c r="S54" i="53"/>
  <c r="L50" i="53"/>
  <c r="L53" i="53"/>
  <c r="L45" i="53"/>
  <c r="S38" i="53"/>
  <c r="L56" i="53"/>
  <c r="U4" i="53" s="1"/>
  <c r="O64" i="53"/>
  <c r="L51" i="53"/>
  <c r="S53" i="53"/>
  <c r="L46" i="53"/>
  <c r="S44" i="53"/>
  <c r="O66" i="53"/>
  <c r="S50" i="53"/>
  <c r="L49" i="53"/>
  <c r="L52" i="53"/>
  <c r="S40" i="53"/>
  <c r="L44" i="53"/>
  <c r="S42" i="53"/>
  <c r="L39" i="53"/>
  <c r="L42" i="53"/>
  <c r="S47" i="53"/>
  <c r="L40" i="53"/>
  <c r="S43" i="53"/>
  <c r="EG17" i="7"/>
  <c r="B17" i="7"/>
  <c r="Q21" i="28"/>
  <c r="M21" i="28"/>
  <c r="U21" i="28"/>
  <c r="DT19" i="7"/>
  <c r="ED19" i="7"/>
  <c r="BI21" i="7"/>
  <c r="BK21" i="7"/>
  <c r="BJ21" i="7"/>
  <c r="BN21" i="7"/>
  <c r="DX21" i="7" s="1"/>
  <c r="BO21" i="7"/>
  <c r="BW22" i="7"/>
  <c r="J23" i="28"/>
  <c r="K22" i="28"/>
  <c r="L22" i="28" s="1"/>
  <c r="AM88" i="7"/>
  <c r="BX16" i="7"/>
  <c r="H69" i="53"/>
  <c r="H64" i="53"/>
  <c r="BP20" i="7"/>
  <c r="BQ20" i="7" s="1"/>
  <c r="BR20" i="7" s="1"/>
  <c r="Q37" i="53" l="1"/>
  <c r="V21" i="28"/>
  <c r="AF26" i="8" s="1"/>
  <c r="K23" i="28"/>
  <c r="L23" i="28" s="1"/>
  <c r="J24" i="28"/>
  <c r="BS20" i="7"/>
  <c r="DW20" i="7" s="1"/>
  <c r="BL21" i="7"/>
  <c r="B19" i="7"/>
  <c r="EG19" i="7"/>
  <c r="AM89" i="7"/>
  <c r="BX17" i="7"/>
  <c r="AF25" i="8"/>
  <c r="AF19" i="8"/>
  <c r="AG19" i="8" s="1"/>
  <c r="G69" i="53"/>
  <c r="I69" i="53" s="1"/>
  <c r="Y3" i="53"/>
  <c r="Y5" i="53" s="1"/>
  <c r="N69" i="53" s="1"/>
  <c r="T9" i="53" s="1"/>
  <c r="L93" i="53" s="1"/>
  <c r="R93" i="53" s="1"/>
  <c r="Y4" i="53"/>
  <c r="Z5" i="53" s="1"/>
  <c r="N63" i="53"/>
  <c r="AK18" i="8"/>
  <c r="DG18" i="8"/>
  <c r="DF18" i="8" s="1"/>
  <c r="D22" i="8"/>
  <c r="E22" i="8" s="1"/>
  <c r="AJ22" i="8" s="1"/>
  <c r="DH22" i="8" s="1"/>
  <c r="C23" i="8"/>
  <c r="U8" i="53"/>
  <c r="M89" i="53"/>
  <c r="S89" i="53" s="1"/>
  <c r="Y23" i="7"/>
  <c r="AN95" i="7"/>
  <c r="M22" i="28"/>
  <c r="Q22" i="28"/>
  <c r="U22" i="28"/>
  <c r="BP21" i="7"/>
  <c r="BQ21" i="7" s="1"/>
  <c r="BR21" i="7" s="1"/>
  <c r="BS21" i="7"/>
  <c r="DW21" i="7" s="1"/>
  <c r="BV24" i="7"/>
  <c r="T24" i="7"/>
  <c r="U24" i="7" s="1"/>
  <c r="S25" i="7"/>
  <c r="W85" i="53"/>
  <c r="W86" i="53"/>
  <c r="W84" i="53"/>
  <c r="N43" i="53" s="1"/>
  <c r="N37" i="53"/>
  <c r="W87" i="53"/>
  <c r="E36" i="53"/>
  <c r="AM90" i="7"/>
  <c r="BX18" i="7"/>
  <c r="BK22" i="7"/>
  <c r="BJ22" i="7"/>
  <c r="BN22" i="7"/>
  <c r="DX22" i="7" s="1"/>
  <c r="BO22" i="7"/>
  <c r="BI22" i="7"/>
  <c r="R8" i="53"/>
  <c r="M88" i="53"/>
  <c r="S88" i="53" s="1"/>
  <c r="S90" i="53"/>
  <c r="O92" i="53" s="1"/>
  <c r="J92" i="53"/>
  <c r="BW23" i="7"/>
  <c r="AF20" i="8" l="1"/>
  <c r="AG20" i="8" s="1"/>
  <c r="BA9" i="53"/>
  <c r="BF8" i="53"/>
  <c r="N13" i="53"/>
  <c r="J43" i="53"/>
  <c r="L13" i="53"/>
  <c r="N64" i="53" s="1"/>
  <c r="N66" i="53" s="1"/>
  <c r="P46" i="53"/>
  <c r="L9" i="53"/>
  <c r="E43" i="53" s="1"/>
  <c r="Y24" i="7"/>
  <c r="AN96" i="7"/>
  <c r="M92" i="53"/>
  <c r="S92" i="53"/>
  <c r="AK19" i="8"/>
  <c r="DG19" i="8"/>
  <c r="DF19" i="8" s="1"/>
  <c r="DG20" i="8"/>
  <c r="DF20" i="8" s="1"/>
  <c r="AK20" i="8"/>
  <c r="BP22" i="7"/>
  <c r="BQ22" i="7" s="1"/>
  <c r="BR22" i="7" s="1"/>
  <c r="T25" i="7"/>
  <c r="U25" i="7" s="1"/>
  <c r="S26" i="7"/>
  <c r="BV25" i="7"/>
  <c r="BL22" i="7"/>
  <c r="BW24" i="7"/>
  <c r="AM91" i="7"/>
  <c r="BX19" i="7"/>
  <c r="DT21" i="7"/>
  <c r="ED21" i="7"/>
  <c r="V22" i="28"/>
  <c r="BI23" i="7"/>
  <c r="BO23" i="7"/>
  <c r="BJ23" i="7"/>
  <c r="BK23" i="7"/>
  <c r="BN23" i="7"/>
  <c r="DX23" i="7" s="1"/>
  <c r="D23" i="8"/>
  <c r="E23" i="8" s="1"/>
  <c r="AJ23" i="8" s="1"/>
  <c r="DH23" i="8" s="1"/>
  <c r="C24" i="8"/>
  <c r="J25" i="28"/>
  <c r="K24" i="28"/>
  <c r="L24" i="28" s="1"/>
  <c r="ED20" i="7"/>
  <c r="DT20" i="7"/>
  <c r="M23" i="28"/>
  <c r="Q23" i="28"/>
  <c r="U23" i="28"/>
  <c r="BG8" i="53" l="1"/>
  <c r="BD21" i="53"/>
  <c r="BM21" i="53"/>
  <c r="BV21" i="53" s="1"/>
  <c r="K27" i="45"/>
  <c r="S6" i="53"/>
  <c r="C21" i="29" s="1"/>
  <c r="BL23" i="7"/>
  <c r="D24" i="8"/>
  <c r="E24" i="8" s="1"/>
  <c r="C25" i="8"/>
  <c r="Y25" i="7"/>
  <c r="AN97" i="7"/>
  <c r="BL11" i="53"/>
  <c r="S46" i="53"/>
  <c r="S55" i="53" s="1"/>
  <c r="BJ24" i="53"/>
  <c r="BF11" i="53"/>
  <c r="P55" i="53"/>
  <c r="BP23" i="7"/>
  <c r="BQ23" i="7" s="1"/>
  <c r="BR23" i="7" s="1"/>
  <c r="B21" i="7"/>
  <c r="EG21" i="7"/>
  <c r="U24" i="28"/>
  <c r="M24" i="28"/>
  <c r="Q24" i="28"/>
  <c r="BW25" i="7"/>
  <c r="BS22" i="7"/>
  <c r="DW22" i="7" s="1"/>
  <c r="BI24" i="7"/>
  <c r="BK24" i="7"/>
  <c r="BO24" i="7"/>
  <c r="BN24" i="7"/>
  <c r="DX24" i="7" s="1"/>
  <c r="BJ24" i="7"/>
  <c r="EG20" i="7"/>
  <c r="B20" i="7"/>
  <c r="V23" i="28"/>
  <c r="J26" i="28"/>
  <c r="K25" i="28"/>
  <c r="L25" i="28" s="1"/>
  <c r="AF27" i="8"/>
  <c r="AF21" i="8"/>
  <c r="AG21" i="8" s="1"/>
  <c r="T26" i="7"/>
  <c r="U26" i="7" s="1"/>
  <c r="BV26" i="7"/>
  <c r="S27" i="7"/>
  <c r="AT33" i="53"/>
  <c r="BE8" i="53"/>
  <c r="J27" i="45" s="1"/>
  <c r="AT9" i="53"/>
  <c r="J15" i="45" s="1"/>
  <c r="C36" i="32"/>
  <c r="O5" i="53"/>
  <c r="H45" i="53"/>
  <c r="H43" i="53"/>
  <c r="K43" i="53" s="1"/>
  <c r="BS23" i="7" l="1"/>
  <c r="DW23" i="7" s="1"/>
  <c r="G21" i="29"/>
  <c r="H21" i="29"/>
  <c r="K90" i="53"/>
  <c r="Q90" i="53" s="1"/>
  <c r="F21" i="29"/>
  <c r="D51" i="32"/>
  <c r="AB14" i="29"/>
  <c r="D21" i="29"/>
  <c r="E21" i="29"/>
  <c r="B21" i="29"/>
  <c r="BH8" i="53"/>
  <c r="BE21" i="53"/>
  <c r="BN21" i="53"/>
  <c r="BW21" i="53" s="1"/>
  <c r="L27" i="45"/>
  <c r="AF28" i="8"/>
  <c r="AF22" i="8"/>
  <c r="AG22" i="8" s="1"/>
  <c r="T27" i="7"/>
  <c r="U27" i="7" s="1"/>
  <c r="BV27" i="7"/>
  <c r="S28" i="7"/>
  <c r="AM92" i="7"/>
  <c r="BX20" i="7"/>
  <c r="BL24" i="7"/>
  <c r="V24" i="28"/>
  <c r="AM93" i="7"/>
  <c r="BX21" i="7"/>
  <c r="BM24" i="53"/>
  <c r="BD24" i="53"/>
  <c r="BD38" i="53" s="1"/>
  <c r="AU38" i="53"/>
  <c r="Q25" i="28"/>
  <c r="U25" i="28"/>
  <c r="M25" i="28"/>
  <c r="ED22" i="7"/>
  <c r="DT22" i="7"/>
  <c r="BI25" i="7"/>
  <c r="BO25" i="7"/>
  <c r="BJ25" i="7"/>
  <c r="BN25" i="7"/>
  <c r="DX25" i="7" s="1"/>
  <c r="BK25" i="7"/>
  <c r="Y26" i="7"/>
  <c r="AN98" i="7"/>
  <c r="K26" i="28"/>
  <c r="L26" i="28" s="1"/>
  <c r="J27" i="28"/>
  <c r="BP24" i="7"/>
  <c r="BQ24" i="7" s="1"/>
  <c r="BR24" i="7" s="1"/>
  <c r="DT23" i="7"/>
  <c r="ED23" i="7"/>
  <c r="B102" i="55"/>
  <c r="B104" i="55" s="1"/>
  <c r="B108" i="55" s="1"/>
  <c r="C17" i="44"/>
  <c r="T5" i="53"/>
  <c r="D25" i="8"/>
  <c r="E25" i="8" s="1"/>
  <c r="C26" i="8"/>
  <c r="L43" i="53"/>
  <c r="L55" i="53" s="1"/>
  <c r="S4" i="53" s="1"/>
  <c r="K55" i="53"/>
  <c r="BW26" i="7"/>
  <c r="DG21" i="8"/>
  <c r="DF21" i="8" s="1"/>
  <c r="AK21" i="8"/>
  <c r="BG11" i="53"/>
  <c r="AJ24" i="8"/>
  <c r="DH24" i="8" s="1"/>
  <c r="AG24" i="8"/>
  <c r="BF21" i="53" l="1"/>
  <c r="M27" i="45"/>
  <c r="BO21" i="53"/>
  <c r="BX21" i="53" s="1"/>
  <c r="BI8" i="53"/>
  <c r="C27" i="8"/>
  <c r="D26" i="8"/>
  <c r="E26" i="8" s="1"/>
  <c r="BI26" i="7"/>
  <c r="BJ26" i="7"/>
  <c r="BN26" i="7"/>
  <c r="DX26" i="7" s="1"/>
  <c r="BO26" i="7"/>
  <c r="BK26" i="7"/>
  <c r="BH11" i="53"/>
  <c r="L89" i="53"/>
  <c r="R89" i="53" s="1"/>
  <c r="R92" i="53" s="1"/>
  <c r="T8" i="53"/>
  <c r="L92" i="53" s="1"/>
  <c r="EG23" i="7"/>
  <c r="B23" i="7"/>
  <c r="DG24" i="8"/>
  <c r="DF24" i="8" s="1"/>
  <c r="AK24" i="8"/>
  <c r="E12" i="29"/>
  <c r="D34" i="55"/>
  <c r="B12" i="29"/>
  <c r="C12" i="29"/>
  <c r="H12" i="29"/>
  <c r="C34" i="55"/>
  <c r="D12" i="29"/>
  <c r="B34" i="55"/>
  <c r="AB9" i="29"/>
  <c r="G34" i="55"/>
  <c r="F12" i="29"/>
  <c r="D50" i="32"/>
  <c r="E34" i="55"/>
  <c r="S8" i="53"/>
  <c r="K92" i="53" s="1"/>
  <c r="B27" i="55"/>
  <c r="G12" i="29"/>
  <c r="K88" i="53"/>
  <c r="Q88" i="53" s="1"/>
  <c r="Q92" i="53" s="1"/>
  <c r="D95" i="53" s="1"/>
  <c r="B5" i="29"/>
  <c r="F34" i="55"/>
  <c r="H34" i="55"/>
  <c r="C25" i="44"/>
  <c r="C10" i="44" s="1"/>
  <c r="C19" i="44"/>
  <c r="BS24" i="7"/>
  <c r="DW24" i="7" s="1"/>
  <c r="BL25" i="7"/>
  <c r="BW27" i="7"/>
  <c r="BN24" i="53"/>
  <c r="BE24" i="53"/>
  <c r="BE38" i="53" s="1"/>
  <c r="AV38" i="53"/>
  <c r="Y27" i="7"/>
  <c r="AN99" i="7"/>
  <c r="AJ25" i="8"/>
  <c r="DH25" i="8" s="1"/>
  <c r="AG25" i="8"/>
  <c r="J28" i="28"/>
  <c r="K27" i="28"/>
  <c r="L27" i="28" s="1"/>
  <c r="AF23" i="8"/>
  <c r="AG23" i="8" s="1"/>
  <c r="AF29" i="8"/>
  <c r="DG22" i="8"/>
  <c r="DF22" i="8" s="1"/>
  <c r="AK22" i="8"/>
  <c r="BP25" i="7"/>
  <c r="BQ25" i="7" s="1"/>
  <c r="BR25" i="7" s="1"/>
  <c r="Q26" i="28"/>
  <c r="U26" i="28"/>
  <c r="M26" i="28"/>
  <c r="EG22" i="7"/>
  <c r="B22" i="7"/>
  <c r="V25" i="28"/>
  <c r="AF30" i="8" s="1"/>
  <c r="BV24" i="53"/>
  <c r="BV38" i="53" s="1"/>
  <c r="K30" i="45"/>
  <c r="K32" i="45" s="1"/>
  <c r="BM38" i="53"/>
  <c r="S29" i="7"/>
  <c r="BV28" i="7"/>
  <c r="T28" i="7"/>
  <c r="U28" i="7" s="1"/>
  <c r="BS25" i="7" l="1"/>
  <c r="DW25" i="7" s="1"/>
  <c r="N27" i="45"/>
  <c r="BG21" i="53"/>
  <c r="BP21" i="53"/>
  <c r="BY21" i="53" s="1"/>
  <c r="BJ8" i="53"/>
  <c r="BK8" i="53" s="1"/>
  <c r="V26" i="28"/>
  <c r="Y28" i="7"/>
  <c r="AN100" i="7"/>
  <c r="T29" i="7"/>
  <c r="U29" i="7" s="1"/>
  <c r="S30" i="7"/>
  <c r="BV29" i="7"/>
  <c r="C27" i="55"/>
  <c r="B28" i="55"/>
  <c r="C28" i="55" s="1"/>
  <c r="I95" i="53"/>
  <c r="N97" i="53"/>
  <c r="Q97" i="53" s="1"/>
  <c r="N95" i="53"/>
  <c r="AM94" i="7"/>
  <c r="BX22" i="7"/>
  <c r="C5" i="29"/>
  <c r="B7" i="29"/>
  <c r="AM95" i="7"/>
  <c r="BX23" i="7"/>
  <c r="BO24" i="53"/>
  <c r="BF24" i="53"/>
  <c r="BF38" i="53" s="1"/>
  <c r="AW38" i="53"/>
  <c r="BP26" i="7"/>
  <c r="BQ26" i="7" s="1"/>
  <c r="BR26" i="7" s="1"/>
  <c r="AJ26" i="8"/>
  <c r="DH26" i="8" s="1"/>
  <c r="AG26" i="8"/>
  <c r="DT25" i="7"/>
  <c r="ED25" i="7"/>
  <c r="K28" i="28"/>
  <c r="L28" i="28" s="1"/>
  <c r="J29" i="28"/>
  <c r="BI27" i="7"/>
  <c r="BK27" i="7"/>
  <c r="BN27" i="7"/>
  <c r="DX27" i="7" s="1"/>
  <c r="BO27" i="7"/>
  <c r="BJ27" i="7"/>
  <c r="BW24" i="53"/>
  <c r="BW38" i="53" s="1"/>
  <c r="L30" i="45"/>
  <c r="L32" i="45" s="1"/>
  <c r="BN38" i="53"/>
  <c r="C74" i="32"/>
  <c r="C76" i="32" s="1"/>
  <c r="C27" i="44"/>
  <c r="L21" i="44"/>
  <c r="C28" i="8"/>
  <c r="D27" i="8"/>
  <c r="E27" i="8" s="1"/>
  <c r="M27" i="28"/>
  <c r="U27" i="28"/>
  <c r="Q27" i="28"/>
  <c r="BW28" i="7"/>
  <c r="DG23" i="8"/>
  <c r="DF23" i="8" s="1"/>
  <c r="AK23" i="8"/>
  <c r="AK25" i="8"/>
  <c r="DG25" i="8"/>
  <c r="DF25" i="8" s="1"/>
  <c r="DT24" i="7"/>
  <c r="ED24" i="7"/>
  <c r="BI11" i="53"/>
  <c r="BJ11" i="53" s="1"/>
  <c r="BL26" i="7"/>
  <c r="BQ21" i="53" l="1"/>
  <c r="BZ21" i="53" s="1"/>
  <c r="BH21" i="53"/>
  <c r="O27" i="45"/>
  <c r="BI21" i="53"/>
  <c r="BR21" i="53"/>
  <c r="CA21" i="53" s="1"/>
  <c r="P27" i="45"/>
  <c r="BM8" i="53"/>
  <c r="BL27" i="7"/>
  <c r="BQ24" i="53"/>
  <c r="BH24" i="53"/>
  <c r="AY38" i="53"/>
  <c r="BP27" i="7"/>
  <c r="BQ27" i="7" s="1"/>
  <c r="BR27" i="7" s="1"/>
  <c r="J30" i="28"/>
  <c r="K29" i="28"/>
  <c r="L29" i="28" s="1"/>
  <c r="B25" i="7"/>
  <c r="EG25" i="7"/>
  <c r="M30" i="45"/>
  <c r="M32" i="45" s="1"/>
  <c r="BX24" i="53"/>
  <c r="BX38" i="53" s="1"/>
  <c r="BO38" i="53"/>
  <c r="D5" i="29"/>
  <c r="C7" i="29"/>
  <c r="C24" i="54"/>
  <c r="D27" i="55"/>
  <c r="Y29" i="7"/>
  <c r="AN101" i="7"/>
  <c r="U28" i="28"/>
  <c r="Q28" i="28"/>
  <c r="M28" i="28"/>
  <c r="BS26" i="7"/>
  <c r="DW26" i="7" s="1"/>
  <c r="BP24" i="53"/>
  <c r="BG24" i="53"/>
  <c r="BG38" i="53" s="1"/>
  <c r="AX38" i="53"/>
  <c r="AJ27" i="8"/>
  <c r="DH27" i="8" s="1"/>
  <c r="AG27" i="8"/>
  <c r="AK26" i="8"/>
  <c r="DG26" i="8"/>
  <c r="DF26" i="8" s="1"/>
  <c r="BW29" i="7"/>
  <c r="BO28" i="7"/>
  <c r="BI28" i="7"/>
  <c r="BN28" i="7"/>
  <c r="DX28" i="7" s="1"/>
  <c r="BK28" i="7"/>
  <c r="BJ28" i="7"/>
  <c r="BK11" i="53"/>
  <c r="BM11" i="53" s="1"/>
  <c r="EG24" i="7"/>
  <c r="B24" i="7"/>
  <c r="V27" i="28"/>
  <c r="C29" i="8"/>
  <c r="D28" i="8"/>
  <c r="E28" i="8" s="1"/>
  <c r="B56" i="29"/>
  <c r="B3" i="45"/>
  <c r="B9" i="29"/>
  <c r="C44" i="32"/>
  <c r="C47" i="32" s="1"/>
  <c r="C25" i="55"/>
  <c r="C23" i="54"/>
  <c r="D28" i="55"/>
  <c r="S31" i="7"/>
  <c r="BV30" i="7"/>
  <c r="T30" i="7"/>
  <c r="U30" i="7" s="1"/>
  <c r="BH38" i="53" l="1"/>
  <c r="Y30" i="7"/>
  <c r="AN102" i="7"/>
  <c r="BL28" i="7"/>
  <c r="BP28" i="7"/>
  <c r="BQ28" i="7" s="1"/>
  <c r="BR28" i="7" s="1"/>
  <c r="V28" i="28"/>
  <c r="E27" i="55"/>
  <c r="D24" i="54"/>
  <c r="AM97" i="7"/>
  <c r="BX25" i="7"/>
  <c r="C31" i="55"/>
  <c r="C26" i="54"/>
  <c r="AM96" i="7"/>
  <c r="BX24" i="7"/>
  <c r="BY24" i="53"/>
  <c r="BY38" i="53" s="1"/>
  <c r="N30" i="45"/>
  <c r="N32" i="45" s="1"/>
  <c r="BP38" i="53"/>
  <c r="U29" i="28"/>
  <c r="Q29" i="28"/>
  <c r="M29" i="28"/>
  <c r="BW30" i="7"/>
  <c r="AK27" i="8"/>
  <c r="DG27" i="8"/>
  <c r="DF27" i="8" s="1"/>
  <c r="T31" i="7"/>
  <c r="U31" i="7" s="1"/>
  <c r="BV31" i="7"/>
  <c r="S32" i="7"/>
  <c r="DT26" i="7"/>
  <c r="ED26" i="7"/>
  <c r="D44" i="32"/>
  <c r="D47" i="32" s="1"/>
  <c r="C9" i="29"/>
  <c r="J8" i="29"/>
  <c r="C3" i="45"/>
  <c r="J31" i="28"/>
  <c r="K30" i="28"/>
  <c r="L30" i="28" s="1"/>
  <c r="AJ28" i="8"/>
  <c r="DH28" i="8" s="1"/>
  <c r="AG28" i="8"/>
  <c r="D23" i="54"/>
  <c r="D25" i="55"/>
  <c r="E28" i="55"/>
  <c r="B29" i="29"/>
  <c r="B52" i="55" s="1"/>
  <c r="B17" i="29"/>
  <c r="M36" i="29"/>
  <c r="B19" i="29"/>
  <c r="M31" i="29"/>
  <c r="M29" i="29"/>
  <c r="B45" i="29"/>
  <c r="B14" i="29"/>
  <c r="B31" i="29"/>
  <c r="B54" i="55" s="1"/>
  <c r="B34" i="29"/>
  <c r="B23" i="29"/>
  <c r="B26" i="29"/>
  <c r="B40" i="29"/>
  <c r="M39" i="29"/>
  <c r="B71" i="29"/>
  <c r="B118" i="55"/>
  <c r="B72" i="29"/>
  <c r="C30" i="8"/>
  <c r="D29" i="8"/>
  <c r="E29" i="8" s="1"/>
  <c r="BR24" i="53"/>
  <c r="BI24" i="53"/>
  <c r="BI38" i="53" s="1"/>
  <c r="BJ38" i="53" s="1"/>
  <c r="AZ38" i="53"/>
  <c r="BA38" i="53" s="1"/>
  <c r="BN29" i="7"/>
  <c r="DX29" i="7" s="1"/>
  <c r="BK29" i="7"/>
  <c r="BJ29" i="7"/>
  <c r="BI29" i="7"/>
  <c r="BO29" i="7"/>
  <c r="D7" i="29"/>
  <c r="E5" i="29"/>
  <c r="BS27" i="7"/>
  <c r="DW27" i="7" s="1"/>
  <c r="O30" i="45"/>
  <c r="O32" i="45" s="1"/>
  <c r="BZ24" i="53"/>
  <c r="BZ38" i="53" s="1"/>
  <c r="BQ38" i="53"/>
  <c r="V29" i="28" l="1"/>
  <c r="E44" i="32"/>
  <c r="E47" i="32" s="1"/>
  <c r="D9" i="29"/>
  <c r="D3" i="45"/>
  <c r="K8" i="29"/>
  <c r="AJ29" i="8"/>
  <c r="DH29" i="8" s="1"/>
  <c r="AG29" i="8"/>
  <c r="E23" i="54"/>
  <c r="F28" i="55"/>
  <c r="E25" i="55"/>
  <c r="B26" i="7"/>
  <c r="EG26" i="7"/>
  <c r="BS28" i="7"/>
  <c r="DW28" i="7" s="1"/>
  <c r="Q30" i="28"/>
  <c r="U30" i="28"/>
  <c r="M30" i="28"/>
  <c r="N39" i="29"/>
  <c r="N36" i="29"/>
  <c r="C118" i="55"/>
  <c r="C71" i="29"/>
  <c r="C72" i="29"/>
  <c r="T32" i="7"/>
  <c r="U32" i="7" s="1"/>
  <c r="S33" i="7"/>
  <c r="BV32" i="7"/>
  <c r="C28" i="54"/>
  <c r="C119" i="55"/>
  <c r="E24" i="54"/>
  <c r="F27" i="55"/>
  <c r="BP29" i="7"/>
  <c r="BQ29" i="7" s="1"/>
  <c r="BR29" i="7" s="1"/>
  <c r="DT27" i="7"/>
  <c r="ED27" i="7"/>
  <c r="D30" i="8"/>
  <c r="E30" i="8" s="1"/>
  <c r="C31" i="8"/>
  <c r="D31" i="8" s="1"/>
  <c r="E31" i="8" s="1"/>
  <c r="D26" i="54"/>
  <c r="D31" i="55"/>
  <c r="E7" i="29"/>
  <c r="F5" i="29"/>
  <c r="BL29" i="7"/>
  <c r="K31" i="28"/>
  <c r="L31" i="28" s="1"/>
  <c r="J32" i="28"/>
  <c r="BW31" i="7"/>
  <c r="CA24" i="53"/>
  <c r="CA38" i="53" s="1"/>
  <c r="CB38" i="53" s="1"/>
  <c r="P30" i="45"/>
  <c r="P32" i="45" s="1"/>
  <c r="Q32" i="45" s="1"/>
  <c r="BR38" i="53"/>
  <c r="BS38" i="53" s="1"/>
  <c r="AK28" i="8"/>
  <c r="DG28" i="8"/>
  <c r="DF28" i="8" s="1"/>
  <c r="Y31" i="7"/>
  <c r="AN103" i="7"/>
  <c r="BO30" i="7"/>
  <c r="BI30" i="7"/>
  <c r="BK30" i="7"/>
  <c r="BJ30" i="7"/>
  <c r="BN30" i="7"/>
  <c r="DX30" i="7" s="1"/>
  <c r="BS29" i="7" l="1"/>
  <c r="DW29" i="7" s="1"/>
  <c r="BL30" i="7"/>
  <c r="G5" i="29"/>
  <c r="F7" i="29"/>
  <c r="BK31" i="7"/>
  <c r="BI31" i="7"/>
  <c r="BO31" i="7"/>
  <c r="BN31" i="7"/>
  <c r="DX31" i="7" s="1"/>
  <c r="BJ31" i="7"/>
  <c r="K32" i="28"/>
  <c r="L32" i="28" s="1"/>
  <c r="J33" i="28"/>
  <c r="K33" i="28" s="1"/>
  <c r="L33" i="28" s="1"/>
  <c r="L8" i="29"/>
  <c r="F44" i="32"/>
  <c r="F47" i="32" s="1"/>
  <c r="E3" i="45"/>
  <c r="E9" i="29"/>
  <c r="DT29" i="7"/>
  <c r="ED29" i="7"/>
  <c r="BP30" i="7"/>
  <c r="BQ30" i="7" s="1"/>
  <c r="BR30" i="7" s="1"/>
  <c r="EG27" i="7"/>
  <c r="B27" i="7"/>
  <c r="BW32" i="7"/>
  <c r="DT28" i="7"/>
  <c r="ED28" i="7"/>
  <c r="G28" i="55"/>
  <c r="F25" i="55"/>
  <c r="F23" i="54"/>
  <c r="S34" i="7"/>
  <c r="BV33" i="7"/>
  <c r="T33" i="7"/>
  <c r="U33" i="7" s="1"/>
  <c r="AJ30" i="8"/>
  <c r="AG30" i="8"/>
  <c r="Y32" i="7"/>
  <c r="AN104" i="7"/>
  <c r="AM98" i="7"/>
  <c r="BX26" i="7"/>
  <c r="DG29" i="8"/>
  <c r="DF29" i="8" s="1"/>
  <c r="AK29" i="8"/>
  <c r="O39" i="29"/>
  <c r="O36" i="29"/>
  <c r="D118" i="55"/>
  <c r="D71" i="29"/>
  <c r="D72" i="29"/>
  <c r="M31" i="28"/>
  <c r="U31" i="28"/>
  <c r="Q31" i="28"/>
  <c r="D28" i="54"/>
  <c r="D119" i="55"/>
  <c r="F24" i="54"/>
  <c r="G27" i="55"/>
  <c r="V30" i="28"/>
  <c r="E26" i="54"/>
  <c r="E31" i="55"/>
  <c r="BS30" i="7" l="1"/>
  <c r="DW30" i="7" s="1"/>
  <c r="BL31" i="7"/>
  <c r="U32" i="28"/>
  <c r="Q32" i="28"/>
  <c r="M32" i="28"/>
  <c r="F26" i="54"/>
  <c r="F31" i="55"/>
  <c r="BI32" i="7"/>
  <c r="BO32" i="7"/>
  <c r="BN32" i="7"/>
  <c r="DX32" i="7" s="1"/>
  <c r="BK32" i="7"/>
  <c r="BJ32" i="7"/>
  <c r="G23" i="54"/>
  <c r="H28" i="55"/>
  <c r="G25" i="55"/>
  <c r="H27" i="55"/>
  <c r="G24" i="54"/>
  <c r="DG30" i="8"/>
  <c r="AK30" i="8"/>
  <c r="AK32" i="8" s="1"/>
  <c r="AG32" i="8"/>
  <c r="BV34" i="7"/>
  <c r="T34" i="7"/>
  <c r="U34" i="7" s="1"/>
  <c r="AM99" i="7"/>
  <c r="BX27" i="7"/>
  <c r="BW33" i="7"/>
  <c r="E28" i="54"/>
  <c r="E119" i="55"/>
  <c r="V31" i="28"/>
  <c r="DH30" i="8"/>
  <c r="AJ32" i="8"/>
  <c r="EG28" i="7"/>
  <c r="B28" i="7"/>
  <c r="B29" i="7"/>
  <c r="EG29" i="7"/>
  <c r="F9" i="29"/>
  <c r="M8" i="29"/>
  <c r="G44" i="32"/>
  <c r="G47" i="32" s="1"/>
  <c r="F3" i="45"/>
  <c r="Y33" i="7"/>
  <c r="AN105" i="7"/>
  <c r="DT30" i="7"/>
  <c r="ED30" i="7"/>
  <c r="P36" i="29"/>
  <c r="P39" i="29"/>
  <c r="E71" i="29"/>
  <c r="E118" i="55"/>
  <c r="E72" i="29"/>
  <c r="Q33" i="28"/>
  <c r="M33" i="28"/>
  <c r="U33" i="28"/>
  <c r="BP31" i="7"/>
  <c r="BQ31" i="7" s="1"/>
  <c r="BR31" i="7" s="1"/>
  <c r="G7" i="29"/>
  <c r="H5" i="29"/>
  <c r="H7" i="29" s="1"/>
  <c r="V33" i="28" l="1"/>
  <c r="V32" i="28"/>
  <c r="BL32" i="7"/>
  <c r="DF30" i="8"/>
  <c r="H25" i="55"/>
  <c r="H31" i="55" s="1"/>
  <c r="H9" i="29"/>
  <c r="O8" i="29"/>
  <c r="BK33" i="7"/>
  <c r="BI33" i="7"/>
  <c r="BO33" i="7"/>
  <c r="BN33" i="7"/>
  <c r="DX33" i="7" s="1"/>
  <c r="BJ33" i="7"/>
  <c r="Q36" i="29"/>
  <c r="Q39" i="29"/>
  <c r="F118" i="55"/>
  <c r="F71" i="29"/>
  <c r="F72" i="29"/>
  <c r="BX34" i="7"/>
  <c r="BP32" i="7"/>
  <c r="BQ32" i="7" s="1"/>
  <c r="BR32" i="7" s="1"/>
  <c r="AM100" i="7"/>
  <c r="BX28" i="7"/>
  <c r="H44" i="32"/>
  <c r="H47" i="32" s="1"/>
  <c r="G3" i="45"/>
  <c r="N8" i="29"/>
  <c r="G9" i="29"/>
  <c r="E38" i="55"/>
  <c r="AB10" i="29"/>
  <c r="F38" i="55"/>
  <c r="F34" i="54" s="1"/>
  <c r="G38" i="55"/>
  <c r="G34" i="54" s="1"/>
  <c r="C38" i="55"/>
  <c r="B38" i="55"/>
  <c r="D38" i="55"/>
  <c r="H38" i="55"/>
  <c r="F18" i="29"/>
  <c r="F19" i="29" s="1"/>
  <c r="D40" i="55"/>
  <c r="G18" i="29"/>
  <c r="AB11" i="29"/>
  <c r="H40" i="55"/>
  <c r="D18" i="29"/>
  <c r="D19" i="29" s="1"/>
  <c r="F40" i="55"/>
  <c r="F36" i="54" s="1"/>
  <c r="C40" i="55"/>
  <c r="G40" i="55"/>
  <c r="G36" i="54" s="1"/>
  <c r="B18" i="29"/>
  <c r="E40" i="55"/>
  <c r="E18" i="29"/>
  <c r="E19" i="29" s="1"/>
  <c r="B40" i="55"/>
  <c r="H18" i="29"/>
  <c r="C18" i="29"/>
  <c r="C19" i="29" s="1"/>
  <c r="BS31" i="7"/>
  <c r="DW31" i="7" s="1"/>
  <c r="B30" i="7"/>
  <c r="EG30" i="7"/>
  <c r="AM101" i="7"/>
  <c r="BX29" i="7"/>
  <c r="G31" i="55"/>
  <c r="G26" i="54"/>
  <c r="F28" i="54"/>
  <c r="F119" i="55"/>
  <c r="F39" i="55" l="1"/>
  <c r="F35" i="54" s="1"/>
  <c r="BL33" i="7"/>
  <c r="BS32" i="7"/>
  <c r="DW32" i="7" s="1"/>
  <c r="ED32" i="7" s="1"/>
  <c r="E36" i="54"/>
  <c r="E41" i="55"/>
  <c r="E37" i="54" s="1"/>
  <c r="D34" i="54"/>
  <c r="D39" i="55"/>
  <c r="D35" i="54" s="1"/>
  <c r="F41" i="55"/>
  <c r="F37" i="54" s="1"/>
  <c r="D36" i="54"/>
  <c r="D41" i="55"/>
  <c r="D37" i="54" s="1"/>
  <c r="H16" i="29"/>
  <c r="B16" i="29"/>
  <c r="F16" i="29"/>
  <c r="F17" i="29" s="1"/>
  <c r="D16" i="29"/>
  <c r="D17" i="29" s="1"/>
  <c r="G16" i="29"/>
  <c r="G17" i="29" s="1"/>
  <c r="E16" i="29"/>
  <c r="E17" i="29" s="1"/>
  <c r="C16" i="29"/>
  <c r="C17" i="29" s="1"/>
  <c r="BP33" i="7"/>
  <c r="BQ33" i="7" s="1"/>
  <c r="BR33" i="7" s="1"/>
  <c r="H40" i="29"/>
  <c r="H26" i="29"/>
  <c r="H17" i="29"/>
  <c r="H23" i="29"/>
  <c r="H14" i="29"/>
  <c r="S39" i="29"/>
  <c r="H31" i="29"/>
  <c r="H54" i="55" s="1"/>
  <c r="H45" i="29"/>
  <c r="H34" i="29"/>
  <c r="H19" i="29"/>
  <c r="S29" i="29"/>
  <c r="S31" i="29"/>
  <c r="H29" i="29"/>
  <c r="H52" i="55" s="1"/>
  <c r="S36" i="29"/>
  <c r="H71" i="29"/>
  <c r="H118" i="55"/>
  <c r="H72" i="29"/>
  <c r="DT31" i="7"/>
  <c r="ED31" i="7"/>
  <c r="G41" i="55"/>
  <c r="G37" i="54" s="1"/>
  <c r="G28" i="54"/>
  <c r="G39" i="55"/>
  <c r="G35" i="54" s="1"/>
  <c r="G119" i="55"/>
  <c r="AM102" i="7"/>
  <c r="BX30" i="7"/>
  <c r="C34" i="54"/>
  <c r="C39" i="55"/>
  <c r="C35" i="54" s="1"/>
  <c r="E34" i="54"/>
  <c r="E39" i="55"/>
  <c r="E35" i="54" s="1"/>
  <c r="H36" i="55"/>
  <c r="H46" i="55"/>
  <c r="H39" i="55"/>
  <c r="H63" i="55"/>
  <c r="H41" i="55"/>
  <c r="H57" i="55"/>
  <c r="H49" i="55"/>
  <c r="H68" i="55"/>
  <c r="H119" i="55"/>
  <c r="C36" i="54"/>
  <c r="C41" i="55"/>
  <c r="C37" i="54" s="1"/>
  <c r="R36" i="29"/>
  <c r="G19" i="29"/>
  <c r="R39" i="29"/>
  <c r="G118" i="55"/>
  <c r="G71" i="29"/>
  <c r="G72" i="29"/>
  <c r="DT32" i="7" l="1"/>
  <c r="B32" i="7" s="1"/>
  <c r="BS33" i="7"/>
  <c r="DW33" i="7" s="1"/>
  <c r="DT33" i="7" s="1"/>
  <c r="B31" i="7"/>
  <c r="EG31" i="7"/>
  <c r="EG32" i="7" l="1"/>
  <c r="ED33" i="7"/>
  <c r="AM103" i="7"/>
  <c r="BX31" i="7"/>
  <c r="EG33" i="7"/>
  <c r="B33" i="7"/>
  <c r="AM104" i="7"/>
  <c r="BX32" i="7"/>
  <c r="AM105" i="7" l="1"/>
  <c r="AE34" i="7"/>
  <c r="AF34" i="7"/>
  <c r="Q34" i="7"/>
  <c r="Y34" i="7" s="1"/>
  <c r="AD34" i="7"/>
  <c r="BX33" i="7"/>
  <c r="BX35" i="7"/>
  <c r="BI34" i="7" l="1"/>
  <c r="BJ35" i="7" s="1"/>
  <c r="G117" i="55" s="1"/>
  <c r="BJ34" i="7"/>
  <c r="BK35" i="7" s="1"/>
  <c r="BK34" i="7"/>
  <c r="BN34" i="7"/>
  <c r="BO34" i="7"/>
  <c r="E70" i="29"/>
  <c r="D70" i="29" l="1"/>
  <c r="B70" i="29"/>
  <c r="F117" i="55"/>
  <c r="C117" i="55"/>
  <c r="BL34" i="7"/>
  <c r="BL35" i="7" s="1"/>
  <c r="D121" i="55" s="1"/>
  <c r="G70" i="29"/>
  <c r="D117" i="55"/>
  <c r="F70" i="29"/>
  <c r="H70" i="29"/>
  <c r="B117" i="55"/>
  <c r="AB27" i="29"/>
  <c r="E117" i="55"/>
  <c r="C70" i="29"/>
  <c r="H117" i="55"/>
  <c r="BP34" i="7"/>
  <c r="BO35" i="7"/>
  <c r="AB7" i="29" s="1"/>
  <c r="DX34" i="7"/>
  <c r="BN35" i="7"/>
  <c r="G121" i="55" l="1"/>
  <c r="C74" i="29"/>
  <c r="E121" i="55"/>
  <c r="E74" i="29"/>
  <c r="D74" i="29"/>
  <c r="F121" i="55"/>
  <c r="H121" i="55"/>
  <c r="H74" i="29"/>
  <c r="C121" i="55"/>
  <c r="F74" i="29"/>
  <c r="G74" i="29"/>
  <c r="BQ34" i="7"/>
  <c r="BP35" i="7"/>
  <c r="E20" i="29"/>
  <c r="E22" i="29" s="1"/>
  <c r="E23" i="29" s="1"/>
  <c r="F20" i="29"/>
  <c r="F22" i="29" s="1"/>
  <c r="F23" i="29" s="1"/>
  <c r="H43" i="55"/>
  <c r="H45" i="55" s="1"/>
  <c r="H20" i="29"/>
  <c r="H22" i="29" s="1"/>
  <c r="E43" i="55"/>
  <c r="E45" i="55" s="1"/>
  <c r="D20" i="29"/>
  <c r="D22" i="29" s="1"/>
  <c r="D23" i="29" s="1"/>
  <c r="G20" i="29"/>
  <c r="G22" i="29" s="1"/>
  <c r="G23" i="29" s="1"/>
  <c r="D43" i="55"/>
  <c r="D45" i="55" s="1"/>
  <c r="C20" i="29"/>
  <c r="C22" i="29" s="1"/>
  <c r="C23" i="29" s="1"/>
  <c r="G43" i="55"/>
  <c r="G45" i="55" s="1"/>
  <c r="C43" i="55"/>
  <c r="C45" i="55" s="1"/>
  <c r="B43" i="55"/>
  <c r="B45" i="55" s="1"/>
  <c r="AB12" i="29"/>
  <c r="F43" i="55"/>
  <c r="F45" i="55" s="1"/>
  <c r="B20" i="29"/>
  <c r="B22" i="29" s="1"/>
  <c r="E40" i="54" l="1"/>
  <c r="E46" i="55"/>
  <c r="E41" i="54" s="1"/>
  <c r="C11" i="29"/>
  <c r="C33" i="55"/>
  <c r="AB3" i="29"/>
  <c r="AB29" i="29" s="1"/>
  <c r="C40" i="54"/>
  <c r="C46" i="55"/>
  <c r="C41" i="54" s="1"/>
  <c r="BR34" i="7"/>
  <c r="BQ35" i="7"/>
  <c r="D40" i="54"/>
  <c r="D46" i="55"/>
  <c r="D41" i="54" s="1"/>
  <c r="F40" i="54"/>
  <c r="F46" i="55"/>
  <c r="F41" i="54" s="1"/>
  <c r="G40" i="54"/>
  <c r="G46" i="55"/>
  <c r="G41" i="54" s="1"/>
  <c r="AB1" i="29"/>
  <c r="C13" i="29" l="1"/>
  <c r="C73" i="29" s="1"/>
  <c r="C75" i="29" s="1"/>
  <c r="B11" i="29"/>
  <c r="C14" i="29"/>
  <c r="C25" i="29"/>
  <c r="D33" i="55"/>
  <c r="D11" i="29"/>
  <c r="AM18" i="29"/>
  <c r="AB37" i="29"/>
  <c r="AB13" i="29"/>
  <c r="H73" i="17"/>
  <c r="AB20" i="29"/>
  <c r="AB33" i="29"/>
  <c r="AB30" i="29"/>
  <c r="AB31" i="29" s="1"/>
  <c r="BR35" i="7"/>
  <c r="BS35" i="7"/>
  <c r="BS34" i="7"/>
  <c r="DW34" i="7" s="1"/>
  <c r="B33" i="55"/>
  <c r="C35" i="55"/>
  <c r="C48" i="55"/>
  <c r="C36" i="55"/>
  <c r="C33" i="54" s="1"/>
  <c r="E11" i="29" l="1"/>
  <c r="E33" i="55"/>
  <c r="AN18" i="29"/>
  <c r="AO18" i="29"/>
  <c r="AP18" i="29"/>
  <c r="C26" i="29"/>
  <c r="C43" i="54"/>
  <c r="C49" i="55"/>
  <c r="C44" i="54" s="1"/>
  <c r="C32" i="54"/>
  <c r="C120" i="55"/>
  <c r="C122" i="55" s="1"/>
  <c r="B35" i="55"/>
  <c r="B120" i="55" s="1"/>
  <c r="B48" i="55"/>
  <c r="B121" i="55"/>
  <c r="ED34" i="7"/>
  <c r="DT34" i="7"/>
  <c r="AB35" i="29"/>
  <c r="AB15" i="29"/>
  <c r="D13" i="29"/>
  <c r="D73" i="29" s="1"/>
  <c r="D75" i="29" s="1"/>
  <c r="D25" i="29"/>
  <c r="D14" i="29"/>
  <c r="B13" i="29"/>
  <c r="B73" i="29" s="1"/>
  <c r="B25" i="29"/>
  <c r="B74" i="29"/>
  <c r="F33" i="55"/>
  <c r="F11" i="29"/>
  <c r="D35" i="55"/>
  <c r="D48" i="55"/>
  <c r="D36" i="55"/>
  <c r="D33" i="54" s="1"/>
  <c r="C77" i="29"/>
  <c r="C75" i="54" s="1"/>
  <c r="B122" i="55" l="1"/>
  <c r="C123" i="55" s="1"/>
  <c r="C74" i="55" s="1"/>
  <c r="C69" i="54" s="1"/>
  <c r="B75" i="29"/>
  <c r="C76" i="29" s="1"/>
  <c r="C51" i="29" s="1"/>
  <c r="AO19" i="29"/>
  <c r="AB17" i="29" s="1"/>
  <c r="AO20" i="29"/>
  <c r="F35" i="55"/>
  <c r="G33" i="55"/>
  <c r="F48" i="55"/>
  <c r="F36" i="55"/>
  <c r="F33" i="54" s="1"/>
  <c r="AN20" i="29"/>
  <c r="AN19" i="29"/>
  <c r="AB16" i="29" s="1"/>
  <c r="F13" i="29"/>
  <c r="F73" i="29" s="1"/>
  <c r="F75" i="29" s="1"/>
  <c r="G11" i="29"/>
  <c r="F14" i="29"/>
  <c r="F25" i="29"/>
  <c r="D43" i="54"/>
  <c r="D49" i="55"/>
  <c r="D44" i="54" s="1"/>
  <c r="D26" i="29"/>
  <c r="EG34" i="7"/>
  <c r="B34" i="7"/>
  <c r="E35" i="55"/>
  <c r="E48" i="55"/>
  <c r="E36" i="55"/>
  <c r="E33" i="54" s="1"/>
  <c r="D32" i="54"/>
  <c r="D120" i="55"/>
  <c r="D122" i="55" s="1"/>
  <c r="D123" i="55" s="1"/>
  <c r="D74" i="55" s="1"/>
  <c r="D69" i="54" s="1"/>
  <c r="D77" i="29"/>
  <c r="D75" i="54" s="1"/>
  <c r="D76" i="29"/>
  <c r="D51" i="29" s="1"/>
  <c r="AP19" i="29"/>
  <c r="AP20" i="29"/>
  <c r="E13" i="29"/>
  <c r="E73" i="29" s="1"/>
  <c r="E75" i="29" s="1"/>
  <c r="E14" i="29"/>
  <c r="E25" i="29"/>
  <c r="AB18" i="29" l="1"/>
  <c r="AB21" i="29" s="1"/>
  <c r="AB22" i="29" s="1"/>
  <c r="AB23" i="29" s="1"/>
  <c r="E26" i="29"/>
  <c r="E76" i="29"/>
  <c r="E51" i="29" s="1"/>
  <c r="E77" i="29"/>
  <c r="E75" i="54" s="1"/>
  <c r="B18" i="30"/>
  <c r="C4" i="30"/>
  <c r="B35" i="7"/>
  <c r="B4" i="7"/>
  <c r="BW34" i="7"/>
  <c r="BW35" i="7" s="1"/>
  <c r="F32" i="54"/>
  <c r="F120" i="55"/>
  <c r="F122" i="55" s="1"/>
  <c r="H11" i="29"/>
  <c r="G13" i="29"/>
  <c r="G73" i="29" s="1"/>
  <c r="G75" i="29" s="1"/>
  <c r="G25" i="29"/>
  <c r="G14" i="29"/>
  <c r="F76" i="29"/>
  <c r="F51" i="29" s="1"/>
  <c r="F77" i="29"/>
  <c r="F75" i="54" s="1"/>
  <c r="F43" i="54"/>
  <c r="F49" i="55"/>
  <c r="F44" i="54" s="1"/>
  <c r="E43" i="54"/>
  <c r="E49" i="55"/>
  <c r="E44" i="54" s="1"/>
  <c r="E32" i="54"/>
  <c r="E120" i="55"/>
  <c r="E122" i="55" s="1"/>
  <c r="E123" i="55" s="1"/>
  <c r="E74" i="55" s="1"/>
  <c r="E69" i="54" s="1"/>
  <c r="F26" i="29"/>
  <c r="M28" i="29"/>
  <c r="B28" i="29" s="1"/>
  <c r="N28" i="29"/>
  <c r="S28" i="29"/>
  <c r="H28" i="29" s="1"/>
  <c r="H51" i="55" s="1"/>
  <c r="R28" i="29"/>
  <c r="Q28" i="29"/>
  <c r="O28" i="29"/>
  <c r="P28" i="29"/>
  <c r="F37" i="17"/>
  <c r="H33" i="55"/>
  <c r="G35" i="55"/>
  <c r="G48" i="55"/>
  <c r="G36" i="55"/>
  <c r="G33" i="54" s="1"/>
  <c r="R30" i="29"/>
  <c r="P30" i="29"/>
  <c r="O30" i="29"/>
  <c r="N30" i="29"/>
  <c r="M30" i="29"/>
  <c r="B30" i="29" s="1"/>
  <c r="B53" i="55" s="1"/>
  <c r="Q30" i="29"/>
  <c r="S30" i="29"/>
  <c r="H30" i="29" s="1"/>
  <c r="H53" i="55" s="1"/>
  <c r="C30" i="29" l="1"/>
  <c r="N31" i="29"/>
  <c r="D30" i="29"/>
  <c r="O31" i="29"/>
  <c r="E28" i="29"/>
  <c r="P29" i="29"/>
  <c r="H13" i="29"/>
  <c r="H73" i="29" s="1"/>
  <c r="H75" i="29" s="1"/>
  <c r="H76" i="29" s="1"/>
  <c r="H51" i="29" s="1"/>
  <c r="H25" i="29"/>
  <c r="H33" i="29" s="1"/>
  <c r="G28" i="29"/>
  <c r="R29" i="29"/>
  <c r="AB24" i="29"/>
  <c r="AB25" i="29" s="1"/>
  <c r="AB42" i="29" s="1"/>
  <c r="F30" i="29"/>
  <c r="Q31" i="29"/>
  <c r="G32" i="54"/>
  <c r="G120" i="55"/>
  <c r="G122" i="55" s="1"/>
  <c r="G123" i="55" s="1"/>
  <c r="G74" i="55" s="1"/>
  <c r="G69" i="54" s="1"/>
  <c r="D28" i="29"/>
  <c r="O29" i="29"/>
  <c r="C28" i="29"/>
  <c r="N29" i="29"/>
  <c r="F123" i="55"/>
  <c r="F74" i="55" s="1"/>
  <c r="F69" i="54" s="1"/>
  <c r="C37" i="32"/>
  <c r="C9" i="44"/>
  <c r="G76" i="29"/>
  <c r="G51" i="29" s="1"/>
  <c r="G77" i="29"/>
  <c r="G75" i="54" s="1"/>
  <c r="G43" i="54"/>
  <c r="G49" i="55"/>
  <c r="G44" i="54" s="1"/>
  <c r="E30" i="29"/>
  <c r="P31" i="29"/>
  <c r="G30" i="29"/>
  <c r="R31" i="29"/>
  <c r="H35" i="55"/>
  <c r="H120" i="55" s="1"/>
  <c r="H122" i="55" s="1"/>
  <c r="H48" i="55"/>
  <c r="H56" i="55" s="1"/>
  <c r="F28" i="29"/>
  <c r="Q29" i="29"/>
  <c r="B51" i="55"/>
  <c r="B56" i="55" s="1"/>
  <c r="B33" i="29"/>
  <c r="G26" i="29"/>
  <c r="F8" i="30"/>
  <c r="J8" i="30" s="1"/>
  <c r="F4" i="30"/>
  <c r="J5" i="30"/>
  <c r="F7" i="30"/>
  <c r="B20" i="30"/>
  <c r="G33" i="29" l="1"/>
  <c r="G48" i="29" s="1"/>
  <c r="H123" i="55"/>
  <c r="H74" i="55" s="1"/>
  <c r="B48" i="29"/>
  <c r="H48" i="29"/>
  <c r="F51" i="55"/>
  <c r="F29" i="29"/>
  <c r="F52" i="55" s="1"/>
  <c r="F47" i="54" s="1"/>
  <c r="F33" i="29"/>
  <c r="B113" i="55"/>
  <c r="B114" i="55" s="1"/>
  <c r="B84" i="55" s="1"/>
  <c r="C11" i="44"/>
  <c r="B61" i="29" s="1"/>
  <c r="C51" i="55"/>
  <c r="C29" i="29"/>
  <c r="C52" i="55" s="1"/>
  <c r="C47" i="54" s="1"/>
  <c r="C33" i="29"/>
  <c r="D53" i="55"/>
  <c r="D48" i="54" s="1"/>
  <c r="D31" i="29"/>
  <c r="D54" i="55" s="1"/>
  <c r="D49" i="54" s="1"/>
  <c r="H71" i="55"/>
  <c r="G53" i="55"/>
  <c r="G48" i="54" s="1"/>
  <c r="G31" i="29"/>
  <c r="G54" i="55" s="1"/>
  <c r="G49" i="54" s="1"/>
  <c r="E20" i="30"/>
  <c r="E15" i="30"/>
  <c r="E16" i="30"/>
  <c r="E19" i="30"/>
  <c r="E17" i="30"/>
  <c r="E18" i="30"/>
  <c r="B71" i="55"/>
  <c r="E53" i="55"/>
  <c r="E48" i="54" s="1"/>
  <c r="E31" i="29"/>
  <c r="E54" i="55" s="1"/>
  <c r="E49" i="54" s="1"/>
  <c r="D51" i="55"/>
  <c r="D29" i="29"/>
  <c r="D52" i="55" s="1"/>
  <c r="D47" i="54" s="1"/>
  <c r="D33" i="29"/>
  <c r="F53" i="55"/>
  <c r="F48" i="54" s="1"/>
  <c r="F31" i="29"/>
  <c r="F54" i="55" s="1"/>
  <c r="F49" i="54" s="1"/>
  <c r="G51" i="55"/>
  <c r="G29" i="29"/>
  <c r="G52" i="55" s="1"/>
  <c r="G47" i="54" s="1"/>
  <c r="E51" i="55"/>
  <c r="E29" i="29"/>
  <c r="E52" i="55" s="1"/>
  <c r="E47" i="54" s="1"/>
  <c r="E33" i="29"/>
  <c r="C53" i="55"/>
  <c r="C48" i="54" s="1"/>
  <c r="C31" i="29"/>
  <c r="C54" i="55" s="1"/>
  <c r="C49" i="54" s="1"/>
  <c r="G34" i="29" l="1"/>
  <c r="D46" i="54"/>
  <c r="D56" i="55"/>
  <c r="B62" i="29"/>
  <c r="B50" i="29"/>
  <c r="B52" i="29" s="1"/>
  <c r="B37" i="29" s="1"/>
  <c r="F46" i="54"/>
  <c r="F56" i="55"/>
  <c r="E48" i="29"/>
  <c r="E34" i="29"/>
  <c r="E46" i="54"/>
  <c r="E56" i="55"/>
  <c r="C48" i="29"/>
  <c r="C34" i="29"/>
  <c r="B85" i="55"/>
  <c r="B73" i="55"/>
  <c r="C68" i="54" s="1"/>
  <c r="G46" i="54"/>
  <c r="G56" i="55"/>
  <c r="D48" i="29"/>
  <c r="D34" i="29"/>
  <c r="F48" i="29"/>
  <c r="F34" i="29"/>
  <c r="C46" i="54"/>
  <c r="C56" i="55"/>
  <c r="C71" i="55" l="1"/>
  <c r="C51" i="54"/>
  <c r="C57" i="55"/>
  <c r="C52" i="54" s="1"/>
  <c r="G71" i="55"/>
  <c r="G51" i="54"/>
  <c r="G57" i="55"/>
  <c r="G52" i="54" s="1"/>
  <c r="B75" i="55"/>
  <c r="B60" i="55" s="1"/>
  <c r="C62" i="29"/>
  <c r="B67" i="29"/>
  <c r="B36" i="29" s="1"/>
  <c r="B39" i="29" s="1"/>
  <c r="B90" i="55"/>
  <c r="B59" i="55" s="1"/>
  <c r="C85" i="55"/>
  <c r="E71" i="55"/>
  <c r="E51" i="54"/>
  <c r="E57" i="55"/>
  <c r="E52" i="54" s="1"/>
  <c r="F71" i="55"/>
  <c r="F51" i="54"/>
  <c r="F57" i="55"/>
  <c r="F52" i="54" s="1"/>
  <c r="D51" i="54"/>
  <c r="D71" i="55"/>
  <c r="D57" i="55"/>
  <c r="D52" i="54" s="1"/>
  <c r="B62" i="55" l="1"/>
  <c r="B65" i="55" s="1"/>
  <c r="B72" i="55" s="1"/>
  <c r="D66" i="54"/>
  <c r="D62" i="29"/>
  <c r="C67" i="29"/>
  <c r="C36" i="29" s="1"/>
  <c r="E66" i="54"/>
  <c r="G66" i="54"/>
  <c r="C66" i="54"/>
  <c r="F66" i="54"/>
  <c r="D85" i="55"/>
  <c r="C90" i="55"/>
  <c r="C59" i="55" s="1"/>
  <c r="B42" i="29"/>
  <c r="B49" i="29" s="1"/>
  <c r="C54" i="54" l="1"/>
  <c r="E85" i="55"/>
  <c r="D90" i="55"/>
  <c r="D59" i="55" s="1"/>
  <c r="B67" i="55"/>
  <c r="B53" i="29"/>
  <c r="B54" i="29" s="1"/>
  <c r="B44" i="29"/>
  <c r="E62" i="29"/>
  <c r="D67" i="29"/>
  <c r="D36" i="29" s="1"/>
  <c r="B76" i="55"/>
  <c r="B77" i="55" s="1"/>
  <c r="D54" i="54" l="1"/>
  <c r="B55" i="29"/>
  <c r="F85" i="55"/>
  <c r="F90" i="55" s="1"/>
  <c r="F59" i="55" s="1"/>
  <c r="E90" i="55"/>
  <c r="E59" i="55" s="1"/>
  <c r="B78" i="55"/>
  <c r="E67" i="29"/>
  <c r="E36" i="29" s="1"/>
  <c r="F62" i="29"/>
  <c r="F67" i="29" s="1"/>
  <c r="F36" i="29" s="1"/>
  <c r="E54" i="54" l="1"/>
  <c r="F54" i="54"/>
  <c r="C75" i="55"/>
  <c r="C52" i="29"/>
  <c r="C37" i="29" s="1"/>
  <c r="C39" i="29" s="1"/>
  <c r="C70" i="54" l="1"/>
  <c r="C60" i="55"/>
  <c r="C42" i="29"/>
  <c r="C49" i="29" s="1"/>
  <c r="C40" i="29"/>
  <c r="C53" i="29" l="1"/>
  <c r="C54" i="29" s="1"/>
  <c r="C44" i="29"/>
  <c r="C45" i="29" s="1"/>
  <c r="C55" i="54"/>
  <c r="C62" i="55"/>
  <c r="C55" i="29" l="1"/>
  <c r="C57" i="54"/>
  <c r="C65" i="55"/>
  <c r="C63" i="55"/>
  <c r="C58" i="54" s="1"/>
  <c r="D52" i="29" l="1"/>
  <c r="D37" i="29" s="1"/>
  <c r="D39" i="29" s="1"/>
  <c r="C72" i="55"/>
  <c r="C60" i="54"/>
  <c r="C67" i="55"/>
  <c r="C62" i="54" l="1"/>
  <c r="C68" i="55"/>
  <c r="C63" i="54" s="1"/>
  <c r="C67" i="54"/>
  <c r="C76" i="55"/>
  <c r="C71" i="54" s="1"/>
  <c r="D42" i="29"/>
  <c r="D49" i="29" s="1"/>
  <c r="D40" i="29"/>
  <c r="C77" i="55" l="1"/>
  <c r="C72" i="54" s="1"/>
  <c r="D53" i="29"/>
  <c r="D54" i="29" s="1"/>
  <c r="D44" i="29"/>
  <c r="D45" i="29" s="1"/>
  <c r="D63" i="54" s="1"/>
  <c r="C78" i="55" l="1"/>
  <c r="C73" i="54" s="1"/>
  <c r="D55" i="29"/>
  <c r="D75" i="55" l="1"/>
  <c r="D70" i="54" s="1"/>
  <c r="E52" i="29"/>
  <c r="E37" i="29" s="1"/>
  <c r="E39" i="29" s="1"/>
  <c r="D60" i="55" l="1"/>
  <c r="D62" i="55" s="1"/>
  <c r="E42" i="29"/>
  <c r="E49" i="29" s="1"/>
  <c r="E40" i="29"/>
  <c r="D55" i="54" l="1"/>
  <c r="E44" i="29"/>
  <c r="E45" i="29" s="1"/>
  <c r="E63" i="54" s="1"/>
  <c r="D57" i="54"/>
  <c r="D65" i="55"/>
  <c r="D63" i="55"/>
  <c r="D58" i="54" s="1"/>
  <c r="E53" i="29"/>
  <c r="E54" i="29" s="1"/>
  <c r="E55" i="29" l="1"/>
  <c r="D72" i="55"/>
  <c r="D60" i="54"/>
  <c r="D67" i="55"/>
  <c r="D67" i="54" l="1"/>
  <c r="D76" i="55"/>
  <c r="D71" i="54" s="1"/>
  <c r="F52" i="29"/>
  <c r="F37" i="29" s="1"/>
  <c r="F39" i="29" s="1"/>
  <c r="D62" i="54"/>
  <c r="D68" i="55"/>
  <c r="F42" i="29" l="1"/>
  <c r="F49" i="29" s="1"/>
  <c r="F40" i="29"/>
  <c r="D77" i="55"/>
  <c r="F53" i="29" l="1"/>
  <c r="F54" i="29" s="1"/>
  <c r="D72" i="54"/>
  <c r="D78" i="55"/>
  <c r="F44" i="29"/>
  <c r="F45" i="29" s="1"/>
  <c r="F63" i="54" s="1"/>
  <c r="F55" i="29" l="1"/>
  <c r="D73" i="54"/>
  <c r="E75" i="55"/>
  <c r="G52" i="29" l="1"/>
  <c r="G37" i="29" s="1"/>
  <c r="G39" i="29" s="1"/>
  <c r="E60" i="55"/>
  <c r="E70" i="54"/>
  <c r="E55" i="54" l="1"/>
  <c r="E62" i="55"/>
  <c r="G42" i="29"/>
  <c r="G49" i="29" s="1"/>
  <c r="G40" i="29"/>
  <c r="G44" i="29" l="1"/>
  <c r="G45" i="29" s="1"/>
  <c r="G63" i="54" s="1"/>
  <c r="E57" i="54"/>
  <c r="E65" i="55"/>
  <c r="E63" i="55"/>
  <c r="E58" i="54" s="1"/>
  <c r="G53" i="29"/>
  <c r="G54" i="29" s="1"/>
  <c r="G55" i="29" s="1"/>
  <c r="H52" i="29" l="1"/>
  <c r="H37" i="29" s="1"/>
  <c r="H39" i="29" s="1"/>
  <c r="E60" i="54"/>
  <c r="E72" i="55"/>
  <c r="E67" i="55"/>
  <c r="E67" i="54" l="1"/>
  <c r="E76" i="55"/>
  <c r="E71" i="54" s="1"/>
  <c r="E62" i="54"/>
  <c r="E68" i="55"/>
  <c r="H42" i="29"/>
  <c r="H49" i="29" s="1"/>
  <c r="E77" i="55" l="1"/>
  <c r="E72" i="54" s="1"/>
  <c r="H44" i="29"/>
  <c r="H53" i="29"/>
  <c r="H54" i="29" s="1"/>
  <c r="E78" i="55" l="1"/>
  <c r="F75" i="55" s="1"/>
  <c r="B58" i="29"/>
  <c r="N3" i="29" s="1"/>
  <c r="B57" i="29"/>
  <c r="H55" i="29"/>
  <c r="E73" i="54" l="1"/>
  <c r="F60" i="55"/>
  <c r="F70" i="54"/>
  <c r="B80" i="55"/>
  <c r="N1" i="29"/>
  <c r="C80" i="55" l="1"/>
  <c r="H80" i="55"/>
  <c r="G80" i="55"/>
  <c r="E80" i="55"/>
  <c r="F80" i="55"/>
  <c r="C19" i="54"/>
  <c r="D80" i="55"/>
  <c r="F55" i="54"/>
  <c r="F62" i="55"/>
  <c r="G19" i="54" l="1"/>
  <c r="F19" i="54"/>
  <c r="E19" i="54"/>
  <c r="D19" i="54"/>
  <c r="F57" i="54"/>
  <c r="F65" i="55"/>
  <c r="F63" i="55"/>
  <c r="F58" i="54" s="1"/>
  <c r="F60" i="54" l="1"/>
  <c r="F72" i="55"/>
  <c r="F67" i="55"/>
  <c r="F62" i="54" l="1"/>
  <c r="F68" i="55"/>
  <c r="F67" i="54"/>
  <c r="F76" i="55"/>
  <c r="F71" i="54" s="1"/>
  <c r="F77" i="55" l="1"/>
  <c r="F72" i="54" s="1"/>
  <c r="F78" i="55" l="1"/>
  <c r="F73" i="54" s="1"/>
  <c r="G75" i="55" l="1"/>
  <c r="G70" i="54" s="1"/>
  <c r="G60" i="55" l="1"/>
  <c r="G62" i="55" s="1"/>
  <c r="G55" i="54" l="1"/>
  <c r="G57" i="54"/>
  <c r="G65" i="55"/>
  <c r="G63" i="55"/>
  <c r="G58" i="54" s="1"/>
  <c r="G72" i="55" l="1"/>
  <c r="G60" i="54"/>
  <c r="G67" i="55"/>
  <c r="G62" i="54" l="1"/>
  <c r="G68" i="55"/>
  <c r="G67" i="54"/>
  <c r="G76" i="55"/>
  <c r="G71" i="54" s="1"/>
  <c r="G77" i="55" l="1"/>
  <c r="G72" i="54" l="1"/>
  <c r="G78" i="55"/>
  <c r="G73" i="54" l="1"/>
  <c r="H75" i="55"/>
  <c r="H60" i="55" s="1"/>
  <c r="H62" i="55" s="1"/>
  <c r="H65" i="55" l="1"/>
  <c r="H72" i="55" s="1"/>
  <c r="H76" i="55" l="1"/>
  <c r="H77" i="55" s="1"/>
  <c r="H67" i="55"/>
  <c r="B81" i="55" l="1"/>
  <c r="H78"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MORAS Alexis</author>
  </authors>
  <commentList>
    <comment ref="G7" authorId="0" shapeId="0" xr:uid="{404226A7-8B9E-4CF5-83C3-CD44D2A080E7}">
      <text>
        <r>
          <rPr>
            <b/>
            <sz val="9"/>
            <color indexed="81"/>
            <rFont val="Tahoma"/>
            <family val="2"/>
          </rPr>
          <t>MORAS Alexis:</t>
        </r>
        <r>
          <rPr>
            <sz val="9"/>
            <color indexed="81"/>
            <rFont val="Tahoma"/>
            <family val="2"/>
          </rPr>
          <t xml:space="preserve">
As writen by customer</t>
        </r>
      </text>
    </comment>
    <comment ref="O14" authorId="0" shapeId="0" xr:uid="{89F28F1B-C876-4221-8205-8370889FAE64}">
      <text>
        <r>
          <rPr>
            <b/>
            <sz val="9"/>
            <color indexed="81"/>
            <rFont val="Tahoma"/>
            <family val="2"/>
          </rPr>
          <t>MORAS Alexis:</t>
        </r>
        <r>
          <rPr>
            <sz val="9"/>
            <color indexed="81"/>
            <rFont val="Tahoma"/>
            <family val="2"/>
          </rPr>
          <t xml:space="preserve">
Only if production is not in line with group strategy:
Reminder: any changes regarding group strategy has to be approved by product line manager.</t>
        </r>
      </text>
    </comment>
    <comment ref="O28" authorId="0" shapeId="0" xr:uid="{10054F97-F128-4044-9E11-E06537870E02}">
      <text>
        <r>
          <rPr>
            <b/>
            <sz val="9"/>
            <color indexed="81"/>
            <rFont val="Tahoma"/>
            <family val="2"/>
          </rPr>
          <t>MORAS Alexis:</t>
        </r>
        <r>
          <rPr>
            <sz val="9"/>
            <color indexed="81"/>
            <rFont val="Tahoma"/>
            <family val="2"/>
          </rPr>
          <t xml:space="preserve">
Add pick volume if customer pick volume is after the 5 years of profitability calculation.
Ex: Year 1=100;...;Year 5=100;Year 8=200.
Pick volume is not reported inside the 5 years forecast and need to be filled manually.
--&gt; The capacity to have in place will not be calculated properly if you don't.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MORAS Alexis</author>
  </authors>
  <commentList>
    <comment ref="N25" authorId="0" shapeId="0" xr:uid="{D1726675-20BC-472D-91C6-45C48BF4D40B}">
      <text>
        <r>
          <rPr>
            <b/>
            <sz val="9"/>
            <color indexed="81"/>
            <rFont val="Tahoma"/>
            <family val="2"/>
          </rPr>
          <t>MORAS Alexis:</t>
        </r>
        <r>
          <rPr>
            <sz val="9"/>
            <color indexed="81"/>
            <rFont val="Tahoma"/>
            <family val="2"/>
          </rPr>
          <t xml:space="preserve">
cancel offset if cardboard divider</t>
        </r>
      </text>
    </comment>
    <comment ref="O38" authorId="0" shapeId="0" xr:uid="{ACAB37C5-ADBF-48EF-9F87-DF91C433D1A8}">
      <text>
        <r>
          <rPr>
            <b/>
            <sz val="9"/>
            <color indexed="81"/>
            <rFont val="Tahoma"/>
            <family val="2"/>
          </rPr>
          <t>MORAS Alexis:</t>
        </r>
        <r>
          <rPr>
            <sz val="9"/>
            <color indexed="81"/>
            <rFont val="Tahoma"/>
            <family val="2"/>
          </rPr>
          <t xml:space="preserve">
Only if you wish to replace stndard price by a negotiate price or if customer imposed to purchase returnable package at its side.
</t>
        </r>
      </text>
    </comment>
    <comment ref="AH61" authorId="0" shapeId="0" xr:uid="{028B6C36-4985-44E8-A761-FC1D26A767F9}">
      <text>
        <r>
          <rPr>
            <b/>
            <sz val="9"/>
            <color indexed="81"/>
            <rFont val="Tahoma"/>
            <family val="2"/>
          </rPr>
          <t>MORAS Alexis:</t>
        </r>
        <r>
          <rPr>
            <sz val="9"/>
            <color indexed="81"/>
            <rFont val="Tahoma"/>
            <family val="2"/>
          </rPr>
          <t xml:space="preserve">
250Kg max non gerbable</t>
        </r>
      </text>
    </comment>
    <comment ref="AJ61" authorId="0" shapeId="0" xr:uid="{5D03CB81-B2E3-49CE-AAB6-C92D9A159832}">
      <text>
        <r>
          <rPr>
            <b/>
            <sz val="9"/>
            <color indexed="81"/>
            <rFont val="Tahoma"/>
            <family val="2"/>
          </rPr>
          <t>MORAS Alexis:</t>
        </r>
        <r>
          <rPr>
            <sz val="9"/>
            <color indexed="81"/>
            <rFont val="Tahoma"/>
            <family val="2"/>
          </rPr>
          <t xml:space="preserve">
250Kg non gerbable?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MORAS Alexis</author>
  </authors>
  <commentList>
    <comment ref="A7" authorId="0" shapeId="0" xr:uid="{18857A37-16D4-4FD4-8E65-8FA3234458E0}">
      <text>
        <r>
          <rPr>
            <b/>
            <sz val="9"/>
            <color indexed="81"/>
            <rFont val="Tahoma"/>
            <family val="2"/>
          </rPr>
          <t>MORAS Alexis:</t>
        </r>
        <r>
          <rPr>
            <sz val="9"/>
            <color indexed="81"/>
            <rFont val="Tahoma"/>
            <family val="2"/>
          </rPr>
          <t xml:space="preserve">
This is the selling price to customer including packaging and transportation cost.
In case the project is quoted exworks, the selling price does not consider transportation cost but consider packaging</t>
        </r>
      </text>
    </comment>
    <comment ref="A8" authorId="0" shapeId="0" xr:uid="{86434D4A-2060-4C7F-BB6B-DBEADB2D4FF9}">
      <text>
        <r>
          <rPr>
            <b/>
            <sz val="9"/>
            <color indexed="81"/>
            <rFont val="Tahoma"/>
            <family val="2"/>
          </rPr>
          <t>MORAS Alexis:</t>
        </r>
        <r>
          <rPr>
            <sz val="9"/>
            <color indexed="81"/>
            <rFont val="Tahoma"/>
            <family val="2"/>
          </rPr>
          <t xml:space="preserve">
Amortisation come on top of the sales price and is not consider inside our sales for costing calculation</t>
        </r>
      </text>
    </comment>
    <comment ref="A11" authorId="0" shapeId="0" xr:uid="{8E6A64B8-B57D-44E6-B1DD-1C243F6F4804}">
      <text>
        <r>
          <rPr>
            <b/>
            <sz val="9"/>
            <color indexed="81"/>
            <rFont val="Tahoma"/>
            <family val="2"/>
          </rPr>
          <t>MORAS Alexis:</t>
        </r>
        <r>
          <rPr>
            <sz val="9"/>
            <color indexed="81"/>
            <rFont val="Tahoma"/>
            <family val="2"/>
          </rPr>
          <t xml:space="preserve">
That's the total cost of components without transportation cost from suppliers to AVO production plant and without management fees 
</t>
        </r>
      </text>
    </comment>
    <comment ref="A12" authorId="0" shapeId="0" xr:uid="{D83AC400-D914-472F-A007-23DBE73E6FDC}">
      <text>
        <r>
          <rPr>
            <b/>
            <sz val="9"/>
            <color indexed="81"/>
            <rFont val="Tahoma"/>
            <family val="2"/>
          </rPr>
          <t>MORAS Alexis:</t>
        </r>
        <r>
          <rPr>
            <sz val="9"/>
            <color indexed="81"/>
            <rFont val="Tahoma"/>
            <family val="2"/>
          </rPr>
          <t xml:space="preserve">
That's the packaging cost of the final product to delvier to customer</t>
        </r>
      </text>
    </comment>
    <comment ref="A20" authorId="0" shapeId="0" xr:uid="{C1F1D6C2-2DA4-437A-ACB3-2B295E9B5198}">
      <text>
        <r>
          <rPr>
            <b/>
            <sz val="9"/>
            <color indexed="81"/>
            <rFont val="Tahoma"/>
            <family val="2"/>
          </rPr>
          <t>MORAS Alexis:</t>
        </r>
        <r>
          <rPr>
            <sz val="9"/>
            <color indexed="81"/>
            <rFont val="Tahoma"/>
            <family val="2"/>
          </rPr>
          <t xml:space="preserve">
That's the transportation cost of the components from suppliers to AVO Carbon. This include as well the management fees linked to suppliers management.</t>
        </r>
      </text>
    </comment>
    <comment ref="A21" authorId="0" shapeId="0" xr:uid="{5C856BDB-F039-461E-9339-6016878E9310}">
      <text>
        <r>
          <rPr>
            <b/>
            <sz val="9"/>
            <color indexed="81"/>
            <rFont val="Tahoma"/>
            <family val="2"/>
          </rPr>
          <t>MORAS Alexis:</t>
        </r>
        <r>
          <rPr>
            <sz val="9"/>
            <color indexed="81"/>
            <rFont val="Tahoma"/>
            <family val="2"/>
          </rPr>
          <t xml:space="preserve">
That's the transportation cost from AVO Carbon to customer or delivery platform (IF DDP or DAP delivery)</t>
        </r>
      </text>
    </comment>
    <comment ref="A36" authorId="0" shapeId="0" xr:uid="{E1DC394B-BAD8-41EC-8971-6D468547365D}">
      <text>
        <r>
          <rPr>
            <b/>
            <sz val="9"/>
            <color indexed="81"/>
            <rFont val="Tahoma"/>
            <family val="2"/>
          </rPr>
          <t>MORAS Alexis:</t>
        </r>
        <r>
          <rPr>
            <sz val="9"/>
            <color indexed="81"/>
            <rFont val="Tahoma"/>
            <family val="2"/>
          </rPr>
          <t xml:space="preserve">
This is the depreciation of AVO CAPEX used to run the project.</t>
        </r>
      </text>
    </comment>
    <comment ref="A37" authorId="0" shapeId="0" xr:uid="{5E4282C5-2551-482C-BB1A-C031A3232032}">
      <text>
        <r>
          <rPr>
            <b/>
            <sz val="9"/>
            <color indexed="81"/>
            <rFont val="Tahoma"/>
            <family val="2"/>
          </rPr>
          <t>MORAS Alexis:</t>
        </r>
        <r>
          <rPr>
            <sz val="9"/>
            <color indexed="81"/>
            <rFont val="Tahoma"/>
            <family val="2"/>
          </rPr>
          <t xml:space="preserve">
This is the AVO Carbon financial cost to run the project (cash interest rate to run the project - the project income).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MORAS Alexis</author>
  </authors>
  <commentList>
    <comment ref="A24" authorId="0" shapeId="0" xr:uid="{257B5ECF-0FC6-4D1F-A9E8-043A6796DA38}">
      <text>
        <r>
          <rPr>
            <b/>
            <sz val="9"/>
            <color indexed="81"/>
            <rFont val="Tahoma"/>
            <family val="2"/>
          </rPr>
          <t>MORAS Alexis:</t>
        </r>
        <r>
          <rPr>
            <sz val="9"/>
            <color indexed="81"/>
            <rFont val="Tahoma"/>
            <family val="2"/>
          </rPr>
          <t xml:space="preserve">
1) Yearly production volume: First year must be "0".
This is the year before SOP that represent the project phasis (0,1,2,3,4) where investments are done.
2) The serial production is set at 5 years as standard production. In case your lifetime duration is shorter, you can set last column at 0. In case lifetime duration is longer, you can consider only the first 5 years of production.
3) Last year must be "0", this is the year after end of life where you sell back all obsolete stock and recover the trade working capital (see trade working captial bellow)</t>
        </r>
      </text>
    </comment>
    <comment ref="A25" authorId="0" shapeId="0" xr:uid="{28CA7FCA-7543-4C09-BD86-68FC0C0AEA7E}">
      <text>
        <r>
          <rPr>
            <b/>
            <sz val="9"/>
            <color indexed="81"/>
            <rFont val="Tahoma"/>
            <family val="2"/>
          </rPr>
          <t>MORAS Alexis:</t>
        </r>
        <r>
          <rPr>
            <sz val="9"/>
            <color indexed="81"/>
            <rFont val="Tahoma"/>
            <family val="2"/>
          </rPr>
          <t xml:space="preserve">
This is the selling price to customer including packaging and transportation cost.
In case the project is quoted exworks, the selling price does not consider transportation cost but consider packaging</t>
        </r>
      </text>
    </comment>
    <comment ref="A26" authorId="0" shapeId="0" xr:uid="{1900A4FC-F90A-46C9-912E-8B6A4FC623EE}">
      <text>
        <r>
          <rPr>
            <b/>
            <sz val="9"/>
            <color indexed="81"/>
            <rFont val="Tahoma"/>
            <family val="2"/>
          </rPr>
          <t>MORAS Alexis:</t>
        </r>
        <r>
          <rPr>
            <sz val="9"/>
            <color indexed="81"/>
            <rFont val="Tahoma"/>
            <family val="2"/>
          </rPr>
          <t xml:space="preserve">
This is the total cost of raw material that have to indexed to a raw material rate (ex: copper, plastic material,…)</t>
        </r>
      </text>
    </comment>
    <comment ref="A27" authorId="0" shapeId="0" xr:uid="{FE7F505B-0361-4951-B063-1A671D6DC9BC}">
      <text>
        <r>
          <rPr>
            <b/>
            <sz val="9"/>
            <color indexed="81"/>
            <rFont val="Tahoma"/>
            <family val="2"/>
          </rPr>
          <t>MORAS Alexis:</t>
        </r>
        <r>
          <rPr>
            <sz val="9"/>
            <color indexed="81"/>
            <rFont val="Tahoma"/>
            <family val="2"/>
          </rPr>
          <t xml:space="preserve">
Total packaging and transportation cost to customer.</t>
        </r>
      </text>
    </comment>
    <comment ref="A28" authorId="0" shapeId="0" xr:uid="{598CCA3F-3756-460B-9B95-061F248737E6}">
      <text>
        <r>
          <rPr>
            <b/>
            <sz val="9"/>
            <color indexed="81"/>
            <rFont val="Tahoma"/>
            <family val="2"/>
          </rPr>
          <t>MORAS Alexis:</t>
        </r>
        <r>
          <rPr>
            <sz val="9"/>
            <color indexed="81"/>
            <rFont val="Tahoma"/>
            <family val="2"/>
          </rPr>
          <t xml:space="preserve">
Take care!: The commercial productivity is not calculated on the complete sale price. Packaging, transportation, and indexed raw material has to be deduced before to apply commercial productivity.</t>
        </r>
      </text>
    </comment>
    <comment ref="A30" authorId="0" shapeId="0" xr:uid="{5892EC14-8785-4BDF-A9D0-CADF6B684C51}">
      <text>
        <r>
          <rPr>
            <b/>
            <sz val="9"/>
            <color indexed="81"/>
            <rFont val="Tahoma"/>
            <family val="2"/>
          </rPr>
          <t>MORAS Alexis:</t>
        </r>
        <r>
          <rPr>
            <sz val="9"/>
            <color indexed="81"/>
            <rFont val="Tahoma"/>
            <family val="2"/>
          </rPr>
          <t xml:space="preserve">
Amortization is an adder of the sale price and is not consider inside sales for profitability calculation.</t>
        </r>
      </text>
    </comment>
    <comment ref="A33" authorId="0" shapeId="0" xr:uid="{805B92FA-CAAB-4349-B132-9C1B925192CF}">
      <text>
        <r>
          <rPr>
            <b/>
            <sz val="9"/>
            <color indexed="81"/>
            <rFont val="Tahoma"/>
            <family val="2"/>
          </rPr>
          <t>MORAS Alexis:</t>
        </r>
        <r>
          <rPr>
            <sz val="9"/>
            <color indexed="81"/>
            <rFont val="Tahoma"/>
            <family val="2"/>
          </rPr>
          <t xml:space="preserve">
That's the total cost of components without transportation cost from suppliers to AVO production plant and without management fees 
</t>
        </r>
      </text>
    </comment>
    <comment ref="A34" authorId="0" shapeId="0" xr:uid="{B971C913-FDEE-4B55-AA71-4D2862A00AAF}">
      <text>
        <r>
          <rPr>
            <b/>
            <sz val="9"/>
            <color indexed="81"/>
            <rFont val="Tahoma"/>
            <family val="2"/>
          </rPr>
          <t>MORAS Alexis:</t>
        </r>
        <r>
          <rPr>
            <sz val="9"/>
            <color indexed="81"/>
            <rFont val="Tahoma"/>
            <family val="2"/>
          </rPr>
          <t xml:space="preserve">
That's the packaging cost of the final product to delvier to customer</t>
        </r>
      </text>
    </comment>
    <comment ref="A43" authorId="0" shapeId="0" xr:uid="{311F4315-5A60-458F-8773-7F050E5EAC1C}">
      <text>
        <r>
          <rPr>
            <b/>
            <sz val="9"/>
            <color indexed="81"/>
            <rFont val="Tahoma"/>
            <family val="2"/>
          </rPr>
          <t>MORAS Alexis:</t>
        </r>
        <r>
          <rPr>
            <sz val="9"/>
            <color indexed="81"/>
            <rFont val="Tahoma"/>
            <family val="2"/>
          </rPr>
          <t xml:space="preserve">
That's the transportation cost of the components from suppliers to AVO Carbon. This include as well the management fees linked to suppliers management.</t>
        </r>
      </text>
    </comment>
    <comment ref="A44" authorId="0" shapeId="0" xr:uid="{FF73E5F1-5354-440A-811F-A8AC07893179}">
      <text>
        <r>
          <rPr>
            <b/>
            <sz val="9"/>
            <color indexed="81"/>
            <rFont val="Tahoma"/>
            <family val="2"/>
          </rPr>
          <t>MORAS Alexis:</t>
        </r>
        <r>
          <rPr>
            <sz val="9"/>
            <color indexed="81"/>
            <rFont val="Tahoma"/>
            <family val="2"/>
          </rPr>
          <t xml:space="preserve">
That's the transportation cost from AVO Carbon to customer or delivery platform (IF DDP or DAP delivery)</t>
        </r>
      </text>
    </comment>
    <comment ref="A59" authorId="0" shapeId="0" xr:uid="{D861630E-9F29-4226-88A4-71C7E95E8109}">
      <text>
        <r>
          <rPr>
            <b/>
            <sz val="9"/>
            <color indexed="81"/>
            <rFont val="Tahoma"/>
            <family val="2"/>
          </rPr>
          <t>MORAS Alexis:</t>
        </r>
        <r>
          <rPr>
            <sz val="9"/>
            <color indexed="81"/>
            <rFont val="Tahoma"/>
            <family val="2"/>
          </rPr>
          <t xml:space="preserve">
This is the depreciation of AVO CAPEX used to run the project.</t>
        </r>
      </text>
    </comment>
    <comment ref="A60" authorId="0" shapeId="0" xr:uid="{790CF454-DCB1-4515-BA23-8B776FF060C9}">
      <text>
        <r>
          <rPr>
            <b/>
            <sz val="9"/>
            <color indexed="81"/>
            <rFont val="Tahoma"/>
            <family val="2"/>
          </rPr>
          <t>MORAS Alexis:</t>
        </r>
        <r>
          <rPr>
            <sz val="9"/>
            <color indexed="81"/>
            <rFont val="Tahoma"/>
            <family val="2"/>
          </rPr>
          <t xml:space="preserve">
This is the AVO Carbon financial cost to run the project (cash interest rate to run the project - the project income).</t>
        </r>
      </text>
    </comment>
    <comment ref="A93" authorId="0" shapeId="0" xr:uid="{EEB5FE87-6903-4169-B265-9A611E3A85F7}">
      <text>
        <r>
          <rPr>
            <b/>
            <sz val="9"/>
            <color indexed="81"/>
            <rFont val="Tahoma"/>
            <family val="2"/>
          </rPr>
          <t>MORAS Alexis:</t>
        </r>
        <r>
          <rPr>
            <sz val="9"/>
            <color indexed="81"/>
            <rFont val="Tahoma"/>
            <family val="2"/>
          </rPr>
          <t xml:space="preserve">
That's the specific tooling investment associated to the production of a component (ex; injection mold, cutting tool, fixture,….)</t>
        </r>
      </text>
    </comment>
    <comment ref="A95" authorId="0" shapeId="0" xr:uid="{D194B5DD-B03B-4370-A42D-912F14BAAEE0}">
      <text>
        <r>
          <rPr>
            <b/>
            <sz val="9"/>
            <color indexed="81"/>
            <rFont val="Tahoma"/>
            <family val="2"/>
          </rPr>
          <t>MORAS Alexis:</t>
        </r>
        <r>
          <rPr>
            <sz val="9"/>
            <color indexed="81"/>
            <rFont val="Tahoma"/>
            <family val="2"/>
          </rPr>
          <t xml:space="preserve">
That's the specific tooling investment associated to the production of a component (ex; injection mold, cutting tool, fixture,….)</t>
        </r>
      </text>
    </comment>
    <comment ref="A96" authorId="0" shapeId="0" xr:uid="{9BAEE7DB-48CF-4562-9F0C-61C1609510D6}">
      <text>
        <r>
          <rPr>
            <b/>
            <sz val="9"/>
            <color indexed="81"/>
            <rFont val="Tahoma"/>
            <family val="2"/>
          </rPr>
          <t>MORAS Alexis:</t>
        </r>
        <r>
          <rPr>
            <sz val="9"/>
            <color indexed="81"/>
            <rFont val="Tahoma"/>
            <family val="2"/>
          </rPr>
          <t xml:space="preserve">
That's the "specific" equipements link to the production of the customer product.
Ex: assembly line,….</t>
        </r>
      </text>
    </comment>
    <comment ref="A98" authorId="0" shapeId="0" xr:uid="{25980B92-90CC-41B3-B059-21B8EBDE8174}">
      <text>
        <r>
          <rPr>
            <b/>
            <sz val="9"/>
            <color indexed="81"/>
            <rFont val="Tahoma"/>
            <family val="2"/>
          </rPr>
          <t>MORAS Alexis:</t>
        </r>
        <r>
          <rPr>
            <sz val="9"/>
            <color indexed="81"/>
            <rFont val="Tahoma"/>
            <family val="2"/>
          </rPr>
          <t xml:space="preserve">
That's the "specific" equipements link to the production of the customer product.
Ex: assembly line,….</t>
        </r>
      </text>
    </comment>
    <comment ref="A99" authorId="0" shapeId="0" xr:uid="{8A0BE967-66EB-4846-9AF6-83CC09506081}">
      <text>
        <r>
          <rPr>
            <b/>
            <sz val="9"/>
            <color indexed="81"/>
            <rFont val="Tahoma"/>
            <family val="2"/>
          </rPr>
          <t>MORAS Alexis:</t>
        </r>
        <r>
          <rPr>
            <sz val="9"/>
            <color indexed="81"/>
            <rFont val="Tahoma"/>
            <family val="2"/>
          </rPr>
          <t xml:space="preserve">
That's standard production equipments. Usually supported by AVO Carbon, in some situation, customer has to participate to that standard investment. 
Ex: injection machine, press,…</t>
        </r>
      </text>
    </comment>
    <comment ref="A101" authorId="0" shapeId="0" xr:uid="{2D833DC2-8AD1-4E0E-AD26-0863AD637A5B}">
      <text>
        <r>
          <rPr>
            <b/>
            <sz val="9"/>
            <color indexed="81"/>
            <rFont val="Tahoma"/>
            <family val="2"/>
          </rPr>
          <t>MORAS Alexis:</t>
        </r>
        <r>
          <rPr>
            <sz val="9"/>
            <color indexed="81"/>
            <rFont val="Tahoma"/>
            <family val="2"/>
          </rPr>
          <t xml:space="preserve">
That's standard production equipments. Usually supported by AVO Carbon, in some situation, customer has to participate to that standard investment. 
Ex: injection machine, press,…</t>
        </r>
      </text>
    </comment>
    <comment ref="A102" authorId="0" shapeId="0" xr:uid="{906E71BF-58A2-4936-92A4-C27286241DDF}">
      <text>
        <r>
          <rPr>
            <b/>
            <sz val="9"/>
            <color indexed="81"/>
            <rFont val="Tahoma"/>
            <family val="2"/>
          </rPr>
          <t>MORAS Alexis:</t>
        </r>
        <r>
          <rPr>
            <sz val="9"/>
            <color indexed="81"/>
            <rFont val="Tahoma"/>
            <family val="2"/>
          </rPr>
          <t xml:space="preserve">
That's all tooling dedicated to the production of the product packaging and the cost of returnable packages (ex: plastic tray tooling + plastic tray)</t>
        </r>
      </text>
    </comment>
    <comment ref="A104" authorId="0" shapeId="0" xr:uid="{29F1A659-8589-4129-BB93-5781DA686E74}">
      <text>
        <r>
          <rPr>
            <b/>
            <sz val="9"/>
            <color indexed="81"/>
            <rFont val="Tahoma"/>
            <family val="2"/>
          </rPr>
          <t>MORAS Alexis:</t>
        </r>
        <r>
          <rPr>
            <sz val="9"/>
            <color indexed="81"/>
            <rFont val="Tahoma"/>
            <family val="2"/>
          </rPr>
          <t xml:space="preserve">
That's all tooling dedicated to the production of the product packaging and the cost of returnable packages (ex: plastic tray tooling + plastic tray)</t>
        </r>
      </text>
    </comment>
    <comment ref="A107" authorId="0" shapeId="0" xr:uid="{025A3A35-3BE9-4751-9E6B-672525ED7E02}">
      <text>
        <r>
          <rPr>
            <b/>
            <sz val="9"/>
            <color indexed="81"/>
            <rFont val="Tahoma"/>
            <family val="2"/>
          </rPr>
          <t>MORAS Alexis:</t>
        </r>
        <r>
          <rPr>
            <sz val="9"/>
            <color indexed="81"/>
            <rFont val="Tahoma"/>
            <family val="2"/>
          </rPr>
          <t xml:space="preserve">
That's all devlopement cost dedicated to run the project and qualify the product (ex: Cost of validation plan, developement team,…)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MORAS Alexis</author>
  </authors>
  <commentList>
    <comment ref="I12" authorId="0" shapeId="0" xr:uid="{5C13D237-4D4F-4A34-AF2D-ADB8CACB25B5}">
      <text>
        <r>
          <rPr>
            <b/>
            <sz val="9"/>
            <color indexed="81"/>
            <rFont val="Tahoma"/>
            <family val="2"/>
          </rPr>
          <t>MORAS Alexis:</t>
        </r>
        <r>
          <rPr>
            <sz val="9"/>
            <color indexed="81"/>
            <rFont val="Tahoma"/>
            <family val="2"/>
          </rPr>
          <t xml:space="preserve">
Is Anhui DL and VOH</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xion" type="4" refreshedVersion="7" background="1" saveData="1">
    <webPr sourceData="1" parsePre="1" consecutive="1" xl2000="1" url="https://avocarbongroup.sharepoint.com/sites/costingTestOS" htmlFormat="all"/>
  </connection>
  <connection id="2" xr16:uid="{00000000-0015-0000-FFFF-FFFF01000000}" keepAlive="1" name="Connexion1" type="5" refreshedVersion="8" minRefreshableVersion="3" saveData="1">
    <dbPr connection="Provider=Microsoft.Office.List.OLEDB.2.0;Data Source=&quot;&quot;;ApplicationName=Excel;Version=12.0.0.0" command="&lt;LIST&gt;&lt;VIEWGUID&gt;&lt;/VIEWGUID&gt;&lt;LISTNAME&gt;{FA2D3AB8-B612-4255-9989-09A18586757D}&lt;/LISTNAME&gt;&lt;LISTWEB&gt;https://avocarbongroup.sharepoint.com/sites/costing/_vti_bin&lt;/LISTWEB&gt;&lt;LISTSUBWEB&gt;&lt;/LISTSUBWEB&gt;&lt;ROOTFOLDER&gt;&lt;/ROOTFOLDER&gt;&lt;/LIST&gt;" commandType="5"/>
  </connection>
  <connection id="3" xr16:uid="{00000000-0015-0000-FFFF-FFFF02000000}" keepAlive="1" name="ModelConnection_DonnéesExternes_2" description="Modèle de données" type="5" refreshedVersion="8" minRefreshableVersion="5" saveData="1">
    <dbPr connection="Data Model Connection" command="Export_database" commandType="3"/>
    <extLst>
      <ext xmlns:x15="http://schemas.microsoft.com/office/spreadsheetml/2010/11/main" uri="{DE250136-89BD-433C-8126-D09CA5730AF9}">
        <x15:connection id="" model="1"/>
      </ext>
    </extLst>
  </connection>
  <connection id="4" xr16:uid="{00000000-0015-0000-FFFF-FFFF03000000}" keepAlive="1" name="Requête - Category_output" description="Connexion à la requête « Category_output » dans le classeur." type="5" refreshedVersion="8" background="1" saveData="1">
    <dbPr connection="Provider=Microsoft.Mashup.OleDb.1;Data Source=$Workbook$;Location=Category_output;Extended Properties=&quot;&quot;" command="SELECT * FROM [Category_output]"/>
  </connection>
  <connection id="5" xr16:uid="{00000000-0015-0000-FFFF-FFFF04000000}" name="Requête - Export_database" description="Connexion à la requête « Export_database » dans le classeur." type="100" refreshedVersion="8" minRefreshableVersion="5">
    <extLst>
      <ext xmlns:x15="http://schemas.microsoft.com/office/spreadsheetml/2010/11/main" uri="{DE250136-89BD-433C-8126-D09CA5730AF9}">
        <x15:connection id="02ffba5b-8cfe-4873-8889-910f928ffe06">
          <x15:oledbPr connection="Provider=Microsoft.Mashup.OleDb.1;Data Source=$Workbook$;Location=Export_database;Extended Properties=&quot;&quot;">
            <x15:dbTables>
              <x15:dbTable name="Export_database"/>
            </x15:dbTables>
          </x15:oledbPr>
        </x15:connection>
      </ext>
    </extLst>
  </connection>
  <connection id="6" xr16:uid="{00000000-0015-0000-FFFF-FFFF05000000}" keepAlive="1" name="Requête - Output_for_SALES_PM" description="Connexion à la requête « Output_for_SALES_PM » dans le classeur." type="5" refreshedVersion="8" background="1" saveData="1">
    <dbPr connection="Provider=Microsoft.Mashup.OleDb.1;Data Source=$Workbook$;Location=Output_for_SALES_PM;Extended Properties=&quot;&quot;" command="SELECT * FROM [Output_for_SALES_PM]"/>
  </connection>
  <connection id="7" xr16:uid="{00000000-0015-0000-FFFF-FFFF06000000}"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<sst xmlns="http://schemas.openxmlformats.org/spreadsheetml/2006/main" count="3830" uniqueCount="1467">
  <si>
    <t>Standard costing model for product line assembly</t>
  </si>
  <si>
    <t>INDICE</t>
  </si>
  <si>
    <t>DATE</t>
  </si>
  <si>
    <t>DESCRIPTION of the change in standard costing model</t>
  </si>
  <si>
    <t>OR</t>
  </si>
  <si>
    <t>Initial version</t>
  </si>
  <si>
    <t>A</t>
  </si>
  <si>
    <t>Update financials parameters 2023</t>
  </si>
  <si>
    <t>Costing process for RFQ N°</t>
  </si>
  <si>
    <t>Customer Product name</t>
  </si>
  <si>
    <t>Fuse choke</t>
    <phoneticPr fontId="67" type="noConversion"/>
  </si>
  <si>
    <t xml:space="preserve">Customer reference: </t>
  </si>
  <si>
    <t>24003-CHO-00</t>
    <phoneticPr fontId="67" type="noConversion"/>
  </si>
  <si>
    <t>Assembly Level</t>
  </si>
  <si>
    <t>Don't forget to fill assembly, that's mandatory for costing database: level 1= final assembly, level 2= sub-component used for final assembly level 1,...</t>
  </si>
  <si>
    <t>1. Define the manufacturing location</t>
  </si>
  <si>
    <t xml:space="preserve">Customer Name </t>
  </si>
  <si>
    <t>NBT</t>
    <phoneticPr fontId="67" type="noConversion"/>
  </si>
  <si>
    <t xml:space="preserve">Purchasing Contact name </t>
  </si>
  <si>
    <t>Part Number:</t>
  </si>
  <si>
    <t>Drawing number:</t>
  </si>
  <si>
    <t>Customer location (city)</t>
  </si>
  <si>
    <t>Technical contact name</t>
  </si>
  <si>
    <t>Rev:</t>
  </si>
  <si>
    <t xml:space="preserve">Geographical area </t>
  </si>
  <si>
    <t>China + South pacific</t>
  </si>
  <si>
    <t>Zone</t>
  </si>
  <si>
    <t xml:space="preserve">Type of product line </t>
  </si>
  <si>
    <t>Chokes - Fuse chokes</t>
  </si>
  <si>
    <t xml:space="preserve">Costing leader </t>
  </si>
  <si>
    <t>Hui Chen</t>
    <phoneticPr fontId="67" type="noConversion"/>
  </si>
  <si>
    <t xml:space="preserve">For </t>
  </si>
  <si>
    <t>, the manufacturing strategy for</t>
  </si>
  <si>
    <t xml:space="preserve">is to produce in </t>
  </si>
  <si>
    <t xml:space="preserve">located in zone </t>
  </si>
  <si>
    <t>Production plant</t>
  </si>
  <si>
    <t>Force production plant against group strategy</t>
  </si>
  <si>
    <t xml:space="preserve">Because the delivery takes place in </t>
  </si>
  <si>
    <t xml:space="preserve">zone, we will apply </t>
  </si>
  <si>
    <t>Need to be validated by product line manager</t>
  </si>
  <si>
    <t>For this plant our normal terms of payment are:</t>
  </si>
  <si>
    <t xml:space="preserve">days. The plant invoices in </t>
  </si>
  <si>
    <t>As the delivery contition are:</t>
    <phoneticPr fontId="67" type="noConversion"/>
  </si>
  <si>
    <t xml:space="preserve">weeks and we will keep a safety stock of </t>
  </si>
  <si>
    <t>days of averge customer forecast</t>
  </si>
  <si>
    <t>We consider that the leadtime within a the same zone is:</t>
  </si>
  <si>
    <t>week.</t>
  </si>
  <si>
    <t>These parameters lead to the following levels of inventory:</t>
  </si>
  <si>
    <t>Finished product safety stock in house</t>
  </si>
  <si>
    <t>AvG Finished product in house to cover pick up</t>
  </si>
  <si>
    <t>Finished product in transit to the customer</t>
  </si>
  <si>
    <t xml:space="preserve">Finished product at customer </t>
  </si>
  <si>
    <t xml:space="preserve">Total finished product inventory </t>
  </si>
  <si>
    <t>2. Sales has provided the following informations:</t>
  </si>
  <si>
    <t>Pick volume</t>
  </si>
  <si>
    <t>Pick volume if the pick volume is not inside the 5 first year of the project</t>
  </si>
  <si>
    <t>Production volume and target price:</t>
  </si>
  <si>
    <t>Investments invoicing  to customer:</t>
  </si>
  <si>
    <t>Years</t>
  </si>
  <si>
    <t>Invoiced</t>
  </si>
  <si>
    <t>Listes</t>
  </si>
  <si>
    <t>Qty (Kpcs)</t>
  </si>
  <si>
    <t>To customer</t>
  </si>
  <si>
    <t>Productivity plan</t>
  </si>
  <si>
    <t>Amortized</t>
  </si>
  <si>
    <t>on piece price</t>
  </si>
  <si>
    <t>Target price</t>
  </si>
  <si>
    <t>per piece</t>
  </si>
  <si>
    <t>In case of amortization duration to consider is (Nbr Year):</t>
  </si>
  <si>
    <t>Interest rate of amortization:</t>
  </si>
  <si>
    <t xml:space="preserve">Business link </t>
  </si>
  <si>
    <t>of average yearly sales or</t>
  </si>
  <si>
    <t>to pay at tooling order</t>
  </si>
  <si>
    <t>The amortization will be done on (Kpcs)</t>
  </si>
  <si>
    <t>3. Calculate capacity and production rate</t>
  </si>
  <si>
    <t xml:space="preserve">In </t>
  </si>
  <si>
    <t xml:space="preserve">we work </t>
  </si>
  <si>
    <t xml:space="preserve">shifts per day and we consider that we work </t>
  </si>
  <si>
    <t>hour per year</t>
  </si>
  <si>
    <t xml:space="preserve">The group requires </t>
  </si>
  <si>
    <t>Extra capacity to secure deliveries in ElFahs, we provide this flexibility with:</t>
  </si>
  <si>
    <t>-</t>
  </si>
  <si>
    <t>Extra machine cacacity</t>
  </si>
  <si>
    <t>Overtime</t>
  </si>
  <si>
    <t>Max capacity</t>
  </si>
  <si>
    <t>AVO Capacities to set-up</t>
  </si>
  <si>
    <t>Part per hour</t>
  </si>
  <si>
    <t>The rate to set up is:</t>
  </si>
  <si>
    <t>p/h</t>
  </si>
  <si>
    <t>% of max</t>
  </si>
  <si>
    <t>Suppliers capacities to set-up</t>
  </si>
  <si>
    <t xml:space="preserve">4. Product cost structure target </t>
  </si>
  <si>
    <t xml:space="preserve"> </t>
  </si>
  <si>
    <t>The following parameters must be integrated  for</t>
  </si>
  <si>
    <t xml:space="preserve">We seek on this type of business a ROCE (theortical at first cost evaluation)  of </t>
  </si>
  <si>
    <t>All calculation imply that we will compensate inflation with Action plan</t>
  </si>
  <si>
    <t>Manufacturing</t>
  </si>
  <si>
    <t xml:space="preserve">Manufacturing involve a productivity loss due to in line manufacturing of about </t>
  </si>
  <si>
    <t xml:space="preserve">The in line scrap evaluate for this type of produt is </t>
  </si>
  <si>
    <t xml:space="preserve">The average hourly rate considers a DL cost of </t>
  </si>
  <si>
    <t xml:space="preserve">The base VOH cost is </t>
  </si>
  <si>
    <t xml:space="preserve">The WIP in the plant considers </t>
  </si>
  <si>
    <t xml:space="preserve">day of RM inventory </t>
  </si>
  <si>
    <t>Supply chain</t>
  </si>
  <si>
    <t xml:space="preserve">Internal transportation cost for this plant is </t>
  </si>
  <si>
    <t>of sales</t>
  </si>
  <si>
    <t>Absobsion</t>
  </si>
  <si>
    <t xml:space="preserve">For such a low level of sales would be </t>
  </si>
  <si>
    <t>The average level of sales of this business over lifetime is</t>
  </si>
  <si>
    <t xml:space="preserve">As a result we will apply the following ration of FOH and Management fees in the calculation model </t>
  </si>
  <si>
    <t xml:space="preserve">FOH = </t>
  </si>
  <si>
    <t>of DL + VOH with transportation</t>
  </si>
  <si>
    <t xml:space="preserve">Mng fees = </t>
  </si>
  <si>
    <t>5. Project Timing:</t>
  </si>
  <si>
    <t>Project phasis</t>
  </si>
  <si>
    <t>Duration (Weeks)</t>
  </si>
  <si>
    <t>Dependancies</t>
  </si>
  <si>
    <t>B-samples (Prototypes)</t>
  </si>
  <si>
    <t>Prototypes Purchase order &amp; design release from customer</t>
  </si>
  <si>
    <t>C-samples (FOT)</t>
  </si>
  <si>
    <t>Serial tool purchase order &amp; design release</t>
  </si>
  <si>
    <t>D-samples (Off tool/Off process)</t>
  </si>
  <si>
    <t>C-samples</t>
  </si>
  <si>
    <t>PVP (Product Validation Plan)</t>
  </si>
  <si>
    <t>D-samples</t>
  </si>
  <si>
    <t>IS (Initial Samples)</t>
  </si>
  <si>
    <t>PPAP submission</t>
  </si>
  <si>
    <t>PVP &amp; IS</t>
  </si>
  <si>
    <t>Total project lead time</t>
  </si>
  <si>
    <t>Note: first 4 weeks after SOP at 30% Max of the capicity. Then 4 weeks progressive RAM-UP.</t>
  </si>
  <si>
    <t xml:space="preserve">Description </t>
  </si>
  <si>
    <t>Customer PN</t>
  </si>
  <si>
    <t>Drawing</t>
  </si>
  <si>
    <t>Supplier feasibility</t>
  </si>
  <si>
    <t>Standard or development</t>
    <phoneticPr fontId="67" type="noConversion"/>
  </si>
  <si>
    <t>Int / Ext</t>
  </si>
  <si>
    <t>Comodity</t>
    <phoneticPr fontId="67" type="noConversion"/>
  </si>
  <si>
    <t>Qty per product</t>
  </si>
  <si>
    <t>Raw material</t>
  </si>
  <si>
    <t>Part weight (Kg)</t>
  </si>
  <si>
    <t>Annual quantity (k p)</t>
  </si>
  <si>
    <t>LT quantity</t>
  </si>
  <si>
    <t>Estimated price (CUR)</t>
  </si>
  <si>
    <t>%</t>
  </si>
  <si>
    <t>Supplier 1</t>
  </si>
  <si>
    <t>Supplier 2</t>
  </si>
  <si>
    <t>Supplier 3</t>
  </si>
  <si>
    <t>Selected supplier</t>
  </si>
  <si>
    <t>Comment</t>
  </si>
  <si>
    <t>Customer</t>
  </si>
  <si>
    <t>Ind</t>
  </si>
  <si>
    <t>AVO</t>
  </si>
  <si>
    <t>Level 1</t>
  </si>
  <si>
    <t>Level 2</t>
  </si>
  <si>
    <t>Level 3</t>
  </si>
  <si>
    <t>Unit</t>
  </si>
  <si>
    <t>Y1</t>
  </si>
  <si>
    <t>Y2</t>
  </si>
  <si>
    <t>Y3</t>
  </si>
  <si>
    <t>Y4</t>
  </si>
  <si>
    <t>Y5</t>
  </si>
  <si>
    <t>Currency</t>
  </si>
  <si>
    <t>Name</t>
  </si>
  <si>
    <t>RFQ sent</t>
  </si>
  <si>
    <t>Price</t>
  </si>
  <si>
    <t>Incoterm</t>
  </si>
  <si>
    <t>Raw material base</t>
  </si>
  <si>
    <t>MOQ (K)</t>
  </si>
  <si>
    <t>Investment</t>
  </si>
  <si>
    <t>Yearly capacity</t>
  </si>
  <si>
    <t>LT Capacity</t>
  </si>
  <si>
    <t>Development</t>
  </si>
  <si>
    <t>Productivity</t>
  </si>
  <si>
    <t>Feasibility</t>
  </si>
  <si>
    <t>Feasability</t>
  </si>
  <si>
    <t>Commodity</t>
  </si>
  <si>
    <t>Copper Wire φ1.25 Turns 14</t>
    <phoneticPr fontId="67" type="noConversion"/>
  </si>
  <si>
    <t>NA</t>
    <phoneticPr fontId="67" type="noConversion"/>
  </si>
  <si>
    <t>OK</t>
  </si>
  <si>
    <t>Std supply</t>
  </si>
  <si>
    <t>Ext.</t>
  </si>
  <si>
    <t>Other</t>
    <phoneticPr fontId="67" type="noConversion"/>
  </si>
  <si>
    <t>Kg</t>
  </si>
  <si>
    <t xml:space="preserve">Copper </t>
    <phoneticPr fontId="67" type="noConversion"/>
  </si>
  <si>
    <t>DATONG</t>
  </si>
  <si>
    <t>RMB</t>
  </si>
  <si>
    <t>DAP KS</t>
  </si>
  <si>
    <t>Cu cost based on SMM</t>
  </si>
  <si>
    <t>500Kg</t>
  </si>
  <si>
    <t>3*0%</t>
  </si>
  <si>
    <t xml:space="preserve">φ2.0 G1 200° </t>
  </si>
  <si>
    <t>PIONEER</t>
  </si>
  <si>
    <t>500KG</t>
  </si>
  <si>
    <t>3*2%</t>
  </si>
  <si>
    <t>JINGDA</t>
  </si>
  <si>
    <t>Raw Material</t>
  </si>
  <si>
    <t>Fuse Core φ5.2*20.5 B5</t>
    <phoneticPr fontId="67" type="noConversion"/>
  </si>
  <si>
    <t>OK</t>
    <phoneticPr fontId="67" type="noConversion"/>
  </si>
  <si>
    <t>Std AVO Carbon</t>
  </si>
  <si>
    <t>U</t>
  </si>
  <si>
    <t>NiZn</t>
    <phoneticPr fontId="67" type="noConversion"/>
  </si>
  <si>
    <t>TLD</t>
    <phoneticPr fontId="67" type="noConversion"/>
  </si>
  <si>
    <t>DAP KS</t>
    <phoneticPr fontId="67" type="noConversion"/>
  </si>
  <si>
    <t>10K</t>
    <phoneticPr fontId="67" type="noConversion"/>
  </si>
  <si>
    <t>3*3%</t>
    <phoneticPr fontId="67" type="noConversion"/>
  </si>
  <si>
    <t>CYGE</t>
    <phoneticPr fontId="67" type="noConversion"/>
  </si>
  <si>
    <t>TBD</t>
  </si>
  <si>
    <t>3*3%</t>
  </si>
  <si>
    <t>TLD</t>
  </si>
  <si>
    <t>Catalog</t>
  </si>
  <si>
    <t>Solder paste SnAg3.5</t>
    <phoneticPr fontId="67" type="noConversion"/>
  </si>
  <si>
    <t>NA</t>
  </si>
  <si>
    <t>Other</t>
  </si>
  <si>
    <t>SnAg3.5</t>
    <phoneticPr fontId="67" type="noConversion"/>
  </si>
  <si>
    <t>RMB</t>
    <phoneticPr fontId="67" type="noConversion"/>
  </si>
  <si>
    <t>20Kg</t>
    <phoneticPr fontId="67" type="noConversion"/>
  </si>
  <si>
    <t>Plastic injection</t>
  </si>
  <si>
    <t>Tin SnAg3.5</t>
    <phoneticPr fontId="67" type="noConversion"/>
  </si>
  <si>
    <t>φ1.0mm SnAg3.5</t>
    <phoneticPr fontId="67" type="noConversion"/>
  </si>
  <si>
    <t>ZHONGYIYUA</t>
  </si>
  <si>
    <t>80KG</t>
  </si>
  <si>
    <t>pcs</t>
  </si>
  <si>
    <t>Stamping</t>
  </si>
  <si>
    <t>kg</t>
  </si>
  <si>
    <t>Deep Drawn</t>
  </si>
  <si>
    <t>m</t>
  </si>
  <si>
    <t>Sleeve</t>
  </si>
  <si>
    <t>L</t>
  </si>
  <si>
    <t>Electronic</t>
  </si>
  <si>
    <t>New Supplier</t>
  </si>
  <si>
    <t>Total BoM</t>
  </si>
  <si>
    <t>Manufacturing plant</t>
  </si>
  <si>
    <t>Average volume (Kp/W)</t>
  </si>
  <si>
    <t>AVOCarbon Tooling and supplier process Investment</t>
  </si>
  <si>
    <t>Customer Tooling and supplier process Investment</t>
  </si>
  <si>
    <t>Supplier Business link</t>
  </si>
  <si>
    <t>% Target price</t>
  </si>
  <si>
    <t>General information</t>
  </si>
  <si>
    <t>Economics</t>
  </si>
  <si>
    <t xml:space="preserve">Trade working capital </t>
  </si>
  <si>
    <t>Tooling cost (kCUR)</t>
  </si>
  <si>
    <t>Specific material to be indexed</t>
  </si>
  <si>
    <t>Designation</t>
  </si>
  <si>
    <t>Customer
Part number / rev</t>
  </si>
  <si>
    <t>Selected Supplier</t>
  </si>
  <si>
    <t xml:space="preserve">Std supply
/
Std AVO
/ 
specifique
</t>
  </si>
  <si>
    <t>Imposed supplier</t>
  </si>
  <si>
    <t>Offered / estimated</t>
  </si>
  <si>
    <t>Piece price in CUR / unit</t>
  </si>
  <si>
    <t>Supplier offer CUR</t>
  </si>
  <si>
    <t xml:space="preserve">Productivity </t>
  </si>
  <si>
    <t xml:space="preserve">Origin of the material </t>
  </si>
  <si>
    <t>Delivery conditions</t>
  </si>
  <si>
    <t>Pick up frequency  (every  x  weeks)</t>
  </si>
  <si>
    <t>Delivery lead time (w)</t>
  </si>
  <si>
    <t>Payment terms (days net)</t>
  </si>
  <si>
    <t xml:space="preserve">Tooling currency  </t>
  </si>
  <si>
    <t>Capacity constrains</t>
  </si>
  <si>
    <t>Componant capacity (kp) per year</t>
  </si>
  <si>
    <t>Tooling capacity (kp/year)</t>
  </si>
  <si>
    <t>Tooling life (kp)</t>
  </si>
  <si>
    <t>Pay by</t>
  </si>
  <si>
    <t>Material</t>
  </si>
  <si>
    <r>
      <t xml:space="preserve">Weight (Kg) 
</t>
    </r>
    <r>
      <rPr>
        <b/>
        <sz val="11"/>
        <rFont val="Calibri"/>
        <family val="2"/>
        <scheme val="minor"/>
      </rPr>
      <t>for 1 sub-component</t>
    </r>
  </si>
  <si>
    <t>Weight (kg) For 1 assembly</t>
  </si>
  <si>
    <t>Material index (Cur) / kg</t>
  </si>
  <si>
    <t>Cur</t>
  </si>
  <si>
    <t>Item</t>
  </si>
  <si>
    <t>Synthesis (TCO price)</t>
  </si>
  <si>
    <t>Weight/pc (Kg)</t>
  </si>
  <si>
    <t>OK/NOK</t>
  </si>
  <si>
    <t xml:space="preserve">Costing Currency </t>
  </si>
  <si>
    <t xml:space="preserve">Exch. rate </t>
  </si>
  <si>
    <t xml:space="preserve">Exchange rate </t>
  </si>
  <si>
    <t>Exchange reta</t>
  </si>
  <si>
    <t>Colonne1</t>
  </si>
  <si>
    <t>Colonne2</t>
  </si>
  <si>
    <t>AP</t>
  </si>
  <si>
    <t xml:space="preserve">In transit inventory </t>
  </si>
  <si>
    <t xml:space="preserve">RM Inventory </t>
  </si>
  <si>
    <t>Total inventory</t>
  </si>
  <si>
    <t xml:space="preserve">Approach </t>
  </si>
  <si>
    <t>Approach (CUR)</t>
  </si>
  <si>
    <t>Part of the Cost structure</t>
  </si>
  <si>
    <t>Origin</t>
  </si>
  <si>
    <t xml:space="preserve">Purchasing Currency </t>
  </si>
  <si>
    <t>Costing Currency</t>
  </si>
  <si>
    <t>Purchase in costing currency</t>
  </si>
  <si>
    <t>Purchased outside costing currency</t>
  </si>
  <si>
    <t>Supplier business link</t>
  </si>
  <si>
    <t>Supplier</t>
  </si>
  <si>
    <t>TCO value</t>
  </si>
  <si>
    <t>Value in the product</t>
  </si>
  <si>
    <t>New Tooling cost/pice (Kcur)</t>
  </si>
  <si>
    <t>Replacement tooling (kcur)</t>
  </si>
  <si>
    <t>Tooling cost/ piece</t>
  </si>
  <si>
    <t>Total</t>
  </si>
  <si>
    <t xml:space="preserve">Zone supply </t>
  </si>
  <si>
    <t xml:space="preserve">Outside zone supply </t>
  </si>
  <si>
    <t>DDP</t>
  </si>
  <si>
    <t>NO</t>
  </si>
  <si>
    <t>Copper</t>
    <phoneticPr fontId="12" type="noConversion"/>
  </si>
  <si>
    <t xml:space="preserve">Scrap </t>
  </si>
  <si>
    <t>Purchasing --&gt; Invoice currency</t>
  </si>
  <si>
    <t>Exchange rate</t>
  </si>
  <si>
    <t>Total Weight (kg)</t>
  </si>
  <si>
    <t>Value (Cur)</t>
  </si>
  <si>
    <t>SI(AK78:AK105="";"All purchase in Euro";"")</t>
  </si>
  <si>
    <t xml:space="preserve">Conclusion on Material </t>
  </si>
  <si>
    <t>Cost Structure</t>
  </si>
  <si>
    <t xml:space="preserve">Material value </t>
  </si>
  <si>
    <t xml:space="preserve">it represents </t>
  </si>
  <si>
    <t xml:space="preserve">of the target price while our standards are looking for a material cost for </t>
  </si>
  <si>
    <t>of</t>
  </si>
  <si>
    <t xml:space="preserve">it means that the material cost should be around </t>
  </si>
  <si>
    <t xml:space="preserve">therefore we must decrease our current cost structure by at least </t>
  </si>
  <si>
    <t xml:space="preserve">were estimated which represent a </t>
  </si>
  <si>
    <t>Material value</t>
  </si>
  <si>
    <t xml:space="preserve">are coming from the outside while </t>
  </si>
  <si>
    <t xml:space="preserve">are internal deliveries or </t>
  </si>
  <si>
    <t>Localization</t>
  </si>
  <si>
    <t xml:space="preserve">The target of raw material localization for this type of product is </t>
  </si>
  <si>
    <t xml:space="preserve">we manufacture in </t>
  </si>
  <si>
    <t xml:space="preserve">and we have </t>
  </si>
  <si>
    <t>of the components coming fron the area</t>
  </si>
  <si>
    <t xml:space="preserve">Currency </t>
  </si>
  <si>
    <t>Value purchased</t>
  </si>
  <si>
    <t xml:space="preserve">Cost Exch. rate </t>
  </si>
  <si>
    <t>% of mat value</t>
  </si>
  <si>
    <t>Origine</t>
  </si>
  <si>
    <t>% of mat Value</t>
  </si>
  <si>
    <t xml:space="preserve">Total </t>
  </si>
  <si>
    <t xml:space="preserve">In this sheet, describe the operations that must be peromed on the product </t>
  </si>
  <si>
    <t>Step 1 : Define the operations to be performed</t>
  </si>
  <si>
    <t>Validate equimpent utilization</t>
  </si>
  <si>
    <t>CAPEX for process equipment (injection presses, welders,…)</t>
  </si>
  <si>
    <t>Capex for process tooling (injection mold,…)</t>
  </si>
  <si>
    <t>Number of machines used -1Y</t>
  </si>
  <si>
    <t>Number of equipements dedicated to project</t>
  </si>
  <si>
    <t>Number of tooling dedicated to project</t>
  </si>
  <si>
    <t>Capacity</t>
  </si>
  <si>
    <t>CAPEX to make or use</t>
  </si>
  <si>
    <t>Yearly spending</t>
  </si>
  <si>
    <t>Process equipement at AVO charge</t>
  </si>
  <si>
    <t>Process equipement at customer charge</t>
  </si>
  <si>
    <t>Process tooling at AVO charge</t>
  </si>
  <si>
    <t>Process tooling at customer charge</t>
  </si>
  <si>
    <t xml:space="preserve">Country </t>
  </si>
  <si>
    <t>Working Currency</t>
  </si>
  <si>
    <t>Echange rate</t>
  </si>
  <si>
    <t>Phases</t>
  </si>
  <si>
    <t>Operation</t>
  </si>
  <si>
    <t># of operation per piece</t>
  </si>
  <si>
    <t># of part per stroke</t>
  </si>
  <si>
    <t>Strokes per hour (incl. OEE)</t>
  </si>
  <si>
    <t>% DL</t>
  </si>
  <si>
    <t>In line Operation</t>
    <phoneticPr fontId="12" type="noConversion"/>
  </si>
  <si>
    <t>Part / hour</t>
  </si>
  <si>
    <t>Machines qty at full capacity</t>
  </si>
  <si>
    <t>Machine load (%)</t>
  </si>
  <si>
    <t>Machine H/M</t>
  </si>
  <si>
    <t>DL H/M</t>
  </si>
  <si>
    <t>Equipment name</t>
  </si>
  <si>
    <t>Equipment Dedicated</t>
  </si>
  <si>
    <t>Property</t>
  </si>
  <si>
    <t>Customer participation to CAPEX 
(% of invest)</t>
  </si>
  <si>
    <t>AVOCarbon CAPEX</t>
  </si>
  <si>
    <t>Capacity / year (kp)</t>
  </si>
  <si>
    <t>Tooling (k€)</t>
  </si>
  <si>
    <t>Tooling name</t>
  </si>
  <si>
    <t>Tooling lifetime (kp)</t>
  </si>
  <si>
    <t>AVOCarbon tooling</t>
  </si>
  <si>
    <t>VOH base cost</t>
  </si>
  <si>
    <t>Machine cost (€/h)</t>
  </si>
  <si>
    <t>VOH €/M</t>
  </si>
  <si>
    <t>DL Cost (€/h)</t>
  </si>
  <si>
    <t>Prod Loss</t>
  </si>
  <si>
    <t>DL €</t>
  </si>
  <si>
    <t>Total DC Cost</t>
  </si>
  <si>
    <t>CAPEX/ piece</t>
  </si>
  <si>
    <t>CAPEX / H</t>
  </si>
  <si>
    <t xml:space="preserve">VOH cost </t>
  </si>
  <si>
    <t xml:space="preserve">DL Cost </t>
  </si>
  <si>
    <t xml:space="preserve"> CPEX</t>
  </si>
  <si>
    <t>Kunshan</t>
  </si>
  <si>
    <t>Winding</t>
    <phoneticPr fontId="12" type="noConversion"/>
  </si>
  <si>
    <t>AVOCarbon</t>
  </si>
  <si>
    <t>Assemble Resisitor + Terminal + Capacitor</t>
  </si>
  <si>
    <t>Kunshan-ASSY</t>
  </si>
  <si>
    <t>OP 20</t>
  </si>
  <si>
    <t>Assembly core</t>
    <phoneticPr fontId="12" type="noConversion"/>
  </si>
  <si>
    <t xml:space="preserve">Winding </t>
  </si>
  <si>
    <t>OP 30</t>
  </si>
  <si>
    <t>Auto Soldering</t>
    <phoneticPr fontId="12" type="noConversion"/>
  </si>
  <si>
    <t xml:space="preserve">Bouche ejector </t>
  </si>
  <si>
    <t>OP 40</t>
  </si>
  <si>
    <t>Inspection + Packaging</t>
    <phoneticPr fontId="12" type="noConversion"/>
  </si>
  <si>
    <t>Inject</t>
  </si>
  <si>
    <t>OP 50</t>
  </si>
  <si>
    <t>Tape the winding in place</t>
  </si>
  <si>
    <t>OP 60</t>
  </si>
  <si>
    <t xml:space="preserve">Package </t>
  </si>
  <si>
    <t>OP 70</t>
  </si>
  <si>
    <t xml:space="preserve">Test </t>
  </si>
  <si>
    <t>OP 80</t>
  </si>
  <si>
    <t>Put thermoretractable sleeve on ferrite</t>
  </si>
  <si>
    <t>OP 90</t>
  </si>
  <si>
    <t>Put to agraphe</t>
  </si>
  <si>
    <t>OP 100</t>
  </si>
  <si>
    <t>Resistor preparation</t>
  </si>
  <si>
    <t>OP 110</t>
  </si>
  <si>
    <t>Capacitor preparation</t>
  </si>
  <si>
    <t>OP 120</t>
  </si>
  <si>
    <t>OP 130</t>
  </si>
  <si>
    <t>OP 140</t>
  </si>
  <si>
    <t>OP 150</t>
  </si>
  <si>
    <t>OP 160</t>
  </si>
  <si>
    <t>OP 170</t>
  </si>
  <si>
    <t>OP 180</t>
  </si>
  <si>
    <t>OP 190</t>
  </si>
  <si>
    <t>OP 200</t>
  </si>
  <si>
    <t>OP 210</t>
  </si>
  <si>
    <t>OP 220</t>
  </si>
  <si>
    <t>OP 230</t>
  </si>
  <si>
    <t>OP 240</t>
  </si>
  <si>
    <t>OP 250</t>
  </si>
  <si>
    <t>OP 260</t>
  </si>
  <si>
    <t>OP 270</t>
  </si>
  <si>
    <t>YES</t>
  </si>
  <si>
    <t>€/hour of DL</t>
  </si>
  <si>
    <t>p/y</t>
  </si>
  <si>
    <t>€ / hour of DL</t>
  </si>
  <si>
    <t>1 shift</t>
  </si>
  <si>
    <t>€/h of DL</t>
  </si>
  <si>
    <t>2 shift</t>
  </si>
  <si>
    <t>3 shift</t>
  </si>
  <si>
    <t>Calcul cout de transport interne</t>
  </si>
  <si>
    <t>WARNING : Cost / consumable is in EURO</t>
  </si>
  <si>
    <t>Operations</t>
  </si>
  <si>
    <t>Machine</t>
  </si>
  <si>
    <t>CAPEX (CUR) / h</t>
  </si>
  <si>
    <t>Spare part</t>
  </si>
  <si>
    <t>Rate (p/h)</t>
  </si>
  <si>
    <t>Type of consumable 1</t>
  </si>
  <si>
    <t>Replacement every X pieces</t>
  </si>
  <si>
    <t>Cons. Cost (EUR)</t>
  </si>
  <si>
    <t>Cost/h (CUR)</t>
  </si>
  <si>
    <t>Type of consumable 2</t>
  </si>
  <si>
    <t>Type of consumable 3</t>
  </si>
  <si>
    <t>Total Cost</t>
  </si>
  <si>
    <t>EUR</t>
  </si>
  <si>
    <t>Returnable package allocation (total needs/year)</t>
  </si>
  <si>
    <t>Packaging (investments for package allocation)</t>
  </si>
  <si>
    <t>Reminder of logistic Inputs</t>
  </si>
  <si>
    <t>Select "auto" packaging selection or "manual" entry</t>
  </si>
  <si>
    <t>Auto</t>
  </si>
  <si>
    <t>Packaging &amp; transportation output</t>
  </si>
  <si>
    <t>Transportation and Tax cost</t>
  </si>
  <si>
    <t>RECHERCHEV($W3;$W$6:$AB$50;4;FAUX)</t>
  </si>
  <si>
    <t>For</t>
  </si>
  <si>
    <t>Verif</t>
  </si>
  <si>
    <t>Define your logistic hypothesis</t>
  </si>
  <si>
    <t>Cost</t>
  </si>
  <si>
    <t>investment</t>
  </si>
  <si>
    <t>Investissements brush retainer</t>
  </si>
  <si>
    <t>Annual quantity</t>
  </si>
  <si>
    <t>Max needs</t>
  </si>
  <si>
    <t>Pick -up quantity (/ 1W)</t>
  </si>
  <si>
    <t>Invoicing currency</t>
  </si>
  <si>
    <t>Customer location</t>
  </si>
  <si>
    <t>Pick up frequency / W:</t>
  </si>
  <si>
    <t>Working week/year</t>
  </si>
  <si>
    <t>Av Nbr pallet/W</t>
  </si>
  <si>
    <t>Packaging</t>
  </si>
  <si>
    <t>selection</t>
  </si>
  <si>
    <t>Volume (KP)</t>
  </si>
  <si>
    <t>Invest (K€)</t>
  </si>
  <si>
    <t>Warranty (Kpcs)</t>
  </si>
  <si>
    <t>Pick -up quantity (Kpcs/ 1W)</t>
  </si>
  <si>
    <t>Average sale price</t>
  </si>
  <si>
    <t>Average volume</t>
  </si>
  <si>
    <t>Average volume (KP) / pick-up:</t>
  </si>
  <si>
    <t>Unit weight (Kg/pc):</t>
  </si>
  <si>
    <t>Packaging investments</t>
  </si>
  <si>
    <t>Level of inventory (days)</t>
  </si>
  <si>
    <t>Max volume (KP) /pick-up</t>
  </si>
  <si>
    <t>Transportation cost</t>
  </si>
  <si>
    <t>Key</t>
  </si>
  <si>
    <t>From</t>
  </si>
  <si>
    <t>To</t>
  </si>
  <si>
    <t>Transport_cost</t>
  </si>
  <si>
    <t>Tax_percentage</t>
  </si>
  <si>
    <t>Logistic loop (W)</t>
  </si>
  <si>
    <t>Oversea</t>
  </si>
  <si>
    <t>Delivery Platform:</t>
  </si>
  <si>
    <t>Platform Resp</t>
  </si>
  <si>
    <t>Platform fees</t>
  </si>
  <si>
    <t>Amiens</t>
  </si>
  <si>
    <t>India</t>
  </si>
  <si>
    <t xml:space="preserve">AvG Finsished product in house to cover pick up </t>
  </si>
  <si>
    <t>Returnable Box &amp; pallet:</t>
  </si>
  <si>
    <t>Total cost</t>
  </si>
  <si>
    <t>Rest of Asia</t>
  </si>
  <si>
    <t>Pallet type:</t>
  </si>
  <si>
    <t>Exchange rate for trasnportation cost</t>
  </si>
  <si>
    <t>Europe</t>
  </si>
  <si>
    <t>Finished product at customer or @ delivery platform</t>
  </si>
  <si>
    <t>Choice of the box:</t>
  </si>
  <si>
    <t>Choice of tray or dividers:</t>
  </si>
  <si>
    <t>Carboard divider</t>
  </si>
  <si>
    <t xml:space="preserve">North America </t>
  </si>
  <si>
    <t>Choice of the pallet height:</t>
  </si>
  <si>
    <t>1m</t>
    <phoneticPr fontId="67" type="noConversion"/>
  </si>
  <si>
    <t>Gerbable?</t>
  </si>
  <si>
    <t>Yes</t>
  </si>
  <si>
    <t>Chennai</t>
  </si>
  <si>
    <t>Pallet weight (Kg):</t>
  </si>
  <si>
    <t>MOQ (Qty/pallet)</t>
  </si>
  <si>
    <t>Infos:</t>
  </si>
  <si>
    <t>Pcs/box</t>
  </si>
  <si>
    <t>Rest fo Asia</t>
  </si>
  <si>
    <t>Packaging (investments for package allocation) w/o margin</t>
  </si>
  <si>
    <t>Packaging (investments for package allocation) Sold to customer</t>
  </si>
  <si>
    <t>Packaging (investments for package allocation) at AVO Charge</t>
  </si>
  <si>
    <t>Pcs/layer</t>
  </si>
  <si>
    <t>In case of Brush retainer Estimate its cost (Returnable or not)</t>
  </si>
  <si>
    <t>Define your package looking at your product shape</t>
  </si>
  <si>
    <t>Daegu</t>
  </si>
  <si>
    <t>Height</t>
  </si>
  <si>
    <t>mm</t>
  </si>
  <si>
    <t>Select:</t>
  </si>
  <si>
    <t>Rectangular</t>
  </si>
  <si>
    <t>Circular shape</t>
  </si>
  <si>
    <t>Free shape</t>
  </si>
  <si>
    <t>Vrac</t>
  </si>
  <si>
    <t>Diameter</t>
  </si>
  <si>
    <t>Choice</t>
  </si>
  <si>
    <t>Material cost</t>
  </si>
  <si>
    <t>1 way</t>
  </si>
  <si>
    <t>Lengh (mm)</t>
  </si>
  <si>
    <t>Volume</t>
  </si>
  <si>
    <t>mm3</t>
  </si>
  <si>
    <t>Width (mm)</t>
  </si>
  <si>
    <t>Weight</t>
  </si>
  <si>
    <t>g</t>
  </si>
  <si>
    <t>Height (mm)</t>
  </si>
  <si>
    <t>ElFahs</t>
  </si>
  <si>
    <t>Cost/pc</t>
  </si>
  <si>
    <t>Diameter (mm)</t>
  </si>
  <si>
    <t>Volume (mm3)</t>
  </si>
  <si>
    <t>Injection mold warranty:</t>
  </si>
  <si>
    <t>Kpcs</t>
  </si>
  <si>
    <t>% of Empty space</t>
  </si>
  <si>
    <t>Material cost returnable</t>
  </si>
  <si>
    <t>€/Kg</t>
  </si>
  <si>
    <t>Gap between 2 pieces Returnable</t>
  </si>
  <si>
    <t>600 X 400</t>
  </si>
  <si>
    <t>400 X 300</t>
  </si>
  <si>
    <t>300 X 200</t>
  </si>
  <si>
    <t>Packaging (tooling investment)</t>
  </si>
  <si>
    <t>Packaging (tooling investment) sold to customer</t>
  </si>
  <si>
    <t>Material cost "1 way"</t>
  </si>
  <si>
    <t>Gap between 2 pieces 1 way</t>
  </si>
  <si>
    <t>Frankfurt</t>
  </si>
  <si>
    <t>One way tray</t>
  </si>
  <si>
    <t>Returnable plastic tray</t>
  </si>
  <si>
    <t>Distance between 2 lines</t>
  </si>
  <si>
    <t>1m</t>
  </si>
  <si>
    <t>1,4m</t>
  </si>
  <si>
    <t>Offset lengh</t>
  </si>
  <si>
    <t>Offset width</t>
  </si>
  <si>
    <t>Investments &amp; Returnable packaging</t>
  </si>
  <si>
    <t>Safety margin</t>
  </si>
  <si>
    <t>Loop duration</t>
  </si>
  <si>
    <t>Monterrey</t>
  </si>
  <si>
    <t>Select if needed</t>
  </si>
  <si>
    <t xml:space="preserve">Returnable </t>
  </si>
  <si>
    <t>Cust imposed</t>
  </si>
  <si>
    <t>QTY/prod</t>
  </si>
  <si>
    <t xml:space="preserve">Unit </t>
  </si>
  <si>
    <t>Max Nbr needed to cover the loop</t>
  </si>
  <si>
    <t>% paid by AVO</t>
  </si>
  <si>
    <t>Warranty (nbr loop)</t>
  </si>
  <si>
    <t>Weight / pallet (Kg)</t>
  </si>
  <si>
    <t>No</t>
  </si>
  <si>
    <t>Label (etiquette Galia)</t>
  </si>
  <si>
    <t>m²</t>
  </si>
  <si>
    <t>Poitiers</t>
  </si>
  <si>
    <t>Brush retainer</t>
  </si>
  <si>
    <t>Cardboard corner</t>
  </si>
  <si>
    <t>Pallet cover</t>
  </si>
  <si>
    <t>Box cover (for plastic box)</t>
  </si>
  <si>
    <t>Tianjin</t>
  </si>
  <si>
    <t>Manual entry: does not consider upper table!!!</t>
  </si>
  <si>
    <t>Thickness</t>
  </si>
  <si>
    <t>Paid by AVO</t>
  </si>
  <si>
    <t>Paid by customer</t>
  </si>
  <si>
    <t>Non returnable packaging</t>
  </si>
  <si>
    <t>Cardboard divider</t>
  </si>
  <si>
    <t>Tray (1 way or returnable)</t>
  </si>
  <si>
    <t>Material cost
€/m²</t>
  </si>
  <si>
    <t>Investment  
€/m²</t>
  </si>
  <si>
    <t>Material cost 1 way (€/m²)</t>
  </si>
  <si>
    <t>Material cost return (€/m²)</t>
  </si>
  <si>
    <t>Min cost</t>
  </si>
  <si>
    <t>Synthèse</t>
  </si>
  <si>
    <t>Rectangular shape</t>
  </si>
  <si>
    <t>Box 
Cost/pc</t>
  </si>
  <si>
    <t>Tray
cost/pcs</t>
  </si>
  <si>
    <t>Tray weight (Kg)</t>
  </si>
  <si>
    <t>Box weight (Kg)</t>
  </si>
  <si>
    <t>cost €/box</t>
  </si>
  <si>
    <t>Dimension (mm)</t>
  </si>
  <si>
    <t>Hauteur (mm)</t>
  </si>
  <si>
    <t>Interior dimension (mm)</t>
  </si>
  <si>
    <t>800 x 600 H1 
(1m max)</t>
  </si>
  <si>
    <t>800 x 600 H2 
(1,4m max)</t>
  </si>
  <si>
    <t>800 x 1200 H1 (1m)</t>
  </si>
  <si>
    <t>800 x 1200 H2 (1,4m)</t>
  </si>
  <si>
    <t>Max weight (Kg)</t>
  </si>
  <si>
    <t>Comptible Oversea</t>
  </si>
  <si>
    <t>Material cost
€/box</t>
  </si>
  <si>
    <t>Investment  
€/box</t>
  </si>
  <si>
    <t>horizontal
m²</t>
  </si>
  <si>
    <t>Vertical
m²</t>
  </si>
  <si>
    <t>Cost
€/tray</t>
  </si>
  <si>
    <t>Nbr tray/box</t>
  </si>
  <si>
    <t>Poids total (Kg)</t>
  </si>
  <si>
    <t>Nbr pcs/box</t>
  </si>
  <si>
    <t>Nbr pcs/tray</t>
  </si>
  <si>
    <t>Possible box</t>
  </si>
  <si>
    <t>Lengh</t>
  </si>
  <si>
    <t>Width</t>
  </si>
  <si>
    <t>total/stack</t>
  </si>
  <si>
    <t>Nbr stack</t>
  </si>
  <si>
    <t>Lengh line 1</t>
  </si>
  <si>
    <t>Lengh line 2</t>
  </si>
  <si>
    <t>Pair/impair</t>
  </si>
  <si>
    <t>total</t>
  </si>
  <si>
    <t>Lengh 2nd</t>
  </si>
  <si>
    <t>Box cover cost (€)</t>
  </si>
  <si>
    <t>Box cover weight</t>
  </si>
  <si>
    <t>Transportation</t>
  </si>
  <si>
    <t>Cardboard box C10</t>
  </si>
  <si>
    <t>""</t>
  </si>
  <si>
    <t>Oui</t>
  </si>
  <si>
    <t>Transportation cost to deliver</t>
  </si>
  <si>
    <t>Outbound cost</t>
  </si>
  <si>
    <t>Cardboard box C11</t>
  </si>
  <si>
    <t>Costs to return the packaging to</t>
  </si>
  <si>
    <t>Customer plant or platform</t>
  </si>
  <si>
    <t>Inbound cost</t>
  </si>
  <si>
    <t>Cardboard box C12</t>
  </si>
  <si>
    <t>Internal transportation from</t>
  </si>
  <si>
    <t xml:space="preserve">to </t>
  </si>
  <si>
    <t>With logistic loop duration of</t>
  </si>
  <si>
    <t>Weeks</t>
  </si>
  <si>
    <t>Internal transportation</t>
  </si>
  <si>
    <t>Cardboard box C13</t>
  </si>
  <si>
    <t>Total transportation cost</t>
  </si>
  <si>
    <t>Cardboard box C14</t>
  </si>
  <si>
    <t>Cardboard box C15</t>
  </si>
  <si>
    <t>Plateform fee</t>
  </si>
  <si>
    <t>Cardboard box C16</t>
  </si>
  <si>
    <t>Transport are paid in</t>
  </si>
  <si>
    <t>Plastic box with open handle</t>
  </si>
  <si>
    <t>400 x 300</t>
  </si>
  <si>
    <t>356 x 256 x 160</t>
  </si>
  <si>
    <t>356 x 256 x 211</t>
  </si>
  <si>
    <t>356 x 256 x 237</t>
  </si>
  <si>
    <t>356 x 256 x 250</t>
  </si>
  <si>
    <t>356 x 256 x 332</t>
  </si>
  <si>
    <t>600 x 400</t>
  </si>
  <si>
    <t>560 x 355 x 138</t>
  </si>
  <si>
    <t>555 x 355 x 184</t>
  </si>
  <si>
    <t>555 x 355 x 265</t>
  </si>
  <si>
    <t>555 x 355 x 285</t>
  </si>
  <si>
    <t>552 x 353 x 304</t>
  </si>
  <si>
    <t>Pallet cover cost (€)</t>
  </si>
  <si>
    <t>Pallet cost/pieces</t>
  </si>
  <si>
    <t>Prix €/pc</t>
  </si>
  <si>
    <t>Qty/pallet 
Hauteur (1m)</t>
  </si>
  <si>
    <t>Qty/pallet
Hauteur (1,4m)</t>
  </si>
  <si>
    <t>Max Nbr rotation</t>
  </si>
  <si>
    <t>Pallet weight H1(Kg)</t>
  </si>
  <si>
    <t>Pallet weight H2(Kg)</t>
  </si>
  <si>
    <t xml:space="preserve">Max Box Qty </t>
  </si>
  <si>
    <t>Pallet weight (Kg)</t>
  </si>
  <si>
    <t>nbr Pcs/pallet</t>
  </si>
  <si>
    <t>Colonne3</t>
  </si>
  <si>
    <t>Plastic pallet 800 x 600</t>
  </si>
  <si>
    <t>Eur</t>
  </si>
  <si>
    <t>800 x 600</t>
  </si>
  <si>
    <t>?</t>
  </si>
  <si>
    <t>Simulation</t>
  </si>
  <si>
    <t>Plastic pallet 1200 x 800</t>
  </si>
  <si>
    <t>1200 x 800</t>
  </si>
  <si>
    <r>
      <t xml:space="preserve">Packaging &amp; transportation:
</t>
    </r>
    <r>
      <rPr>
        <b/>
        <sz val="16"/>
        <color theme="4"/>
        <rFont val="Calibri"/>
        <family val="2"/>
        <scheme val="minor"/>
      </rPr>
      <t>Copy/paste your scenario 1 in blue cells</t>
    </r>
  </si>
  <si>
    <t>Packaging &amp; transportation:
Scenario 2</t>
  </si>
  <si>
    <t>Packaging &amp; transportation scenario 2 - 1:
Gap analysis</t>
  </si>
  <si>
    <t>Wood pallet 800 x 600</t>
  </si>
  <si>
    <t>Non</t>
  </si>
  <si>
    <t>Wood pallet 1200 x 800</t>
  </si>
  <si>
    <t>USD/pc</t>
  </si>
  <si>
    <t>Plastic pallet 1200 x 1000</t>
  </si>
  <si>
    <t>1200 x 1000</t>
  </si>
  <si>
    <t>K USD</t>
  </si>
  <si>
    <t xml:space="preserve"> Pallet cover 800 x 600</t>
  </si>
  <si>
    <t>USD/ pc</t>
  </si>
  <si>
    <t xml:space="preserve"> Pallet cover 1200 x 800</t>
  </si>
  <si>
    <t xml:space="preserve"> Pallet cover 1200 x 1000</t>
  </si>
  <si>
    <t>Cardboard corner(m) lg 2m</t>
  </si>
  <si>
    <t>Cardboard corner(m)</t>
  </si>
  <si>
    <t>Conclusion:</t>
  </si>
  <si>
    <t>Years --&gt;</t>
  </si>
  <si>
    <t>Raw material indexation summary</t>
  </si>
  <si>
    <t>Costing currency:</t>
  </si>
  <si>
    <t>Raw material rate indexation summary to consider inside costing:</t>
  </si>
  <si>
    <t>Exchange rate indexation summary to consider inside costing:</t>
  </si>
  <si>
    <t>Somme de Total Weight (kg)</t>
  </si>
  <si>
    <t>Material rate (Cur/Kg)</t>
  </si>
  <si>
    <t>Somme de Value (Cur)</t>
  </si>
  <si>
    <t>Max. de Exchange rate</t>
  </si>
  <si>
    <t>Copper</t>
  </si>
  <si>
    <t>0 --&gt; RMB</t>
  </si>
  <si>
    <t>Total général</t>
  </si>
  <si>
    <t xml:space="preserve">AVO Charge </t>
  </si>
  <si>
    <t>Specific components tooling at supplier</t>
  </si>
  <si>
    <t>Process tooling at AVO</t>
  </si>
  <si>
    <t>Process equipment at AVO</t>
  </si>
  <si>
    <t>Packaging tooling &amp; returnable package</t>
  </si>
  <si>
    <t>Development cost</t>
  </si>
  <si>
    <t>Customer business link</t>
  </si>
  <si>
    <t>Margin on tooling sold</t>
  </si>
  <si>
    <t>Not considered in amortization yet</t>
  </si>
  <si>
    <t>Customer charge without margin</t>
  </si>
  <si>
    <t>Calculation of amortization</t>
  </si>
  <si>
    <t>Actually charged to customer (with margin)</t>
  </si>
  <si>
    <t>Invoicing strategy</t>
  </si>
  <si>
    <t>Amount invoiced</t>
  </si>
  <si>
    <t>Amount amortized</t>
  </si>
  <si>
    <t>Total with interest (For info)</t>
  </si>
  <si>
    <t>Amortization / pc (Kcur)</t>
  </si>
  <si>
    <t>Amortization on (pcs)</t>
  </si>
  <si>
    <t>Category</t>
  </si>
  <si>
    <t>Y6</t>
  </si>
  <si>
    <t>DVP</t>
  </si>
  <si>
    <t>PVP</t>
  </si>
  <si>
    <t>Raw material tooling at AVO suppliers</t>
  </si>
  <si>
    <t>Testing samples</t>
  </si>
  <si>
    <t>Test bench 1 (21000tr/min)+ cooler module</t>
  </si>
  <si>
    <t>Test bench 2 (21000tr/min)+ heater module</t>
  </si>
  <si>
    <t>Function check bench (10000RPM max)</t>
  </si>
  <si>
    <t>Grand total</t>
  </si>
  <si>
    <t>Engineering team (300h*45€/h))</t>
  </si>
  <si>
    <t xml:space="preserve">Years </t>
  </si>
  <si>
    <t>ROCE</t>
  </si>
  <si>
    <t>Initial selling price</t>
  </si>
  <si>
    <t>Target ROCE</t>
  </si>
  <si>
    <t>Buisness link</t>
  </si>
  <si>
    <t>Qtes</t>
  </si>
  <si>
    <t>Cash Generation</t>
  </si>
  <si>
    <t>Price decrease to come</t>
  </si>
  <si>
    <t>VAN</t>
  </si>
  <si>
    <t xml:space="preserve">Material Cost </t>
  </si>
  <si>
    <t>Company taxes</t>
  </si>
  <si>
    <t>Part price impacted by productivity</t>
  </si>
  <si>
    <t xml:space="preserve">Fianncial cost </t>
  </si>
  <si>
    <t>Packaging and transportation</t>
  </si>
  <si>
    <t xml:space="preserve">Indexed material </t>
  </si>
  <si>
    <t>Sales price</t>
  </si>
  <si>
    <t xml:space="preserve">Material </t>
  </si>
  <si>
    <t>Sales (k1)</t>
  </si>
  <si>
    <t xml:space="preserve">Packaging </t>
  </si>
  <si>
    <t xml:space="preserve">Management fees </t>
  </si>
  <si>
    <t xml:space="preserve">Direct labor </t>
  </si>
  <si>
    <t>FOH /DC</t>
  </si>
  <si>
    <t xml:space="preserve">RM including supplier productivity </t>
  </si>
  <si>
    <t>VOH</t>
  </si>
  <si>
    <t>Inbound transportation &amp; Fees</t>
  </si>
  <si>
    <t>Safety on volumes</t>
  </si>
  <si>
    <t xml:space="preserve">Total Material </t>
  </si>
  <si>
    <t>Dieident taxtes</t>
  </si>
  <si>
    <t>Min FOH</t>
  </si>
  <si>
    <t>Max FOH</t>
  </si>
  <si>
    <t>MIN FEES</t>
  </si>
  <si>
    <t>Max FEES</t>
  </si>
  <si>
    <t>Total material (%)</t>
  </si>
  <si>
    <t>Outbound transportation</t>
  </si>
  <si>
    <t>FOH/(DC+VOH+tr)</t>
  </si>
  <si>
    <t>Fees</t>
  </si>
  <si>
    <t>GMDC</t>
  </si>
  <si>
    <t>Min Sales</t>
  </si>
  <si>
    <t>DL (direct labor)</t>
  </si>
  <si>
    <t>FOH + admin</t>
  </si>
  <si>
    <t>Max Sales</t>
  </si>
  <si>
    <t xml:space="preserve">Daegu </t>
  </si>
  <si>
    <t>Lock Limit (%/TO)</t>
  </si>
  <si>
    <t>VOH (variable overhead)</t>
  </si>
  <si>
    <t xml:space="preserve">EBITDA </t>
  </si>
  <si>
    <t>Average QTY</t>
  </si>
  <si>
    <t xml:space="preserve">Depreciation </t>
  </si>
  <si>
    <t>RM transportation cost (inbound)</t>
  </si>
  <si>
    <t xml:space="preserve">Fiancial cost </t>
  </si>
  <si>
    <t>Transportation cost (outbound)</t>
  </si>
  <si>
    <t>Operating income</t>
  </si>
  <si>
    <t>Total transportation</t>
  </si>
  <si>
    <t xml:space="preserve">Company taxes </t>
  </si>
  <si>
    <t>Same</t>
  </si>
  <si>
    <t xml:space="preserve">Net result </t>
  </si>
  <si>
    <t>Tax on divendens</t>
  </si>
  <si>
    <t>Target: control that Minimum FOH &amp; Fees are always applied</t>
  </si>
  <si>
    <t>Profit in Lux</t>
  </si>
  <si>
    <t xml:space="preserve">Total productivity </t>
  </si>
  <si>
    <t xml:space="preserve">k pieces </t>
  </si>
  <si>
    <t>Increase price upfront</t>
  </si>
  <si>
    <t>kCur</t>
  </si>
  <si>
    <t>FOH + plant administration fees</t>
  </si>
  <si>
    <t>FOH + Admin (DL+VOH %)</t>
  </si>
  <si>
    <t>WIP</t>
  </si>
  <si>
    <t>Group management Fees</t>
  </si>
  <si>
    <t>Fees (DL+VOH %)</t>
  </si>
  <si>
    <t xml:space="preserve">FP </t>
  </si>
  <si>
    <t xml:space="preserve">Total inventory </t>
  </si>
  <si>
    <t>EBITDA</t>
  </si>
  <si>
    <t>Sales adder to FOH and Fees rate calculation (enter only addtional business TO) /  Kcur</t>
  </si>
  <si>
    <t>AR</t>
  </si>
  <si>
    <t>TWC</t>
  </si>
  <si>
    <t>Depreciation</t>
  </si>
  <si>
    <t>Lock Min FOH (sales %)</t>
  </si>
  <si>
    <t>CAPEX</t>
  </si>
  <si>
    <t>Financial cost</t>
  </si>
  <si>
    <t>Process Capex</t>
  </si>
  <si>
    <t>Operating Income</t>
  </si>
  <si>
    <t>Lock Min Fees (sales %)</t>
  </si>
  <si>
    <t>Supplier tooling CAPEX</t>
  </si>
  <si>
    <t>Taxes</t>
  </si>
  <si>
    <t>Net result</t>
  </si>
  <si>
    <t>Company tax</t>
  </si>
  <si>
    <t>DTWC</t>
  </si>
  <si>
    <t>Tax on dividend</t>
  </si>
  <si>
    <t xml:space="preserve">Cash </t>
  </si>
  <si>
    <t xml:space="preserve">Cum cash </t>
  </si>
  <si>
    <t>NPV (20%)</t>
  </si>
  <si>
    <t>AVOCAPEX +TOOL</t>
  </si>
  <si>
    <t>WARNING: Integrates margin on Tooling solt to customer and potential supplier business link</t>
  </si>
  <si>
    <t>Depreciation Y1</t>
  </si>
  <si>
    <t>Depreciation Y2</t>
  </si>
  <si>
    <t>Depreciation Y3</t>
  </si>
  <si>
    <t>Depreciation Y4</t>
  </si>
  <si>
    <t>Depreciation Y5</t>
  </si>
  <si>
    <t>RM</t>
  </si>
  <si>
    <t>Taux de Recuperation DTWC:</t>
  </si>
  <si>
    <t>DTWC (%)</t>
  </si>
  <si>
    <t>Project duration</t>
  </si>
  <si>
    <t>Pre-launch</t>
  </si>
  <si>
    <t>SOP/Y1</t>
  </si>
  <si>
    <t>EOL</t>
  </si>
  <si>
    <t>File index</t>
  </si>
  <si>
    <t>Project name</t>
  </si>
  <si>
    <t>Customer part number</t>
  </si>
  <si>
    <t>Product line/product</t>
  </si>
  <si>
    <t>Application</t>
  </si>
  <si>
    <t>Sector of activity</t>
  </si>
  <si>
    <t>AVO Production plant</t>
  </si>
  <si>
    <t>Costing currency</t>
  </si>
  <si>
    <t>Negotiate sales price</t>
  </si>
  <si>
    <t>Final Incoterm</t>
  </si>
  <si>
    <t>FCA</t>
  </si>
  <si>
    <t>To be optimized</t>
  </si>
  <si>
    <t>Part impacted by productivity</t>
  </si>
  <si>
    <t>Commercial productivity</t>
  </si>
  <si>
    <t xml:space="preserve">Commercial Productivity </t>
  </si>
  <si>
    <t>Payment term</t>
  </si>
  <si>
    <t>FOH + Administration fees</t>
  </si>
  <si>
    <t>Management Fees</t>
  </si>
  <si>
    <t>USD</t>
  </si>
  <si>
    <t>KUSD</t>
  </si>
  <si>
    <t>Capex paid by customer</t>
  </si>
  <si>
    <t>Components "specific" Tooling cost (at supplier or AVO)</t>
  </si>
  <si>
    <t>Margin (%)</t>
  </si>
  <si>
    <t xml:space="preserve">Components "specific" Tooling sold to customer </t>
  </si>
  <si>
    <t>Process "specific" tooling cost (assembly line,…)</t>
  </si>
  <si>
    <t xml:space="preserve">Process "specific" tooling sold to customer </t>
  </si>
  <si>
    <t>Components and process "standard" equipement cost</t>
  </si>
  <si>
    <t>Components and process "standard" equipement sold to customer</t>
  </si>
  <si>
    <t>Packaging tooling &amp; returnable package sold to customer</t>
  </si>
  <si>
    <t>Development cost sold to customer</t>
  </si>
  <si>
    <t>Total CAPEX supported by Customer</t>
  </si>
  <si>
    <t>Capex supported by AVO Carbon</t>
  </si>
  <si>
    <t>Process tooling at AVO charge (at supplier or AVO)</t>
  </si>
  <si>
    <t>Process equipment @AVO Charge</t>
  </si>
  <si>
    <t>Business link</t>
  </si>
  <si>
    <t>Total CAPEX supported by AVO Carbon</t>
  </si>
  <si>
    <t>Trade working capital</t>
  </si>
  <si>
    <t>AP (account payable to suppliers)</t>
  </si>
  <si>
    <t>AR (account receivable from customer)</t>
  </si>
  <si>
    <t>FP (value of finished product inventory)</t>
  </si>
  <si>
    <t>WIP (Value of work in progress inventory)</t>
  </si>
  <si>
    <t>RM (Value of the Stock of raw material components)</t>
  </si>
  <si>
    <t>Total TWC (Trade working capital: cash needed to run the project)</t>
  </si>
  <si>
    <t>DTWC (variation of the cash needed to run the project)</t>
  </si>
  <si>
    <t>!</t>
  </si>
  <si>
    <t>Request Type</t>
  </si>
  <si>
    <t>Quote ID</t>
  </si>
  <si>
    <t>Quote Type</t>
  </si>
  <si>
    <t>Program Type</t>
  </si>
  <si>
    <t>Amortization on 3 years at  12%</t>
  </si>
  <si>
    <t>Sales (kEUR)</t>
  </si>
  <si>
    <t>Column11</t>
  </si>
  <si>
    <t>Column16</t>
  </si>
  <si>
    <t>DL (%)</t>
  </si>
  <si>
    <t>VOH (%)</t>
  </si>
  <si>
    <t>Column21</t>
  </si>
  <si>
    <t>Total transportation (%)</t>
  </si>
  <si>
    <t>Column26</t>
  </si>
  <si>
    <t>GMDC (%)</t>
  </si>
  <si>
    <t>Column29</t>
  </si>
  <si>
    <t>FOH+Admin (%)</t>
  </si>
  <si>
    <t>Management Fees (%)</t>
  </si>
  <si>
    <t>Column34</t>
  </si>
  <si>
    <t>EBITDA (%)</t>
  </si>
  <si>
    <t>Column37</t>
  </si>
  <si>
    <t>Column40</t>
  </si>
  <si>
    <t>Operating income (%)</t>
  </si>
  <si>
    <t>Column43</t>
  </si>
  <si>
    <t>Column45</t>
  </si>
  <si>
    <t>Net result (%)</t>
  </si>
  <si>
    <t>Column48</t>
  </si>
  <si>
    <t>EBITDA_1</t>
  </si>
  <si>
    <t>Financial cost_2</t>
  </si>
  <si>
    <t>Column61</t>
  </si>
  <si>
    <t>Column62</t>
  </si>
  <si>
    <t>Depreciation_3</t>
  </si>
  <si>
    <t>Column70</t>
  </si>
  <si>
    <t>Margin (%)_4</t>
  </si>
  <si>
    <t>Margin (%)_5</t>
  </si>
  <si>
    <t>Margin (%)_6</t>
  </si>
  <si>
    <t>Margin (%)_7</t>
  </si>
  <si>
    <t>Column88</t>
  </si>
  <si>
    <t>Column94</t>
  </si>
  <si>
    <t>23048-01</t>
  </si>
  <si>
    <t>Flyback</t>
  </si>
  <si>
    <t>Chokes - Standard rod chokes</t>
  </si>
  <si>
    <t>BSH</t>
  </si>
  <si>
    <t>ElFahs-SAME</t>
  </si>
  <si>
    <t>Delete what is not needed!!!!</t>
  </si>
  <si>
    <t>Sales Department</t>
  </si>
  <si>
    <t>Date:</t>
  </si>
  <si>
    <t xml:space="preserve">From: </t>
  </si>
  <si>
    <t xml:space="preserve">Tel.: </t>
  </si>
  <si>
    <t>For the attention of:</t>
  </si>
  <si>
    <t>M.XXXXX</t>
  </si>
  <si>
    <t>E-mail:</t>
  </si>
  <si>
    <t>Company:</t>
  </si>
  <si>
    <t>Copy: Eric Suszylo</t>
  </si>
  <si>
    <t>Object:</t>
  </si>
  <si>
    <t>Customer reference:</t>
  </si>
  <si>
    <t>Dear</t>
  </si>
  <si>
    <t>,</t>
  </si>
  <si>
    <t>As per your request, please find hereafter our best offer for the product in object,</t>
  </si>
  <si>
    <t>1. Offer hypothesis:</t>
  </si>
  <si>
    <t>Customer Production site:</t>
  </si>
  <si>
    <t>AVO Production site:</t>
  </si>
  <si>
    <t>Incoterms:</t>
  </si>
  <si>
    <t>Delivery platform</t>
  </si>
  <si>
    <t xml:space="preserve">Packaging: </t>
  </si>
  <si>
    <t xml:space="preserve">Payment terms </t>
  </si>
  <si>
    <t>Finished product safety stock</t>
  </si>
  <si>
    <t>According the average of the 12 last week of EDI (if representative)</t>
  </si>
  <si>
    <t>Lead time to change volume by more than 20%</t>
  </si>
  <si>
    <t>weeks</t>
  </si>
  <si>
    <t>MOQ (Minimum Order Quantity):</t>
  </si>
  <si>
    <t>KPcs</t>
  </si>
  <si>
    <t xml:space="preserve">For this project, we offer a business link of </t>
  </si>
  <si>
    <t>2. We have quoted as follow:</t>
  </si>
  <si>
    <t>2.1 Sale price</t>
  </si>
  <si>
    <t>QTY (KP)</t>
  </si>
  <si>
    <t>Productivity (Indexed material cost excluded)</t>
  </si>
  <si>
    <t>The offer is based on the following quantity of parts:</t>
  </si>
  <si>
    <t>Packaging estimation:</t>
  </si>
  <si>
    <t>included inside piece price</t>
  </si>
  <si>
    <t>Transportation and Plateform fee estimation:</t>
  </si>
  <si>
    <t>2.2 Investments</t>
  </si>
  <si>
    <t>2.2.1 Process investment</t>
  </si>
  <si>
    <t>Capacity CAPEX (does not include tooling renewal)</t>
  </si>
  <si>
    <t>Process equipment</t>
  </si>
  <si>
    <t>Process tooling</t>
  </si>
  <si>
    <t>Raw material tooling</t>
  </si>
  <si>
    <t>Sub-total</t>
  </si>
  <si>
    <t xml:space="preserve">The max production capacity considered is </t>
  </si>
  <si>
    <t>Payment terms for invoicing:</t>
  </si>
  <si>
    <t>Amortization conditions:</t>
  </si>
  <si>
    <t>At PO reception</t>
  </si>
  <si>
    <t>Duration:</t>
  </si>
  <si>
    <t>At FOT</t>
  </si>
  <si>
    <t>Interest rate:</t>
  </si>
  <si>
    <t>At PPAP approval or 30 days after SOP (whatever come first)</t>
  </si>
  <si>
    <t>Amortization calculated on:</t>
  </si>
  <si>
    <t>Pcs</t>
  </si>
  <si>
    <t>2.2.1 Others</t>
  </si>
  <si>
    <t xml:space="preserve">Sub-total </t>
  </si>
  <si>
    <t>3. Raw material and currency indexation</t>
  </si>
  <si>
    <t>3.1 Raw material indexation</t>
  </si>
  <si>
    <t>3.2 Currency indexation</t>
  </si>
  <si>
    <t>4. AVO Carbon proposal and reserve</t>
  </si>
  <si>
    <t>4.1 Improvment proposal</t>
  </si>
  <si>
    <t>Source of optimization will be:</t>
  </si>
  <si>
    <t>Potential saving on piece price</t>
  </si>
  <si>
    <t>Potential saving on investment</t>
  </si>
  <si>
    <t>Potential quality improvment</t>
  </si>
  <si>
    <t>4.2 Technical feasibility</t>
  </si>
  <si>
    <t>AVO reserve description:</t>
  </si>
  <si>
    <t>Impact:</t>
  </si>
  <si>
    <t>6. Offer validity</t>
  </si>
  <si>
    <t>This offer is valid for 30 days</t>
  </si>
  <si>
    <t>AVO Carbon general terms and conditions apply</t>
  </si>
  <si>
    <t>6. End of Life:</t>
  </si>
  <si>
    <t>AVO has to be informed at least 3 months before End of Life of the part number</t>
  </si>
  <si>
    <t>We hope that this quotation matches your need and we remain to your disposal for any further information.</t>
  </si>
  <si>
    <t>Best regards,</t>
  </si>
  <si>
    <t>XXXXXXX</t>
  </si>
  <si>
    <t>XXXXXX</t>
  </si>
  <si>
    <t>Sales Leader Europe</t>
  </si>
  <si>
    <t>VP Sales</t>
  </si>
  <si>
    <t xml:space="preserve">Qty </t>
  </si>
  <si>
    <t>Étiquettes de lignes</t>
  </si>
  <si>
    <t>Somme de Y1</t>
  </si>
  <si>
    <t>Somme de Y2</t>
  </si>
  <si>
    <t>Somme de Y3</t>
  </si>
  <si>
    <t>Somme de Y4</t>
  </si>
  <si>
    <t>Somme de Y5</t>
  </si>
  <si>
    <t>Somme de Y6</t>
  </si>
  <si>
    <t>Returnable package allocation (pc)</t>
  </si>
  <si>
    <t>Year</t>
  </si>
  <si>
    <t>Winding tool</t>
  </si>
  <si>
    <t>Solder paste SnAg3.5 tooling</t>
  </si>
  <si>
    <t>Tin SnAg3.5 tooling</t>
  </si>
  <si>
    <t>Copper Wire φ1.25 Turns 14 tooling</t>
  </si>
  <si>
    <t>Fuse Core φ5.2*20.5 B5 tooling</t>
  </si>
  <si>
    <t>Packaging investment (Kcur)</t>
  </si>
  <si>
    <t>Total packaging</t>
  </si>
  <si>
    <t>Cleanliness requirements (according VDA 19):</t>
  </si>
  <si>
    <t>AVO Carbon investment:</t>
  </si>
  <si>
    <t xml:space="preserve">1. Isolement en panneau sandwich </t>
  </si>
  <si>
    <t>a. 10m de longueur</t>
  </si>
  <si>
    <t>b. 5m de largeur</t>
  </si>
  <si>
    <t>2. Sol spécifique en peinture industriel Epoxy</t>
  </si>
  <si>
    <t>3. Système d’extraction d’air indépendant</t>
  </si>
  <si>
    <t>4. Climatisation de la zone</t>
  </si>
  <si>
    <t>5. Détecteur de poussière et système d’alarme</t>
  </si>
  <si>
    <t>6. Contrôleur d’humidité dans la zone</t>
  </si>
  <si>
    <t>7. Bain de nettoyage ultrasonique des outillage, palettes, calibre</t>
  </si>
  <si>
    <t>8. Zone de packaging spécifique avec contrôle</t>
  </si>
  <si>
    <t>9. Accessoires spécifique, gants, blouses…</t>
  </si>
  <si>
    <t>10. Contrôle d'accès limité.</t>
  </si>
  <si>
    <t>11. Divers</t>
  </si>
  <si>
    <t>Included inside VOH:</t>
  </si>
  <si>
    <t>Regular control of component cleanliness by external company:</t>
  </si>
  <si>
    <t>each</t>
  </si>
  <si>
    <t>Share point</t>
  </si>
  <si>
    <t>https://avocarbongroup.sharepoint.com/sites/Costing</t>
  </si>
  <si>
    <t>List name</t>
  </si>
  <si>
    <t>23047-01_BSH-Chokes - Standard rod chokes-5</t>
  </si>
  <si>
    <t>Final price</t>
  </si>
  <si>
    <t>Material rate</t>
  </si>
  <si>
    <t>DL</t>
  </si>
  <si>
    <t>FOH + Admin</t>
  </si>
  <si>
    <t>FOH + Admin (%)</t>
  </si>
  <si>
    <t>Fees (%)</t>
  </si>
  <si>
    <t>Operating Income (%)</t>
  </si>
  <si>
    <t>Quote revision</t>
  </si>
  <si>
    <t>Indexed material</t>
  </si>
  <si>
    <t>Amortization during 3 years at 12% interest rate</t>
  </si>
  <si>
    <t>Total Material</t>
  </si>
  <si>
    <t>Cash</t>
  </si>
  <si>
    <t>Cum cash</t>
  </si>
  <si>
    <t>0</t>
  </si>
  <si>
    <t>DAP</t>
  </si>
  <si>
    <t>Quotation Request</t>
  </si>
  <si>
    <t>Project Timing</t>
  </si>
  <si>
    <t>Product</t>
  </si>
  <si>
    <t>Part Number</t>
  </si>
  <si>
    <t>Target Price</t>
  </si>
  <si>
    <t>Prototype-A</t>
  </si>
  <si>
    <t>Offer to Customer</t>
  </si>
  <si>
    <t>Nomination</t>
  </si>
  <si>
    <t>Prototype-B</t>
  </si>
  <si>
    <t>FOT</t>
  </si>
  <si>
    <t>PPAP</t>
  </si>
  <si>
    <t>SOP</t>
  </si>
  <si>
    <t>Assembly</t>
  </si>
  <si>
    <t>Cooling system</t>
  </si>
  <si>
    <t>General Information</t>
  </si>
  <si>
    <t>Project Name</t>
  </si>
  <si>
    <t>Final Customer</t>
  </si>
  <si>
    <t>Product Line</t>
  </si>
  <si>
    <t>Sub Segment</t>
  </si>
  <si>
    <t xml:space="preserve">Sector of Activity </t>
  </si>
  <si>
    <t>Scenario ID</t>
  </si>
  <si>
    <t>Prototype(A-Sample)</t>
  </si>
  <si>
    <t>Prototype(B-Sample)</t>
  </si>
  <si>
    <t>Delivery Area</t>
  </si>
  <si>
    <t>Country of Delivery</t>
  </si>
  <si>
    <t xml:space="preserve">Quotation Currency </t>
  </si>
  <si>
    <t>Avo Interest</t>
  </si>
  <si>
    <t>Costing Conditions</t>
  </si>
  <si>
    <t>Short Description</t>
  </si>
  <si>
    <t>Customet Specific Requirement</t>
  </si>
  <si>
    <t>IncoTerm</t>
  </si>
  <si>
    <t>Delivery Platform</t>
  </si>
  <si>
    <t>Platform Owner</t>
  </si>
  <si>
    <t>Economical</t>
  </si>
  <si>
    <t>Business Link</t>
  </si>
  <si>
    <t>Y1=</t>
  </si>
  <si>
    <t>Y2=</t>
  </si>
  <si>
    <t>Y3=</t>
  </si>
  <si>
    <t>Payment Terms</t>
  </si>
  <si>
    <t xml:space="preserve">Quality </t>
  </si>
  <si>
    <t>Warranty Period</t>
  </si>
  <si>
    <t>Lifetime</t>
  </si>
  <si>
    <t>Logistic</t>
  </si>
  <si>
    <t>Process</t>
  </si>
  <si>
    <t>Purchasing</t>
  </si>
  <si>
    <t xml:space="preserve">  </t>
  </si>
  <si>
    <t>Other Comments</t>
  </si>
  <si>
    <t>Reference Document</t>
  </si>
  <si>
    <t>31/01/23</t>
  </si>
  <si>
    <t>Designer.png</t>
  </si>
  <si>
    <t>Quality</t>
  </si>
  <si>
    <t>naruto.jpg</t>
  </si>
  <si>
    <t>Technical specifications</t>
  </si>
  <si>
    <t>Power Apps Training - Batch 03 - Fees.png</t>
  </si>
  <si>
    <t>LAYOUT</t>
  </si>
  <si>
    <t>INDEX</t>
  </si>
  <si>
    <t>PHASE</t>
  </si>
  <si>
    <t>OPERATION</t>
  </si>
  <si>
    <t>IN KEUR - Sum H1 2022</t>
  </si>
  <si>
    <t>IN KEUR - H1 2022 - Back up</t>
  </si>
  <si>
    <t>in KEUR</t>
  </si>
  <si>
    <t>Direct Costs (MOD + Transport. + VOH)</t>
  </si>
  <si>
    <t>Fixed Costs (FOH + Admin)</t>
  </si>
  <si>
    <t>FOH / DC</t>
  </si>
  <si>
    <t>FEES / DC</t>
  </si>
  <si>
    <t>YTD 22 Added Value</t>
  </si>
  <si>
    <t>DC generating the maximun effort Maximun effort on FOH &amp; fees</t>
  </si>
  <si>
    <t>DC generating the minimum effort Maximun effort on FOH &amp; Fees</t>
  </si>
  <si>
    <t xml:space="preserve">Max Addition sales equivalent </t>
  </si>
  <si>
    <t xml:space="preserve">Min Additional Sales equivalent </t>
  </si>
  <si>
    <t>Max effort  on FOH &amp; Fees</t>
  </si>
  <si>
    <t>Min effort on FOH &amp; Fees</t>
  </si>
  <si>
    <t>Sales</t>
  </si>
  <si>
    <t>Transport.</t>
  </si>
  <si>
    <t>FOH</t>
  </si>
  <si>
    <t>Admin &amp; Others</t>
  </si>
  <si>
    <t>Mngt Fees</t>
  </si>
  <si>
    <t>Holdings</t>
  </si>
  <si>
    <t>GROUP:</t>
  </si>
  <si>
    <t>New</t>
  </si>
  <si>
    <t>XX</t>
  </si>
  <si>
    <t>Anhui</t>
  </si>
  <si>
    <t>Old</t>
  </si>
  <si>
    <t>Direct labor cost</t>
  </si>
  <si>
    <t xml:space="preserve">Brush </t>
  </si>
  <si>
    <t>INR</t>
  </si>
  <si>
    <t>KWON</t>
  </si>
  <si>
    <t>Plants</t>
  </si>
  <si>
    <t xml:space="preserve">Invoicing Currency </t>
  </si>
  <si>
    <t>Geographic zone</t>
  </si>
  <si>
    <t>Std Payment terms</t>
  </si>
  <si>
    <t>ExWorks Location</t>
  </si>
  <si>
    <t>Delivery Freq DDP</t>
  </si>
  <si>
    <t>Expected Pick up Frequency Exwork</t>
  </si>
  <si>
    <t xml:space="preserve">Safty stock </t>
  </si>
  <si>
    <t>Lead time to another zone</t>
  </si>
  <si>
    <t>Leadtime to the same zone</t>
  </si>
  <si>
    <t xml:space="preserve">Tax rate </t>
  </si>
  <si>
    <t>Tax on div.</t>
  </si>
  <si>
    <t>Target Income(%)</t>
  </si>
  <si>
    <t>Manufacturing  Cur</t>
  </si>
  <si>
    <t>DL Houlrly rate</t>
  </si>
  <si>
    <t>VOH base cost /h</t>
  </si>
  <si>
    <t>Number of shifts</t>
  </si>
  <si>
    <t>Hour worked per year</t>
  </si>
  <si>
    <t>Extra capacity</t>
  </si>
  <si>
    <t>Thanks to capacity</t>
  </si>
  <si>
    <t>Thanks to Overtime</t>
  </si>
  <si>
    <t>Max FOH/DC</t>
  </si>
  <si>
    <t>Min FOH / DC</t>
  </si>
  <si>
    <t>Max fees / DC</t>
  </si>
  <si>
    <t>Min Fees /DC</t>
  </si>
  <si>
    <t>TWC brushes</t>
  </si>
  <si>
    <t>Annual sales</t>
  </si>
  <si>
    <t>Days / year</t>
  </si>
  <si>
    <t>Hours/year / operator</t>
  </si>
  <si>
    <t>Operators count</t>
  </si>
  <si>
    <t>Hours / year</t>
  </si>
  <si>
    <r>
      <t xml:space="preserve">DL cost / year
</t>
    </r>
    <r>
      <rPr>
        <i/>
        <sz val="10"/>
        <rFont val="Arial"/>
        <family val="2"/>
      </rPr>
      <t xml:space="preserve"> (local curr.)</t>
    </r>
  </si>
  <si>
    <t>Exchange Rates (Budget 2023)</t>
  </si>
  <si>
    <r>
      <t xml:space="preserve">DL cost / year
</t>
    </r>
    <r>
      <rPr>
        <i/>
        <sz val="10"/>
        <rFont val="Arial"/>
        <family val="2"/>
      </rPr>
      <t xml:space="preserve"> (kEUR)</t>
    </r>
  </si>
  <si>
    <r>
      <t>VOH, incl. Transp. / year</t>
    </r>
    <r>
      <rPr>
        <i/>
        <sz val="10"/>
        <rFont val="Arial"/>
        <family val="2"/>
      </rPr>
      <t xml:space="preserve"> (kEUR)</t>
    </r>
  </si>
  <si>
    <r>
      <t xml:space="preserve">VOH
</t>
    </r>
    <r>
      <rPr>
        <sz val="10"/>
        <color theme="4"/>
        <rFont val="Arial"/>
        <family val="2"/>
      </rPr>
      <t>(kEUR)</t>
    </r>
  </si>
  <si>
    <r>
      <t xml:space="preserve">VOH
</t>
    </r>
    <r>
      <rPr>
        <sz val="10"/>
        <color theme="4"/>
        <rFont val="Arial"/>
        <family val="2"/>
      </rPr>
      <t>(Local currency)</t>
    </r>
  </si>
  <si>
    <r>
      <t xml:space="preserve">FOH + Admin+Mgt fees / year
</t>
    </r>
    <r>
      <rPr>
        <i/>
        <sz val="10"/>
        <rFont val="Arial"/>
        <family val="2"/>
      </rPr>
      <t>(kEUR)</t>
    </r>
  </si>
  <si>
    <r>
      <t xml:space="preserve">Deprec. / year
</t>
    </r>
    <r>
      <rPr>
        <i/>
        <sz val="10"/>
        <rFont val="Arial"/>
        <family val="2"/>
      </rPr>
      <t>(kEUR)</t>
    </r>
  </si>
  <si>
    <r>
      <t>DL cost</t>
    </r>
    <r>
      <rPr>
        <i/>
        <sz val="10"/>
        <rFont val="Arial"/>
        <family val="2"/>
      </rPr>
      <t xml:space="preserve">
(local curr./h)</t>
    </r>
  </si>
  <si>
    <r>
      <t>VOH cost</t>
    </r>
    <r>
      <rPr>
        <i/>
        <sz val="10"/>
        <color theme="4"/>
        <rFont val="Arial"/>
        <family val="2"/>
      </rPr>
      <t xml:space="preserve">
(local curr./h)</t>
    </r>
  </si>
  <si>
    <r>
      <t>DL cost</t>
    </r>
    <r>
      <rPr>
        <sz val="10"/>
        <rFont val="Arial"/>
        <family val="2"/>
      </rPr>
      <t xml:space="preserve">
</t>
    </r>
    <r>
      <rPr>
        <i/>
        <sz val="10"/>
        <rFont val="Arial"/>
        <family val="2"/>
      </rPr>
      <t>(EUR/h)</t>
    </r>
  </si>
  <si>
    <r>
      <t xml:space="preserve">Direct cost </t>
    </r>
    <r>
      <rPr>
        <i/>
        <sz val="10"/>
        <rFont val="Arial"/>
        <family val="2"/>
      </rPr>
      <t>(EUR/h)</t>
    </r>
  </si>
  <si>
    <r>
      <t xml:space="preserve">Plant cost 2023 </t>
    </r>
    <r>
      <rPr>
        <i/>
        <sz val="10"/>
        <color indexed="12"/>
        <rFont val="Arial"/>
        <family val="2"/>
      </rPr>
      <t>(EUR/h)</t>
    </r>
  </si>
  <si>
    <r>
      <t xml:space="preserve">Plant cost 2022 </t>
    </r>
    <r>
      <rPr>
        <i/>
        <sz val="10"/>
        <color indexed="12"/>
        <rFont val="Arial"/>
        <family val="2"/>
      </rPr>
      <t>(EUR/h)</t>
    </r>
  </si>
  <si>
    <t>Difference</t>
  </si>
  <si>
    <t>Target Income%</t>
  </si>
  <si>
    <r>
      <t xml:space="preserve">Plant cost + 10%
</t>
    </r>
    <r>
      <rPr>
        <i/>
        <sz val="10"/>
        <rFont val="Arial"/>
        <family val="2"/>
      </rPr>
      <t>(EUR/h)</t>
    </r>
  </si>
  <si>
    <t>kEUR</t>
  </si>
  <si>
    <t>kINR</t>
  </si>
  <si>
    <t>kKRW</t>
  </si>
  <si>
    <t>Laredo TX</t>
  </si>
  <si>
    <t>MXP</t>
  </si>
  <si>
    <t>kCNY</t>
  </si>
  <si>
    <t>kUSD</t>
  </si>
  <si>
    <t>Point of delivery</t>
  </si>
  <si>
    <t>Korea / Japan</t>
  </si>
  <si>
    <t>Kunshan - assemblies</t>
  </si>
  <si>
    <t>N/A</t>
  </si>
  <si>
    <t>Type of brushes</t>
  </si>
  <si>
    <t>Product lines</t>
  </si>
  <si>
    <t>Auxilary brushes</t>
  </si>
  <si>
    <t xml:space="preserve">Assembly </t>
  </si>
  <si>
    <t xml:space="preserve">Group financial cost </t>
  </si>
  <si>
    <t>Micro brushes</t>
  </si>
  <si>
    <t>Brushes</t>
  </si>
  <si>
    <t>Margin on supplier tooling</t>
  </si>
  <si>
    <t xml:space="preserve">Starter brushes </t>
  </si>
  <si>
    <t>Seals</t>
  </si>
  <si>
    <t xml:space="preserve">Margin on AVO Tooling </t>
  </si>
  <si>
    <t xml:space="preserve">Fuel pump </t>
  </si>
  <si>
    <t>Friction</t>
  </si>
  <si>
    <t>Margin on AVO Process</t>
  </si>
  <si>
    <t>FHP PIF</t>
  </si>
  <si>
    <t>Chokes</t>
  </si>
  <si>
    <t>Margin on development cost</t>
  </si>
  <si>
    <t>FHP tamped</t>
  </si>
  <si>
    <t>Productivity plan  (3*X%)</t>
  </si>
  <si>
    <t>Standard business link on AV</t>
  </si>
  <si>
    <t>Purchasing expected Pick up Frequency Exwork</t>
  </si>
  <si>
    <t>Delivery lead time</t>
  </si>
  <si>
    <t>Rayones</t>
  </si>
  <si>
    <t>Metal Stamping</t>
  </si>
  <si>
    <t>Farouk</t>
  </si>
  <si>
    <t>Area</t>
  </si>
  <si>
    <t>&gt; AV pick-up/w</t>
  </si>
  <si>
    <t>&lt; AV pick-up/w</t>
  </si>
  <si>
    <t xml:space="preserve">South America </t>
  </si>
  <si>
    <t xml:space="preserve">Friction material </t>
  </si>
  <si>
    <t>Mr AA2</t>
  </si>
  <si>
    <t>=</t>
  </si>
  <si>
    <t>&lt;&gt;</t>
  </si>
  <si>
    <t xml:space="preserve">Raw material </t>
  </si>
  <si>
    <t>Mr AA3</t>
  </si>
  <si>
    <t>Electronics</t>
  </si>
  <si>
    <t>Israel</t>
  </si>
  <si>
    <t>Sintered parts</t>
  </si>
  <si>
    <t>Jenny</t>
  </si>
  <si>
    <t>Mr AA7</t>
  </si>
  <si>
    <t>Mr AA8</t>
  </si>
  <si>
    <t>Copper transformation value</t>
  </si>
  <si>
    <t>/kg</t>
  </si>
  <si>
    <t xml:space="preserve">Black mix price </t>
  </si>
  <si>
    <t>Wire transforation cost</t>
  </si>
  <si>
    <t>Small sales</t>
  </si>
  <si>
    <t>Large Sales</t>
  </si>
  <si>
    <t>Min FOH/DC</t>
  </si>
  <si>
    <t>Max Fees/DC</t>
  </si>
  <si>
    <t>Min Fees/DC</t>
  </si>
  <si>
    <t xml:space="preserve">Brushes </t>
  </si>
  <si>
    <t>LINK</t>
  </si>
  <si>
    <t>EUR USD rate for 23/11/2021</t>
  </si>
  <si>
    <t>EUR USD rate for 22/11/2021</t>
  </si>
  <si>
    <t>EUR USD rate for 21/11/2021</t>
  </si>
  <si>
    <t>EUR USD rate for 20/11/2021</t>
  </si>
  <si>
    <t xml:space="preserve">Zone to Deliver </t>
  </si>
  <si>
    <t xml:space="preserve">Welding Adder  </t>
  </si>
  <si>
    <t xml:space="preserve">Back slot Adder  </t>
  </si>
  <si>
    <t>Approval level 1</t>
  </si>
  <si>
    <t>Approval level 2</t>
  </si>
  <si>
    <t>Group</t>
  </si>
  <si>
    <t>Product line</t>
  </si>
  <si>
    <t>Sub-family</t>
  </si>
  <si>
    <t>Concatener</t>
  </si>
  <si>
    <t>Product line2</t>
  </si>
  <si>
    <t>Sub-family2</t>
  </si>
  <si>
    <t>(%) Ebit target</t>
  </si>
  <si>
    <t>ROCE Target</t>
  </si>
  <si>
    <t xml:space="preserve">In line loss of Productivity </t>
  </si>
  <si>
    <t xml:space="preserve">In line scrap </t>
  </si>
  <si>
    <t>WIP in the plant</t>
  </si>
  <si>
    <t>Small Sales</t>
  </si>
  <si>
    <t>Big Sales</t>
  </si>
  <si>
    <t>Colonne4</t>
  </si>
  <si>
    <t>Colonne5</t>
  </si>
  <si>
    <t>Colonne6</t>
  </si>
  <si>
    <t>Colonne7</t>
  </si>
  <si>
    <t>Colonne8</t>
  </si>
  <si>
    <t>Colonne9</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</si>
  <si>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</si>
  <si>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</si>
  <si>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</si>
  <si>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</si>
  <si>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</si>
  <si>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</si>
  <si>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</si>
  <si>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</si>
  <si>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</si>
  <si>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</si>
  <si>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</si>
  <si>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</si>
  <si>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</si>
  <si>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</si>
  <si>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</si>
  <si>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</si>
  <si>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</si>
  <si>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</si>
  <si>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</si>
  <si>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</si>
  <si>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 of material</t>
  </si>
  <si>
    <t>% non local mateial</t>
  </si>
  <si>
    <t>Colonne30</t>
  </si>
  <si>
    <t>&gt;TO (K€)</t>
  </si>
  <si>
    <t>&gt; AVO CAPEX (K€)</t>
  </si>
  <si>
    <t>&gt; TWC (K€)</t>
  </si>
  <si>
    <t>&gt; AR (K€)</t>
  </si>
  <si>
    <t>Strategy</t>
  </si>
  <si>
    <t>&gt;TO (K€)31</t>
  </si>
  <si>
    <t>&gt; AVO CAPEX (K€)32</t>
  </si>
  <si>
    <t>&gt; TWC (K€)33</t>
  </si>
  <si>
    <t>&gt; AR (K€)34</t>
  </si>
  <si>
    <t>Strategy2</t>
  </si>
  <si>
    <t>Colonne36</t>
  </si>
  <si>
    <t>Colonne37</t>
  </si>
  <si>
    <t>Item Type</t>
  </si>
  <si>
    <t>Path</t>
  </si>
  <si>
    <t>Élément </t>
  </si>
  <si>
    <t>sites/Costing/Lists/PLparameters</t>
  </si>
  <si>
    <t xml:space="preserve">Raw Material </t>
  </si>
  <si>
    <t>Premolded brush mix</t>
  </si>
  <si>
    <t>Raw Material  - Premolded brush mix</t>
  </si>
  <si>
    <t>500</t>
  </si>
  <si>
    <t>Warm</t>
  </si>
  <si>
    <t>Hot</t>
  </si>
  <si>
    <t>Non premolded brush mix</t>
  </si>
  <si>
    <t>Raw Material  - Non premolded brush mix</t>
  </si>
  <si>
    <t>9330 mix for alternator</t>
  </si>
  <si>
    <t>Raw Material  - 9330 mix for alternator</t>
  </si>
  <si>
    <t>friction carbon mixes</t>
  </si>
  <si>
    <t>Raw Material  - friction carbon mixes</t>
  </si>
  <si>
    <t>Others</t>
  </si>
  <si>
    <t xml:space="preserve">Density </t>
  </si>
  <si>
    <t>Copper contain</t>
  </si>
  <si>
    <t>DL Added value (H/M)</t>
  </si>
  <si>
    <t>VOH Machine cost in Eur</t>
  </si>
  <si>
    <t xml:space="preserve"> DL</t>
  </si>
  <si>
    <t xml:space="preserve"> Machine cost in Euro</t>
  </si>
  <si>
    <t>Tooling</t>
  </si>
  <si>
    <t>CAPEX/M FFM</t>
  </si>
  <si>
    <t>Specific requirement 1</t>
  </si>
  <si>
    <t>Specific requirement 2</t>
  </si>
  <si>
    <t>Specific requirement 3</t>
  </si>
  <si>
    <t>Specific requirement 4</t>
  </si>
  <si>
    <t>Specific requirement 5</t>
  </si>
  <si>
    <t xml:space="preserve">Bakelite -Stamping </t>
  </si>
  <si>
    <t>Stamping - Bakelite</t>
  </si>
  <si>
    <t>Bakelite -Stamping  - Stamping - Bakelite</t>
  </si>
  <si>
    <t>Ferrite integration</t>
  </si>
  <si>
    <t>Pressed Ferrite</t>
  </si>
  <si>
    <t>Ferrite integration - Pressed Ferrite</t>
  </si>
  <si>
    <t>Auxiliary / Alternator</t>
  </si>
  <si>
    <t>Brushes - Auxiliary / Alternator</t>
  </si>
  <si>
    <t>1500</t>
  </si>
  <si>
    <t>3</t>
  </si>
  <si>
    <t>40%</t>
  </si>
  <si>
    <t>0,4</t>
  </si>
  <si>
    <t>0,2</t>
  </si>
  <si>
    <t>2</t>
  </si>
  <si>
    <t>0,05</t>
  </si>
  <si>
    <t>1</t>
  </si>
  <si>
    <t>10</t>
  </si>
  <si>
    <t>-10</t>
  </si>
  <si>
    <t>Brushes - Micro brushes</t>
  </si>
  <si>
    <t>200</t>
  </si>
  <si>
    <t>4</t>
  </si>
  <si>
    <t>35%</t>
  </si>
  <si>
    <t>0,44</t>
  </si>
  <si>
    <t>0,22</t>
  </si>
  <si>
    <t>2,1</t>
  </si>
  <si>
    <t>Starter single layer</t>
  </si>
  <si>
    <t>Brushes - Starter single layer</t>
  </si>
  <si>
    <t>60%</t>
  </si>
  <si>
    <t>0,484</t>
  </si>
  <si>
    <t>0,242</t>
  </si>
  <si>
    <t>2,205</t>
  </si>
  <si>
    <t>Starter dual layer</t>
  </si>
  <si>
    <t>Brushes - Starter dual layer</t>
  </si>
  <si>
    <t>2000</t>
  </si>
  <si>
    <t>0,5324</t>
  </si>
  <si>
    <t>0,2662</t>
  </si>
  <si>
    <t>2,31525</t>
  </si>
  <si>
    <t>Fuel Pump</t>
  </si>
  <si>
    <t>Brushes - Fuel Pump</t>
  </si>
  <si>
    <t>1000</t>
  </si>
  <si>
    <t>0%</t>
  </si>
  <si>
    <t>0,58564</t>
  </si>
  <si>
    <t>0,29282</t>
  </si>
  <si>
    <t>2,4310125</t>
  </si>
  <si>
    <t>Disks PTS</t>
  </si>
  <si>
    <t>Brushes - Disks PTS</t>
  </si>
  <si>
    <t>0,644204</t>
  </si>
  <si>
    <t>0,322102</t>
  </si>
  <si>
    <t>2,552563125</t>
  </si>
  <si>
    <t>FHP PTS</t>
  </si>
  <si>
    <t>Brushes - FHP PTS</t>
  </si>
  <si>
    <t>0,7086244</t>
  </si>
  <si>
    <t>0,3543122</t>
  </si>
  <si>
    <t>2,680191281</t>
  </si>
  <si>
    <t xml:space="preserve">FHP Tamped </t>
  </si>
  <si>
    <t xml:space="preserve">Brushes - FHP Tamped </t>
  </si>
  <si>
    <t>0,77948684</t>
  </si>
  <si>
    <t>0,38974342</t>
  </si>
  <si>
    <t>2,814200845</t>
  </si>
  <si>
    <t xml:space="preserve">Brushes - </t>
  </si>
  <si>
    <t xml:space="preserve">Automotive </t>
  </si>
  <si>
    <t xml:space="preserve">Seals - Automotive </t>
  </si>
  <si>
    <t xml:space="preserve">Industry </t>
  </si>
  <si>
    <t xml:space="preserve">Seals - Industry </t>
  </si>
  <si>
    <t xml:space="preserve">Seals - </t>
  </si>
  <si>
    <t xml:space="preserve">Assembly  - Assembly </t>
  </si>
  <si>
    <t>4000</t>
  </si>
  <si>
    <t>Harness</t>
  </si>
  <si>
    <t>Assembly  - Harness</t>
  </si>
  <si>
    <t>Antenna</t>
  </si>
  <si>
    <t>Assembly  - Antenna</t>
  </si>
  <si>
    <t>Slip ring</t>
  </si>
  <si>
    <t>Assembly  - Slip ring</t>
  </si>
  <si>
    <t>Insert Molding</t>
  </si>
  <si>
    <t>Assembly  - Insert Molding</t>
  </si>
  <si>
    <t>Cold pressed bushings</t>
  </si>
  <si>
    <t>Hot pressed bushings (w/O grinding)</t>
  </si>
  <si>
    <t>Friction - Hot pressed bushings (w/O grinding)</t>
  </si>
  <si>
    <t>Thermoset injected bushings</t>
  </si>
  <si>
    <t>Friction - Thermoset injected bushings</t>
  </si>
  <si>
    <t>Thermoplastic injected bushings</t>
  </si>
  <si>
    <t>Friction - Thermoplastic injected bushings</t>
  </si>
  <si>
    <t xml:space="preserve">Rotor </t>
  </si>
  <si>
    <t xml:space="preserve">Friction - Rotor </t>
  </si>
  <si>
    <t>Blades</t>
  </si>
  <si>
    <t>Friction - Blades</t>
  </si>
  <si>
    <t xml:space="preserve">Sic </t>
  </si>
  <si>
    <t xml:space="preserve">Friction - Sic </t>
  </si>
  <si>
    <t>Standard rod chokes</t>
  </si>
  <si>
    <t>Fuse chokes</t>
  </si>
  <si>
    <t>Toroid chokes</t>
  </si>
  <si>
    <t>Chokes - Toroid chokes</t>
  </si>
  <si>
    <t>Power chokes</t>
  </si>
  <si>
    <t>Chokes - Power chokes</t>
  </si>
  <si>
    <t>Bobins</t>
  </si>
  <si>
    <t>Chokes - Bobins</t>
  </si>
  <si>
    <t xml:space="preserve">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</si>
</sst>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0">
    <numFmt numFmtId="6" formatCode="#,##0\ &quot;€&quot;;[Red]\-#,##0\ &quot;€&quot;"/>
    <numFmt numFmtId="8" formatCode="#,##0.00\ &quot;€&quot;;[Red]\-#,##0.00\ &quot;€&quot;"/>
    <numFmt numFmtId="44" formatCode="_-* #,##0.00\ &quot;€&quot;_-;\-* #,##0.00\ &quot;€&quot;_-;_-* &quot;-&quot;??\ &quot;€&quot;_-;_-@_-"/>
    <numFmt numFmtId="43" formatCode="_-* #,##0.00_-;\-* #,##0.00_-;_-* &quot;-&quot;??_-;_-@_-"/>
    <numFmt numFmtId="164" formatCode="0.0"/>
    <numFmt numFmtId="165" formatCode="0.000"/>
    <numFmt numFmtId="166" formatCode="0.0000"/>
    <numFmt numFmtId="167" formatCode="0.0%"/>
    <numFmt numFmtId="168" formatCode="0.00000"/>
    <numFmt numFmtId="169" formatCode="0.00000000"/>
    <numFmt numFmtId="170" formatCode="0.000000"/>
    <numFmt numFmtId="171" formatCode="0.0000%"/>
    <numFmt numFmtId="172" formatCode="General&quot; kg&quot;"/>
    <numFmt numFmtId="173" formatCode="_-* #,##0.00000\ &quot;€&quot;_-;\-* #,##0.00000\ &quot;€&quot;_-;_-* &quot;-&quot;?????\ &quot;€&quot;_-;_-@_-"/>
    <numFmt numFmtId="174" formatCode="_-* #,##0.0000\ &quot;€&quot;_-;\-* #,##0.0000\ &quot;€&quot;_-;_-* &quot;-&quot;????\ &quot;€&quot;_-;_-@_-"/>
    <numFmt numFmtId="175" formatCode="#,##0\ &quot;€&quot;"/>
    <numFmt numFmtId="176" formatCode="#,##0_ ;\-#,##0\ "/>
    <numFmt numFmtId="177" formatCode="General&quot; €/m²&quot;"/>
    <numFmt numFmtId="178" formatCode="_-* #,##0.0000\ &quot;€&quot;_-;\-* #,##0.0000\ &quot;€&quot;_-;_-* &quot;-&quot;??\ &quot;€&quot;_-;_-@_-"/>
    <numFmt numFmtId="179" formatCode="#,##0.0_ ;\-#,##0.0\ "/>
    <numFmt numFmtId="180" formatCode="General&quot; W&quot;"/>
    <numFmt numFmtId="181" formatCode="#,##0.0000"/>
    <numFmt numFmtId="182" formatCode="General&quot; m²&quot;"/>
    <numFmt numFmtId="183" formatCode="General&quot; mm&quot;"/>
    <numFmt numFmtId="184" formatCode="_-* #,##0.00000\ &quot;€&quot;_-;\-* #,##0.00000\ &quot;€&quot;_-;_-* &quot;-&quot;??\ &quot;€&quot;_-;_-@_-"/>
    <numFmt numFmtId="185" formatCode="_-* #,##0\ &quot;€&quot;_-;\-* #,##0\ &quot;€&quot;_-;_-* &quot;-&quot;??\ &quot;€&quot;_-;_-@_-"/>
    <numFmt numFmtId="186" formatCode="_-* #,##0.000\ &quot;€&quot;_-;\-* #,##0.000\ &quot;€&quot;_-;_-* &quot;-&quot;???\ &quot;€&quot;_-;_-@_-"/>
    <numFmt numFmtId="187" formatCode="General&quot; €/m&quot;"/>
    <numFmt numFmtId="188" formatCode="#,##0.00_ ;\-#,##0.00\ "/>
    <numFmt numFmtId="189" formatCode="_-* #,##0.00\ _€_-;\-* #,##0.00\ _€_-;_-* &quot;-&quot;??\ _€_-;_-@_-"/>
    <numFmt numFmtId="190" formatCode="#,##0_ ;[Red]\-#,##0\ "/>
    <numFmt numFmtId="191" formatCode="#,##0.000"/>
    <numFmt numFmtId="192" formatCode="#,##0.00\ _€;[Red]\-#,##0.00\ _€"/>
    <numFmt numFmtId="193" formatCode="General&quot; K€&quot;"/>
    <numFmt numFmtId="194" formatCode="_-* #,##0.000\ &quot;€&quot;_-;\-* #,##0.000\ &quot;€&quot;_-;_-* &quot;-&quot;??\ &quot;€&quot;_-;_-@_-"/>
    <numFmt numFmtId="195" formatCode="\W#"/>
    <numFmt numFmtId="196" formatCode="_-* #,##0\ _€_-;\-* #,##0\ _€_-;_-* &quot;-&quot;??\ _€_-;_-@_-"/>
    <numFmt numFmtId="197" formatCode="_-* #,##0.000\ _€_-;\-* #,##0.000\ _€_-;_-* &quot;-&quot;??\ _€_-;_-@_-"/>
    <numFmt numFmtId="198" formatCode="#,##0.00\ &quot;€&quot;"/>
    <numFmt numFmtId="199" formatCode="0.00_ "/>
  </numFmts>
  <fonts count="69">
    <font>
      <sz val="11"/>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b/>
      <sz val="11"/>
      <color rgb="FF00B0F0"/>
      <name val="Calibri"/>
      <family val="2"/>
      <scheme val="minor"/>
    </font>
    <font>
      <b/>
      <sz val="11"/>
      <name val="Calibri"/>
      <family val="2"/>
      <scheme val="minor"/>
    </font>
    <font>
      <sz val="11"/>
      <name val="Calibri"/>
      <family val="2"/>
      <scheme val="minor"/>
    </font>
    <font>
      <sz val="11"/>
      <color rgb="FFFF0000"/>
      <name val="Calibri"/>
      <family val="2"/>
      <scheme val="minor"/>
    </font>
    <font>
      <sz val="11"/>
      <color rgb="FF000000"/>
      <name val="Calibri"/>
      <family val="2"/>
      <scheme val="minor"/>
    </font>
    <font>
      <sz val="10"/>
      <color theme="1"/>
      <name val="Arial"/>
      <family val="2"/>
    </font>
    <font>
      <u/>
      <sz val="11"/>
      <color theme="10"/>
      <name val="Calibri"/>
      <family val="2"/>
      <scheme val="minor"/>
    </font>
    <font>
      <sz val="11"/>
      <color theme="9"/>
      <name val="Calibri"/>
      <family val="2"/>
      <scheme val="minor"/>
    </font>
    <font>
      <sz val="8"/>
      <name val="Calibri"/>
      <family val="2"/>
      <scheme val="minor"/>
    </font>
    <font>
      <sz val="11"/>
      <color rgb="FF00B050"/>
      <name val="Calibri"/>
      <family val="2"/>
      <scheme val="minor"/>
    </font>
    <font>
      <b/>
      <sz val="11"/>
      <color rgb="FF00B050"/>
      <name val="Calibri"/>
      <family val="2"/>
      <scheme val="minor"/>
    </font>
    <font>
      <sz val="12"/>
      <color theme="1"/>
      <name val="Calibri"/>
      <family val="2"/>
      <scheme val="minor"/>
    </font>
    <font>
      <b/>
      <sz val="12"/>
      <color theme="1"/>
      <name val="Calibri"/>
      <family val="2"/>
      <scheme val="minor"/>
    </font>
    <font>
      <strike/>
      <sz val="11"/>
      <color theme="1"/>
      <name val="Calibri"/>
      <family val="2"/>
      <scheme val="minor"/>
    </font>
    <font>
      <b/>
      <sz val="14"/>
      <color theme="1"/>
      <name val="Calibri"/>
      <family val="2"/>
      <scheme val="minor"/>
    </font>
    <font>
      <b/>
      <sz val="11"/>
      <color rgb="FFFF0000"/>
      <name val="Calibri"/>
      <family val="2"/>
      <scheme val="minor"/>
    </font>
    <font>
      <b/>
      <sz val="11"/>
      <color theme="0"/>
      <name val="Calibri"/>
      <family val="2"/>
      <scheme val="minor"/>
    </font>
    <font>
      <sz val="11"/>
      <color theme="0" tint="-0.34998626667073579"/>
      <name val="Calibri"/>
      <family val="2"/>
      <scheme val="minor"/>
    </font>
    <font>
      <sz val="11"/>
      <color rgb="FF0070C0"/>
      <name val="Calibri"/>
      <family val="2"/>
      <scheme val="minor"/>
    </font>
    <font>
      <sz val="10"/>
      <name val="Arial"/>
      <family val="2"/>
    </font>
    <font>
      <sz val="8"/>
      <name val="Arial"/>
      <family val="2"/>
    </font>
    <font>
      <sz val="9"/>
      <color indexed="81"/>
      <name val="Tahoma"/>
      <family val="2"/>
    </font>
    <font>
      <b/>
      <sz val="9"/>
      <color indexed="81"/>
      <name val="Tahoma"/>
      <family val="2"/>
    </font>
    <font>
      <b/>
      <sz val="8"/>
      <color rgb="FF222831"/>
      <name val="Open Sans"/>
      <family val="2"/>
    </font>
    <font>
      <sz val="7"/>
      <color theme="1"/>
      <name val="Calibri"/>
      <family val="2"/>
      <scheme val="minor"/>
    </font>
    <font>
      <b/>
      <sz val="11"/>
      <color rgb="FF0070C0"/>
      <name val="Calibri"/>
      <family val="2"/>
      <scheme val="minor"/>
    </font>
    <font>
      <b/>
      <sz val="18"/>
      <color theme="1"/>
      <name val="Calibri"/>
      <family val="2"/>
      <scheme val="minor"/>
    </font>
    <font>
      <b/>
      <sz val="11"/>
      <color theme="5" tint="0.39997558519241921"/>
      <name val="Calibri"/>
      <family val="2"/>
      <scheme val="minor"/>
    </font>
    <font>
      <sz val="11"/>
      <color theme="5" tint="0.39997558519241921"/>
      <name val="Calibri"/>
      <family val="2"/>
      <scheme val="minor"/>
    </font>
    <font>
      <b/>
      <sz val="14"/>
      <color theme="7" tint="-0.249977111117893"/>
      <name val="Calibri"/>
      <family val="2"/>
      <scheme val="minor"/>
    </font>
    <font>
      <b/>
      <sz val="16"/>
      <color theme="1"/>
      <name val="Calibri"/>
      <family val="2"/>
      <scheme val="minor"/>
    </font>
    <font>
      <b/>
      <sz val="16"/>
      <color theme="4"/>
      <name val="Calibri"/>
      <family val="2"/>
      <scheme val="minor"/>
    </font>
    <font>
      <b/>
      <sz val="11"/>
      <color theme="4"/>
      <name val="Calibri"/>
      <family val="2"/>
      <scheme val="minor"/>
    </font>
    <font>
      <sz val="10"/>
      <name val="Calibri"/>
      <family val="2"/>
      <scheme val="minor"/>
    </font>
    <font>
      <sz val="16"/>
      <color theme="1"/>
      <name val="Calibri"/>
      <family val="2"/>
      <scheme val="minor"/>
    </font>
    <font>
      <b/>
      <sz val="11"/>
      <color theme="5" tint="-0.249977111117893"/>
      <name val="Calibri"/>
      <family val="2"/>
      <scheme val="minor"/>
    </font>
    <font>
      <b/>
      <sz val="12"/>
      <color rgb="FF00B0F0"/>
      <name val="Calibri"/>
      <family val="2"/>
      <scheme val="minor"/>
    </font>
    <font>
      <b/>
      <strike/>
      <sz val="11"/>
      <color theme="1"/>
      <name val="Calibri"/>
      <family val="2"/>
      <scheme val="minor"/>
    </font>
    <font>
      <strike/>
      <sz val="11"/>
      <color theme="9"/>
      <name val="Calibri"/>
      <family val="2"/>
      <scheme val="minor"/>
    </font>
    <font>
      <b/>
      <sz val="22"/>
      <color theme="1"/>
      <name val="Calibri"/>
      <family val="2"/>
      <scheme val="minor"/>
    </font>
    <font>
      <sz val="11"/>
      <color theme="4"/>
      <name val="Calibri"/>
      <family val="2"/>
      <scheme val="minor"/>
    </font>
    <font>
      <b/>
      <sz val="10"/>
      <color theme="1"/>
      <name val="Arial"/>
      <family val="2"/>
    </font>
    <font>
      <b/>
      <u/>
      <sz val="11"/>
      <color theme="1"/>
      <name val="Calibri"/>
      <family val="2"/>
      <scheme val="minor"/>
    </font>
    <font>
      <b/>
      <u/>
      <sz val="11"/>
      <color rgb="FF00B0F0"/>
      <name val="Calibri"/>
      <family val="2"/>
      <scheme val="minor"/>
    </font>
    <font>
      <u/>
      <sz val="11"/>
      <color theme="1"/>
      <name val="Calibri"/>
      <family val="2"/>
      <scheme val="minor"/>
    </font>
    <font>
      <b/>
      <sz val="12"/>
      <color theme="4"/>
      <name val="Calibri"/>
      <family val="2"/>
      <scheme val="minor"/>
    </font>
    <font>
      <sz val="11"/>
      <color theme="1"/>
      <name val="Calibri"/>
      <family val="2"/>
    </font>
    <font>
      <sz val="11"/>
      <color rgb="FF00B0F0"/>
      <name val="Calibri"/>
      <family val="2"/>
    </font>
    <font>
      <b/>
      <sz val="9"/>
      <name val="Arial"/>
      <family val="2"/>
    </font>
    <font>
      <b/>
      <sz val="11"/>
      <color theme="9" tint="0.39997558519241921"/>
      <name val="Calibri"/>
      <family val="2"/>
      <scheme val="minor"/>
    </font>
    <font>
      <b/>
      <sz val="14"/>
      <color rgb="FFFF0000"/>
      <name val="Calibri"/>
      <family val="2"/>
      <scheme val="minor"/>
    </font>
    <font>
      <b/>
      <sz val="10"/>
      <name val="Arial"/>
      <family val="2"/>
    </font>
    <font>
      <i/>
      <sz val="10"/>
      <name val="Arial"/>
      <family val="2"/>
    </font>
    <font>
      <b/>
      <sz val="10"/>
      <color theme="4"/>
      <name val="Arial"/>
      <family val="2"/>
    </font>
    <font>
      <sz val="10"/>
      <color theme="4"/>
      <name val="Arial"/>
      <family val="2"/>
    </font>
    <font>
      <b/>
      <i/>
      <sz val="10"/>
      <name val="Arial"/>
      <family val="2"/>
    </font>
    <font>
      <b/>
      <i/>
      <sz val="10"/>
      <color theme="4"/>
      <name val="Arial"/>
      <family val="2"/>
    </font>
    <font>
      <i/>
      <sz val="10"/>
      <color theme="4"/>
      <name val="Arial"/>
      <family val="2"/>
    </font>
    <font>
      <b/>
      <sz val="10"/>
      <color indexed="12"/>
      <name val="Arial"/>
      <family val="2"/>
    </font>
    <font>
      <i/>
      <sz val="10"/>
      <color indexed="12"/>
      <name val="Arial"/>
      <family val="2"/>
    </font>
    <font>
      <sz val="10"/>
      <color indexed="12"/>
      <name val="Arial"/>
      <family val="2"/>
    </font>
    <font>
      <sz val="12"/>
      <color theme="5" tint="-0.249977111117893"/>
      <name val="Calibri"/>
      <family val="2"/>
      <scheme val="minor"/>
    </font>
    <font>
      <b/>
      <sz val="16"/>
      <color rgb="FFFF0000"/>
      <name val="Calibri"/>
      <family val="2"/>
      <scheme val="minor"/>
    </font>
    <font>
      <sz val="9"/>
      <name val="Calibri"/>
      <family val="3"/>
      <charset val="134"/>
      <scheme val="minor"/>
    </font>
    <font>
      <b/>
      <sz val="16"/>
      <color rgb="FF000000"/>
      <name val="Calibri"/>
      <family val="2"/>
    </font>
  </fonts>
  <fills count="51">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rgb="FF000000"/>
      </patternFill>
    </fill>
    <fill>
      <patternFill patternType="solid">
        <fgColor rgb="FFFFC000"/>
        <bgColor indexed="64"/>
      </patternFill>
    </fill>
    <fill>
      <patternFill patternType="solid">
        <fgColor theme="7"/>
        <bgColor indexed="64"/>
      </patternFill>
    </fill>
    <fill>
      <patternFill patternType="solid">
        <fgColor theme="6"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2"/>
        <bgColor indexed="64"/>
      </patternFill>
    </fill>
    <fill>
      <patternFill patternType="solid">
        <fgColor rgb="FF00B050"/>
        <bgColor indexed="64"/>
      </patternFill>
    </fill>
    <fill>
      <patternFill patternType="solid">
        <fgColor theme="6" tint="0.79998168889431442"/>
        <bgColor indexed="64"/>
      </patternFill>
    </fill>
    <fill>
      <patternFill patternType="solid">
        <fgColor rgb="FFFF0000"/>
        <bgColor indexed="64"/>
      </patternFill>
    </fill>
    <fill>
      <patternFill patternType="solid">
        <fgColor theme="8" tint="0.79998168889431442"/>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rgb="FFF1F4F9"/>
        <bgColor indexed="64"/>
      </patternFill>
    </fill>
    <fill>
      <patternFill patternType="solid">
        <fgColor theme="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0"/>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bgColor theme="5"/>
      </patternFill>
    </fill>
    <fill>
      <patternFill patternType="solid">
        <fgColor theme="7" tint="0.39997558519241921"/>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0070C0"/>
        <bgColor indexed="64"/>
      </patternFill>
    </fill>
    <fill>
      <patternFill patternType="solid">
        <fgColor rgb="FFFFC000"/>
        <bgColor theme="5"/>
      </patternFill>
    </fill>
    <fill>
      <patternFill patternType="solid">
        <fgColor theme="1"/>
        <bgColor theme="5" tint="0.79998168889431442"/>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0"/>
        <bgColor theme="5" tint="0.79998168889431442"/>
      </patternFill>
    </fill>
    <fill>
      <patternFill patternType="solid">
        <fgColor theme="5" tint="0.79998168889431442"/>
        <bgColor indexed="64"/>
      </patternFill>
    </fill>
    <fill>
      <patternFill patternType="solid">
        <fgColor theme="4"/>
        <bgColor theme="4"/>
      </patternFill>
    </fill>
    <fill>
      <patternFill patternType="solid">
        <fgColor theme="9" tint="-0.249977111117893"/>
        <bgColor indexed="64"/>
      </patternFill>
    </fill>
    <fill>
      <patternFill patternType="solid">
        <fgColor theme="8" tint="0.39997558519241921"/>
        <bgColor indexed="64"/>
      </patternFill>
    </fill>
    <fill>
      <patternFill patternType="solid">
        <fgColor rgb="FFC6E0B4"/>
        <bgColor indexed="64"/>
      </patternFill>
    </fill>
    <fill>
      <patternFill patternType="solid">
        <fgColor rgb="FF8EA9DB"/>
        <bgColor indexed="64"/>
      </patternFill>
    </fill>
    <fill>
      <patternFill patternType="solid">
        <fgColor rgb="FFD9D9D9"/>
        <bgColor indexed="64"/>
      </patternFill>
    </fill>
  </fills>
  <borders count="12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rgb="FF000000"/>
      </left>
      <right style="thin">
        <color rgb="FF000000"/>
      </right>
      <top style="thin">
        <color rgb="FF000000"/>
      </top>
      <bottom style="thin">
        <color rgb="FF000000"/>
      </bottom>
      <diagonal/>
    </border>
    <border>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style="medium">
        <color indexed="64"/>
      </left>
      <right style="medium">
        <color indexed="64"/>
      </right>
      <top style="thin">
        <color indexed="64"/>
      </top>
      <bottom/>
      <diagonal/>
    </border>
    <border>
      <left/>
      <right/>
      <top/>
      <bottom style="thin">
        <color indexed="64"/>
      </bottom>
      <diagonal/>
    </border>
    <border>
      <left/>
      <right/>
      <top style="medium">
        <color indexed="64"/>
      </top>
      <bottom style="thin">
        <color indexed="64"/>
      </bottom>
      <diagonal/>
    </border>
    <border>
      <left style="thin">
        <color indexed="64"/>
      </left>
      <right/>
      <top/>
      <bottom style="medium">
        <color indexed="64"/>
      </bottom>
      <diagonal/>
    </border>
    <border>
      <left style="medium">
        <color indexed="64"/>
      </left>
      <right/>
      <top style="thin">
        <color indexed="64"/>
      </top>
      <bottom/>
      <diagonal/>
    </border>
    <border>
      <left style="thin">
        <color indexed="64"/>
      </left>
      <right/>
      <top style="medium">
        <color indexed="64"/>
      </top>
      <bottom/>
      <diagonal/>
    </border>
    <border>
      <left/>
      <right/>
      <top style="thin">
        <color indexed="64"/>
      </top>
      <bottom style="medium">
        <color indexed="64"/>
      </bottom>
      <diagonal/>
    </border>
    <border>
      <left/>
      <right style="medium">
        <color indexed="64"/>
      </right>
      <top style="thin">
        <color indexed="64"/>
      </top>
      <bottom/>
      <diagonal/>
    </border>
    <border>
      <left style="thin">
        <color indexed="64"/>
      </left>
      <right/>
      <top/>
      <bottom/>
      <diagonal/>
    </border>
    <border>
      <left/>
      <right style="thin">
        <color indexed="64"/>
      </right>
      <top style="thin">
        <color indexed="64"/>
      </top>
      <bottom/>
      <diagonal/>
    </border>
    <border>
      <left style="medium">
        <color indexed="64"/>
      </left>
      <right style="medium">
        <color indexed="64"/>
      </right>
      <top/>
      <bottom style="thin">
        <color indexed="64"/>
      </bottom>
      <diagonal/>
    </border>
    <border>
      <left style="medium">
        <color theme="0"/>
      </left>
      <right/>
      <top style="medium">
        <color theme="0"/>
      </top>
      <bottom/>
      <diagonal/>
    </border>
    <border>
      <left/>
      <right/>
      <top style="medium">
        <color theme="0"/>
      </top>
      <bottom/>
      <diagonal/>
    </border>
    <border>
      <left style="thin">
        <color theme="0"/>
      </left>
      <right/>
      <top style="thin">
        <color theme="0"/>
      </top>
      <bottom/>
      <diagonal/>
    </border>
    <border>
      <left style="thin">
        <color theme="5" tint="0.39997558519241921"/>
      </left>
      <right/>
      <top style="thin">
        <color theme="0"/>
      </top>
      <bottom/>
      <diagonal/>
    </border>
    <border>
      <left style="thin">
        <color theme="0"/>
      </left>
      <right style="thin">
        <color theme="5" tint="0.39997558519241921"/>
      </right>
      <top style="thin">
        <color theme="0"/>
      </top>
      <bottom/>
      <diagonal/>
    </border>
    <border>
      <left style="thin">
        <color indexed="64"/>
      </left>
      <right style="thin">
        <color indexed="64"/>
      </right>
      <top/>
      <bottom/>
      <diagonal/>
    </border>
    <border>
      <left/>
      <right/>
      <top style="thin">
        <color indexed="64"/>
      </top>
      <bottom style="thin">
        <color indexed="64"/>
      </bottom>
      <diagonal/>
    </border>
    <border>
      <left style="medium">
        <color rgb="FFFFFFFF"/>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thin">
        <color indexed="64"/>
      </top>
      <bottom/>
      <diagonal/>
    </border>
    <border>
      <left/>
      <right style="thin">
        <color indexed="64"/>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top style="thin">
        <color theme="5" tint="0.39997558519241921"/>
      </top>
      <bottom/>
      <diagonal/>
    </border>
    <border>
      <left style="thin">
        <color indexed="64"/>
      </left>
      <right/>
      <top style="thin">
        <color theme="5" tint="0.39997558519241921"/>
      </top>
      <bottom style="thin">
        <color theme="5" tint="0.39997558519241921"/>
      </bottom>
      <diagonal/>
    </border>
    <border>
      <left style="thin">
        <color theme="5" tint="0.39997558519241921"/>
      </left>
      <right/>
      <top/>
      <bottom style="thin">
        <color theme="5" tint="0.39997558519241921"/>
      </bottom>
      <diagonal/>
    </border>
    <border>
      <left style="thin">
        <color indexed="64"/>
      </left>
      <right style="thin">
        <color indexed="64"/>
      </right>
      <top style="thin">
        <color theme="5" tint="0.39997558519241921"/>
      </top>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theme="5" tint="0.39997558519241921"/>
      </left>
      <right/>
      <top style="medium">
        <color indexed="64"/>
      </top>
      <bottom/>
      <diagonal/>
    </border>
    <border>
      <left/>
      <right style="thin">
        <color theme="5" tint="0.39997558519241921"/>
      </right>
      <top style="medium">
        <color indexed="64"/>
      </top>
      <bottom/>
      <diagonal/>
    </border>
    <border>
      <left style="medium">
        <color indexed="64"/>
      </left>
      <right/>
      <top style="thin">
        <color theme="5" tint="0.39997558519241921"/>
      </top>
      <bottom/>
      <diagonal/>
    </border>
    <border>
      <left style="medium">
        <color indexed="64"/>
      </left>
      <right style="thin">
        <color theme="5" tint="0.39997558519241921"/>
      </right>
      <top style="medium">
        <color indexed="64"/>
      </top>
      <bottom/>
      <diagonal/>
    </border>
    <border>
      <left style="medium">
        <color indexed="64"/>
      </left>
      <right style="thin">
        <color theme="5" tint="0.39997558519241921"/>
      </right>
      <top style="thin">
        <color indexed="64"/>
      </top>
      <bottom/>
      <diagonal/>
    </border>
    <border>
      <left style="medium">
        <color indexed="64"/>
      </left>
      <right/>
      <top style="medium">
        <color indexed="64"/>
      </top>
      <bottom style="thin">
        <color theme="5" tint="0.39997558519241921"/>
      </bottom>
      <diagonal/>
    </border>
    <border>
      <left style="medium">
        <color indexed="64"/>
      </left>
      <right/>
      <top style="thin">
        <color theme="5" tint="0.39997558519241921"/>
      </top>
      <bottom style="medium">
        <color indexed="64"/>
      </bottom>
      <diagonal/>
    </border>
    <border>
      <left style="thin">
        <color theme="5" tint="0.39997558519241921"/>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indexed="64"/>
      </left>
      <right style="medium">
        <color indexed="64"/>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theme="5" tint="0.39997558519241921"/>
      </right>
      <top/>
      <bottom/>
      <diagonal/>
    </border>
  </borders>
  <cellStyleXfs count="8">
    <xf numFmtId="0" fontId="0" fillId="0" borderId="0"/>
    <xf numFmtId="9" fontId="1" fillId="0" borderId="0" applyFont="0" applyFill="0" applyBorder="0" applyAlignment="0" applyProtection="0"/>
    <xf numFmtId="0" fontId="10" fillId="0" borderId="0" applyNumberForma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0" fontId="1" fillId="0" borderId="0"/>
    <xf numFmtId="43" fontId="1" fillId="0" borderId="0" applyFont="0" applyFill="0" applyBorder="0" applyAlignment="0" applyProtection="0"/>
    <xf numFmtId="0" fontId="1" fillId="0" borderId="0"/>
  </cellStyleXfs>
  <cellXfs count="2581">
    <xf numFmtId="0" fontId="0" fillId="0" borderId="0" xfId="0"/>
    <xf numFmtId="9" fontId="0" fillId="0" borderId="0" xfId="0" applyNumberFormat="1"/>
    <xf numFmtId="1" fontId="0" fillId="0" borderId="0" xfId="0" applyNumberFormat="1"/>
    <xf numFmtId="0" fontId="0" fillId="0" borderId="1" xfId="0" applyBorder="1"/>
    <xf numFmtId="0" fontId="0" fillId="0" borderId="3" xfId="0" applyBorder="1"/>
    <xf numFmtId="0" fontId="0" fillId="0" borderId="2" xfId="0" applyBorder="1"/>
    <xf numFmtId="0" fontId="0" fillId="0" borderId="4" xfId="0" applyBorder="1"/>
    <xf numFmtId="0" fontId="0" fillId="0" borderId="5" xfId="0" applyBorder="1"/>
    <xf numFmtId="0" fontId="3" fillId="0" borderId="0" xfId="0" applyFont="1"/>
    <xf numFmtId="164" fontId="0" fillId="0" borderId="0" xfId="0" applyNumberFormat="1"/>
    <xf numFmtId="0" fontId="0" fillId="0" borderId="6" xfId="0" applyBorder="1"/>
    <xf numFmtId="0" fontId="0" fillId="0" borderId="8" xfId="0" applyBorder="1"/>
    <xf numFmtId="0" fontId="0" fillId="0" borderId="7" xfId="0" applyBorder="1"/>
    <xf numFmtId="0" fontId="0" fillId="2" borderId="11" xfId="0" applyFill="1" applyBorder="1" applyAlignment="1">
      <alignment horizontal="center" vertical="center" wrapText="1"/>
    </xf>
    <xf numFmtId="0" fontId="0" fillId="0" borderId="0" xfId="0" applyAlignment="1">
      <alignment horizontal="center" vertical="center" wrapText="1"/>
    </xf>
    <xf numFmtId="0" fontId="0" fillId="2" borderId="32" xfId="0" applyFill="1" applyBorder="1" applyAlignment="1">
      <alignment horizontal="center" vertical="center" wrapText="1"/>
    </xf>
    <xf numFmtId="165" fontId="0" fillId="0" borderId="0" xfId="0" applyNumberFormat="1"/>
    <xf numFmtId="166" fontId="0" fillId="0" borderId="0" xfId="0" applyNumberFormat="1"/>
    <xf numFmtId="0" fontId="0" fillId="0" borderId="12" xfId="0" applyBorder="1"/>
    <xf numFmtId="0" fontId="0" fillId="0" borderId="15" xfId="0" applyBorder="1"/>
    <xf numFmtId="0" fontId="0" fillId="0" borderId="16" xfId="0" applyBorder="1"/>
    <xf numFmtId="0" fontId="0" fillId="0" borderId="18" xfId="0" applyBorder="1"/>
    <xf numFmtId="0" fontId="0" fillId="0" borderId="45" xfId="0" applyBorder="1"/>
    <xf numFmtId="0" fontId="0" fillId="0" borderId="46" xfId="0" applyBorder="1"/>
    <xf numFmtId="0" fontId="2" fillId="0" borderId="35" xfId="0" applyFont="1" applyBorder="1"/>
    <xf numFmtId="0" fontId="0" fillId="0" borderId="19" xfId="0" applyBorder="1"/>
    <xf numFmtId="1" fontId="0" fillId="0" borderId="17" xfId="0" applyNumberFormat="1" applyBorder="1"/>
    <xf numFmtId="0" fontId="0" fillId="0" borderId="17" xfId="0" applyBorder="1"/>
    <xf numFmtId="0" fontId="0" fillId="0" borderId="22" xfId="0" applyBorder="1"/>
    <xf numFmtId="1" fontId="0" fillId="0" borderId="22" xfId="0" applyNumberFormat="1" applyBorder="1"/>
    <xf numFmtId="9" fontId="0" fillId="0" borderId="17" xfId="1" applyFont="1" applyBorder="1"/>
    <xf numFmtId="9" fontId="0" fillId="0" borderId="22" xfId="1" applyFont="1" applyBorder="1"/>
    <xf numFmtId="1" fontId="0" fillId="0" borderId="30" xfId="0" applyNumberFormat="1" applyBorder="1"/>
    <xf numFmtId="2" fontId="0" fillId="0" borderId="17" xfId="0" applyNumberFormat="1" applyBorder="1"/>
    <xf numFmtId="0" fontId="0" fillId="0" borderId="24" xfId="0" applyBorder="1"/>
    <xf numFmtId="0" fontId="0" fillId="0" borderId="25" xfId="0" applyBorder="1"/>
    <xf numFmtId="0" fontId="0" fillId="0" borderId="27" xfId="0" applyBorder="1"/>
    <xf numFmtId="1" fontId="0" fillId="0" borderId="28" xfId="0" applyNumberFormat="1" applyBorder="1"/>
    <xf numFmtId="9" fontId="0" fillId="0" borderId="28" xfId="1" applyFont="1" applyBorder="1"/>
    <xf numFmtId="0" fontId="0" fillId="0" borderId="28" xfId="0" applyBorder="1"/>
    <xf numFmtId="9" fontId="0" fillId="0" borderId="30" xfId="1" applyFont="1" applyBorder="1"/>
    <xf numFmtId="0" fontId="0" fillId="0" borderId="49" xfId="0" applyBorder="1"/>
    <xf numFmtId="1" fontId="0" fillId="0" borderId="46" xfId="0" applyNumberFormat="1" applyBorder="1"/>
    <xf numFmtId="0" fontId="0" fillId="0" borderId="30" xfId="0" applyBorder="1"/>
    <xf numFmtId="0" fontId="0" fillId="0" borderId="10" xfId="0" applyBorder="1"/>
    <xf numFmtId="0" fontId="0" fillId="0" borderId="31" xfId="0" applyBorder="1"/>
    <xf numFmtId="9" fontId="0" fillId="0" borderId="0" xfId="1" applyFont="1"/>
    <xf numFmtId="0" fontId="0" fillId="0" borderId="41" xfId="0" applyBorder="1"/>
    <xf numFmtId="0" fontId="0" fillId="0" borderId="11" xfId="0" applyBorder="1" applyAlignment="1">
      <alignment horizontal="center" vertical="center" wrapText="1"/>
    </xf>
    <xf numFmtId="0" fontId="0" fillId="0" borderId="12" xfId="0" applyBorder="1" applyAlignment="1">
      <alignment horizontal="center" vertical="center" wrapText="1"/>
    </xf>
    <xf numFmtId="1" fontId="0" fillId="0" borderId="16" xfId="0" applyNumberFormat="1" applyBorder="1"/>
    <xf numFmtId="1" fontId="0" fillId="0" borderId="21" xfId="0" applyNumberFormat="1" applyBorder="1"/>
    <xf numFmtId="165" fontId="0" fillId="0" borderId="17" xfId="0" applyNumberFormat="1" applyBorder="1"/>
    <xf numFmtId="0" fontId="0" fillId="0" borderId="20" xfId="0" applyBorder="1"/>
    <xf numFmtId="2" fontId="0" fillId="0" borderId="28" xfId="0" applyNumberFormat="1" applyBorder="1"/>
    <xf numFmtId="2" fontId="0" fillId="0" borderId="0" xfId="0" applyNumberFormat="1"/>
    <xf numFmtId="0" fontId="0" fillId="0" borderId="29" xfId="0" applyBorder="1"/>
    <xf numFmtId="1" fontId="0" fillId="0" borderId="19" xfId="0" applyNumberFormat="1" applyBorder="1"/>
    <xf numFmtId="1" fontId="0" fillId="0" borderId="27" xfId="0" applyNumberFormat="1" applyBorder="1"/>
    <xf numFmtId="0" fontId="0" fillId="0" borderId="58" xfId="0" applyBorder="1"/>
    <xf numFmtId="0" fontId="0" fillId="0" borderId="39" xfId="0" applyBorder="1"/>
    <xf numFmtId="2" fontId="0" fillId="0" borderId="45" xfId="0" applyNumberFormat="1" applyBorder="1"/>
    <xf numFmtId="1" fontId="0" fillId="0" borderId="49" xfId="0" applyNumberFormat="1" applyBorder="1"/>
    <xf numFmtId="1" fontId="0" fillId="0" borderId="15" xfId="0" applyNumberFormat="1" applyBorder="1"/>
    <xf numFmtId="0" fontId="8" fillId="4" borderId="60" xfId="0" applyFont="1" applyFill="1" applyBorder="1"/>
    <xf numFmtId="0" fontId="0" fillId="0" borderId="40" xfId="0" applyBorder="1"/>
    <xf numFmtId="0" fontId="0" fillId="0" borderId="0" xfId="0" applyAlignment="1">
      <alignment horizontal="center"/>
    </xf>
    <xf numFmtId="0" fontId="10" fillId="0" borderId="0" xfId="2" applyAlignment="1">
      <alignment vertical="top" wrapText="1"/>
    </xf>
    <xf numFmtId="0" fontId="9" fillId="0" borderId="0" xfId="0" applyFont="1" applyAlignment="1">
      <alignment horizontal="left" vertical="top" wrapText="1"/>
    </xf>
    <xf numFmtId="0" fontId="0" fillId="0" borderId="0" xfId="0" applyAlignment="1">
      <alignment horizontal="center" vertical="center"/>
    </xf>
    <xf numFmtId="0" fontId="0" fillId="0" borderId="17" xfId="0" applyBorder="1" applyAlignment="1">
      <alignment horizontal="center" vertical="center"/>
    </xf>
    <xf numFmtId="0" fontId="0" fillId="0" borderId="0" xfId="0" applyAlignment="1">
      <alignment horizontal="left" indent="1"/>
    </xf>
    <xf numFmtId="0" fontId="2" fillId="0" borderId="0" xfId="0" applyFont="1"/>
    <xf numFmtId="0" fontId="0" fillId="0" borderId="11" xfId="0" applyBorder="1"/>
    <xf numFmtId="0" fontId="0" fillId="0" borderId="34" xfId="0" applyBorder="1"/>
    <xf numFmtId="0" fontId="0" fillId="0" borderId="35" xfId="0" applyBorder="1"/>
    <xf numFmtId="0" fontId="0" fillId="0" borderId="0" xfId="0" applyAlignment="1">
      <alignment wrapText="1"/>
    </xf>
    <xf numFmtId="0" fontId="7" fillId="0" borderId="0" xfId="0" applyFont="1"/>
    <xf numFmtId="0" fontId="0" fillId="0" borderId="49" xfId="0" applyBorder="1" applyAlignment="1">
      <alignment horizontal="center" vertical="center"/>
    </xf>
    <xf numFmtId="0" fontId="0" fillId="0" borderId="46" xfId="0" applyBorder="1" applyAlignment="1">
      <alignment horizontal="center" vertical="center"/>
    </xf>
    <xf numFmtId="1" fontId="0" fillId="0" borderId="23" xfId="0" applyNumberFormat="1" applyBorder="1"/>
    <xf numFmtId="1" fontId="0" fillId="0" borderId="24" xfId="0" applyNumberFormat="1" applyBorder="1"/>
    <xf numFmtId="1" fontId="0" fillId="0" borderId="11" xfId="0" applyNumberFormat="1" applyBorder="1"/>
    <xf numFmtId="1" fontId="0" fillId="0" borderId="12" xfId="0" applyNumberFormat="1" applyBorder="1"/>
    <xf numFmtId="1" fontId="2" fillId="0" borderId="10" xfId="0" applyNumberFormat="1" applyFont="1" applyBorder="1"/>
    <xf numFmtId="1" fontId="2" fillId="0" borderId="11" xfId="0" applyNumberFormat="1" applyFont="1" applyBorder="1"/>
    <xf numFmtId="1" fontId="2" fillId="0" borderId="12" xfId="0" applyNumberFormat="1" applyFont="1" applyBorder="1"/>
    <xf numFmtId="1" fontId="0" fillId="0" borderId="45" xfId="0" applyNumberFormat="1" applyBorder="1"/>
    <xf numFmtId="1" fontId="0" fillId="0" borderId="18" xfId="0" applyNumberFormat="1" applyBorder="1"/>
    <xf numFmtId="0" fontId="2" fillId="0" borderId="6" xfId="0" applyFont="1" applyBorder="1"/>
    <xf numFmtId="0" fontId="0" fillId="0" borderId="44" xfId="0" applyBorder="1" applyAlignment="1">
      <alignment horizontal="center" vertical="center"/>
    </xf>
    <xf numFmtId="0" fontId="0" fillId="0" borderId="22" xfId="0" applyBorder="1" applyAlignment="1">
      <alignment horizontal="center" vertical="center"/>
    </xf>
    <xf numFmtId="0" fontId="0" fillId="0" borderId="37" xfId="0" applyBorder="1" applyAlignment="1">
      <alignment horizontal="center" vertical="center"/>
    </xf>
    <xf numFmtId="0" fontId="0" fillId="0" borderId="30" xfId="0" applyBorder="1" applyAlignment="1">
      <alignment horizontal="center" vertical="center"/>
    </xf>
    <xf numFmtId="0" fontId="0" fillId="0" borderId="50" xfId="0" applyBorder="1" applyAlignment="1">
      <alignment horizontal="center" vertical="center"/>
    </xf>
    <xf numFmtId="0" fontId="0" fillId="0" borderId="28" xfId="0" applyBorder="1" applyAlignment="1">
      <alignment horizontal="center" vertical="center"/>
    </xf>
    <xf numFmtId="0" fontId="0" fillId="0" borderId="16" xfId="0" applyBorder="1" applyAlignment="1">
      <alignment horizontal="center" vertical="center"/>
    </xf>
    <xf numFmtId="0" fontId="0" fillId="0" borderId="38" xfId="0" applyBorder="1"/>
    <xf numFmtId="0" fontId="2" fillId="0" borderId="31" xfId="0" applyFont="1" applyBorder="1"/>
    <xf numFmtId="0" fontId="2" fillId="0" borderId="40" xfId="0" applyFont="1" applyBorder="1"/>
    <xf numFmtId="0" fontId="3" fillId="0" borderId="40" xfId="0" applyFont="1" applyBorder="1"/>
    <xf numFmtId="0" fontId="13" fillId="0" borderId="3" xfId="0" applyFont="1" applyBorder="1"/>
    <xf numFmtId="0" fontId="13" fillId="0" borderId="8" xfId="0" applyFont="1" applyBorder="1"/>
    <xf numFmtId="0" fontId="8" fillId="4" borderId="60" xfId="0" applyFont="1" applyFill="1" applyBorder="1" applyAlignment="1">
      <alignment wrapText="1"/>
    </xf>
    <xf numFmtId="1" fontId="0" fillId="0" borderId="40" xfId="0" applyNumberFormat="1" applyBorder="1"/>
    <xf numFmtId="0" fontId="2" fillId="0" borderId="1" xfId="0" applyFont="1" applyBorder="1"/>
    <xf numFmtId="1" fontId="0" fillId="0" borderId="25" xfId="0" applyNumberFormat="1" applyBorder="1"/>
    <xf numFmtId="0" fontId="0" fillId="0" borderId="23" xfId="0" applyBorder="1"/>
    <xf numFmtId="1" fontId="0" fillId="0" borderId="3" xfId="0" applyNumberFormat="1" applyBorder="1"/>
    <xf numFmtId="164" fontId="0" fillId="2" borderId="16" xfId="0" applyNumberFormat="1" applyFill="1" applyBorder="1"/>
    <xf numFmtId="164" fontId="0" fillId="2" borderId="17" xfId="0" applyNumberFormat="1" applyFill="1" applyBorder="1"/>
    <xf numFmtId="0" fontId="0" fillId="2" borderId="13" xfId="0" applyFill="1" applyBorder="1" applyAlignment="1">
      <alignment horizontal="center" vertical="center" wrapText="1"/>
    </xf>
    <xf numFmtId="164" fontId="0" fillId="2" borderId="21" xfId="0" applyNumberFormat="1" applyFill="1" applyBorder="1"/>
    <xf numFmtId="164" fontId="0" fillId="2" borderId="20" xfId="0" applyNumberFormat="1" applyFill="1" applyBorder="1"/>
    <xf numFmtId="2" fontId="0" fillId="0" borderId="19" xfId="0" applyNumberFormat="1" applyBorder="1"/>
    <xf numFmtId="0" fontId="2" fillId="0" borderId="57" xfId="0" applyFont="1" applyBorder="1"/>
    <xf numFmtId="9" fontId="13" fillId="0" borderId="0" xfId="1" applyFont="1" applyBorder="1"/>
    <xf numFmtId="0" fontId="0" fillId="0" borderId="53" xfId="0" applyBorder="1"/>
    <xf numFmtId="0" fontId="0" fillId="2" borderId="51" xfId="0" applyFill="1" applyBorder="1"/>
    <xf numFmtId="0" fontId="0" fillId="2" borderId="37" xfId="0" applyFill="1" applyBorder="1"/>
    <xf numFmtId="0" fontId="0" fillId="2" borderId="50" xfId="0" applyFill="1" applyBorder="1"/>
    <xf numFmtId="9" fontId="0" fillId="2" borderId="51" xfId="1" applyFont="1" applyFill="1" applyBorder="1"/>
    <xf numFmtId="0" fontId="0" fillId="2" borderId="51" xfId="0" applyFill="1" applyBorder="1" applyAlignment="1">
      <alignment horizontal="center"/>
    </xf>
    <xf numFmtId="165" fontId="2" fillId="0" borderId="42" xfId="0" applyNumberFormat="1" applyFont="1" applyBorder="1"/>
    <xf numFmtId="0" fontId="0" fillId="7" borderId="10" xfId="0" applyFill="1" applyBorder="1" applyAlignment="1">
      <alignment horizontal="center" vertical="center" wrapText="1"/>
    </xf>
    <xf numFmtId="0" fontId="0" fillId="7" borderId="11" xfId="0" applyFill="1" applyBorder="1" applyAlignment="1">
      <alignment horizontal="center" vertical="center" wrapText="1"/>
    </xf>
    <xf numFmtId="0" fontId="0" fillId="7" borderId="12" xfId="0" applyFill="1" applyBorder="1" applyAlignment="1">
      <alignment horizontal="center" vertical="center" wrapText="1"/>
    </xf>
    <xf numFmtId="0" fontId="2" fillId="2" borderId="13" xfId="0" applyFont="1" applyFill="1" applyBorder="1" applyAlignment="1">
      <alignment horizontal="center" vertical="center" wrapText="1"/>
    </xf>
    <xf numFmtId="165" fontId="2" fillId="2" borderId="21" xfId="0" applyNumberFormat="1" applyFont="1" applyFill="1" applyBorder="1"/>
    <xf numFmtId="2" fontId="0" fillId="2" borderId="19" xfId="0" applyNumberFormat="1" applyFill="1" applyBorder="1"/>
    <xf numFmtId="165" fontId="2" fillId="2" borderId="20" xfId="0" applyNumberFormat="1" applyFont="1" applyFill="1" applyBorder="1"/>
    <xf numFmtId="165" fontId="2" fillId="2" borderId="22" xfId="0" applyNumberFormat="1" applyFont="1" applyFill="1" applyBorder="1"/>
    <xf numFmtId="2" fontId="0" fillId="0" borderId="22" xfId="0" applyNumberFormat="1" applyBorder="1"/>
    <xf numFmtId="2" fontId="0" fillId="0" borderId="30" xfId="0" applyNumberFormat="1" applyBorder="1"/>
    <xf numFmtId="2" fontId="0" fillId="2" borderId="16" xfId="0" applyNumberFormat="1" applyFill="1" applyBorder="1"/>
    <xf numFmtId="2" fontId="0" fillId="2" borderId="17" xfId="0" applyNumberFormat="1" applyFill="1" applyBorder="1"/>
    <xf numFmtId="0" fontId="0" fillId="7" borderId="40" xfId="0" applyFill="1" applyBorder="1" applyAlignment="1">
      <alignment horizontal="center" vertical="center" wrapText="1"/>
    </xf>
    <xf numFmtId="1" fontId="0" fillId="2" borderId="37" xfId="0" applyNumberFormat="1" applyFill="1" applyBorder="1"/>
    <xf numFmtId="9" fontId="0" fillId="0" borderId="3" xfId="1" applyFont="1" applyBorder="1"/>
    <xf numFmtId="9" fontId="0" fillId="0" borderId="2" xfId="1" applyFont="1" applyBorder="1"/>
    <xf numFmtId="9" fontId="0" fillId="0" borderId="0" xfId="1" applyFont="1" applyBorder="1"/>
    <xf numFmtId="9" fontId="0" fillId="0" borderId="5" xfId="1" applyFont="1" applyBorder="1"/>
    <xf numFmtId="9" fontId="0" fillId="0" borderId="8" xfId="1" applyFont="1" applyBorder="1"/>
    <xf numFmtId="9" fontId="0" fillId="0" borderId="7" xfId="1" applyFont="1" applyBorder="1"/>
    <xf numFmtId="0" fontId="0" fillId="0" borderId="70" xfId="0" applyBorder="1"/>
    <xf numFmtId="1" fontId="0" fillId="0" borderId="1" xfId="0" applyNumberFormat="1" applyBorder="1"/>
    <xf numFmtId="1" fontId="0" fillId="0" borderId="2" xfId="0" applyNumberFormat="1" applyBorder="1"/>
    <xf numFmtId="2" fontId="0" fillId="0" borderId="49" xfId="0" applyNumberFormat="1" applyBorder="1"/>
    <xf numFmtId="165" fontId="2" fillId="0" borderId="0" xfId="0" applyNumberFormat="1" applyFont="1"/>
    <xf numFmtId="2" fontId="0" fillId="2" borderId="51" xfId="0" applyNumberFormat="1" applyFill="1" applyBorder="1"/>
    <xf numFmtId="2" fontId="0" fillId="2" borderId="37" xfId="0" applyNumberFormat="1" applyFill="1" applyBorder="1"/>
    <xf numFmtId="0" fontId="0" fillId="2" borderId="33" xfId="0" applyFill="1" applyBorder="1" applyAlignment="1">
      <alignment horizontal="center" vertical="center" wrapText="1"/>
    </xf>
    <xf numFmtId="0" fontId="2" fillId="2" borderId="34" xfId="0" applyFont="1" applyFill="1" applyBorder="1" applyAlignment="1">
      <alignment horizontal="center" vertical="center" wrapText="1"/>
    </xf>
    <xf numFmtId="0" fontId="2" fillId="2" borderId="35" xfId="0" applyFont="1" applyFill="1" applyBorder="1" applyAlignment="1">
      <alignment horizontal="center" vertical="center" wrapText="1"/>
    </xf>
    <xf numFmtId="9" fontId="2" fillId="2" borderId="17" xfId="1" applyFont="1" applyFill="1" applyBorder="1"/>
    <xf numFmtId="2" fontId="0" fillId="2" borderId="49" xfId="0" applyNumberFormat="1" applyFill="1" applyBorder="1"/>
    <xf numFmtId="9" fontId="2" fillId="2" borderId="45" xfId="1" applyFont="1" applyFill="1" applyBorder="1"/>
    <xf numFmtId="165" fontId="2" fillId="2" borderId="46" xfId="0" applyNumberFormat="1" applyFont="1" applyFill="1" applyBorder="1"/>
    <xf numFmtId="9" fontId="0" fillId="0" borderId="27" xfId="1" applyFont="1" applyBorder="1"/>
    <xf numFmtId="8" fontId="0" fillId="0" borderId="0" xfId="0" applyNumberFormat="1"/>
    <xf numFmtId="0" fontId="0" fillId="0" borderId="10" xfId="0" applyBorder="1" applyAlignment="1">
      <alignment horizontal="center" vertical="center" wrapText="1"/>
    </xf>
    <xf numFmtId="165" fontId="0" fillId="0" borderId="36" xfId="0" applyNumberFormat="1" applyBorder="1"/>
    <xf numFmtId="165" fontId="0" fillId="0" borderId="18" xfId="0" applyNumberFormat="1" applyBorder="1"/>
    <xf numFmtId="165" fontId="0" fillId="0" borderId="22" xfId="0" applyNumberFormat="1" applyBorder="1"/>
    <xf numFmtId="1" fontId="2" fillId="0" borderId="56" xfId="0" applyNumberFormat="1" applyFont="1" applyBorder="1"/>
    <xf numFmtId="1" fontId="2" fillId="0" borderId="63" xfId="0" applyNumberFormat="1" applyFont="1" applyBorder="1"/>
    <xf numFmtId="1" fontId="2" fillId="0" borderId="64" xfId="0" applyNumberFormat="1" applyFont="1" applyBorder="1"/>
    <xf numFmtId="9" fontId="0" fillId="0" borderId="0" xfId="1" applyFont="1" applyFill="1" applyBorder="1" applyProtection="1"/>
    <xf numFmtId="165" fontId="0" fillId="0" borderId="59" xfId="0" applyNumberFormat="1" applyBorder="1"/>
    <xf numFmtId="0" fontId="0" fillId="0" borderId="13" xfId="0" applyBorder="1" applyAlignment="1">
      <alignment horizontal="center" vertical="center" wrapText="1"/>
    </xf>
    <xf numFmtId="0" fontId="0" fillId="0" borderId="15" xfId="0" applyBorder="1" applyAlignment="1">
      <alignment horizontal="center"/>
    </xf>
    <xf numFmtId="0" fontId="0" fillId="0" borderId="19" xfId="0" applyBorder="1" applyAlignment="1">
      <alignment horizontal="center"/>
    </xf>
    <xf numFmtId="2" fontId="0" fillId="3" borderId="21" xfId="0" applyNumberFormat="1" applyFill="1" applyBorder="1" applyProtection="1">
      <protection locked="0"/>
    </xf>
    <xf numFmtId="0" fontId="0" fillId="3" borderId="24" xfId="0" applyFill="1" applyBorder="1" applyAlignment="1">
      <alignment horizontal="center" vertical="center" wrapText="1"/>
    </xf>
    <xf numFmtId="0" fontId="0" fillId="3" borderId="25" xfId="0" applyFill="1" applyBorder="1" applyAlignment="1">
      <alignment horizontal="center" vertical="center" wrapText="1"/>
    </xf>
    <xf numFmtId="0" fontId="0" fillId="3" borderId="23" xfId="0" applyFill="1" applyBorder="1" applyAlignment="1">
      <alignment horizontal="center" vertical="center" wrapText="1"/>
    </xf>
    <xf numFmtId="2" fontId="0" fillId="10" borderId="45" xfId="0" applyNumberFormat="1" applyFill="1" applyBorder="1"/>
    <xf numFmtId="1" fontId="0" fillId="0" borderId="41" xfId="0" applyNumberFormat="1" applyBorder="1"/>
    <xf numFmtId="9" fontId="0" fillId="0" borderId="17" xfId="0" applyNumberFormat="1" applyBorder="1"/>
    <xf numFmtId="0" fontId="2" fillId="0" borderId="33" xfId="0" applyFont="1" applyBorder="1"/>
    <xf numFmtId="0" fontId="2" fillId="0" borderId="34" xfId="0" applyFont="1" applyBorder="1"/>
    <xf numFmtId="9" fontId="0" fillId="0" borderId="22" xfId="0" applyNumberFormat="1" applyBorder="1"/>
    <xf numFmtId="1" fontId="2" fillId="0" borderId="28" xfId="0" applyNumberFormat="1" applyFont="1" applyBorder="1"/>
    <xf numFmtId="1" fontId="2" fillId="0" borderId="30" xfId="0" applyNumberFormat="1" applyFont="1" applyBorder="1"/>
    <xf numFmtId="2" fontId="0" fillId="0" borderId="24" xfId="0" applyNumberFormat="1" applyBorder="1"/>
    <xf numFmtId="0" fontId="0" fillId="0" borderId="9" xfId="0" applyBorder="1"/>
    <xf numFmtId="0" fontId="0" fillId="0" borderId="14" xfId="0" applyBorder="1"/>
    <xf numFmtId="0" fontId="0" fillId="0" borderId="26" xfId="0" applyBorder="1"/>
    <xf numFmtId="0" fontId="0" fillId="0" borderId="36" xfId="0" applyBorder="1"/>
    <xf numFmtId="1" fontId="0" fillId="10" borderId="55" xfId="0" applyNumberFormat="1" applyFill="1" applyBorder="1"/>
    <xf numFmtId="0" fontId="2" fillId="0" borderId="39" xfId="0" applyFont="1" applyBorder="1"/>
    <xf numFmtId="1" fontId="2" fillId="0" borderId="27" xfId="0" applyNumberFormat="1" applyFont="1" applyBorder="1"/>
    <xf numFmtId="164" fontId="0" fillId="0" borderId="24" xfId="0" applyNumberFormat="1" applyBorder="1"/>
    <xf numFmtId="164" fontId="0" fillId="0" borderId="25" xfId="0" applyNumberFormat="1" applyBorder="1"/>
    <xf numFmtId="9" fontId="2" fillId="0" borderId="28" xfId="1" applyFont="1" applyBorder="1"/>
    <xf numFmtId="9" fontId="2" fillId="0" borderId="30" xfId="1" applyFont="1" applyBorder="1"/>
    <xf numFmtId="164" fontId="0" fillId="0" borderId="23" xfId="0" applyNumberFormat="1" applyBorder="1"/>
    <xf numFmtId="9" fontId="2" fillId="0" borderId="27" xfId="1" applyFont="1" applyBorder="1"/>
    <xf numFmtId="1" fontId="0" fillId="10" borderId="54" xfId="0" applyNumberFormat="1" applyFill="1" applyBorder="1"/>
    <xf numFmtId="164" fontId="0" fillId="10" borderId="73" xfId="0" applyNumberFormat="1" applyFill="1" applyBorder="1"/>
    <xf numFmtId="164" fontId="2" fillId="10" borderId="54" xfId="0" applyNumberFormat="1" applyFont="1" applyFill="1" applyBorder="1"/>
    <xf numFmtId="9" fontId="2" fillId="10" borderId="55" xfId="1" applyFont="1" applyFill="1" applyBorder="1"/>
    <xf numFmtId="9" fontId="0" fillId="10" borderId="55" xfId="1" applyFont="1" applyFill="1" applyBorder="1"/>
    <xf numFmtId="1" fontId="2" fillId="0" borderId="45" xfId="0" applyNumberFormat="1" applyFont="1" applyBorder="1"/>
    <xf numFmtId="1" fontId="2" fillId="0" borderId="46" xfId="0" applyNumberFormat="1" applyFont="1" applyBorder="1"/>
    <xf numFmtId="1" fontId="2" fillId="10" borderId="46" xfId="0" applyNumberFormat="1" applyFont="1" applyFill="1" applyBorder="1"/>
    <xf numFmtId="9" fontId="2" fillId="10" borderId="30" xfId="1" applyFont="1" applyFill="1" applyBorder="1"/>
    <xf numFmtId="9" fontId="0" fillId="0" borderId="24" xfId="1" applyFont="1" applyBorder="1"/>
    <xf numFmtId="9" fontId="0" fillId="0" borderId="25" xfId="1" applyFont="1" applyBorder="1"/>
    <xf numFmtId="9" fontId="0" fillId="10" borderId="73" xfId="1" applyFont="1" applyFill="1" applyBorder="1"/>
    <xf numFmtId="1" fontId="0" fillId="10" borderId="65" xfId="0" applyNumberFormat="1" applyFill="1" applyBorder="1"/>
    <xf numFmtId="167" fontId="0" fillId="0" borderId="45" xfId="1" applyNumberFormat="1" applyFont="1" applyBorder="1" applyProtection="1"/>
    <xf numFmtId="1" fontId="2" fillId="0" borderId="49" xfId="0" applyNumberFormat="1" applyFont="1" applyBorder="1"/>
    <xf numFmtId="1" fontId="0" fillId="0" borderId="10" xfId="0" applyNumberFormat="1" applyBorder="1"/>
    <xf numFmtId="0" fontId="2" fillId="0" borderId="53" xfId="0" applyFont="1" applyBorder="1"/>
    <xf numFmtId="2" fontId="0" fillId="0" borderId="23" xfId="0" applyNumberFormat="1" applyBorder="1"/>
    <xf numFmtId="2" fontId="7" fillId="0" borderId="0" xfId="0" applyNumberFormat="1" applyFont="1"/>
    <xf numFmtId="0" fontId="0" fillId="0" borderId="9" xfId="0" applyBorder="1" applyAlignment="1">
      <alignment horizontal="center" vertical="center" wrapText="1"/>
    </xf>
    <xf numFmtId="0" fontId="0" fillId="0" borderId="0" xfId="0" quotePrefix="1"/>
    <xf numFmtId="0" fontId="0" fillId="0" borderId="0" xfId="0" applyAlignment="1">
      <alignment horizontal="right"/>
    </xf>
    <xf numFmtId="0" fontId="0" fillId="3" borderId="28" xfId="0" applyFill="1" applyBorder="1" applyAlignment="1">
      <alignment horizontal="center" vertical="center" wrapText="1"/>
    </xf>
    <xf numFmtId="0" fontId="2" fillId="3" borderId="45" xfId="0" applyFont="1" applyFill="1" applyBorder="1" applyAlignment="1">
      <alignment horizontal="center"/>
    </xf>
    <xf numFmtId="0" fontId="0" fillId="0" borderId="3" xfId="0" applyBorder="1" applyAlignment="1">
      <alignment horizontal="center"/>
    </xf>
    <xf numFmtId="0" fontId="0" fillId="0" borderId="24" xfId="0" applyBorder="1" applyAlignment="1">
      <alignment horizontal="center" vertical="center"/>
    </xf>
    <xf numFmtId="0" fontId="0" fillId="11" borderId="1" xfId="0" applyFill="1" applyBorder="1"/>
    <xf numFmtId="0" fontId="0" fillId="11" borderId="4" xfId="0" applyFill="1" applyBorder="1"/>
    <xf numFmtId="0" fontId="0" fillId="11" borderId="8" xfId="0" applyFill="1" applyBorder="1" applyAlignment="1">
      <alignment horizontal="right"/>
    </xf>
    <xf numFmtId="0" fontId="15" fillId="0" borderId="0" xfId="0" applyFont="1" applyAlignment="1">
      <alignment horizontal="center"/>
    </xf>
    <xf numFmtId="0" fontId="15" fillId="0" borderId="3" xfId="0" applyFont="1" applyBorder="1" applyAlignment="1">
      <alignment horizontal="center"/>
    </xf>
    <xf numFmtId="0" fontId="15" fillId="0" borderId="2" xfId="0" applyFont="1" applyBorder="1" applyAlignment="1">
      <alignment horizontal="center"/>
    </xf>
    <xf numFmtId="2" fontId="0" fillId="0" borderId="8" xfId="1" applyNumberFormat="1" applyFont="1" applyBorder="1"/>
    <xf numFmtId="0" fontId="15" fillId="0" borderId="4" xfId="0" applyFont="1" applyBorder="1" applyAlignment="1">
      <alignment horizontal="left"/>
    </xf>
    <xf numFmtId="0" fontId="15" fillId="0" borderId="5" xfId="0" applyFont="1" applyBorder="1" applyAlignment="1">
      <alignment horizontal="center"/>
    </xf>
    <xf numFmtId="2" fontId="0" fillId="0" borderId="0" xfId="1" applyNumberFormat="1" applyFont="1" applyBorder="1"/>
    <xf numFmtId="0" fontId="16" fillId="0" borderId="1" xfId="0" applyFont="1" applyBorder="1" applyAlignment="1">
      <alignment horizontal="left"/>
    </xf>
    <xf numFmtId="2" fontId="0" fillId="0" borderId="3" xfId="1" applyNumberFormat="1" applyFont="1" applyBorder="1"/>
    <xf numFmtId="9" fontId="0" fillId="12" borderId="0" xfId="1" applyFont="1" applyFill="1" applyBorder="1"/>
    <xf numFmtId="2" fontId="0" fillId="0" borderId="20" xfId="0" applyNumberFormat="1" applyBorder="1"/>
    <xf numFmtId="0" fontId="0" fillId="0" borderId="49" xfId="0" applyBorder="1" applyAlignment="1">
      <alignment horizontal="center" vertical="center" wrapText="1"/>
    </xf>
    <xf numFmtId="0" fontId="0" fillId="0" borderId="46" xfId="0" applyBorder="1" applyAlignment="1">
      <alignment horizontal="center" vertical="center" wrapText="1"/>
    </xf>
    <xf numFmtId="0" fontId="0" fillId="0" borderId="5" xfId="0" applyBorder="1" applyAlignment="1">
      <alignment horizontal="center" vertical="center" wrapText="1"/>
    </xf>
    <xf numFmtId="0" fontId="4" fillId="3" borderId="16" xfId="0" applyFont="1" applyFill="1" applyBorder="1" applyAlignment="1" applyProtection="1">
      <alignment horizontal="center"/>
      <protection locked="0"/>
    </xf>
    <xf numFmtId="9" fontId="4" fillId="3" borderId="49" xfId="0" applyNumberFormat="1" applyFont="1" applyFill="1" applyBorder="1" applyProtection="1">
      <protection locked="0"/>
    </xf>
    <xf numFmtId="0" fontId="4" fillId="3" borderId="17" xfId="0" applyFont="1" applyFill="1" applyBorder="1" applyAlignment="1" applyProtection="1">
      <alignment horizontal="center"/>
      <protection locked="0"/>
    </xf>
    <xf numFmtId="9" fontId="4" fillId="3" borderId="19" xfId="0" applyNumberFormat="1" applyFont="1" applyFill="1" applyBorder="1" applyProtection="1">
      <protection locked="0"/>
    </xf>
    <xf numFmtId="9" fontId="4" fillId="3" borderId="17" xfId="0" applyNumberFormat="1" applyFont="1" applyFill="1" applyBorder="1" applyProtection="1">
      <protection locked="0"/>
    </xf>
    <xf numFmtId="9" fontId="4" fillId="3" borderId="22" xfId="0" applyNumberFormat="1" applyFont="1" applyFill="1" applyBorder="1" applyProtection="1">
      <protection locked="0"/>
    </xf>
    <xf numFmtId="165" fontId="0" fillId="0" borderId="0" xfId="1" applyNumberFormat="1" applyFont="1" applyBorder="1"/>
    <xf numFmtId="0" fontId="2" fillId="0" borderId="10" xfId="0" applyFont="1" applyBorder="1"/>
    <xf numFmtId="1" fontId="0" fillId="0" borderId="5" xfId="0" applyNumberFormat="1" applyBorder="1"/>
    <xf numFmtId="1" fontId="0" fillId="0" borderId="8" xfId="0" applyNumberFormat="1" applyBorder="1"/>
    <xf numFmtId="1" fontId="0" fillId="0" borderId="7" xfId="0" applyNumberFormat="1" applyBorder="1"/>
    <xf numFmtId="0" fontId="0" fillId="0" borderId="33" xfId="0" applyBorder="1"/>
    <xf numFmtId="9" fontId="0" fillId="0" borderId="17" xfId="1" applyFont="1" applyFill="1" applyBorder="1" applyAlignment="1">
      <alignment horizontal="center" vertical="center"/>
    </xf>
    <xf numFmtId="9" fontId="0" fillId="0" borderId="28" xfId="1" applyFont="1" applyFill="1" applyBorder="1" applyAlignment="1">
      <alignment horizontal="center" vertical="center"/>
    </xf>
    <xf numFmtId="9" fontId="0" fillId="0" borderId="16" xfId="1" applyFont="1" applyFill="1" applyBorder="1" applyAlignment="1">
      <alignment horizontal="center" vertical="center"/>
    </xf>
    <xf numFmtId="0" fontId="2" fillId="0" borderId="56" xfId="0" applyFont="1" applyBorder="1"/>
    <xf numFmtId="0" fontId="2" fillId="0" borderId="64" xfId="0" applyFont="1" applyBorder="1"/>
    <xf numFmtId="164" fontId="0" fillId="0" borderId="11" xfId="0" applyNumberFormat="1" applyBorder="1"/>
    <xf numFmtId="164" fontId="0" fillId="0" borderId="12" xfId="0" applyNumberFormat="1" applyBorder="1"/>
    <xf numFmtId="164" fontId="0" fillId="0" borderId="17" xfId="0" applyNumberFormat="1" applyBorder="1"/>
    <xf numFmtId="9" fontId="0" fillId="0" borderId="20" xfId="1" applyFont="1" applyBorder="1"/>
    <xf numFmtId="0" fontId="0" fillId="10" borderId="2" xfId="0" applyFill="1" applyBorder="1"/>
    <xf numFmtId="0" fontId="0" fillId="10" borderId="43" xfId="0" applyFill="1" applyBorder="1"/>
    <xf numFmtId="9" fontId="0" fillId="10" borderId="57" xfId="1" applyFont="1" applyFill="1" applyBorder="1"/>
    <xf numFmtId="2" fontId="0" fillId="10" borderId="57" xfId="0" applyNumberFormat="1" applyFill="1" applyBorder="1"/>
    <xf numFmtId="10" fontId="0" fillId="0" borderId="0" xfId="1" applyNumberFormat="1" applyFont="1" applyFill="1" applyBorder="1"/>
    <xf numFmtId="10" fontId="0" fillId="0" borderId="27" xfId="1" applyNumberFormat="1" applyFont="1" applyFill="1" applyBorder="1"/>
    <xf numFmtId="10" fontId="0" fillId="0" borderId="28" xfId="1" applyNumberFormat="1" applyFont="1" applyFill="1" applyBorder="1"/>
    <xf numFmtId="10" fontId="0" fillId="0" borderId="30" xfId="1" applyNumberFormat="1" applyFont="1" applyFill="1" applyBorder="1"/>
    <xf numFmtId="1" fontId="2" fillId="0" borderId="13" xfId="0" applyNumberFormat="1" applyFont="1" applyBorder="1"/>
    <xf numFmtId="1" fontId="2" fillId="10" borderId="42" xfId="0" applyNumberFormat="1" applyFont="1" applyFill="1" applyBorder="1"/>
    <xf numFmtId="9" fontId="11" fillId="0" borderId="40" xfId="0" applyNumberFormat="1" applyFont="1" applyBorder="1"/>
    <xf numFmtId="164" fontId="0" fillId="0" borderId="28" xfId="0" applyNumberFormat="1" applyBorder="1"/>
    <xf numFmtId="165" fontId="0" fillId="0" borderId="20" xfId="0" applyNumberFormat="1" applyBorder="1"/>
    <xf numFmtId="164" fontId="0" fillId="0" borderId="45" xfId="0" applyNumberFormat="1" applyBorder="1"/>
    <xf numFmtId="0" fontId="4" fillId="9" borderId="17" xfId="0" applyFont="1" applyFill="1" applyBorder="1"/>
    <xf numFmtId="1" fontId="3" fillId="9" borderId="51" xfId="0" applyNumberFormat="1" applyFont="1" applyFill="1" applyBorder="1"/>
    <xf numFmtId="2" fontId="3" fillId="9" borderId="16" xfId="0" applyNumberFormat="1" applyFont="1" applyFill="1" applyBorder="1"/>
    <xf numFmtId="2" fontId="0" fillId="9" borderId="18" xfId="0" applyNumberFormat="1" applyFill="1" applyBorder="1"/>
    <xf numFmtId="1" fontId="3" fillId="9" borderId="37" xfId="0" applyNumberFormat="1" applyFont="1" applyFill="1" applyBorder="1"/>
    <xf numFmtId="1" fontId="3" fillId="9" borderId="17" xfId="0" applyNumberFormat="1" applyFont="1" applyFill="1" applyBorder="1"/>
    <xf numFmtId="0" fontId="5" fillId="3" borderId="16" xfId="0" applyFont="1" applyFill="1" applyBorder="1" applyAlignment="1" applyProtection="1">
      <alignment horizontal="center"/>
      <protection locked="0"/>
    </xf>
    <xf numFmtId="0" fontId="2" fillId="3" borderId="16" xfId="0" applyFont="1" applyFill="1" applyBorder="1" applyProtection="1">
      <protection locked="0"/>
    </xf>
    <xf numFmtId="0" fontId="5" fillId="3" borderId="17" xfId="0" applyFont="1" applyFill="1" applyBorder="1" applyAlignment="1" applyProtection="1">
      <alignment horizontal="center"/>
      <protection locked="0"/>
    </xf>
    <xf numFmtId="0" fontId="2" fillId="3" borderId="17" xfId="0" applyFont="1" applyFill="1" applyBorder="1" applyProtection="1">
      <protection locked="0"/>
    </xf>
    <xf numFmtId="0" fontId="0" fillId="13" borderId="1" xfId="0" applyFill="1" applyBorder="1"/>
    <xf numFmtId="0" fontId="0" fillId="13" borderId="3" xfId="0" applyFill="1" applyBorder="1" applyAlignment="1">
      <alignment horizontal="right"/>
    </xf>
    <xf numFmtId="0" fontId="0" fillId="13" borderId="3" xfId="0" applyFill="1" applyBorder="1"/>
    <xf numFmtId="0" fontId="0" fillId="13" borderId="2" xfId="0" applyFill="1" applyBorder="1"/>
    <xf numFmtId="0" fontId="0" fillId="13" borderId="4" xfId="0" applyFill="1" applyBorder="1"/>
    <xf numFmtId="0" fontId="0" fillId="13" borderId="0" xfId="0" applyFill="1" applyAlignment="1">
      <alignment horizontal="right"/>
    </xf>
    <xf numFmtId="0" fontId="0" fillId="13" borderId="0" xfId="0" applyFill="1"/>
    <xf numFmtId="0" fontId="0" fillId="13" borderId="5" xfId="0" applyFill="1" applyBorder="1"/>
    <xf numFmtId="0" fontId="0" fillId="13" borderId="6" xfId="0" applyFill="1" applyBorder="1"/>
    <xf numFmtId="0" fontId="0" fillId="13" borderId="8" xfId="0" applyFill="1" applyBorder="1" applyAlignment="1">
      <alignment horizontal="right"/>
    </xf>
    <xf numFmtId="0" fontId="0" fillId="13" borderId="7" xfId="0" applyFill="1" applyBorder="1"/>
    <xf numFmtId="1" fontId="0" fillId="13" borderId="0" xfId="0" applyNumberFormat="1" applyFill="1"/>
    <xf numFmtId="9" fontId="0" fillId="0" borderId="24" xfId="1" applyFont="1" applyFill="1" applyBorder="1" applyAlignment="1">
      <alignment horizontal="center" vertical="center"/>
    </xf>
    <xf numFmtId="167" fontId="0" fillId="0" borderId="17" xfId="0" applyNumberFormat="1" applyBorder="1"/>
    <xf numFmtId="9" fontId="0" fillId="8" borderId="17" xfId="0" applyNumberFormat="1" applyFill="1" applyBorder="1"/>
    <xf numFmtId="10" fontId="0" fillId="0" borderId="17" xfId="0" applyNumberFormat="1" applyBorder="1"/>
    <xf numFmtId="0" fontId="8" fillId="4" borderId="19" xfId="0" applyFont="1" applyFill="1" applyBorder="1"/>
    <xf numFmtId="0" fontId="13" fillId="0" borderId="19" xfId="0" applyFont="1" applyBorder="1"/>
    <xf numFmtId="0" fontId="0" fillId="0" borderId="15" xfId="0" applyBorder="1" applyAlignment="1">
      <alignment horizontal="left" vertical="center"/>
    </xf>
    <xf numFmtId="9" fontId="0" fillId="0" borderId="16" xfId="0" applyNumberFormat="1" applyBorder="1"/>
    <xf numFmtId="167" fontId="0" fillId="0" borderId="16" xfId="0" applyNumberFormat="1" applyBorder="1"/>
    <xf numFmtId="9" fontId="0" fillId="8" borderId="16" xfId="0" applyNumberFormat="1" applyFill="1" applyBorder="1"/>
    <xf numFmtId="0" fontId="0" fillId="0" borderId="11" xfId="0" applyBorder="1" applyAlignment="1">
      <alignment horizontal="center" wrapText="1"/>
    </xf>
    <xf numFmtId="0" fontId="0" fillId="0" borderId="11" xfId="0" applyBorder="1" applyAlignment="1">
      <alignment wrapText="1"/>
    </xf>
    <xf numFmtId="0" fontId="0" fillId="8" borderId="11" xfId="0" applyFill="1" applyBorder="1" applyAlignment="1">
      <alignment horizontal="center" wrapText="1"/>
    </xf>
    <xf numFmtId="0" fontId="0" fillId="0" borderId="12" xfId="0" applyBorder="1" applyAlignment="1">
      <alignment wrapText="1"/>
    </xf>
    <xf numFmtId="165" fontId="0" fillId="10" borderId="57" xfId="0" applyNumberFormat="1" applyFill="1" applyBorder="1"/>
    <xf numFmtId="0" fontId="0" fillId="0" borderId="76" xfId="0" applyBorder="1"/>
    <xf numFmtId="0" fontId="0" fillId="0" borderId="57" xfId="0" applyBorder="1"/>
    <xf numFmtId="2" fontId="3" fillId="9" borderId="17" xfId="0" applyNumberFormat="1" applyFont="1" applyFill="1" applyBorder="1"/>
    <xf numFmtId="1" fontId="0" fillId="0" borderId="74" xfId="0" applyNumberFormat="1" applyBorder="1"/>
    <xf numFmtId="0" fontId="0" fillId="2" borderId="3" xfId="0" applyFill="1" applyBorder="1" applyAlignment="1">
      <alignment horizontal="center" vertical="center"/>
    </xf>
    <xf numFmtId="171" fontId="0" fillId="0" borderId="0" xfId="1" applyNumberFormat="1" applyFont="1" applyFill="1" applyBorder="1"/>
    <xf numFmtId="0" fontId="4" fillId="9" borderId="19" xfId="0" applyFont="1" applyFill="1" applyBorder="1"/>
    <xf numFmtId="0" fontId="0" fillId="14" borderId="17" xfId="0" applyFill="1" applyBorder="1" applyAlignment="1">
      <alignment horizontal="center" vertical="center"/>
    </xf>
    <xf numFmtId="0" fontId="4" fillId="15" borderId="60" xfId="0" applyFont="1" applyFill="1" applyBorder="1" applyAlignment="1">
      <alignment horizontal="center" vertical="center" wrapText="1"/>
    </xf>
    <xf numFmtId="0" fontId="20" fillId="18" borderId="78" xfId="0" applyFont="1" applyFill="1" applyBorder="1" applyAlignment="1">
      <alignment horizontal="center"/>
    </xf>
    <xf numFmtId="0" fontId="6" fillId="20" borderId="79" xfId="0" applyFont="1" applyFill="1" applyBorder="1" applyAlignment="1">
      <alignment horizontal="center" shrinkToFit="1"/>
    </xf>
    <xf numFmtId="164" fontId="6" fillId="20" borderId="79" xfId="1" applyNumberFormat="1" applyFont="1" applyFill="1" applyBorder="1" applyAlignment="1">
      <alignment horizontal="center"/>
    </xf>
    <xf numFmtId="165" fontId="6" fillId="20" borderId="79" xfId="0" applyNumberFormat="1" applyFont="1" applyFill="1" applyBorder="1" applyAlignment="1">
      <alignment horizontal="center"/>
    </xf>
    <xf numFmtId="0" fontId="6" fillId="20" borderId="79" xfId="0" applyFont="1" applyFill="1" applyBorder="1" applyAlignment="1">
      <alignment horizontal="center"/>
    </xf>
    <xf numFmtId="167" fontId="6" fillId="20" borderId="79" xfId="1" applyNumberFormat="1" applyFont="1" applyFill="1" applyBorder="1" applyAlignment="1">
      <alignment horizontal="center"/>
    </xf>
    <xf numFmtId="0" fontId="20" fillId="19" borderId="79" xfId="0" applyFont="1" applyFill="1" applyBorder="1" applyAlignment="1">
      <alignment horizontal="center"/>
    </xf>
    <xf numFmtId="165" fontId="20" fillId="19" borderId="79" xfId="0" applyNumberFormat="1" applyFont="1" applyFill="1" applyBorder="1" applyAlignment="1">
      <alignment horizontal="center"/>
    </xf>
    <xf numFmtId="0" fontId="0" fillId="2" borderId="31" xfId="0" applyFill="1" applyBorder="1"/>
    <xf numFmtId="0" fontId="0" fillId="2" borderId="31" xfId="0" applyFill="1" applyBorder="1" applyAlignment="1">
      <alignment horizontal="right"/>
    </xf>
    <xf numFmtId="0" fontId="0" fillId="2" borderId="40" xfId="0" applyFill="1" applyBorder="1"/>
    <xf numFmtId="0" fontId="0" fillId="21" borderId="31" xfId="0" applyFill="1" applyBorder="1"/>
    <xf numFmtId="0" fontId="20" fillId="18" borderId="0" xfId="0" applyFont="1" applyFill="1" applyAlignment="1">
      <alignment horizontal="center"/>
    </xf>
    <xf numFmtId="0" fontId="20" fillId="22" borderId="0" xfId="0" applyFont="1" applyFill="1"/>
    <xf numFmtId="0" fontId="20" fillId="18" borderId="77" xfId="0" applyFont="1" applyFill="1" applyBorder="1"/>
    <xf numFmtId="0" fontId="20" fillId="18" borderId="78" xfId="0" applyFont="1" applyFill="1" applyBorder="1"/>
    <xf numFmtId="0" fontId="20" fillId="22" borderId="0" xfId="0" applyFont="1" applyFill="1" applyAlignment="1">
      <alignment horizontal="center"/>
    </xf>
    <xf numFmtId="0" fontId="20" fillId="19" borderId="80" xfId="0" applyFont="1" applyFill="1" applyBorder="1" applyAlignment="1">
      <alignment horizontal="center"/>
    </xf>
    <xf numFmtId="0" fontId="20" fillId="19" borderId="81" xfId="0" applyFont="1" applyFill="1" applyBorder="1" applyAlignment="1">
      <alignment horizontal="center"/>
    </xf>
    <xf numFmtId="0" fontId="21" fillId="20" borderId="80" xfId="0" applyFont="1" applyFill="1" applyBorder="1" applyAlignment="1">
      <alignment horizontal="center" shrinkToFit="1"/>
    </xf>
    <xf numFmtId="10" fontId="6" fillId="20" borderId="81" xfId="0" applyNumberFormat="1" applyFont="1" applyFill="1" applyBorder="1" applyAlignment="1">
      <alignment horizontal="center"/>
    </xf>
    <xf numFmtId="0" fontId="21" fillId="0" borderId="80" xfId="0" applyFont="1" applyBorder="1" applyAlignment="1">
      <alignment horizontal="center" shrinkToFit="1"/>
    </xf>
    <xf numFmtId="0" fontId="6" fillId="0" borderId="79" xfId="0" applyFont="1" applyBorder="1" applyAlignment="1">
      <alignment horizontal="center" shrinkToFit="1"/>
    </xf>
    <xf numFmtId="164" fontId="6" fillId="0" borderId="79" xfId="1" applyNumberFormat="1" applyFont="1" applyBorder="1" applyAlignment="1">
      <alignment horizontal="center"/>
    </xf>
    <xf numFmtId="165" fontId="6" fillId="0" borderId="79" xfId="0" applyNumberFormat="1" applyFont="1" applyBorder="1" applyAlignment="1">
      <alignment horizontal="center"/>
    </xf>
    <xf numFmtId="0" fontId="6" fillId="0" borderId="79" xfId="0" applyFont="1" applyBorder="1" applyAlignment="1">
      <alignment horizontal="center"/>
    </xf>
    <xf numFmtId="10" fontId="6" fillId="0" borderId="81" xfId="0" applyNumberFormat="1" applyFont="1" applyBorder="1" applyAlignment="1">
      <alignment horizontal="center"/>
    </xf>
    <xf numFmtId="167" fontId="6" fillId="0" borderId="79" xfId="1" applyNumberFormat="1" applyFont="1" applyBorder="1" applyAlignment="1">
      <alignment horizontal="center"/>
    </xf>
    <xf numFmtId="165" fontId="6" fillId="8" borderId="79" xfId="0" applyNumberFormat="1" applyFont="1" applyFill="1" applyBorder="1" applyAlignment="1">
      <alignment horizontal="center"/>
    </xf>
    <xf numFmtId="0" fontId="6" fillId="8" borderId="79" xfId="0" applyFont="1" applyFill="1" applyBorder="1" applyAlignment="1">
      <alignment horizontal="center"/>
    </xf>
    <xf numFmtId="10" fontId="6" fillId="8" borderId="81" xfId="0" applyNumberFormat="1" applyFont="1" applyFill="1" applyBorder="1" applyAlignment="1">
      <alignment horizontal="center"/>
    </xf>
    <xf numFmtId="0" fontId="22" fillId="23" borderId="41" xfId="0" applyFont="1" applyFill="1" applyBorder="1" applyAlignment="1">
      <alignment horizontal="center"/>
    </xf>
    <xf numFmtId="0" fontId="0" fillId="2" borderId="41" xfId="0" applyFill="1" applyBorder="1" applyAlignment="1">
      <alignment horizontal="center"/>
    </xf>
    <xf numFmtId="1" fontId="20" fillId="19" borderId="81" xfId="0" applyNumberFormat="1" applyFont="1" applyFill="1" applyBorder="1" applyAlignment="1">
      <alignment horizontal="center"/>
    </xf>
    <xf numFmtId="1" fontId="6" fillId="20" borderId="81" xfId="0" applyNumberFormat="1" applyFont="1" applyFill="1" applyBorder="1" applyAlignment="1">
      <alignment horizontal="center"/>
    </xf>
    <xf numFmtId="1" fontId="6" fillId="0" borderId="81" xfId="0" applyNumberFormat="1" applyFont="1" applyBorder="1" applyAlignment="1">
      <alignment horizontal="center"/>
    </xf>
    <xf numFmtId="1" fontId="6" fillId="8" borderId="81" xfId="0" applyNumberFormat="1" applyFont="1" applyFill="1" applyBorder="1" applyAlignment="1">
      <alignment horizontal="center"/>
    </xf>
    <xf numFmtId="1" fontId="20" fillId="22" borderId="0" xfId="0" applyNumberFormat="1" applyFont="1" applyFill="1" applyAlignment="1">
      <alignment horizontal="center"/>
    </xf>
    <xf numFmtId="0" fontId="23" fillId="0" borderId="0" xfId="0" applyFont="1" applyAlignment="1">
      <alignment horizontal="right" vertical="center"/>
    </xf>
    <xf numFmtId="44" fontId="0" fillId="0" borderId="0" xfId="3" applyFont="1" applyFill="1" applyBorder="1" applyAlignment="1" applyProtection="1">
      <alignment horizontal="center" vertical="center"/>
    </xf>
    <xf numFmtId="0" fontId="27" fillId="24" borderId="84" xfId="0" applyFont="1" applyFill="1" applyBorder="1" applyAlignment="1">
      <alignment horizontal="center" vertical="center" wrapText="1"/>
    </xf>
    <xf numFmtId="0" fontId="10" fillId="24" borderId="84" xfId="2" applyFill="1" applyBorder="1" applyAlignment="1">
      <alignment horizontal="center" vertical="center" wrapText="1"/>
    </xf>
    <xf numFmtId="0" fontId="28" fillId="0" borderId="0" xfId="0" applyFont="1"/>
    <xf numFmtId="0" fontId="28" fillId="0" borderId="0" xfId="0" applyFont="1" applyAlignment="1">
      <alignment vertical="center"/>
    </xf>
    <xf numFmtId="0" fontId="27" fillId="24" borderId="85" xfId="0" applyFont="1" applyFill="1" applyBorder="1" applyAlignment="1">
      <alignment horizontal="center" vertical="center"/>
    </xf>
    <xf numFmtId="0" fontId="27" fillId="0" borderId="0" xfId="0" applyFont="1" applyAlignment="1">
      <alignment horizontal="center" vertical="center"/>
    </xf>
    <xf numFmtId="176" fontId="0" fillId="0" borderId="0" xfId="3" applyNumberFormat="1" applyFont="1" applyFill="1" applyBorder="1" applyAlignment="1" applyProtection="1">
      <alignment horizontal="center" vertical="center"/>
    </xf>
    <xf numFmtId="177" fontId="0" fillId="0" borderId="0" xfId="3" applyNumberFormat="1" applyFont="1" applyFill="1" applyBorder="1" applyAlignment="1" applyProtection="1">
      <alignment horizontal="center" vertical="center"/>
    </xf>
    <xf numFmtId="179" fontId="0" fillId="0" borderId="0" xfId="3" applyNumberFormat="1" applyFont="1" applyFill="1" applyBorder="1" applyAlignment="1" applyProtection="1">
      <alignment horizontal="center" vertical="center"/>
    </xf>
    <xf numFmtId="0" fontId="18" fillId="5" borderId="20" xfId="0" applyFont="1" applyFill="1" applyBorder="1" applyAlignment="1">
      <alignment vertical="center"/>
    </xf>
    <xf numFmtId="0" fontId="18" fillId="5" borderId="83" xfId="0" applyFont="1" applyFill="1" applyBorder="1" applyAlignment="1">
      <alignment vertical="center"/>
    </xf>
    <xf numFmtId="0" fontId="18" fillId="5" borderId="37" xfId="0" applyFont="1" applyFill="1" applyBorder="1" applyAlignment="1">
      <alignment vertical="center"/>
    </xf>
    <xf numFmtId="44" fontId="0" fillId="0" borderId="0" xfId="3" applyFont="1" applyFill="1" applyBorder="1" applyAlignment="1" applyProtection="1">
      <alignment horizontal="center" vertical="center" wrapText="1"/>
    </xf>
    <xf numFmtId="176" fontId="0" fillId="0" borderId="0" xfId="3" applyNumberFormat="1" applyFont="1" applyFill="1" applyBorder="1" applyAlignment="1" applyProtection="1">
      <alignment horizontal="center" vertical="center" wrapText="1"/>
    </xf>
    <xf numFmtId="177" fontId="0" fillId="0" borderId="0" xfId="3" applyNumberFormat="1" applyFont="1" applyFill="1" applyBorder="1" applyAlignment="1" applyProtection="1">
      <alignment horizontal="center" vertical="center" wrapText="1"/>
    </xf>
    <xf numFmtId="44" fontId="0" fillId="0" borderId="0" xfId="3" applyFont="1" applyBorder="1" applyAlignment="1" applyProtection="1">
      <alignment horizontal="center" vertical="center"/>
    </xf>
    <xf numFmtId="177" fontId="0" fillId="0" borderId="0" xfId="3" applyNumberFormat="1" applyFont="1" applyFill="1" applyBorder="1" applyAlignment="1" applyProtection="1">
      <alignment horizontal="right" vertical="center"/>
    </xf>
    <xf numFmtId="0" fontId="0" fillId="25" borderId="0" xfId="0" applyFill="1"/>
    <xf numFmtId="176" fontId="0" fillId="0" borderId="0" xfId="3" applyNumberFormat="1" applyFont="1" applyAlignment="1" applyProtection="1">
      <alignment horizontal="center" vertical="center"/>
    </xf>
    <xf numFmtId="1" fontId="0" fillId="0" borderId="45" xfId="0" applyNumberFormat="1" applyBorder="1" applyAlignment="1">
      <alignment horizontal="center" vertical="center"/>
    </xf>
    <xf numFmtId="1" fontId="0" fillId="0" borderId="46" xfId="0" applyNumberFormat="1" applyBorder="1" applyAlignment="1">
      <alignment horizontal="center" vertical="center"/>
    </xf>
    <xf numFmtId="1" fontId="0" fillId="10" borderId="54" xfId="0" applyNumberFormat="1" applyFill="1" applyBorder="1" applyAlignment="1">
      <alignment horizontal="center" vertical="center"/>
    </xf>
    <xf numFmtId="9" fontId="0" fillId="0" borderId="75" xfId="1" applyFont="1" applyBorder="1" applyAlignment="1">
      <alignment horizontal="center" vertical="center"/>
    </xf>
    <xf numFmtId="9" fontId="0" fillId="10" borderId="73" xfId="1" applyFont="1" applyFill="1" applyBorder="1" applyAlignment="1">
      <alignment horizontal="center" vertical="center"/>
    </xf>
    <xf numFmtId="9" fontId="0" fillId="0" borderId="50" xfId="1" applyFont="1" applyBorder="1" applyAlignment="1">
      <alignment horizontal="center" vertical="center"/>
    </xf>
    <xf numFmtId="9" fontId="0" fillId="0" borderId="28" xfId="1" applyFont="1" applyBorder="1" applyAlignment="1">
      <alignment horizontal="center" vertical="center"/>
    </xf>
    <xf numFmtId="9" fontId="0" fillId="0" borderId="30" xfId="1" applyFont="1" applyBorder="1" applyAlignment="1">
      <alignment horizontal="center" vertical="center"/>
    </xf>
    <xf numFmtId="9" fontId="0" fillId="10" borderId="55" xfId="1" applyFont="1" applyFill="1" applyBorder="1" applyAlignment="1">
      <alignment horizontal="center" vertical="center"/>
    </xf>
    <xf numFmtId="9" fontId="0" fillId="0" borderId="27" xfId="1" applyFont="1" applyBorder="1" applyAlignment="1">
      <alignment horizontal="center" vertical="center"/>
    </xf>
    <xf numFmtId="0" fontId="0" fillId="26" borderId="0" xfId="0" applyFill="1" applyAlignment="1">
      <alignment horizontal="center"/>
    </xf>
    <xf numFmtId="9" fontId="0" fillId="26" borderId="49" xfId="0" applyNumberFormat="1" applyFill="1" applyBorder="1" applyAlignment="1">
      <alignment horizontal="center"/>
    </xf>
    <xf numFmtId="9" fontId="0" fillId="26" borderId="46" xfId="0" applyNumberFormat="1" applyFill="1" applyBorder="1" applyAlignment="1">
      <alignment horizontal="center"/>
    </xf>
    <xf numFmtId="9" fontId="0" fillId="26" borderId="0" xfId="0" applyNumberFormat="1" applyFill="1" applyAlignment="1">
      <alignment horizontal="center"/>
    </xf>
    <xf numFmtId="0" fontId="0" fillId="0" borderId="83" xfId="0" applyBorder="1" applyAlignment="1">
      <alignment horizontal="center" wrapText="1"/>
    </xf>
    <xf numFmtId="0" fontId="0" fillId="0" borderId="17" xfId="0" applyBorder="1" applyAlignment="1">
      <alignment horizontal="center" wrapText="1"/>
    </xf>
    <xf numFmtId="0" fontId="0" fillId="0" borderId="37" xfId="0" applyBorder="1" applyAlignment="1">
      <alignment horizontal="center" wrapText="1"/>
    </xf>
    <xf numFmtId="0" fontId="0" fillId="0" borderId="0" xfId="0" applyAlignment="1">
      <alignment horizontal="center" wrapText="1"/>
    </xf>
    <xf numFmtId="9" fontId="0" fillId="0" borderId="0" xfId="1" applyFont="1" applyBorder="1" applyAlignment="1">
      <alignment horizontal="center"/>
    </xf>
    <xf numFmtId="9" fontId="0" fillId="0" borderId="19" xfId="1" applyFont="1" applyBorder="1" applyAlignment="1">
      <alignment horizontal="center" wrapText="1"/>
    </xf>
    <xf numFmtId="9" fontId="0" fillId="0" borderId="22" xfId="1" applyFont="1" applyBorder="1" applyAlignment="1">
      <alignment horizontal="center" wrapText="1"/>
    </xf>
    <xf numFmtId="1" fontId="0" fillId="0" borderId="0" xfId="1" applyNumberFormat="1" applyFont="1" applyBorder="1" applyAlignment="1">
      <alignment horizontal="center" wrapText="1"/>
    </xf>
    <xf numFmtId="9" fontId="0" fillId="0" borderId="0" xfId="1" applyFont="1" applyBorder="1" applyAlignment="1">
      <alignment horizontal="center" wrapText="1"/>
    </xf>
    <xf numFmtId="3" fontId="0" fillId="0" borderId="86" xfId="0" applyNumberFormat="1" applyBorder="1" applyAlignment="1">
      <alignment horizontal="center"/>
    </xf>
    <xf numFmtId="3" fontId="0" fillId="0" borderId="24" xfId="0" applyNumberFormat="1" applyBorder="1" applyAlignment="1">
      <alignment horizontal="center"/>
    </xf>
    <xf numFmtId="3" fontId="0" fillId="0" borderId="75" xfId="0" applyNumberFormat="1" applyBorder="1" applyAlignment="1">
      <alignment horizontal="center"/>
    </xf>
    <xf numFmtId="3" fontId="0" fillId="0" borderId="0" xfId="1" applyNumberFormat="1" applyFont="1" applyBorder="1" applyAlignment="1">
      <alignment horizontal="center"/>
    </xf>
    <xf numFmtId="1" fontId="0" fillId="0" borderId="19" xfId="1" applyNumberFormat="1" applyFont="1" applyBorder="1" applyAlignment="1">
      <alignment horizontal="center"/>
    </xf>
    <xf numFmtId="1" fontId="0" fillId="0" borderId="22" xfId="1" applyNumberFormat="1" applyFont="1" applyBorder="1" applyAlignment="1">
      <alignment horizontal="center"/>
    </xf>
    <xf numFmtId="1" fontId="0" fillId="0" borderId="0" xfId="1" applyNumberFormat="1" applyFont="1" applyBorder="1" applyAlignment="1">
      <alignment horizontal="center"/>
    </xf>
    <xf numFmtId="3" fontId="0" fillId="0" borderId="38" xfId="0" applyNumberFormat="1" applyBorder="1"/>
    <xf numFmtId="3" fontId="0" fillId="0" borderId="86" xfId="0" applyNumberFormat="1" applyBorder="1"/>
    <xf numFmtId="3" fontId="0" fillId="0" borderId="75" xfId="0" applyNumberFormat="1" applyBorder="1"/>
    <xf numFmtId="0" fontId="0" fillId="0" borderId="82" xfId="0" applyBorder="1"/>
    <xf numFmtId="3" fontId="0" fillId="0" borderId="0" xfId="0" applyNumberFormat="1" applyAlignment="1">
      <alignment horizontal="center"/>
    </xf>
    <xf numFmtId="3" fontId="0" fillId="0" borderId="82" xfId="0" applyNumberFormat="1" applyBorder="1" applyAlignment="1">
      <alignment horizontal="center"/>
    </xf>
    <xf numFmtId="3" fontId="0" fillId="0" borderId="87" xfId="0" applyNumberFormat="1" applyBorder="1" applyAlignment="1">
      <alignment horizontal="center"/>
    </xf>
    <xf numFmtId="3" fontId="0" fillId="0" borderId="74" xfId="0" applyNumberFormat="1" applyBorder="1"/>
    <xf numFmtId="3" fontId="0" fillId="0" borderId="0" xfId="0" applyNumberFormat="1"/>
    <xf numFmtId="3" fontId="0" fillId="0" borderId="87" xfId="0" applyNumberFormat="1" applyBorder="1"/>
    <xf numFmtId="3" fontId="0" fillId="0" borderId="67" xfId="0" applyNumberFormat="1" applyBorder="1" applyAlignment="1">
      <alignment horizontal="center"/>
    </xf>
    <xf numFmtId="3" fontId="0" fillId="0" borderId="16" xfId="0" applyNumberFormat="1" applyBorder="1" applyAlignment="1">
      <alignment horizontal="center"/>
    </xf>
    <xf numFmtId="3" fontId="0" fillId="0" borderId="51" xfId="0" applyNumberFormat="1" applyBorder="1" applyAlignment="1">
      <alignment horizontal="center"/>
    </xf>
    <xf numFmtId="1" fontId="0" fillId="0" borderId="27" xfId="1" applyNumberFormat="1" applyFont="1" applyBorder="1" applyAlignment="1">
      <alignment horizontal="center"/>
    </xf>
    <xf numFmtId="1" fontId="0" fillId="0" borderId="30" xfId="1" applyNumberFormat="1" applyFont="1" applyBorder="1" applyAlignment="1">
      <alignment horizontal="center"/>
    </xf>
    <xf numFmtId="3" fontId="0" fillId="0" borderId="21" xfId="0" applyNumberFormat="1" applyBorder="1"/>
    <xf numFmtId="3" fontId="0" fillId="0" borderId="67" xfId="0" applyNumberFormat="1" applyBorder="1"/>
    <xf numFmtId="3" fontId="0" fillId="0" borderId="51" xfId="0" applyNumberFormat="1" applyBorder="1"/>
    <xf numFmtId="9" fontId="0" fillId="27" borderId="4" xfId="1" applyFont="1" applyFill="1" applyBorder="1" applyAlignment="1">
      <alignment horizontal="center"/>
    </xf>
    <xf numFmtId="9" fontId="0" fillId="27" borderId="0" xfId="1" applyFont="1" applyFill="1" applyBorder="1" applyAlignment="1">
      <alignment horizontal="center"/>
    </xf>
    <xf numFmtId="9" fontId="0" fillId="27" borderId="5" xfId="1" applyFont="1" applyFill="1" applyBorder="1" applyAlignment="1">
      <alignment horizontal="center"/>
    </xf>
    <xf numFmtId="9" fontId="0" fillId="27" borderId="6" xfId="1" applyFont="1" applyFill="1" applyBorder="1" applyAlignment="1">
      <alignment horizontal="center"/>
    </xf>
    <xf numFmtId="9" fontId="0" fillId="27" borderId="8" xfId="1" applyFont="1" applyFill="1" applyBorder="1" applyAlignment="1">
      <alignment horizontal="center"/>
    </xf>
    <xf numFmtId="9" fontId="0" fillId="27" borderId="7" xfId="1" applyFont="1" applyFill="1" applyBorder="1" applyAlignment="1">
      <alignment horizontal="center"/>
    </xf>
    <xf numFmtId="0" fontId="0" fillId="27" borderId="31" xfId="0" applyFill="1" applyBorder="1" applyAlignment="1">
      <alignment horizontal="center" wrapText="1"/>
    </xf>
    <xf numFmtId="0" fontId="0" fillId="27" borderId="40" xfId="0" applyFill="1" applyBorder="1" applyAlignment="1">
      <alignment horizontal="center" wrapText="1"/>
    </xf>
    <xf numFmtId="0" fontId="0" fillId="27" borderId="41" xfId="0" applyFill="1" applyBorder="1" applyAlignment="1">
      <alignment horizontal="center" wrapText="1"/>
    </xf>
    <xf numFmtId="164" fontId="0" fillId="0" borderId="46" xfId="0" applyNumberFormat="1" applyBorder="1"/>
    <xf numFmtId="164" fontId="0" fillId="0" borderId="22" xfId="0" applyNumberFormat="1" applyBorder="1"/>
    <xf numFmtId="164" fontId="0" fillId="0" borderId="30" xfId="0" applyNumberFormat="1" applyBorder="1"/>
    <xf numFmtId="0" fontId="0" fillId="28" borderId="42" xfId="0" applyFill="1" applyBorder="1"/>
    <xf numFmtId="0" fontId="0" fillId="16" borderId="1" xfId="0" applyFill="1" applyBorder="1"/>
    <xf numFmtId="0" fontId="0" fillId="16" borderId="3" xfId="0" applyFill="1" applyBorder="1"/>
    <xf numFmtId="0" fontId="0" fillId="16" borderId="2" xfId="0" applyFill="1" applyBorder="1"/>
    <xf numFmtId="0" fontId="0" fillId="16" borderId="4" xfId="0" applyFill="1" applyBorder="1"/>
    <xf numFmtId="0" fontId="0" fillId="16" borderId="0" xfId="0" applyFill="1"/>
    <xf numFmtId="9" fontId="0" fillId="16" borderId="0" xfId="0" applyNumberFormat="1" applyFill="1"/>
    <xf numFmtId="9" fontId="0" fillId="16" borderId="5" xfId="0" applyNumberFormat="1" applyFill="1" applyBorder="1"/>
    <xf numFmtId="1" fontId="0" fillId="16" borderId="0" xfId="0" applyNumberFormat="1" applyFill="1"/>
    <xf numFmtId="0" fontId="0" fillId="16" borderId="0" xfId="0" applyFill="1" applyAlignment="1">
      <alignment horizontal="right"/>
    </xf>
    <xf numFmtId="167" fontId="0" fillId="16" borderId="0" xfId="1" applyNumberFormat="1" applyFont="1" applyFill="1" applyBorder="1"/>
    <xf numFmtId="9" fontId="0" fillId="16" borderId="5" xfId="1" applyFont="1" applyFill="1" applyBorder="1"/>
    <xf numFmtId="0" fontId="0" fillId="16" borderId="6" xfId="0" applyFill="1" applyBorder="1"/>
    <xf numFmtId="0" fontId="0" fillId="16" borderId="8" xfId="0" applyFill="1" applyBorder="1"/>
    <xf numFmtId="9" fontId="0" fillId="16" borderId="8" xfId="1" applyFont="1" applyFill="1" applyBorder="1"/>
    <xf numFmtId="9" fontId="0" fillId="16" borderId="7" xfId="1" applyFont="1" applyFill="1" applyBorder="1"/>
    <xf numFmtId="0" fontId="0" fillId="16" borderId="3" xfId="0" applyFill="1" applyBorder="1" applyAlignment="1">
      <alignment wrapText="1"/>
    </xf>
    <xf numFmtId="2" fontId="0" fillId="16" borderId="2" xfId="0" applyNumberFormat="1" applyFill="1" applyBorder="1"/>
    <xf numFmtId="2" fontId="0" fillId="16" borderId="5" xfId="0" applyNumberFormat="1" applyFill="1" applyBorder="1"/>
    <xf numFmtId="2" fontId="0" fillId="16" borderId="7" xfId="0" applyNumberFormat="1" applyFill="1" applyBorder="1"/>
    <xf numFmtId="0" fontId="0" fillId="8" borderId="1" xfId="0" applyFill="1" applyBorder="1"/>
    <xf numFmtId="0" fontId="0" fillId="8" borderId="3" xfId="0" applyFill="1" applyBorder="1"/>
    <xf numFmtId="0" fontId="0" fillId="8" borderId="2" xfId="0" applyFill="1" applyBorder="1"/>
    <xf numFmtId="9" fontId="0" fillId="8" borderId="6" xfId="0" applyNumberFormat="1" applyFill="1" applyBorder="1"/>
    <xf numFmtId="0" fontId="0" fillId="8" borderId="8" xfId="0" applyFill="1" applyBorder="1"/>
    <xf numFmtId="0" fontId="0" fillId="8" borderId="7" xfId="0" applyFill="1" applyBorder="1"/>
    <xf numFmtId="2" fontId="0" fillId="0" borderId="50" xfId="0" applyNumberFormat="1" applyBorder="1"/>
    <xf numFmtId="0" fontId="0" fillId="0" borderId="43" xfId="0" applyBorder="1"/>
    <xf numFmtId="0" fontId="1" fillId="0" borderId="0" xfId="5"/>
    <xf numFmtId="0" fontId="1" fillId="0" borderId="0" xfId="5" applyProtection="1">
      <protection locked="0"/>
    </xf>
    <xf numFmtId="0" fontId="2" fillId="0" borderId="42" xfId="5" applyFont="1" applyBorder="1" applyAlignment="1" applyProtection="1">
      <alignment horizontal="center"/>
      <protection locked="0"/>
    </xf>
    <xf numFmtId="0" fontId="2" fillId="0" borderId="2" xfId="5" applyFont="1" applyBorder="1" applyAlignment="1" applyProtection="1">
      <alignment horizontal="center"/>
      <protection locked="0"/>
    </xf>
    <xf numFmtId="0" fontId="1" fillId="0" borderId="59" xfId="5" applyBorder="1" applyAlignment="1" applyProtection="1">
      <alignment horizontal="center"/>
      <protection locked="0"/>
    </xf>
    <xf numFmtId="0" fontId="6" fillId="0" borderId="43" xfId="0" applyFont="1" applyBorder="1" applyAlignment="1" applyProtection="1">
      <alignment horizontal="left"/>
      <protection locked="0"/>
    </xf>
    <xf numFmtId="0" fontId="1" fillId="0" borderId="36" xfId="5" applyBorder="1" applyAlignment="1" applyProtection="1">
      <alignment horizontal="center"/>
      <protection locked="0"/>
    </xf>
    <xf numFmtId="0" fontId="6" fillId="0" borderId="57" xfId="0" applyFont="1" applyBorder="1" applyAlignment="1" applyProtection="1">
      <alignment horizontal="left"/>
      <protection locked="0"/>
    </xf>
    <xf numFmtId="0" fontId="1" fillId="29" borderId="1" xfId="5" applyFill="1" applyBorder="1" applyProtection="1">
      <protection locked="0"/>
    </xf>
    <xf numFmtId="0" fontId="1" fillId="29" borderId="3" xfId="5" applyFill="1" applyBorder="1" applyProtection="1">
      <protection locked="0"/>
    </xf>
    <xf numFmtId="0" fontId="1" fillId="29" borderId="2" xfId="5" applyFill="1" applyBorder="1" applyProtection="1">
      <protection locked="0"/>
    </xf>
    <xf numFmtId="0" fontId="1" fillId="0" borderId="36" xfId="5" applyBorder="1" applyAlignment="1">
      <alignment horizontal="center"/>
    </xf>
    <xf numFmtId="0" fontId="1" fillId="29" borderId="4" xfId="5" applyFill="1" applyBorder="1" applyProtection="1">
      <protection locked="0"/>
    </xf>
    <xf numFmtId="0" fontId="1" fillId="29" borderId="0" xfId="5" applyFill="1" applyProtection="1">
      <protection locked="0"/>
    </xf>
    <xf numFmtId="0" fontId="1" fillId="29" borderId="5" xfId="5" applyFill="1" applyBorder="1" applyProtection="1">
      <protection locked="0"/>
    </xf>
    <xf numFmtId="0" fontId="1" fillId="29" borderId="6" xfId="5" applyFill="1" applyBorder="1" applyProtection="1">
      <protection locked="0"/>
    </xf>
    <xf numFmtId="0" fontId="1" fillId="29" borderId="8" xfId="5" applyFill="1" applyBorder="1" applyProtection="1">
      <protection locked="0"/>
    </xf>
    <xf numFmtId="0" fontId="1" fillId="29" borderId="7" xfId="5" applyFill="1" applyBorder="1" applyProtection="1">
      <protection locked="0"/>
    </xf>
    <xf numFmtId="9" fontId="0" fillId="30" borderId="0" xfId="0" applyNumberFormat="1" applyFill="1"/>
    <xf numFmtId="0" fontId="6" fillId="31" borderId="0" xfId="0" applyFont="1" applyFill="1"/>
    <xf numFmtId="0" fontId="0" fillId="0" borderId="17" xfId="0" applyBorder="1" applyAlignment="1">
      <alignment horizontal="center"/>
    </xf>
    <xf numFmtId="0" fontId="0" fillId="0" borderId="0" xfId="0" applyAlignment="1">
      <alignment horizontal="left"/>
    </xf>
    <xf numFmtId="165" fontId="0" fillId="16" borderId="24" xfId="0" applyNumberFormat="1" applyFill="1" applyBorder="1"/>
    <xf numFmtId="165" fontId="0" fillId="16" borderId="38" xfId="0" applyNumberFormat="1" applyFill="1" applyBorder="1"/>
    <xf numFmtId="9" fontId="7" fillId="0" borderId="0" xfId="1" applyFont="1" applyBorder="1"/>
    <xf numFmtId="0" fontId="20" fillId="33" borderId="88" xfId="0" applyFont="1" applyFill="1" applyBorder="1"/>
    <xf numFmtId="0" fontId="2" fillId="34" borderId="31" xfId="0" applyFont="1" applyFill="1" applyBorder="1"/>
    <xf numFmtId="0" fontId="2" fillId="34" borderId="40" xfId="0" applyFont="1" applyFill="1" applyBorder="1"/>
    <xf numFmtId="0" fontId="2" fillId="34" borderId="41" xfId="0" applyFont="1" applyFill="1" applyBorder="1"/>
    <xf numFmtId="0" fontId="0" fillId="2" borderId="40" xfId="0" applyFill="1" applyBorder="1" applyAlignment="1">
      <alignment horizontal="left"/>
    </xf>
    <xf numFmtId="0" fontId="2" fillId="21" borderId="41" xfId="0" applyFont="1" applyFill="1" applyBorder="1"/>
    <xf numFmtId="0" fontId="0" fillId="13" borderId="31" xfId="0" applyFill="1" applyBorder="1" applyAlignment="1">
      <alignment horizontal="right"/>
    </xf>
    <xf numFmtId="0" fontId="0" fillId="13" borderId="41" xfId="0" applyFill="1" applyBorder="1" applyAlignment="1">
      <alignment horizontal="center" vertical="center"/>
    </xf>
    <xf numFmtId="0" fontId="2" fillId="2" borderId="1" xfId="0" applyFont="1" applyFill="1" applyBorder="1"/>
    <xf numFmtId="0" fontId="2" fillId="2" borderId="3" xfId="0" applyFont="1" applyFill="1" applyBorder="1"/>
    <xf numFmtId="0" fontId="2" fillId="2" borderId="3" xfId="0" applyFont="1" applyFill="1" applyBorder="1" applyAlignment="1">
      <alignment horizontal="center"/>
    </xf>
    <xf numFmtId="0" fontId="2" fillId="2" borderId="2" xfId="0" applyFont="1" applyFill="1" applyBorder="1"/>
    <xf numFmtId="166" fontId="2" fillId="2" borderId="4" xfId="0" applyNumberFormat="1" applyFont="1" applyFill="1" applyBorder="1" applyAlignment="1">
      <alignment horizontal="left" vertical="center"/>
    </xf>
    <xf numFmtId="166" fontId="2" fillId="2" borderId="0" xfId="0" applyNumberFormat="1" applyFont="1" applyFill="1" applyAlignment="1">
      <alignment horizontal="center" vertical="center"/>
    </xf>
    <xf numFmtId="166" fontId="2" fillId="31" borderId="0" xfId="0" applyNumberFormat="1" applyFont="1" applyFill="1" applyAlignment="1">
      <alignment horizontal="center" vertical="center"/>
    </xf>
    <xf numFmtId="166" fontId="2" fillId="31" borderId="5" xfId="0" applyNumberFormat="1" applyFont="1" applyFill="1" applyBorder="1" applyAlignment="1">
      <alignment horizontal="center" vertical="center"/>
    </xf>
    <xf numFmtId="0" fontId="31" fillId="18" borderId="0" xfId="0" applyFont="1" applyFill="1" applyAlignment="1">
      <alignment horizontal="center"/>
    </xf>
    <xf numFmtId="2" fontId="31" fillId="18" borderId="0" xfId="0" applyNumberFormat="1" applyFont="1" applyFill="1" applyAlignment="1">
      <alignment horizontal="center"/>
    </xf>
    <xf numFmtId="165" fontId="31" fillId="18" borderId="0" xfId="0" applyNumberFormat="1" applyFont="1" applyFill="1" applyAlignment="1">
      <alignment horizontal="center"/>
    </xf>
    <xf numFmtId="165" fontId="7" fillId="2" borderId="41" xfId="0" applyNumberFormat="1" applyFont="1" applyFill="1" applyBorder="1" applyAlignment="1">
      <alignment horizontal="center" vertical="center"/>
    </xf>
    <xf numFmtId="0" fontId="0" fillId="2" borderId="6" xfId="0" applyFill="1" applyBorder="1"/>
    <xf numFmtId="1" fontId="0" fillId="2" borderId="7" xfId="0" applyNumberFormat="1" applyFill="1" applyBorder="1"/>
    <xf numFmtId="0" fontId="0" fillId="13" borderId="40" xfId="0" applyFill="1" applyBorder="1" applyAlignment="1">
      <alignment horizontal="right"/>
    </xf>
    <xf numFmtId="164" fontId="2" fillId="31" borderId="0" xfId="0" applyNumberFormat="1" applyFont="1" applyFill="1" applyAlignment="1">
      <alignment horizontal="center" vertical="center"/>
    </xf>
    <xf numFmtId="0" fontId="0" fillId="34" borderId="53" xfId="0" applyFill="1" applyBorder="1" applyAlignment="1">
      <alignment horizontal="left"/>
    </xf>
    <xf numFmtId="0" fontId="0" fillId="34" borderId="68" xfId="0" applyFill="1" applyBorder="1" applyAlignment="1">
      <alignment horizontal="left"/>
    </xf>
    <xf numFmtId="0" fontId="0" fillId="34" borderId="54" xfId="0" applyFill="1" applyBorder="1" applyAlignment="1">
      <alignment horizontal="left"/>
    </xf>
    <xf numFmtId="0" fontId="0" fillId="13" borderId="31" xfId="0" applyFill="1" applyBorder="1"/>
    <xf numFmtId="0" fontId="0" fillId="2" borderId="36" xfId="0" applyFill="1" applyBorder="1"/>
    <xf numFmtId="0" fontId="0" fillId="2" borderId="83" xfId="0" applyFill="1" applyBorder="1"/>
    <xf numFmtId="0" fontId="13" fillId="2" borderId="22" xfId="0" applyFont="1" applyFill="1" applyBorder="1"/>
    <xf numFmtId="0" fontId="32" fillId="0" borderId="0" xfId="0" applyFont="1"/>
    <xf numFmtId="2" fontId="0" fillId="13" borderId="40" xfId="0" applyNumberFormat="1" applyFill="1" applyBorder="1" applyAlignment="1">
      <alignment horizontal="left"/>
    </xf>
    <xf numFmtId="2" fontId="0" fillId="13" borderId="41" xfId="0" applyNumberFormat="1" applyFill="1" applyBorder="1" applyAlignment="1">
      <alignment horizontal="left"/>
    </xf>
    <xf numFmtId="1" fontId="13" fillId="2" borderId="22" xfId="0" applyNumberFormat="1" applyFont="1" applyFill="1" applyBorder="1"/>
    <xf numFmtId="0" fontId="32" fillId="0" borderId="0" xfId="0" applyFont="1" applyAlignment="1">
      <alignment horizontal="center" vertical="center"/>
    </xf>
    <xf numFmtId="0" fontId="6" fillId="13" borderId="31" xfId="0" applyFont="1" applyFill="1" applyBorder="1" applyAlignment="1">
      <alignment horizontal="right"/>
    </xf>
    <xf numFmtId="0" fontId="0" fillId="13" borderId="32" xfId="0" applyFill="1" applyBorder="1" applyAlignment="1">
      <alignment horizontal="right"/>
    </xf>
    <xf numFmtId="0" fontId="0" fillId="13" borderId="13" xfId="0" applyFill="1" applyBorder="1" applyAlignment="1">
      <alignment horizontal="right"/>
    </xf>
    <xf numFmtId="0" fontId="6" fillId="13" borderId="40" xfId="0" applyFont="1" applyFill="1" applyBorder="1" applyAlignment="1">
      <alignment horizontal="center"/>
    </xf>
    <xf numFmtId="0" fontId="0" fillId="13" borderId="41" xfId="0" applyFill="1" applyBorder="1"/>
    <xf numFmtId="166" fontId="2" fillId="2" borderId="31" xfId="0" applyNumberFormat="1" applyFont="1" applyFill="1" applyBorder="1" applyAlignment="1">
      <alignment horizontal="left" vertical="center"/>
    </xf>
    <xf numFmtId="166" fontId="2" fillId="2" borderId="40" xfId="0" applyNumberFormat="1" applyFont="1" applyFill="1" applyBorder="1" applyAlignment="1">
      <alignment horizontal="center" vertical="center"/>
    </xf>
    <xf numFmtId="166" fontId="2" fillId="31" borderId="40" xfId="0" applyNumberFormat="1" applyFont="1" applyFill="1" applyBorder="1" applyAlignment="1">
      <alignment horizontal="center" vertical="center"/>
    </xf>
    <xf numFmtId="164" fontId="2" fillId="31" borderId="40" xfId="0" applyNumberFormat="1" applyFont="1" applyFill="1" applyBorder="1" applyAlignment="1">
      <alignment horizontal="center" vertical="center"/>
    </xf>
    <xf numFmtId="166" fontId="2" fillId="31" borderId="41" xfId="0" applyNumberFormat="1" applyFont="1" applyFill="1" applyBorder="1" applyAlignment="1">
      <alignment horizontal="center" vertical="center"/>
    </xf>
    <xf numFmtId="0" fontId="32" fillId="0" borderId="0" xfId="0" applyFont="1" applyAlignment="1">
      <alignment horizontal="center"/>
    </xf>
    <xf numFmtId="0" fontId="0" fillId="36" borderId="41" xfId="0" applyFill="1" applyBorder="1" applyAlignment="1">
      <alignment horizontal="center"/>
    </xf>
    <xf numFmtId="0" fontId="2" fillId="2" borderId="40" xfId="0" applyFont="1" applyFill="1" applyBorder="1"/>
    <xf numFmtId="0" fontId="2" fillId="31" borderId="40" xfId="0" applyFont="1" applyFill="1" applyBorder="1"/>
    <xf numFmtId="166" fontId="2" fillId="31" borderId="40" xfId="0" applyNumberFormat="1" applyFont="1" applyFill="1" applyBorder="1" applyAlignment="1">
      <alignment horizontal="center"/>
    </xf>
    <xf numFmtId="0" fontId="2" fillId="31" borderId="41" xfId="0" applyFont="1" applyFill="1" applyBorder="1"/>
    <xf numFmtId="0" fontId="0" fillId="2" borderId="39" xfId="0" applyFill="1" applyBorder="1"/>
    <xf numFmtId="0" fontId="0" fillId="2" borderId="72" xfId="0" applyFill="1" applyBorder="1"/>
    <xf numFmtId="0" fontId="13" fillId="2" borderId="30" xfId="0" applyFont="1" applyFill="1" applyBorder="1"/>
    <xf numFmtId="0" fontId="2" fillId="2" borderId="6" xfId="0" applyFont="1" applyFill="1" applyBorder="1"/>
    <xf numFmtId="0" fontId="2" fillId="2" borderId="8" xfId="0" applyFont="1" applyFill="1" applyBorder="1"/>
    <xf numFmtId="1" fontId="14" fillId="2" borderId="7" xfId="0" applyNumberFormat="1" applyFont="1" applyFill="1" applyBorder="1"/>
    <xf numFmtId="0" fontId="0" fillId="8" borderId="40" xfId="0" applyFill="1" applyBorder="1"/>
    <xf numFmtId="0" fontId="22" fillId="23" borderId="3" xfId="0" applyFont="1" applyFill="1" applyBorder="1" applyAlignment="1">
      <alignment horizontal="center" vertical="center"/>
    </xf>
    <xf numFmtId="0" fontId="20" fillId="13" borderId="1" xfId="0" applyFont="1" applyFill="1" applyBorder="1" applyAlignment="1">
      <alignment horizontal="center"/>
    </xf>
    <xf numFmtId="0" fontId="20" fillId="13" borderId="3" xfId="0" applyFont="1" applyFill="1" applyBorder="1" applyAlignment="1">
      <alignment horizontal="center"/>
    </xf>
    <xf numFmtId="0" fontId="22" fillId="23" borderId="0" xfId="0" applyFont="1" applyFill="1" applyAlignment="1">
      <alignment horizontal="center" vertical="center"/>
    </xf>
    <xf numFmtId="0" fontId="0" fillId="13" borderId="4" xfId="0" applyFill="1" applyBorder="1" applyAlignment="1">
      <alignment horizontal="right"/>
    </xf>
    <xf numFmtId="0" fontId="0" fillId="23" borderId="0" xfId="0" applyFill="1"/>
    <xf numFmtId="0" fontId="0" fillId="23" borderId="5" xfId="0" applyFill="1" applyBorder="1"/>
    <xf numFmtId="0" fontId="6" fillId="13" borderId="0" xfId="0" applyFont="1" applyFill="1" applyAlignment="1">
      <alignment horizontal="center" vertical="center"/>
    </xf>
    <xf numFmtId="0" fontId="0" fillId="13" borderId="1" xfId="0" applyFill="1" applyBorder="1" applyAlignment="1">
      <alignment horizontal="right"/>
    </xf>
    <xf numFmtId="0" fontId="22" fillId="23" borderId="3" xfId="0" applyFont="1" applyFill="1" applyBorder="1"/>
    <xf numFmtId="0" fontId="0" fillId="25" borderId="3" xfId="0" applyFill="1" applyBorder="1"/>
    <xf numFmtId="0" fontId="0" fillId="25" borderId="2" xfId="0" applyFill="1" applyBorder="1"/>
    <xf numFmtId="1" fontId="6" fillId="13" borderId="0" xfId="0" applyNumberFormat="1" applyFont="1" applyFill="1" applyAlignment="1">
      <alignment horizontal="center" vertical="center"/>
    </xf>
    <xf numFmtId="0" fontId="22" fillId="23" borderId="0" xfId="0" applyFont="1" applyFill="1"/>
    <xf numFmtId="0" fontId="0" fillId="25" borderId="5" xfId="0" applyFill="1" applyBorder="1"/>
    <xf numFmtId="164" fontId="22" fillId="36" borderId="0" xfId="0" applyNumberFormat="1" applyFont="1" applyFill="1" applyAlignment="1">
      <alignment horizontal="center"/>
    </xf>
    <xf numFmtId="0" fontId="29" fillId="23" borderId="0" xfId="0" applyFont="1" applyFill="1"/>
    <xf numFmtId="168" fontId="0" fillId="13" borderId="0" xfId="0" applyNumberFormat="1" applyFill="1" applyAlignment="1">
      <alignment horizontal="center"/>
    </xf>
    <xf numFmtId="0" fontId="0" fillId="13" borderId="0" xfId="0" applyFill="1" applyAlignment="1">
      <alignment horizontal="center" vertical="center"/>
    </xf>
    <xf numFmtId="1" fontId="6" fillId="13" borderId="0" xfId="0" applyNumberFormat="1" applyFont="1" applyFill="1"/>
    <xf numFmtId="0" fontId="22" fillId="23" borderId="5" xfId="0" applyFont="1" applyFill="1" applyBorder="1"/>
    <xf numFmtId="0" fontId="0" fillId="13" borderId="8" xfId="0" applyFill="1" applyBorder="1" applyAlignment="1">
      <alignment horizontal="center" vertical="center"/>
    </xf>
    <xf numFmtId="1" fontId="0" fillId="25" borderId="0" xfId="0" applyNumberFormat="1" applyFill="1"/>
    <xf numFmtId="1" fontId="6" fillId="25" borderId="0" xfId="0" applyNumberFormat="1" applyFont="1" applyFill="1"/>
    <xf numFmtId="1" fontId="21" fillId="37" borderId="0" xfId="0" applyNumberFormat="1" applyFont="1" applyFill="1"/>
    <xf numFmtId="0" fontId="0" fillId="36" borderId="1" xfId="0" applyFill="1" applyBorder="1"/>
    <xf numFmtId="0" fontId="0" fillId="36" borderId="3" xfId="0" applyFill="1" applyBorder="1" applyAlignment="1">
      <alignment horizontal="right"/>
    </xf>
    <xf numFmtId="0" fontId="0" fillId="36" borderId="3" xfId="0" applyFill="1" applyBorder="1"/>
    <xf numFmtId="0" fontId="0" fillId="36" borderId="5" xfId="0" applyFill="1" applyBorder="1"/>
    <xf numFmtId="0" fontId="6" fillId="13" borderId="0" xfId="0" applyFont="1" applyFill="1"/>
    <xf numFmtId="0" fontId="0" fillId="36" borderId="6" xfId="0" applyFill="1" applyBorder="1"/>
    <xf numFmtId="0" fontId="0" fillId="36" borderId="8" xfId="0" applyFill="1" applyBorder="1" applyAlignment="1">
      <alignment horizontal="right"/>
    </xf>
    <xf numFmtId="0" fontId="0" fillId="36" borderId="8" xfId="0" applyFill="1" applyBorder="1"/>
    <xf numFmtId="0" fontId="0" fillId="36" borderId="7" xfId="0" applyFill="1" applyBorder="1"/>
    <xf numFmtId="1" fontId="6" fillId="7" borderId="0" xfId="0" applyNumberFormat="1" applyFont="1" applyFill="1"/>
    <xf numFmtId="0" fontId="0" fillId="13" borderId="6" xfId="0" applyFill="1" applyBorder="1" applyAlignment="1">
      <alignment horizontal="right"/>
    </xf>
    <xf numFmtId="0" fontId="0" fillId="25" borderId="8" xfId="0" applyFill="1" applyBorder="1"/>
    <xf numFmtId="0" fontId="0" fillId="7" borderId="8" xfId="0" applyFill="1" applyBorder="1"/>
    <xf numFmtId="0" fontId="0" fillId="25" borderId="7" xfId="0" applyFill="1" applyBorder="1"/>
    <xf numFmtId="0" fontId="18" fillId="9" borderId="1" xfId="0" applyFont="1" applyFill="1" applyBorder="1" applyAlignment="1">
      <alignment vertical="center"/>
    </xf>
    <xf numFmtId="0" fontId="18" fillId="9" borderId="3" xfId="0" applyFont="1" applyFill="1" applyBorder="1" applyAlignment="1">
      <alignment vertical="center"/>
    </xf>
    <xf numFmtId="1" fontId="33" fillId="9" borderId="3" xfId="0" applyNumberFormat="1" applyFont="1" applyFill="1" applyBorder="1" applyAlignment="1">
      <alignment vertical="center"/>
    </xf>
    <xf numFmtId="0" fontId="18" fillId="9" borderId="2" xfId="0" applyFont="1" applyFill="1" applyBorder="1" applyAlignment="1">
      <alignment vertical="center"/>
    </xf>
    <xf numFmtId="0" fontId="16" fillId="27" borderId="3" xfId="0" applyFont="1" applyFill="1" applyBorder="1"/>
    <xf numFmtId="0" fontId="2" fillId="27" borderId="3" xfId="0" applyFont="1" applyFill="1" applyBorder="1"/>
    <xf numFmtId="0" fontId="2" fillId="27" borderId="2" xfId="0" applyFont="1" applyFill="1" applyBorder="1"/>
    <xf numFmtId="0" fontId="15" fillId="9" borderId="6" xfId="0" applyFont="1" applyFill="1" applyBorder="1" applyAlignment="1">
      <alignment vertical="center"/>
    </xf>
    <xf numFmtId="0" fontId="18" fillId="9" borderId="8" xfId="0" applyFont="1" applyFill="1" applyBorder="1" applyAlignment="1">
      <alignment vertical="center"/>
    </xf>
    <xf numFmtId="0" fontId="18" fillId="9" borderId="7" xfId="0" applyFont="1" applyFill="1" applyBorder="1" applyAlignment="1">
      <alignment vertical="center"/>
    </xf>
    <xf numFmtId="0" fontId="0" fillId="6" borderId="31" xfId="0" applyFill="1" applyBorder="1" applyAlignment="1">
      <alignment horizontal="center" vertical="center"/>
    </xf>
    <xf numFmtId="9" fontId="6" fillId="6" borderId="40" xfId="0" applyNumberFormat="1" applyFont="1" applyFill="1" applyBorder="1" applyAlignment="1">
      <alignment horizontal="center" vertical="center"/>
    </xf>
    <xf numFmtId="0" fontId="0" fillId="6" borderId="40" xfId="0" applyFill="1" applyBorder="1" applyAlignment="1">
      <alignment horizontal="center" vertical="center"/>
    </xf>
    <xf numFmtId="180" fontId="6" fillId="6" borderId="40" xfId="0" applyNumberFormat="1" applyFont="1" applyFill="1" applyBorder="1" applyAlignment="1">
      <alignment horizontal="center" vertical="center"/>
    </xf>
    <xf numFmtId="0" fontId="0" fillId="27" borderId="8" xfId="0" applyFill="1" applyBorder="1"/>
    <xf numFmtId="0" fontId="0" fillId="27" borderId="7" xfId="0" applyFill="1" applyBorder="1"/>
    <xf numFmtId="0" fontId="6" fillId="13" borderId="9" xfId="0" applyFont="1" applyFill="1" applyBorder="1"/>
    <xf numFmtId="0" fontId="22" fillId="23" borderId="49" xfId="0" applyFont="1" applyFill="1" applyBorder="1" applyAlignment="1" applyProtection="1">
      <alignment horizontal="center" vertical="center"/>
      <protection locked="0"/>
    </xf>
    <xf numFmtId="0" fontId="22" fillId="13" borderId="62" xfId="0" applyFont="1" applyFill="1" applyBorder="1" applyAlignment="1" applyProtection="1">
      <alignment horizontal="center" vertical="center"/>
      <protection locked="0"/>
    </xf>
    <xf numFmtId="0" fontId="5" fillId="13" borderId="44" xfId="0" applyFont="1" applyFill="1" applyBorder="1" applyAlignment="1" applyProtection="1">
      <alignment horizontal="right"/>
      <protection locked="0"/>
    </xf>
    <xf numFmtId="0" fontId="6" fillId="36" borderId="45" xfId="0" applyFont="1" applyFill="1" applyBorder="1" applyAlignment="1" applyProtection="1">
      <alignment horizontal="center"/>
      <protection locked="0"/>
    </xf>
    <xf numFmtId="0" fontId="6" fillId="36" borderId="45" xfId="0" applyFont="1" applyFill="1" applyBorder="1" applyAlignment="1">
      <alignment horizontal="center" vertical="center"/>
    </xf>
    <xf numFmtId="181" fontId="6" fillId="36" borderId="45" xfId="0" applyNumberFormat="1" applyFont="1" applyFill="1" applyBorder="1" applyProtection="1">
      <protection locked="0"/>
    </xf>
    <xf numFmtId="166" fontId="6" fillId="36" borderId="45" xfId="0" applyNumberFormat="1" applyFont="1" applyFill="1" applyBorder="1"/>
    <xf numFmtId="166" fontId="6" fillId="9" borderId="62" xfId="0" applyNumberFormat="1" applyFont="1" applyFill="1" applyBorder="1"/>
    <xf numFmtId="4" fontId="6" fillId="25" borderId="49" xfId="0" applyNumberFormat="1" applyFont="1" applyFill="1" applyBorder="1" applyAlignment="1">
      <alignment horizontal="center"/>
    </xf>
    <xf numFmtId="3" fontId="6" fillId="25" borderId="45" xfId="0" applyNumberFormat="1" applyFont="1" applyFill="1" applyBorder="1" applyAlignment="1">
      <alignment horizontal="center"/>
    </xf>
    <xf numFmtId="4" fontId="6" fillId="25" borderId="45" xfId="0" applyNumberFormat="1" applyFont="1" applyFill="1" applyBorder="1" applyAlignment="1">
      <alignment horizontal="center"/>
    </xf>
    <xf numFmtId="3" fontId="22" fillId="25" borderId="45" xfId="0" applyNumberFormat="1" applyFont="1" applyFill="1" applyBorder="1" applyAlignment="1">
      <alignment horizontal="center"/>
    </xf>
    <xf numFmtId="9" fontId="22" fillId="25" borderId="45" xfId="0" applyNumberFormat="1" applyFont="1" applyFill="1" applyBorder="1" applyAlignment="1">
      <alignment horizontal="center"/>
    </xf>
    <xf numFmtId="3" fontId="6" fillId="25" borderId="46" xfId="0" applyNumberFormat="1" applyFont="1" applyFill="1" applyBorder="1" applyAlignment="1">
      <alignment horizontal="center"/>
    </xf>
    <xf numFmtId="3" fontId="6" fillId="25" borderId="5" xfId="0" applyNumberFormat="1" applyFont="1" applyFill="1" applyBorder="1" applyAlignment="1">
      <alignment horizontal="center"/>
    </xf>
    <xf numFmtId="3" fontId="6" fillId="13" borderId="14" xfId="0" applyNumberFormat="1" applyFont="1" applyFill="1" applyBorder="1" applyAlignment="1">
      <alignment horizontal="center"/>
    </xf>
    <xf numFmtId="0" fontId="22" fillId="23" borderId="19" xfId="0" applyFont="1" applyFill="1" applyBorder="1" applyAlignment="1" applyProtection="1">
      <alignment horizontal="center" vertical="center"/>
      <protection locked="0"/>
    </xf>
    <xf numFmtId="0" fontId="22" fillId="13" borderId="20" xfId="0" applyFont="1" applyFill="1" applyBorder="1" applyAlignment="1" applyProtection="1">
      <alignment horizontal="center" vertical="center"/>
      <protection locked="0"/>
    </xf>
    <xf numFmtId="0" fontId="5" fillId="13" borderId="37" xfId="0" applyFont="1" applyFill="1" applyBorder="1" applyAlignment="1" applyProtection="1">
      <alignment horizontal="right"/>
      <protection locked="0"/>
    </xf>
    <xf numFmtId="0" fontId="6" fillId="36" borderId="17" xfId="0" applyFont="1" applyFill="1" applyBorder="1" applyAlignment="1" applyProtection="1">
      <alignment horizontal="center" vertical="center"/>
      <protection locked="0"/>
    </xf>
    <xf numFmtId="165" fontId="6" fillId="36" borderId="17" xfId="0" applyNumberFormat="1" applyFont="1" applyFill="1" applyBorder="1" applyAlignment="1" applyProtection="1">
      <alignment horizontal="center"/>
      <protection locked="0"/>
    </xf>
    <xf numFmtId="0" fontId="6" fillId="36" borderId="17" xfId="0" applyFont="1" applyFill="1" applyBorder="1" applyAlignment="1">
      <alignment horizontal="center" vertical="center"/>
    </xf>
    <xf numFmtId="181" fontId="6" fillId="36" borderId="17" xfId="0" applyNumberFormat="1" applyFont="1" applyFill="1" applyBorder="1" applyProtection="1">
      <protection locked="0"/>
    </xf>
    <xf numFmtId="166" fontId="6" fillId="36" borderId="17" xfId="0" applyNumberFormat="1" applyFont="1" applyFill="1" applyBorder="1"/>
    <xf numFmtId="166" fontId="6" fillId="9" borderId="20" xfId="0" applyNumberFormat="1" applyFont="1" applyFill="1" applyBorder="1"/>
    <xf numFmtId="3" fontId="22" fillId="23" borderId="25" xfId="0" applyNumberFormat="1" applyFont="1" applyFill="1" applyBorder="1" applyAlignment="1">
      <alignment horizontal="center" vertical="center"/>
    </xf>
    <xf numFmtId="3" fontId="22" fillId="23" borderId="18" xfId="0" applyNumberFormat="1" applyFont="1" applyFill="1" applyBorder="1" applyAlignment="1">
      <alignment horizontal="center" vertical="center"/>
    </xf>
    <xf numFmtId="166" fontId="6" fillId="36" borderId="17" xfId="0" applyNumberFormat="1" applyFont="1" applyFill="1" applyBorder="1" applyAlignment="1" applyProtection="1">
      <alignment horizontal="center"/>
      <protection locked="0"/>
    </xf>
    <xf numFmtId="4" fontId="6" fillId="25" borderId="19" xfId="0" applyNumberFormat="1" applyFont="1" applyFill="1" applyBorder="1" applyAlignment="1">
      <alignment horizontal="center"/>
    </xf>
    <xf numFmtId="3" fontId="5" fillId="36" borderId="17" xfId="0" applyNumberFormat="1" applyFont="1" applyFill="1" applyBorder="1" applyAlignment="1">
      <alignment horizontal="center"/>
    </xf>
    <xf numFmtId="3" fontId="22" fillId="23" borderId="17" xfId="0" applyNumberFormat="1" applyFont="1" applyFill="1" applyBorder="1" applyAlignment="1">
      <alignment horizontal="center"/>
    </xf>
    <xf numFmtId="9" fontId="22" fillId="23" borderId="17" xfId="0" applyNumberFormat="1" applyFont="1" applyFill="1" applyBorder="1" applyAlignment="1">
      <alignment horizontal="center"/>
    </xf>
    <xf numFmtId="4" fontId="6" fillId="9" borderId="22" xfId="0" applyNumberFormat="1" applyFont="1" applyFill="1" applyBorder="1" applyAlignment="1">
      <alignment horizontal="center"/>
    </xf>
    <xf numFmtId="3" fontId="22" fillId="23" borderId="22" xfId="0" applyNumberFormat="1" applyFont="1" applyFill="1" applyBorder="1" applyAlignment="1">
      <alignment horizontal="center"/>
    </xf>
    <xf numFmtId="2" fontId="22" fillId="23" borderId="19" xfId="0" applyNumberFormat="1" applyFont="1" applyFill="1" applyBorder="1" applyAlignment="1" applyProtection="1">
      <alignment horizontal="center" vertical="center"/>
      <protection locked="0"/>
    </xf>
    <xf numFmtId="2" fontId="22" fillId="13" borderId="20" xfId="0" applyNumberFormat="1" applyFont="1" applyFill="1" applyBorder="1" applyAlignment="1" applyProtection="1">
      <alignment horizontal="center" vertical="center"/>
      <protection locked="0"/>
    </xf>
    <xf numFmtId="2" fontId="5" fillId="13" borderId="37" xfId="0" applyNumberFormat="1" applyFont="1" applyFill="1" applyBorder="1" applyAlignment="1" applyProtection="1">
      <alignment horizontal="right"/>
      <protection locked="0"/>
    </xf>
    <xf numFmtId="2" fontId="6" fillId="36" borderId="17" xfId="0" applyNumberFormat="1" applyFont="1" applyFill="1" applyBorder="1" applyAlignment="1" applyProtection="1">
      <alignment horizontal="center" vertical="center"/>
      <protection locked="0"/>
    </xf>
    <xf numFmtId="0" fontId="6" fillId="36" borderId="17" xfId="0" applyFont="1" applyFill="1" applyBorder="1" applyAlignment="1" applyProtection="1">
      <alignment horizontal="center"/>
      <protection locked="0"/>
    </xf>
    <xf numFmtId="3" fontId="6" fillId="25" borderId="17" xfId="0" applyNumberFormat="1" applyFont="1" applyFill="1" applyBorder="1" applyAlignment="1">
      <alignment horizontal="center"/>
    </xf>
    <xf numFmtId="3" fontId="22" fillId="25" borderId="17" xfId="0" applyNumberFormat="1" applyFont="1" applyFill="1" applyBorder="1" applyAlignment="1">
      <alignment horizontal="center"/>
    </xf>
    <xf numFmtId="9" fontId="22" fillId="25" borderId="17" xfId="0" applyNumberFormat="1" applyFont="1" applyFill="1" applyBorder="1" applyAlignment="1">
      <alignment horizontal="center"/>
    </xf>
    <xf numFmtId="4" fontId="6" fillId="25" borderId="22" xfId="0" applyNumberFormat="1" applyFont="1" applyFill="1" applyBorder="1" applyAlignment="1">
      <alignment horizontal="center"/>
    </xf>
    <xf numFmtId="3" fontId="22" fillId="25" borderId="22" xfId="0" applyNumberFormat="1" applyFont="1" applyFill="1" applyBorder="1" applyAlignment="1">
      <alignment horizontal="center"/>
    </xf>
    <xf numFmtId="181" fontId="22" fillId="23" borderId="17" xfId="0" applyNumberFormat="1" applyFont="1" applyFill="1" applyBorder="1" applyProtection="1">
      <protection locked="0"/>
    </xf>
    <xf numFmtId="3" fontId="6" fillId="36" borderId="17" xfId="0" applyNumberFormat="1" applyFont="1" applyFill="1" applyBorder="1" applyAlignment="1">
      <alignment horizontal="center"/>
    </xf>
    <xf numFmtId="166" fontId="6" fillId="36" borderId="28" xfId="0" applyNumberFormat="1" applyFont="1" applyFill="1" applyBorder="1"/>
    <xf numFmtId="166" fontId="6" fillId="9" borderId="38" xfId="0" applyNumberFormat="1" applyFont="1" applyFill="1" applyBorder="1"/>
    <xf numFmtId="3" fontId="6" fillId="36" borderId="28" xfId="0" applyNumberFormat="1" applyFont="1" applyFill="1" applyBorder="1" applyAlignment="1">
      <alignment horizontal="center"/>
    </xf>
    <xf numFmtId="2" fontId="0" fillId="36" borderId="7" xfId="0" applyNumberFormat="1" applyFill="1" applyBorder="1" applyAlignment="1">
      <alignment horizontal="center" vertical="center"/>
    </xf>
    <xf numFmtId="2" fontId="0" fillId="36" borderId="26" xfId="0" applyNumberFormat="1" applyFill="1" applyBorder="1" applyAlignment="1">
      <alignment horizontal="center" vertical="center"/>
    </xf>
    <xf numFmtId="2" fontId="2" fillId="0" borderId="0" xfId="0" applyNumberFormat="1" applyFont="1" applyAlignment="1">
      <alignment horizontal="center" vertical="center"/>
    </xf>
    <xf numFmtId="1" fontId="0" fillId="36" borderId="26" xfId="0" applyNumberFormat="1" applyFill="1" applyBorder="1" applyAlignment="1">
      <alignment horizontal="center" vertical="center"/>
    </xf>
    <xf numFmtId="0" fontId="0" fillId="16" borderId="26" xfId="0" applyFill="1" applyBorder="1" applyAlignment="1">
      <alignment horizontal="center"/>
    </xf>
    <xf numFmtId="0" fontId="18" fillId="9" borderId="31" xfId="0" applyFont="1" applyFill="1" applyBorder="1"/>
    <xf numFmtId="0" fontId="0" fillId="9" borderId="40" xfId="0" applyFill="1" applyBorder="1"/>
    <xf numFmtId="0" fontId="2" fillId="13" borderId="40" xfId="0" applyFont="1" applyFill="1" applyBorder="1"/>
    <xf numFmtId="0" fontId="2" fillId="13" borderId="40" xfId="0" applyFont="1" applyFill="1" applyBorder="1" applyAlignment="1">
      <alignment horizontal="right"/>
    </xf>
    <xf numFmtId="168" fontId="6" fillId="16" borderId="31" xfId="0" applyNumberFormat="1" applyFont="1" applyFill="1" applyBorder="1"/>
    <xf numFmtId="0" fontId="0" fillId="16" borderId="40" xfId="0" applyFill="1" applyBorder="1"/>
    <xf numFmtId="44" fontId="0" fillId="0" borderId="0" xfId="0" applyNumberFormat="1"/>
    <xf numFmtId="168" fontId="7" fillId="16" borderId="31" xfId="0" applyNumberFormat="1" applyFont="1" applyFill="1" applyBorder="1"/>
    <xf numFmtId="0" fontId="2" fillId="13" borderId="40" xfId="0" applyFont="1" applyFill="1" applyBorder="1" applyAlignment="1">
      <alignment horizontal="center"/>
    </xf>
    <xf numFmtId="165" fontId="2" fillId="13" borderId="40" xfId="0" applyNumberFormat="1" applyFont="1" applyFill="1" applyBorder="1"/>
    <xf numFmtId="166" fontId="6" fillId="16" borderId="31" xfId="0" applyNumberFormat="1" applyFont="1" applyFill="1" applyBorder="1"/>
    <xf numFmtId="182" fontId="0" fillId="0" borderId="0" xfId="0" applyNumberFormat="1"/>
    <xf numFmtId="0" fontId="20" fillId="33" borderId="0" xfId="0" applyFont="1" applyFill="1" applyAlignment="1">
      <alignment vertical="center"/>
    </xf>
    <xf numFmtId="183" fontId="7" fillId="20" borderId="90" xfId="3" applyNumberFormat="1" applyFont="1" applyFill="1" applyBorder="1" applyAlignment="1">
      <alignment horizontal="center" vertical="center"/>
    </xf>
    <xf numFmtId="183" fontId="7" fillId="20" borderId="0" xfId="3" applyNumberFormat="1" applyFont="1" applyFill="1" applyBorder="1" applyAlignment="1">
      <alignment horizontal="center" vertical="center"/>
    </xf>
    <xf numFmtId="174" fontId="0" fillId="0" borderId="0" xfId="0" applyNumberFormat="1"/>
    <xf numFmtId="0" fontId="20" fillId="33" borderId="91" xfId="0" applyFont="1" applyFill="1" applyBorder="1" applyAlignment="1">
      <alignment vertical="center"/>
    </xf>
    <xf numFmtId="0" fontId="20" fillId="33" borderId="89" xfId="0" applyFont="1" applyFill="1" applyBorder="1" applyAlignment="1">
      <alignment vertical="center"/>
    </xf>
    <xf numFmtId="0" fontId="20" fillId="33" borderId="89" xfId="0" applyFont="1" applyFill="1" applyBorder="1" applyAlignment="1">
      <alignment horizontal="center" vertical="center"/>
    </xf>
    <xf numFmtId="0" fontId="20" fillId="33" borderId="90" xfId="0" applyFont="1" applyFill="1" applyBorder="1" applyAlignment="1">
      <alignment horizontal="center" vertical="center" wrapText="1"/>
    </xf>
    <xf numFmtId="0" fontId="5" fillId="38" borderId="31" xfId="0" applyFont="1" applyFill="1" applyBorder="1" applyAlignment="1">
      <alignment horizontal="center" vertical="center"/>
    </xf>
    <xf numFmtId="184" fontId="2" fillId="38" borderId="41" xfId="0" applyNumberFormat="1" applyFont="1" applyFill="1" applyBorder="1" applyAlignment="1">
      <alignment horizontal="center" vertical="center"/>
    </xf>
    <xf numFmtId="44" fontId="7" fillId="20" borderId="90" xfId="3" applyFont="1" applyFill="1" applyBorder="1" applyAlignment="1">
      <alignment horizontal="center" vertical="center"/>
    </xf>
    <xf numFmtId="185" fontId="7" fillId="20" borderId="90" xfId="3" applyNumberFormat="1" applyFont="1" applyFill="1" applyBorder="1" applyAlignment="1">
      <alignment horizontal="center" vertical="center"/>
    </xf>
    <xf numFmtId="44" fontId="7" fillId="20" borderId="0" xfId="3" applyFont="1" applyFill="1" applyBorder="1" applyAlignment="1">
      <alignment horizontal="center" vertical="center"/>
    </xf>
    <xf numFmtId="0" fontId="20" fillId="39" borderId="91" xfId="0" applyFont="1" applyFill="1" applyBorder="1" applyAlignment="1">
      <alignment vertical="center" wrapText="1"/>
    </xf>
    <xf numFmtId="0" fontId="20" fillId="39" borderId="89" xfId="0" applyFont="1" applyFill="1" applyBorder="1" applyAlignment="1">
      <alignment vertical="center" wrapText="1"/>
    </xf>
    <xf numFmtId="0" fontId="20" fillId="33" borderId="20" xfId="0" applyFont="1" applyFill="1" applyBorder="1" applyAlignment="1">
      <alignment vertical="center"/>
    </xf>
    <xf numFmtId="0" fontId="20" fillId="33" borderId="83" xfId="0" applyFont="1" applyFill="1" applyBorder="1" applyAlignment="1">
      <alignment vertical="center" wrapText="1"/>
    </xf>
    <xf numFmtId="0" fontId="20" fillId="33" borderId="37" xfId="0" applyFont="1" applyFill="1" applyBorder="1" applyAlignment="1">
      <alignment vertical="center" wrapText="1"/>
    </xf>
    <xf numFmtId="0" fontId="20" fillId="33" borderId="83" xfId="0" applyFont="1" applyFill="1" applyBorder="1" applyAlignment="1">
      <alignment vertical="center"/>
    </xf>
    <xf numFmtId="166" fontId="36" fillId="23" borderId="0" xfId="0" applyNumberFormat="1" applyFont="1" applyFill="1" applyAlignment="1">
      <alignment horizontal="center" vertical="center"/>
    </xf>
    <xf numFmtId="166" fontId="36" fillId="23" borderId="5" xfId="0" applyNumberFormat="1" applyFont="1" applyFill="1" applyBorder="1" applyAlignment="1">
      <alignment horizontal="center" vertical="center"/>
    </xf>
    <xf numFmtId="166" fontId="5" fillId="13" borderId="0" xfId="0" applyNumberFormat="1" applyFont="1" applyFill="1" applyAlignment="1">
      <alignment horizontal="center" vertical="center"/>
    </xf>
    <xf numFmtId="166" fontId="5" fillId="13" borderId="5" xfId="0" applyNumberFormat="1" applyFont="1" applyFill="1" applyBorder="1" applyAlignment="1">
      <alignment horizontal="center" vertical="center"/>
    </xf>
    <xf numFmtId="0" fontId="20" fillId="33" borderId="92" xfId="0" applyFont="1" applyFill="1" applyBorder="1" applyAlignment="1">
      <alignment horizontal="center" wrapText="1"/>
    </xf>
    <xf numFmtId="0" fontId="20" fillId="33" borderId="0" xfId="0" applyFont="1" applyFill="1" applyAlignment="1">
      <alignment horizontal="center" vertical="center" wrapText="1"/>
    </xf>
    <xf numFmtId="0" fontId="20" fillId="33" borderId="88" xfId="0" applyFont="1" applyFill="1" applyBorder="1" applyAlignment="1">
      <alignment horizontal="center" vertical="center" wrapText="1"/>
    </xf>
    <xf numFmtId="0" fontId="20" fillId="33" borderId="90" xfId="0" applyFont="1" applyFill="1" applyBorder="1" applyAlignment="1">
      <alignment horizontal="center" vertical="center"/>
    </xf>
    <xf numFmtId="0" fontId="20" fillId="33" borderId="90" xfId="0" applyFont="1" applyFill="1" applyBorder="1" applyAlignment="1">
      <alignment wrapText="1"/>
    </xf>
    <xf numFmtId="0" fontId="20" fillId="39" borderId="93" xfId="0" applyFont="1" applyFill="1" applyBorder="1" applyAlignment="1">
      <alignment horizontal="center" vertical="center" wrapText="1"/>
    </xf>
    <xf numFmtId="0" fontId="20" fillId="33" borderId="74" xfId="0" applyFont="1" applyFill="1" applyBorder="1" applyAlignment="1">
      <alignment horizontal="center" vertical="center" wrapText="1"/>
    </xf>
    <xf numFmtId="0" fontId="20" fillId="33" borderId="82" xfId="0" applyFont="1" applyFill="1" applyBorder="1" applyAlignment="1">
      <alignment horizontal="center" vertical="center" wrapText="1"/>
    </xf>
    <xf numFmtId="164" fontId="36" fillId="23" borderId="0" xfId="0" applyNumberFormat="1" applyFont="1" applyFill="1" applyAlignment="1">
      <alignment horizontal="center" vertical="center"/>
    </xf>
    <xf numFmtId="164" fontId="5" fillId="13" borderId="0" xfId="0" applyNumberFormat="1" applyFont="1" applyFill="1" applyAlignment="1">
      <alignment horizontal="center" vertical="center"/>
    </xf>
    <xf numFmtId="1" fontId="0" fillId="20" borderId="94" xfId="0" applyNumberFormat="1" applyFill="1" applyBorder="1" applyAlignment="1">
      <alignment horizontal="center" wrapText="1"/>
    </xf>
    <xf numFmtId="172" fontId="0" fillId="20" borderId="94" xfId="0" applyNumberFormat="1" applyFill="1" applyBorder="1" applyAlignment="1">
      <alignment horizontal="center" vertical="center" wrapText="1"/>
    </xf>
    <xf numFmtId="172" fontId="0" fillId="20" borderId="90" xfId="3" applyNumberFormat="1" applyFont="1" applyFill="1" applyBorder="1" applyAlignment="1">
      <alignment horizontal="center" vertical="center"/>
    </xf>
    <xf numFmtId="0" fontId="37" fillId="20" borderId="90" xfId="0" applyFont="1" applyFill="1" applyBorder="1" applyAlignment="1">
      <alignment horizontal="right" vertical="center"/>
    </xf>
    <xf numFmtId="0" fontId="37" fillId="20" borderId="90" xfId="0" applyFont="1" applyFill="1" applyBorder="1" applyAlignment="1">
      <alignment horizontal="center" vertical="center"/>
    </xf>
    <xf numFmtId="44" fontId="0" fillId="20" borderId="90" xfId="3" applyFont="1" applyFill="1" applyBorder="1" applyAlignment="1">
      <alignment horizontal="center" vertical="center"/>
    </xf>
    <xf numFmtId="176" fontId="0" fillId="20" borderId="90" xfId="3" applyNumberFormat="1" applyFont="1" applyFill="1" applyBorder="1" applyAlignment="1">
      <alignment horizontal="center" vertical="center"/>
    </xf>
    <xf numFmtId="175" fontId="0" fillId="20" borderId="90" xfId="3" applyNumberFormat="1" applyFont="1" applyFill="1" applyBorder="1" applyAlignment="1">
      <alignment horizontal="center" vertical="center"/>
    </xf>
    <xf numFmtId="0" fontId="7" fillId="20" borderId="90" xfId="0" applyFont="1" applyFill="1" applyBorder="1" applyAlignment="1">
      <alignment horizontal="center" vertical="center"/>
    </xf>
    <xf numFmtId="185" fontId="0" fillId="20" borderId="90" xfId="3" applyNumberFormat="1" applyFont="1" applyFill="1" applyBorder="1" applyAlignment="1">
      <alignment horizontal="center" vertical="center"/>
    </xf>
    <xf numFmtId="182" fontId="0" fillId="20" borderId="90" xfId="3" applyNumberFormat="1" applyFont="1" applyFill="1" applyBorder="1" applyAlignment="1">
      <alignment horizontal="center" vertical="center"/>
    </xf>
    <xf numFmtId="1" fontId="0" fillId="20" borderId="90" xfId="3" applyNumberFormat="1" applyFont="1" applyFill="1" applyBorder="1" applyAlignment="1">
      <alignment horizontal="center" vertical="center"/>
    </xf>
    <xf numFmtId="172" fontId="0" fillId="20" borderId="95" xfId="0" applyNumberFormat="1" applyFill="1" applyBorder="1" applyAlignment="1">
      <alignment horizontal="center" vertical="center"/>
    </xf>
    <xf numFmtId="0" fontId="0" fillId="20" borderId="95" xfId="0" applyFill="1" applyBorder="1" applyAlignment="1">
      <alignment horizontal="center" vertical="center"/>
    </xf>
    <xf numFmtId="1" fontId="0" fillId="20" borderId="90" xfId="0" applyNumberFormat="1" applyFill="1" applyBorder="1" applyAlignment="1">
      <alignment horizontal="center" vertical="center"/>
    </xf>
    <xf numFmtId="0" fontId="0" fillId="20" borderId="90" xfId="0" applyFill="1" applyBorder="1" applyAlignment="1">
      <alignment horizontal="center" vertical="center"/>
    </xf>
    <xf numFmtId="0" fontId="0" fillId="20" borderId="90" xfId="0" applyFill="1" applyBorder="1"/>
    <xf numFmtId="1" fontId="0" fillId="0" borderId="94" xfId="0" applyNumberFormat="1" applyBorder="1" applyAlignment="1">
      <alignment horizontal="center" wrapText="1"/>
    </xf>
    <xf numFmtId="178" fontId="0" fillId="0" borderId="90" xfId="3" applyNumberFormat="1" applyFont="1" applyBorder="1" applyAlignment="1">
      <alignment horizontal="center" vertical="center"/>
    </xf>
    <xf numFmtId="172" fontId="0" fillId="0" borderId="94" xfId="0" applyNumberFormat="1" applyBorder="1" applyAlignment="1">
      <alignment horizontal="center" vertical="center" wrapText="1"/>
    </xf>
    <xf numFmtId="172" fontId="0" fillId="0" borderId="90" xfId="3" applyNumberFormat="1" applyFont="1" applyBorder="1" applyAlignment="1">
      <alignment horizontal="center" vertical="center"/>
    </xf>
    <xf numFmtId="0" fontId="37" fillId="0" borderId="90" xfId="0" applyFont="1" applyBorder="1" applyAlignment="1">
      <alignment horizontal="right" vertical="center"/>
    </xf>
    <xf numFmtId="0" fontId="37" fillId="0" borderId="90" xfId="0" applyFont="1" applyBorder="1" applyAlignment="1">
      <alignment horizontal="center" vertical="center"/>
    </xf>
    <xf numFmtId="44" fontId="0" fillId="0" borderId="90" xfId="3" applyFont="1" applyBorder="1" applyAlignment="1">
      <alignment horizontal="center" vertical="center"/>
    </xf>
    <xf numFmtId="176" fontId="0" fillId="0" borderId="90" xfId="3" applyNumberFormat="1" applyFont="1" applyBorder="1" applyAlignment="1">
      <alignment horizontal="center" vertical="center"/>
    </xf>
    <xf numFmtId="175" fontId="0" fillId="0" borderId="90" xfId="3" applyNumberFormat="1" applyFont="1" applyBorder="1" applyAlignment="1">
      <alignment horizontal="center" vertical="center"/>
    </xf>
    <xf numFmtId="0" fontId="6" fillId="0" borderId="90" xfId="0" applyFont="1" applyBorder="1" applyAlignment="1">
      <alignment horizontal="center" vertical="center"/>
    </xf>
    <xf numFmtId="185" fontId="0" fillId="0" borderId="90" xfId="3" applyNumberFormat="1" applyFont="1" applyBorder="1" applyAlignment="1">
      <alignment horizontal="center" vertical="center"/>
    </xf>
    <xf numFmtId="182" fontId="0" fillId="0" borderId="90" xfId="3" applyNumberFormat="1" applyFont="1" applyBorder="1" applyAlignment="1">
      <alignment horizontal="center" vertical="center"/>
    </xf>
    <xf numFmtId="1" fontId="0" fillId="0" borderId="90" xfId="3" applyNumberFormat="1" applyFont="1" applyBorder="1" applyAlignment="1">
      <alignment horizontal="center" vertical="center"/>
    </xf>
    <xf numFmtId="172" fontId="0" fillId="0" borderId="95" xfId="0" applyNumberFormat="1" applyBorder="1" applyAlignment="1">
      <alignment horizontal="center" vertical="center"/>
    </xf>
    <xf numFmtId="0" fontId="0" fillId="0" borderId="95" xfId="0" applyBorder="1" applyAlignment="1">
      <alignment horizontal="center" vertical="center"/>
    </xf>
    <xf numFmtId="1" fontId="0" fillId="0" borderId="90" xfId="0" applyNumberFormat="1" applyBorder="1" applyAlignment="1">
      <alignment horizontal="center" vertical="center"/>
    </xf>
    <xf numFmtId="0" fontId="0" fillId="0" borderId="90" xfId="0" applyBorder="1" applyAlignment="1">
      <alignment horizontal="center" vertical="center"/>
    </xf>
    <xf numFmtId="0" fontId="0" fillId="0" borderId="90" xfId="0" applyBorder="1"/>
    <xf numFmtId="178" fontId="0" fillId="20" borderId="90" xfId="3" applyNumberFormat="1" applyFont="1" applyFill="1" applyBorder="1" applyAlignment="1">
      <alignment horizontal="center" vertical="center"/>
    </xf>
    <xf numFmtId="0" fontId="6" fillId="20" borderId="90" xfId="0" applyFont="1" applyFill="1" applyBorder="1" applyAlignment="1">
      <alignment horizontal="center" vertical="center"/>
    </xf>
    <xf numFmtId="172" fontId="0" fillId="20" borderId="95" xfId="0" applyNumberFormat="1" applyFill="1" applyBorder="1" applyAlignment="1">
      <alignment horizontal="center"/>
    </xf>
    <xf numFmtId="0" fontId="0" fillId="20" borderId="95" xfId="0" applyFill="1" applyBorder="1" applyAlignment="1">
      <alignment horizontal="center"/>
    </xf>
    <xf numFmtId="166" fontId="36" fillId="23" borderId="40" xfId="0" applyNumberFormat="1" applyFont="1" applyFill="1" applyBorder="1" applyAlignment="1">
      <alignment horizontal="center" vertical="center"/>
    </xf>
    <xf numFmtId="166" fontId="36" fillId="23" borderId="41" xfId="0" applyNumberFormat="1" applyFont="1" applyFill="1" applyBorder="1" applyAlignment="1">
      <alignment horizontal="center" vertical="center"/>
    </xf>
    <xf numFmtId="166" fontId="5" fillId="13" borderId="40" xfId="0" applyNumberFormat="1" applyFont="1" applyFill="1" applyBorder="1" applyAlignment="1">
      <alignment horizontal="center" vertical="center"/>
    </xf>
    <xf numFmtId="166" fontId="5" fillId="13" borderId="41" xfId="0" applyNumberFormat="1" applyFont="1" applyFill="1" applyBorder="1" applyAlignment="1">
      <alignment horizontal="center" vertical="center"/>
    </xf>
    <xf numFmtId="172" fontId="0" fillId="0" borderId="95" xfId="0" applyNumberFormat="1" applyBorder="1" applyAlignment="1">
      <alignment horizontal="center"/>
    </xf>
    <xf numFmtId="0" fontId="0" fillId="0" borderId="95" xfId="0" applyBorder="1" applyAlignment="1">
      <alignment horizontal="center"/>
    </xf>
    <xf numFmtId="0" fontId="36" fillId="23" borderId="40" xfId="0" applyFont="1" applyFill="1" applyBorder="1"/>
    <xf numFmtId="166" fontId="36" fillId="23" borderId="40" xfId="0" applyNumberFormat="1" applyFont="1" applyFill="1" applyBorder="1" applyAlignment="1">
      <alignment horizontal="center"/>
    </xf>
    <xf numFmtId="0" fontId="36" fillId="23" borderId="41" xfId="0" applyFont="1" applyFill="1" applyBorder="1"/>
    <xf numFmtId="166" fontId="5" fillId="13" borderId="40" xfId="0" applyNumberFormat="1" applyFont="1" applyFill="1" applyBorder="1" applyAlignment="1">
      <alignment horizontal="center"/>
    </xf>
    <xf numFmtId="0" fontId="5" fillId="13" borderId="41" xfId="0" applyFont="1" applyFill="1" applyBorder="1"/>
    <xf numFmtId="0" fontId="5" fillId="13" borderId="40" xfId="0" applyFont="1" applyFill="1" applyBorder="1"/>
    <xf numFmtId="44" fontId="0" fillId="25" borderId="90" xfId="3" applyFont="1" applyFill="1" applyBorder="1" applyAlignment="1">
      <alignment horizontal="center" vertical="center"/>
    </xf>
    <xf numFmtId="185" fontId="0" fillId="25" borderId="90" xfId="3" applyNumberFormat="1" applyFont="1" applyFill="1" applyBorder="1" applyAlignment="1">
      <alignment horizontal="center" vertical="center"/>
    </xf>
    <xf numFmtId="182" fontId="0" fillId="25" borderId="90" xfId="3" applyNumberFormat="1" applyFont="1" applyFill="1" applyBorder="1" applyAlignment="1">
      <alignment horizontal="center" vertical="center"/>
    </xf>
    <xf numFmtId="0" fontId="24" fillId="0" borderId="0" xfId="0" applyFont="1" applyAlignment="1">
      <alignment horizontal="center" vertical="center" wrapText="1"/>
    </xf>
    <xf numFmtId="173" fontId="24" fillId="0" borderId="0" xfId="0" applyNumberFormat="1" applyFont="1" applyAlignment="1">
      <alignment horizontal="center" vertical="center"/>
    </xf>
    <xf numFmtId="44" fontId="0" fillId="40" borderId="90" xfId="3" applyFont="1" applyFill="1" applyBorder="1" applyAlignment="1">
      <alignment horizontal="center" vertical="center"/>
    </xf>
    <xf numFmtId="185" fontId="0" fillId="40" borderId="90" xfId="3" applyNumberFormat="1" applyFont="1" applyFill="1" applyBorder="1" applyAlignment="1">
      <alignment horizontal="center" vertical="center"/>
    </xf>
    <xf numFmtId="182" fontId="0" fillId="40" borderId="90" xfId="3" applyNumberFormat="1" applyFont="1" applyFill="1" applyBorder="1" applyAlignment="1">
      <alignment horizontal="center" vertical="center"/>
    </xf>
    <xf numFmtId="0" fontId="0" fillId="20" borderId="90" xfId="0" applyFill="1" applyBorder="1" applyAlignment="1">
      <alignment horizontal="center"/>
    </xf>
    <xf numFmtId="178" fontId="0" fillId="0" borderId="0" xfId="0" applyNumberFormat="1" applyAlignment="1">
      <alignment horizontal="center" vertical="center"/>
    </xf>
    <xf numFmtId="0" fontId="20" fillId="0" borderId="0" xfId="0" applyFont="1" applyAlignment="1">
      <alignment horizontal="center" vertical="center" wrapText="1"/>
    </xf>
    <xf numFmtId="0" fontId="20" fillId="0" borderId="0" xfId="0" applyFont="1" applyAlignment="1">
      <alignment wrapText="1"/>
    </xf>
    <xf numFmtId="0" fontId="19" fillId="0" borderId="0" xfId="0" applyFont="1" applyAlignment="1">
      <alignment horizontal="center" vertical="center" wrapText="1"/>
    </xf>
    <xf numFmtId="44" fontId="19" fillId="0" borderId="0" xfId="0" applyNumberFormat="1" applyFont="1" applyAlignment="1">
      <alignment horizontal="center" vertical="center" wrapText="1"/>
    </xf>
    <xf numFmtId="178" fontId="29" fillId="0" borderId="0" xfId="0" applyNumberFormat="1" applyFont="1" applyAlignment="1">
      <alignment horizontal="center" vertical="center" wrapText="1"/>
    </xf>
    <xf numFmtId="165" fontId="5" fillId="0" borderId="0" xfId="0" applyNumberFormat="1" applyFont="1" applyAlignment="1">
      <alignment horizontal="center" vertical="center" wrapText="1"/>
    </xf>
    <xf numFmtId="186" fontId="5" fillId="0" borderId="0" xfId="0" applyNumberFormat="1" applyFont="1" applyAlignment="1">
      <alignment horizontal="center" vertical="center" wrapText="1"/>
    </xf>
    <xf numFmtId="166" fontId="20" fillId="0" borderId="0" xfId="0" applyNumberFormat="1" applyFont="1" applyAlignment="1">
      <alignment horizontal="center" vertical="center" wrapText="1"/>
    </xf>
    <xf numFmtId="1" fontId="0" fillId="0" borderId="0" xfId="0" applyNumberFormat="1" applyAlignment="1">
      <alignment horizontal="center" vertical="center"/>
    </xf>
    <xf numFmtId="166" fontId="0" fillId="0" borderId="0" xfId="0" applyNumberFormat="1" applyAlignment="1">
      <alignment horizontal="center"/>
    </xf>
    <xf numFmtId="0" fontId="0" fillId="0" borderId="90" xfId="0" applyBorder="1" applyAlignment="1">
      <alignment horizontal="center"/>
    </xf>
    <xf numFmtId="176" fontId="7" fillId="0" borderId="90" xfId="3" applyNumberFormat="1" applyFont="1" applyBorder="1" applyAlignment="1">
      <alignment horizontal="center" vertical="center"/>
    </xf>
    <xf numFmtId="176" fontId="7" fillId="20" borderId="90" xfId="3" applyNumberFormat="1" applyFont="1" applyFill="1" applyBorder="1" applyAlignment="1">
      <alignment horizontal="center" vertical="center"/>
    </xf>
    <xf numFmtId="176" fontId="0" fillId="0" borderId="90" xfId="0" applyNumberFormat="1" applyBorder="1" applyAlignment="1">
      <alignment horizontal="center"/>
    </xf>
    <xf numFmtId="0" fontId="7" fillId="0" borderId="0" xfId="0" applyFont="1" applyAlignment="1">
      <alignment horizontal="center" vertical="center"/>
    </xf>
    <xf numFmtId="176" fontId="0" fillId="20" borderId="90" xfId="0" applyNumberFormat="1" applyFill="1" applyBorder="1" applyAlignment="1">
      <alignment horizontal="center"/>
    </xf>
    <xf numFmtId="0" fontId="7" fillId="0" borderId="90" xfId="0" applyFont="1" applyBorder="1" applyAlignment="1">
      <alignment horizontal="center" vertical="center"/>
    </xf>
    <xf numFmtId="0" fontId="0" fillId="0" borderId="89" xfId="0" applyBorder="1"/>
    <xf numFmtId="178" fontId="0" fillId="0" borderId="89" xfId="3" applyNumberFormat="1" applyFont="1" applyBorder="1" applyAlignment="1">
      <alignment horizontal="center" vertical="center"/>
    </xf>
    <xf numFmtId="0" fontId="37" fillId="0" borderId="89" xfId="0" applyFont="1" applyBorder="1" applyAlignment="1">
      <alignment horizontal="right" vertical="center"/>
    </xf>
    <xf numFmtId="0" fontId="37" fillId="0" borderId="89" xfId="0" applyFont="1" applyBorder="1" applyAlignment="1">
      <alignment horizontal="center" vertical="center"/>
    </xf>
    <xf numFmtId="187" fontId="0" fillId="0" borderId="89" xfId="3" applyNumberFormat="1" applyFont="1" applyBorder="1" applyAlignment="1">
      <alignment horizontal="center" vertical="center"/>
    </xf>
    <xf numFmtId="188" fontId="0" fillId="0" borderId="89" xfId="0" applyNumberFormat="1" applyBorder="1" applyAlignment="1">
      <alignment horizontal="center"/>
    </xf>
    <xf numFmtId="176" fontId="0" fillId="0" borderId="89" xfId="0" applyNumberFormat="1" applyBorder="1" applyAlignment="1">
      <alignment horizontal="center"/>
    </xf>
    <xf numFmtId="0" fontId="0" fillId="0" borderId="89" xfId="0" applyBorder="1" applyAlignment="1">
      <alignment horizontal="center" vertical="center"/>
    </xf>
    <xf numFmtId="0" fontId="18" fillId="0" borderId="0" xfId="0" applyFont="1" applyAlignment="1">
      <alignment vertical="center"/>
    </xf>
    <xf numFmtId="176" fontId="0" fillId="0" borderId="0" xfId="3" applyNumberFormat="1" applyFont="1" applyBorder="1" applyAlignment="1" applyProtection="1">
      <alignment horizontal="center" vertical="center"/>
    </xf>
    <xf numFmtId="0" fontId="27" fillId="24" borderId="85" xfId="0" applyFont="1" applyFill="1" applyBorder="1" applyAlignment="1">
      <alignment horizontal="center" vertical="center" wrapText="1"/>
    </xf>
    <xf numFmtId="1" fontId="0" fillId="2" borderId="41" xfId="0" applyNumberFormat="1" applyFill="1" applyBorder="1" applyAlignment="1">
      <alignment horizontal="center" vertical="center"/>
    </xf>
    <xf numFmtId="0" fontId="0" fillId="2" borderId="40" xfId="0" applyFill="1" applyBorder="1" applyAlignment="1">
      <alignment horizontal="center"/>
    </xf>
    <xf numFmtId="0" fontId="2" fillId="0" borderId="53" xfId="0" applyFont="1" applyBorder="1" applyAlignment="1">
      <alignment vertical="center"/>
    </xf>
    <xf numFmtId="0" fontId="2" fillId="0" borderId="39" xfId="0" applyFont="1" applyBorder="1" applyAlignment="1">
      <alignment vertical="center"/>
    </xf>
    <xf numFmtId="0" fontId="0" fillId="0" borderId="4" xfId="0" applyBorder="1" applyAlignment="1">
      <alignment vertical="center"/>
    </xf>
    <xf numFmtId="0" fontId="0" fillId="0" borderId="6" xfId="0" applyBorder="1" applyAlignment="1">
      <alignment vertical="center"/>
    </xf>
    <xf numFmtId="0" fontId="0" fillId="0" borderId="71" xfId="0" applyBorder="1"/>
    <xf numFmtId="170" fontId="0" fillId="0" borderId="0" xfId="0" applyNumberFormat="1"/>
    <xf numFmtId="0" fontId="0" fillId="13" borderId="40" xfId="0" applyFill="1" applyBorder="1"/>
    <xf numFmtId="0" fontId="22" fillId="0" borderId="0" xfId="0" applyFont="1" applyAlignment="1">
      <alignment horizontal="center"/>
    </xf>
    <xf numFmtId="2" fontId="0" fillId="0" borderId="0" xfId="0" applyNumberFormat="1" applyAlignment="1">
      <alignment horizontal="left"/>
    </xf>
    <xf numFmtId="4" fontId="19" fillId="36" borderId="17" xfId="0" applyNumberFormat="1" applyFont="1" applyFill="1" applyBorder="1" applyAlignment="1">
      <alignment horizontal="center"/>
    </xf>
    <xf numFmtId="4" fontId="5" fillId="36" borderId="17" xfId="0" applyNumberFormat="1" applyFont="1" applyFill="1" applyBorder="1" applyAlignment="1">
      <alignment horizontal="center"/>
    </xf>
    <xf numFmtId="43" fontId="0" fillId="0" borderId="0" xfId="6" applyFont="1"/>
    <xf numFmtId="189" fontId="0" fillId="0" borderId="0" xfId="0" applyNumberFormat="1"/>
    <xf numFmtId="0" fontId="22" fillId="36" borderId="40" xfId="0" applyFont="1" applyFill="1" applyBorder="1"/>
    <xf numFmtId="164" fontId="38" fillId="0" borderId="3" xfId="0" applyNumberFormat="1" applyFont="1" applyBorder="1" applyAlignment="1">
      <alignment horizontal="center" vertical="center"/>
    </xf>
    <xf numFmtId="164" fontId="38" fillId="0" borderId="8" xfId="0" applyNumberFormat="1" applyFont="1" applyBorder="1" applyAlignment="1">
      <alignment horizontal="center" vertical="center"/>
    </xf>
    <xf numFmtId="0" fontId="0" fillId="13" borderId="31" xfId="0" applyFill="1" applyBorder="1" applyAlignment="1">
      <alignment horizontal="center"/>
    </xf>
    <xf numFmtId="0" fontId="0" fillId="13" borderId="40" xfId="0" applyFill="1" applyBorder="1" applyAlignment="1">
      <alignment horizontal="center"/>
    </xf>
    <xf numFmtId="0" fontId="0" fillId="13" borderId="41" xfId="0" applyFill="1" applyBorder="1" applyAlignment="1">
      <alignment horizontal="center"/>
    </xf>
    <xf numFmtId="0" fontId="7" fillId="27" borderId="6" xfId="0" quotePrefix="1" applyFont="1" applyFill="1" applyBorder="1" applyAlignment="1">
      <alignment horizontal="left" vertical="center"/>
    </xf>
    <xf numFmtId="167" fontId="20" fillId="22" borderId="0" xfId="0" applyNumberFormat="1" applyFont="1" applyFill="1" applyAlignment="1">
      <alignment horizontal="center"/>
    </xf>
    <xf numFmtId="2" fontId="20" fillId="22" borderId="0" xfId="0" applyNumberFormat="1" applyFont="1" applyFill="1" applyAlignment="1">
      <alignment horizontal="center"/>
    </xf>
    <xf numFmtId="1" fontId="6" fillId="32" borderId="26" xfId="0" applyNumberFormat="1" applyFont="1" applyFill="1" applyBorder="1" applyAlignment="1">
      <alignment horizontal="center" vertical="center"/>
    </xf>
    <xf numFmtId="0" fontId="2" fillId="13" borderId="31" xfId="0" applyFont="1" applyFill="1" applyBorder="1" applyAlignment="1">
      <alignment horizontal="center"/>
    </xf>
    <xf numFmtId="165" fontId="2" fillId="13" borderId="41" xfId="0" applyNumberFormat="1" applyFont="1" applyFill="1" applyBorder="1" applyAlignment="1">
      <alignment horizontal="right"/>
    </xf>
    <xf numFmtId="166" fontId="5" fillId="16" borderId="31" xfId="0" applyNumberFormat="1" applyFont="1" applyFill="1" applyBorder="1"/>
    <xf numFmtId="0" fontId="2" fillId="16" borderId="41" xfId="0" applyFont="1" applyFill="1" applyBorder="1"/>
    <xf numFmtId="2" fontId="0" fillId="16" borderId="7" xfId="0" applyNumberFormat="1" applyFill="1" applyBorder="1" applyAlignment="1">
      <alignment horizontal="center"/>
    </xf>
    <xf numFmtId="9" fontId="22" fillId="23" borderId="24" xfId="0" applyNumberFormat="1" applyFont="1" applyFill="1" applyBorder="1" applyAlignment="1">
      <alignment horizontal="center"/>
    </xf>
    <xf numFmtId="2" fontId="0" fillId="14" borderId="26" xfId="0" applyNumberFormat="1" applyFill="1" applyBorder="1" applyAlignment="1">
      <alignment horizontal="center"/>
    </xf>
    <xf numFmtId="1" fontId="0" fillId="0" borderId="20" xfId="0" applyNumberFormat="1" applyBorder="1"/>
    <xf numFmtId="1" fontId="0" fillId="0" borderId="38" xfId="0" applyNumberFormat="1" applyBorder="1"/>
    <xf numFmtId="165" fontId="39" fillId="0" borderId="24" xfId="0" applyNumberFormat="1" applyFont="1" applyBorder="1"/>
    <xf numFmtId="165" fontId="39" fillId="0" borderId="38" xfId="0" applyNumberFormat="1" applyFont="1" applyBorder="1"/>
    <xf numFmtId="165" fontId="39" fillId="10" borderId="66" xfId="0" applyNumberFormat="1" applyFont="1" applyFill="1" applyBorder="1"/>
    <xf numFmtId="0" fontId="0" fillId="0" borderId="21" xfId="0" applyBorder="1"/>
    <xf numFmtId="1" fontId="0" fillId="0" borderId="56" xfId="0" applyNumberFormat="1" applyBorder="1"/>
    <xf numFmtId="1" fontId="0" fillId="0" borderId="63" xfId="0" applyNumberFormat="1" applyBorder="1"/>
    <xf numFmtId="1" fontId="0" fillId="0" borderId="64" xfId="0" applyNumberFormat="1" applyBorder="1"/>
    <xf numFmtId="0" fontId="2" fillId="0" borderId="9" xfId="0" applyFont="1" applyBorder="1"/>
    <xf numFmtId="0" fontId="0" fillId="0" borderId="17" xfId="0" applyBorder="1" applyAlignment="1">
      <alignment horizontal="left"/>
    </xf>
    <xf numFmtId="167" fontId="0" fillId="0" borderId="24" xfId="1" applyNumberFormat="1" applyFont="1" applyBorder="1" applyAlignment="1">
      <alignment horizontal="center" vertical="center"/>
    </xf>
    <xf numFmtId="167" fontId="0" fillId="0" borderId="25" xfId="1" applyNumberFormat="1" applyFont="1" applyBorder="1" applyAlignment="1">
      <alignment horizontal="center" vertical="center"/>
    </xf>
    <xf numFmtId="167" fontId="0" fillId="0" borderId="28" xfId="1" applyNumberFormat="1" applyFont="1" applyBorder="1" applyAlignment="1">
      <alignment horizontal="center" vertical="center"/>
    </xf>
    <xf numFmtId="167" fontId="0" fillId="0" borderId="30" xfId="1" applyNumberFormat="1" applyFont="1" applyBorder="1" applyAlignment="1">
      <alignment horizontal="center" vertical="center"/>
    </xf>
    <xf numFmtId="9" fontId="11" fillId="0" borderId="0" xfId="1" applyFont="1" applyBorder="1"/>
    <xf numFmtId="0" fontId="4" fillId="0" borderId="41" xfId="0" applyFont="1" applyBorder="1" applyAlignment="1">
      <alignment horizontal="center"/>
    </xf>
    <xf numFmtId="0" fontId="0" fillId="0" borderId="39" xfId="0" applyBorder="1" applyAlignment="1">
      <alignment horizontal="left" vertical="center"/>
    </xf>
    <xf numFmtId="0" fontId="0" fillId="0" borderId="70" xfId="0" applyBorder="1" applyAlignment="1">
      <alignment horizontal="left" vertical="center"/>
    </xf>
    <xf numFmtId="0" fontId="6" fillId="0" borderId="46" xfId="0" applyFont="1" applyBorder="1"/>
    <xf numFmtId="0" fontId="6" fillId="0" borderId="22" xfId="0" applyFont="1" applyBorder="1"/>
    <xf numFmtId="0" fontId="0" fillId="0" borderId="44" xfId="0" applyBorder="1"/>
    <xf numFmtId="9" fontId="2" fillId="0" borderId="32" xfId="0" applyNumberFormat="1" applyFont="1" applyBorder="1"/>
    <xf numFmtId="0" fontId="20" fillId="33" borderId="4" xfId="0" applyFont="1" applyFill="1" applyBorder="1"/>
    <xf numFmtId="0" fontId="20" fillId="33" borderId="74" xfId="0" applyFont="1" applyFill="1" applyBorder="1"/>
    <xf numFmtId="0" fontId="20" fillId="10" borderId="14" xfId="0" applyFont="1" applyFill="1" applyBorder="1"/>
    <xf numFmtId="0" fontId="0" fillId="0" borderId="66" xfId="0" applyBorder="1"/>
    <xf numFmtId="9" fontId="0" fillId="42" borderId="86" xfId="1" applyFont="1" applyFill="1" applyBorder="1"/>
    <xf numFmtId="9" fontId="0" fillId="42" borderId="38" xfId="1" applyFont="1" applyFill="1" applyBorder="1"/>
    <xf numFmtId="9" fontId="1" fillId="42" borderId="38" xfId="1" applyFont="1" applyFill="1" applyBorder="1"/>
    <xf numFmtId="9" fontId="0" fillId="42" borderId="66" xfId="1" applyFont="1" applyFill="1" applyBorder="1"/>
    <xf numFmtId="0" fontId="2" fillId="20" borderId="1" xfId="0" applyFont="1" applyFill="1" applyBorder="1"/>
    <xf numFmtId="1" fontId="2" fillId="20" borderId="1" xfId="0" applyNumberFormat="1" applyFont="1" applyFill="1" applyBorder="1"/>
    <xf numFmtId="1" fontId="2" fillId="20" borderId="71" xfId="0" applyNumberFormat="1" applyFont="1" applyFill="1" applyBorder="1"/>
    <xf numFmtId="1" fontId="2" fillId="10" borderId="9" xfId="0" applyNumberFormat="1" applyFont="1" applyFill="1" applyBorder="1"/>
    <xf numFmtId="0" fontId="0" fillId="0" borderId="96" xfId="0" applyBorder="1"/>
    <xf numFmtId="0" fontId="0" fillId="0" borderId="97" xfId="0" applyBorder="1"/>
    <xf numFmtId="0" fontId="0" fillId="20" borderId="1" xfId="0" applyFill="1" applyBorder="1"/>
    <xf numFmtId="1" fontId="0" fillId="20" borderId="71" xfId="0" applyNumberFormat="1" applyFill="1" applyBorder="1"/>
    <xf numFmtId="1" fontId="0" fillId="10" borderId="9" xfId="0" applyNumberFormat="1" applyFill="1" applyBorder="1"/>
    <xf numFmtId="164" fontId="0" fillId="0" borderId="70" xfId="0" applyNumberFormat="1" applyBorder="1"/>
    <xf numFmtId="164" fontId="0" fillId="0" borderId="38" xfId="0" applyNumberFormat="1" applyBorder="1"/>
    <xf numFmtId="164" fontId="0" fillId="10" borderId="66" xfId="0" applyNumberFormat="1" applyFill="1" applyBorder="1"/>
    <xf numFmtId="0" fontId="2" fillId="20" borderId="1" xfId="0" applyFont="1" applyFill="1" applyBorder="1" applyAlignment="1">
      <alignment horizontal="left" vertical="center"/>
    </xf>
    <xf numFmtId="164" fontId="2" fillId="10" borderId="9" xfId="0" applyNumberFormat="1" applyFont="1" applyFill="1" applyBorder="1"/>
    <xf numFmtId="0" fontId="2" fillId="0" borderId="98" xfId="0" applyFont="1" applyBorder="1" applyAlignment="1">
      <alignment horizontal="left" vertical="center"/>
    </xf>
    <xf numFmtId="9" fontId="2" fillId="0" borderId="70" xfId="1" applyFont="1" applyBorder="1"/>
    <xf numFmtId="9" fontId="2" fillId="0" borderId="38" xfId="1" applyFont="1" applyBorder="1"/>
    <xf numFmtId="9" fontId="2" fillId="10" borderId="66" xfId="1" applyFont="1" applyFill="1" applyBorder="1"/>
    <xf numFmtId="0" fontId="0" fillId="29" borderId="96" xfId="0" applyFill="1" applyBorder="1"/>
    <xf numFmtId="0" fontId="0" fillId="29" borderId="3" xfId="0" applyFill="1" applyBorder="1"/>
    <xf numFmtId="0" fontId="0" fillId="29" borderId="97" xfId="0" applyFill="1" applyBorder="1"/>
    <xf numFmtId="0" fontId="0" fillId="20" borderId="1" xfId="0" applyFill="1" applyBorder="1" applyAlignment="1">
      <alignment horizontal="left" vertical="center"/>
    </xf>
    <xf numFmtId="1" fontId="0" fillId="20" borderId="1" xfId="0" applyNumberFormat="1" applyFill="1" applyBorder="1"/>
    <xf numFmtId="0" fontId="0" fillId="29" borderId="98" xfId="0" applyFill="1" applyBorder="1" applyAlignment="1">
      <alignment horizontal="left" vertical="center"/>
    </xf>
    <xf numFmtId="9" fontId="0" fillId="29" borderId="70" xfId="1" applyFont="1" applyFill="1" applyBorder="1"/>
    <xf numFmtId="9" fontId="0" fillId="29" borderId="38" xfId="1" applyFont="1" applyFill="1" applyBorder="1"/>
    <xf numFmtId="9" fontId="0" fillId="10" borderId="66" xfId="1" applyFont="1" applyFill="1" applyBorder="1"/>
    <xf numFmtId="167" fontId="0" fillId="0" borderId="0" xfId="1" applyNumberFormat="1" applyFont="1"/>
    <xf numFmtId="1" fontId="0" fillId="10" borderId="66" xfId="0" applyNumberFormat="1" applyFill="1" applyBorder="1"/>
    <xf numFmtId="0" fontId="0" fillId="0" borderId="1" xfId="0" applyBorder="1" applyAlignment="1">
      <alignment horizontal="left" vertical="center"/>
    </xf>
    <xf numFmtId="1" fontId="0" fillId="0" borderId="71" xfId="0" applyNumberFormat="1" applyBorder="1"/>
    <xf numFmtId="1" fontId="0" fillId="10" borderId="99" xfId="0" applyNumberFormat="1" applyFill="1" applyBorder="1"/>
    <xf numFmtId="0" fontId="0" fillId="0" borderId="98" xfId="0" applyBorder="1" applyAlignment="1">
      <alignment horizontal="left" vertical="center"/>
    </xf>
    <xf numFmtId="9" fontId="0" fillId="0" borderId="70" xfId="1" applyFont="1" applyFill="1" applyBorder="1"/>
    <xf numFmtId="9" fontId="0" fillId="0" borderId="38" xfId="1" applyFont="1" applyFill="1" applyBorder="1"/>
    <xf numFmtId="9" fontId="0" fillId="10" borderId="100" xfId="1" applyFont="1" applyFill="1" applyBorder="1"/>
    <xf numFmtId="0" fontId="0" fillId="43" borderId="98" xfId="0" applyFill="1" applyBorder="1" applyAlignment="1">
      <alignment horizontal="left" vertical="center"/>
    </xf>
    <xf numFmtId="9" fontId="0" fillId="26" borderId="70" xfId="1" applyFont="1" applyFill="1" applyBorder="1"/>
    <xf numFmtId="9" fontId="0" fillId="26" borderId="38" xfId="1" applyFont="1" applyFill="1" applyBorder="1"/>
    <xf numFmtId="9" fontId="0" fillId="26" borderId="66" xfId="1" applyFont="1" applyFill="1" applyBorder="1"/>
    <xf numFmtId="0" fontId="0" fillId="5" borderId="31" xfId="0" applyFill="1" applyBorder="1"/>
    <xf numFmtId="1" fontId="1" fillId="0" borderId="49" xfId="1" applyNumberFormat="1" applyFont="1" applyBorder="1" applyAlignment="1">
      <alignment horizontal="center" vertical="center"/>
    </xf>
    <xf numFmtId="1" fontId="1" fillId="0" borderId="45" xfId="1" applyNumberFormat="1" applyFont="1" applyBorder="1" applyAlignment="1">
      <alignment horizontal="center" vertical="center"/>
    </xf>
    <xf numFmtId="1" fontId="1" fillId="10" borderId="43" xfId="1" applyNumberFormat="1" applyFont="1" applyFill="1" applyBorder="1" applyAlignment="1">
      <alignment horizontal="center" vertical="center"/>
    </xf>
    <xf numFmtId="1" fontId="1" fillId="0" borderId="19" xfId="1" applyNumberFormat="1" applyFont="1" applyFill="1" applyBorder="1" applyAlignment="1">
      <alignment horizontal="center" vertical="center"/>
    </xf>
    <xf numFmtId="0" fontId="2" fillId="20" borderId="31" xfId="0" applyFont="1" applyFill="1" applyBorder="1" applyAlignment="1">
      <alignment horizontal="left" vertical="center"/>
    </xf>
    <xf numFmtId="164" fontId="2" fillId="10" borderId="42" xfId="0" applyNumberFormat="1" applyFont="1" applyFill="1" applyBorder="1"/>
    <xf numFmtId="1" fontId="1" fillId="0" borderId="62" xfId="1" applyNumberFormat="1" applyFont="1" applyBorder="1" applyAlignment="1">
      <alignment horizontal="center" vertical="center"/>
    </xf>
    <xf numFmtId="1" fontId="1" fillId="0" borderId="38" xfId="1" applyNumberFormat="1" applyFont="1" applyFill="1" applyBorder="1" applyAlignment="1">
      <alignment horizontal="center" vertical="center"/>
    </xf>
    <xf numFmtId="1" fontId="1" fillId="10" borderId="57" xfId="1" applyNumberFormat="1" applyFont="1" applyFill="1" applyBorder="1" applyAlignment="1">
      <alignment horizontal="center" vertical="center"/>
    </xf>
    <xf numFmtId="1" fontId="1" fillId="42" borderId="56" xfId="1" applyNumberFormat="1" applyFont="1" applyFill="1" applyBorder="1" applyAlignment="1">
      <alignment horizontal="center" vertical="center"/>
    </xf>
    <xf numFmtId="1" fontId="1" fillId="0" borderId="29" xfId="1" applyNumberFormat="1" applyFont="1" applyFill="1" applyBorder="1" applyAlignment="1">
      <alignment horizontal="center" vertical="center"/>
    </xf>
    <xf numFmtId="1" fontId="1" fillId="10" borderId="58" xfId="1" applyNumberFormat="1" applyFont="1" applyFill="1" applyBorder="1" applyAlignment="1">
      <alignment horizontal="center" vertical="center"/>
    </xf>
    <xf numFmtId="0" fontId="0" fillId="29" borderId="0" xfId="0" applyFill="1"/>
    <xf numFmtId="1" fontId="0" fillId="29" borderId="0" xfId="0" applyNumberFormat="1" applyFill="1"/>
    <xf numFmtId="0" fontId="0" fillId="5" borderId="1" xfId="0" applyFill="1" applyBorder="1"/>
    <xf numFmtId="1" fontId="0" fillId="0" borderId="35" xfId="0" applyNumberFormat="1" applyBorder="1"/>
    <xf numFmtId="0" fontId="0" fillId="20" borderId="70" xfId="0" applyFill="1" applyBorder="1"/>
    <xf numFmtId="1" fontId="0" fillId="20" borderId="70" xfId="0" applyNumberFormat="1" applyFill="1" applyBorder="1"/>
    <xf numFmtId="1" fontId="0" fillId="20" borderId="38" xfId="0" applyNumberFormat="1" applyFill="1" applyBorder="1"/>
    <xf numFmtId="1" fontId="0" fillId="20" borderId="25" xfId="0" applyNumberFormat="1" applyFill="1" applyBorder="1"/>
    <xf numFmtId="0" fontId="0" fillId="20" borderId="25" xfId="0" applyFill="1" applyBorder="1"/>
    <xf numFmtId="0" fontId="0" fillId="43" borderId="70" xfId="0" applyFill="1" applyBorder="1"/>
    <xf numFmtId="0" fontId="0" fillId="29" borderId="23" xfId="0" applyFill="1" applyBorder="1"/>
    <xf numFmtId="1" fontId="0" fillId="43" borderId="38" xfId="0" applyNumberFormat="1" applyFill="1" applyBorder="1"/>
    <xf numFmtId="1" fontId="0" fillId="29" borderId="25" xfId="0" applyNumberFormat="1" applyFill="1" applyBorder="1"/>
    <xf numFmtId="1" fontId="20" fillId="33" borderId="4" xfId="0" applyNumberFormat="1" applyFont="1" applyFill="1" applyBorder="1"/>
    <xf numFmtId="0" fontId="2" fillId="20" borderId="31" xfId="0" applyFont="1" applyFill="1" applyBorder="1" applyAlignment="1">
      <alignment horizontal="center"/>
    </xf>
    <xf numFmtId="1" fontId="2" fillId="20" borderId="13" xfId="0" applyNumberFormat="1" applyFont="1" applyFill="1" applyBorder="1" applyAlignment="1">
      <alignment horizontal="center"/>
    </xf>
    <xf numFmtId="0" fontId="20" fillId="10" borderId="42" xfId="0" applyFont="1" applyFill="1" applyBorder="1" applyAlignment="1">
      <alignment horizontal="center"/>
    </xf>
    <xf numFmtId="0" fontId="0" fillId="0" borderId="101" xfId="0" applyBorder="1"/>
    <xf numFmtId="0" fontId="0" fillId="0" borderId="76" xfId="0" applyBorder="1" applyAlignment="1">
      <alignment horizontal="left" vertical="center"/>
    </xf>
    <xf numFmtId="0" fontId="0" fillId="0" borderId="58" xfId="0" applyBorder="1" applyAlignment="1">
      <alignment horizontal="left" vertical="center"/>
    </xf>
    <xf numFmtId="0" fontId="2" fillId="0" borderId="66" xfId="0" applyFont="1" applyBorder="1"/>
    <xf numFmtId="166" fontId="2" fillId="42" borderId="86" xfId="0" applyNumberFormat="1" applyFont="1" applyFill="1" applyBorder="1"/>
    <xf numFmtId="166" fontId="2" fillId="0" borderId="38" xfId="0" applyNumberFormat="1" applyFont="1" applyBorder="1"/>
    <xf numFmtId="166" fontId="2" fillId="10" borderId="66" xfId="0" applyNumberFormat="1" applyFont="1" applyFill="1" applyBorder="1"/>
    <xf numFmtId="166" fontId="0" fillId="10" borderId="66" xfId="0" applyNumberFormat="1" applyFill="1" applyBorder="1"/>
    <xf numFmtId="166" fontId="0" fillId="0" borderId="86" xfId="0" applyNumberFormat="1" applyBorder="1"/>
    <xf numFmtId="166" fontId="0" fillId="0" borderId="38" xfId="0" applyNumberFormat="1" applyBorder="1"/>
    <xf numFmtId="0" fontId="16" fillId="0" borderId="6" xfId="0" applyFont="1" applyBorder="1" applyAlignment="1">
      <alignment horizontal="left" vertical="center"/>
    </xf>
    <xf numFmtId="1" fontId="2" fillId="0" borderId="56" xfId="1" applyNumberFormat="1" applyFont="1" applyFill="1" applyBorder="1" applyAlignment="1">
      <alignment horizontal="center" vertical="center"/>
    </xf>
    <xf numFmtId="1" fontId="2" fillId="0" borderId="69" xfId="1" applyNumberFormat="1" applyFont="1" applyFill="1" applyBorder="1" applyAlignment="1">
      <alignment horizontal="center" vertical="center"/>
    </xf>
    <xf numFmtId="1" fontId="2" fillId="0" borderId="64" xfId="1" applyNumberFormat="1" applyFont="1" applyFill="1" applyBorder="1" applyAlignment="1">
      <alignment horizontal="center" vertical="center"/>
    </xf>
    <xf numFmtId="1" fontId="2" fillId="10" borderId="26" xfId="1" applyNumberFormat="1" applyFont="1" applyFill="1" applyBorder="1" applyAlignment="1">
      <alignment horizontal="center" vertical="center"/>
    </xf>
    <xf numFmtId="9" fontId="1" fillId="0" borderId="17" xfId="1" applyFont="1" applyFill="1" applyBorder="1" applyAlignment="1">
      <alignment horizontal="center" vertical="center"/>
    </xf>
    <xf numFmtId="1" fontId="2" fillId="29" borderId="17" xfId="1" applyNumberFormat="1" applyFont="1" applyFill="1" applyBorder="1" applyAlignment="1">
      <alignment horizontal="center" vertical="center"/>
    </xf>
    <xf numFmtId="1" fontId="2" fillId="43" borderId="17" xfId="1" applyNumberFormat="1" applyFont="1" applyFill="1" applyBorder="1" applyAlignment="1">
      <alignment horizontal="center" vertical="center"/>
    </xf>
    <xf numFmtId="1" fontId="1" fillId="44" borderId="17" xfId="1" applyNumberFormat="1" applyFont="1" applyFill="1" applyBorder="1" applyAlignment="1">
      <alignment horizontal="center" vertical="center"/>
    </xf>
    <xf numFmtId="1" fontId="0" fillId="20" borderId="17" xfId="1" applyNumberFormat="1" applyFont="1" applyFill="1" applyBorder="1" applyAlignment="1">
      <alignment horizontal="center" vertical="center"/>
    </xf>
    <xf numFmtId="1" fontId="2" fillId="0" borderId="17" xfId="1" applyNumberFormat="1" applyFont="1" applyFill="1" applyBorder="1" applyAlignment="1">
      <alignment horizontal="center" vertical="center"/>
    </xf>
    <xf numFmtId="0" fontId="0" fillId="0" borderId="49" xfId="0" applyBorder="1" applyAlignment="1">
      <alignment horizontal="left" vertical="center"/>
    </xf>
    <xf numFmtId="1" fontId="1" fillId="10" borderId="46" xfId="1" applyNumberFormat="1" applyFont="1" applyFill="1" applyBorder="1" applyAlignment="1">
      <alignment horizontal="center" vertical="center"/>
    </xf>
    <xf numFmtId="0" fontId="0" fillId="0" borderId="19" xfId="0" applyBorder="1" applyAlignment="1">
      <alignment horizontal="left" vertical="center"/>
    </xf>
    <xf numFmtId="9" fontId="1" fillId="10" borderId="22" xfId="1" applyFont="1" applyFill="1" applyBorder="1" applyAlignment="1">
      <alignment horizontal="center" vertical="center"/>
    </xf>
    <xf numFmtId="0" fontId="2" fillId="43" borderId="19" xfId="0" applyFont="1" applyFill="1" applyBorder="1" applyAlignment="1">
      <alignment horizontal="left" vertical="center"/>
    </xf>
    <xf numFmtId="1" fontId="2" fillId="10" borderId="22" xfId="1" applyNumberFormat="1" applyFont="1" applyFill="1" applyBorder="1" applyAlignment="1">
      <alignment horizontal="center" vertical="center"/>
    </xf>
    <xf numFmtId="0" fontId="0" fillId="20" borderId="19" xfId="0" applyFill="1" applyBorder="1" applyAlignment="1">
      <alignment horizontal="left" vertical="center"/>
    </xf>
    <xf numFmtId="0" fontId="2" fillId="0" borderId="19" xfId="0" applyFont="1" applyBorder="1" applyAlignment="1">
      <alignment horizontal="left" vertical="center"/>
    </xf>
    <xf numFmtId="0" fontId="0" fillId="43" borderId="19" xfId="0" applyFill="1" applyBorder="1" applyAlignment="1">
      <alignment horizontal="left" vertical="center"/>
    </xf>
    <xf numFmtId="1" fontId="1" fillId="10" borderId="22" xfId="1" applyNumberFormat="1" applyFont="1" applyFill="1" applyBorder="1" applyAlignment="1">
      <alignment horizontal="center" vertical="center"/>
    </xf>
    <xf numFmtId="1" fontId="0" fillId="43" borderId="28" xfId="1" applyNumberFormat="1" applyFont="1" applyFill="1" applyBorder="1" applyAlignment="1">
      <alignment horizontal="center" vertical="center"/>
    </xf>
    <xf numFmtId="1" fontId="2" fillId="10" borderId="30" xfId="1" applyNumberFormat="1" applyFont="1" applyFill="1" applyBorder="1" applyAlignment="1">
      <alignment horizontal="center" vertical="center"/>
    </xf>
    <xf numFmtId="0" fontId="2" fillId="43" borderId="27" xfId="0" applyFont="1" applyFill="1" applyBorder="1" applyAlignment="1">
      <alignment horizontal="left" vertical="center"/>
    </xf>
    <xf numFmtId="0" fontId="2" fillId="0" borderId="42" xfId="0" applyFont="1" applyBorder="1" applyAlignment="1">
      <alignment horizontal="center" vertical="center"/>
    </xf>
    <xf numFmtId="166" fontId="0" fillId="0" borderId="66" xfId="0" applyNumberFormat="1" applyBorder="1"/>
    <xf numFmtId="0" fontId="2" fillId="29" borderId="102" xfId="0" applyFont="1" applyFill="1" applyBorder="1" applyAlignment="1">
      <alignment horizontal="left" vertical="center"/>
    </xf>
    <xf numFmtId="9" fontId="2" fillId="10" borderId="58" xfId="1" applyFont="1" applyFill="1" applyBorder="1"/>
    <xf numFmtId="9" fontId="2" fillId="29" borderId="39" xfId="1" applyFont="1" applyFill="1" applyBorder="1"/>
    <xf numFmtId="9" fontId="2" fillId="29" borderId="29" xfId="1" applyFont="1" applyFill="1" applyBorder="1"/>
    <xf numFmtId="0" fontId="2" fillId="20" borderId="39" xfId="0" applyFont="1" applyFill="1" applyBorder="1"/>
    <xf numFmtId="1" fontId="2" fillId="20" borderId="39" xfId="0" applyNumberFormat="1" applyFont="1" applyFill="1" applyBorder="1"/>
    <xf numFmtId="1" fontId="2" fillId="20" borderId="29" xfId="0" applyNumberFormat="1" applyFont="1" applyFill="1" applyBorder="1"/>
    <xf numFmtId="1" fontId="2" fillId="20" borderId="30" xfId="0" applyNumberFormat="1" applyFont="1" applyFill="1" applyBorder="1"/>
    <xf numFmtId="9" fontId="0" fillId="0" borderId="50" xfId="1" applyFont="1" applyBorder="1"/>
    <xf numFmtId="0" fontId="0" fillId="29" borderId="103" xfId="0" applyFill="1" applyBorder="1"/>
    <xf numFmtId="1" fontId="2" fillId="0" borderId="44" xfId="0" applyNumberFormat="1" applyFont="1" applyBorder="1"/>
    <xf numFmtId="9" fontId="2" fillId="0" borderId="50" xfId="1" applyFont="1" applyBorder="1"/>
    <xf numFmtId="0" fontId="2" fillId="29" borderId="58" xfId="0" applyFont="1" applyFill="1" applyBorder="1" applyAlignment="1">
      <alignment horizontal="left" vertical="center"/>
    </xf>
    <xf numFmtId="0" fontId="2" fillId="0" borderId="43" xfId="0" applyFont="1" applyBorder="1" applyAlignment="1">
      <alignment horizontal="left" vertical="center"/>
    </xf>
    <xf numFmtId="0" fontId="2" fillId="0" borderId="58" xfId="0" applyFont="1" applyBorder="1" applyAlignment="1">
      <alignment horizontal="left" vertical="center"/>
    </xf>
    <xf numFmtId="0" fontId="0" fillId="0" borderId="43" xfId="0" applyBorder="1" applyAlignment="1">
      <alignment horizontal="left" vertical="center"/>
    </xf>
    <xf numFmtId="1" fontId="0" fillId="0" borderId="44" xfId="0" applyNumberFormat="1" applyBorder="1"/>
    <xf numFmtId="0" fontId="0" fillId="0" borderId="103" xfId="0" applyBorder="1"/>
    <xf numFmtId="9" fontId="0" fillId="0" borderId="75" xfId="1" applyFont="1" applyBorder="1"/>
    <xf numFmtId="0" fontId="2" fillId="0" borderId="4" xfId="0" applyFont="1" applyBorder="1"/>
    <xf numFmtId="0" fontId="13" fillId="0" borderId="0" xfId="0" applyFont="1"/>
    <xf numFmtId="0" fontId="13" fillId="0" borderId="0" xfId="0" applyFont="1" applyAlignment="1">
      <alignment horizontal="center"/>
    </xf>
    <xf numFmtId="1" fontId="13" fillId="0" borderId="0" xfId="0" applyNumberFormat="1" applyFont="1" applyAlignment="1">
      <alignment horizontal="center"/>
    </xf>
    <xf numFmtId="1" fontId="14" fillId="0" borderId="41" xfId="0" applyNumberFormat="1" applyFont="1" applyBorder="1" applyAlignment="1">
      <alignment horizontal="center"/>
    </xf>
    <xf numFmtId="0" fontId="6" fillId="0" borderId="37" xfId="0" applyFont="1" applyBorder="1" applyAlignment="1">
      <alignment horizontal="center"/>
    </xf>
    <xf numFmtId="0" fontId="6" fillId="0" borderId="58" xfId="0" applyFont="1"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0" fillId="0" borderId="43" xfId="0" applyBorder="1" applyAlignment="1">
      <alignment horizontal="center"/>
    </xf>
    <xf numFmtId="0" fontId="13" fillId="0" borderId="3" xfId="0" applyFont="1" applyBorder="1" applyAlignment="1">
      <alignment horizontal="center"/>
    </xf>
    <xf numFmtId="0" fontId="13" fillId="0" borderId="41" xfId="0" applyFont="1" applyBorder="1" applyAlignment="1">
      <alignment horizontal="center"/>
    </xf>
    <xf numFmtId="0" fontId="13" fillId="0" borderId="0" xfId="1" applyNumberFormat="1" applyFont="1" applyBorder="1" applyAlignment="1">
      <alignment horizontal="center"/>
    </xf>
    <xf numFmtId="167" fontId="11" fillId="0" borderId="0" xfId="1" applyNumberFormat="1" applyFont="1" applyBorder="1" applyAlignment="1">
      <alignment horizontal="center"/>
    </xf>
    <xf numFmtId="9" fontId="11" fillId="0" borderId="0" xfId="1" applyFont="1" applyBorder="1" applyAlignment="1">
      <alignment horizontal="center"/>
    </xf>
    <xf numFmtId="0" fontId="11" fillId="0" borderId="0" xfId="0" applyFont="1" applyAlignment="1">
      <alignment horizontal="center"/>
    </xf>
    <xf numFmtId="0" fontId="0" fillId="0" borderId="0" xfId="0" quotePrefix="1" applyAlignment="1">
      <alignment horizontal="right"/>
    </xf>
    <xf numFmtId="0" fontId="22" fillId="0" borderId="0" xfId="0" quotePrefix="1" applyFont="1" applyAlignment="1">
      <alignment horizontal="right"/>
    </xf>
    <xf numFmtId="1" fontId="0" fillId="0" borderId="40" xfId="0" applyNumberFormat="1" applyBorder="1" applyAlignment="1">
      <alignment horizontal="center"/>
    </xf>
    <xf numFmtId="1" fontId="5" fillId="0" borderId="58" xfId="0" applyNumberFormat="1" applyFont="1" applyBorder="1" applyAlignment="1">
      <alignment horizontal="left"/>
    </xf>
    <xf numFmtId="9" fontId="13" fillId="0" borderId="57" xfId="0" applyNumberFormat="1" applyFont="1" applyBorder="1" applyAlignment="1">
      <alignment horizontal="left"/>
    </xf>
    <xf numFmtId="0" fontId="13" fillId="0" borderId="57" xfId="0" applyFont="1" applyBorder="1" applyAlignment="1">
      <alignment horizontal="left"/>
    </xf>
    <xf numFmtId="0" fontId="11" fillId="0" borderId="0" xfId="0" applyFont="1"/>
    <xf numFmtId="0" fontId="11" fillId="0" borderId="0" xfId="1" applyNumberFormat="1" applyFont="1" applyBorder="1" applyAlignment="1">
      <alignment horizontal="center"/>
    </xf>
    <xf numFmtId="0" fontId="41" fillId="0" borderId="0" xfId="0" applyFont="1"/>
    <xf numFmtId="0" fontId="17" fillId="0" borderId="0" xfId="0" applyFont="1"/>
    <xf numFmtId="0" fontId="17" fillId="0" borderId="5" xfId="0" applyFont="1" applyBorder="1"/>
    <xf numFmtId="0" fontId="42" fillId="0" borderId="0" xfId="1" applyNumberFormat="1" applyFont="1" applyBorder="1" applyAlignment="1">
      <alignment horizontal="center"/>
    </xf>
    <xf numFmtId="1" fontId="42" fillId="0" borderId="0" xfId="0" applyNumberFormat="1" applyFont="1" applyAlignment="1">
      <alignment horizontal="center"/>
    </xf>
    <xf numFmtId="9" fontId="42" fillId="0" borderId="0" xfId="0" applyNumberFormat="1" applyFont="1"/>
    <xf numFmtId="0" fontId="17" fillId="0" borderId="8" xfId="0" applyFont="1" applyBorder="1"/>
    <xf numFmtId="9" fontId="17" fillId="0" borderId="8" xfId="0" applyNumberFormat="1" applyFont="1" applyBorder="1"/>
    <xf numFmtId="9" fontId="42" fillId="0" borderId="8" xfId="0" applyNumberFormat="1" applyFont="1" applyBorder="1"/>
    <xf numFmtId="0" fontId="17" fillId="0" borderId="7" xfId="0" applyFont="1" applyBorder="1"/>
    <xf numFmtId="0" fontId="22" fillId="23" borderId="40" xfId="0" applyFont="1" applyFill="1" applyBorder="1" applyAlignment="1">
      <alignment horizontal="center"/>
    </xf>
    <xf numFmtId="166" fontId="3" fillId="9" borderId="37" xfId="0" applyNumberFormat="1" applyFont="1" applyFill="1" applyBorder="1"/>
    <xf numFmtId="170" fontId="6" fillId="9" borderId="16" xfId="0" applyNumberFormat="1" applyFont="1" applyFill="1" applyBorder="1"/>
    <xf numFmtId="170" fontId="6" fillId="9" borderId="17" xfId="0" applyNumberFormat="1" applyFont="1" applyFill="1" applyBorder="1"/>
    <xf numFmtId="191" fontId="6" fillId="36" borderId="19" xfId="0" applyNumberFormat="1" applyFont="1" applyFill="1" applyBorder="1" applyAlignment="1">
      <alignment horizontal="center"/>
    </xf>
    <xf numFmtId="2" fontId="0" fillId="10" borderId="16" xfId="0" applyNumberFormat="1" applyFill="1" applyBorder="1"/>
    <xf numFmtId="0" fontId="0" fillId="9" borderId="45" xfId="0" applyFill="1" applyBorder="1" applyAlignment="1">
      <alignment horizontal="center" vertical="center" wrapText="1"/>
    </xf>
    <xf numFmtId="0" fontId="6" fillId="0" borderId="0" xfId="0" applyFont="1" applyAlignment="1">
      <alignment vertical="center" wrapText="1"/>
    </xf>
    <xf numFmtId="0" fontId="6" fillId="0" borderId="0" xfId="0" applyFont="1" applyAlignment="1">
      <alignment horizontal="center" vertical="center" wrapText="1"/>
    </xf>
    <xf numFmtId="1" fontId="6" fillId="10" borderId="17" xfId="0" applyNumberFormat="1" applyFont="1" applyFill="1" applyBorder="1"/>
    <xf numFmtId="0" fontId="0" fillId="0" borderId="0" xfId="0" pivotButton="1" applyAlignment="1">
      <alignment wrapText="1"/>
    </xf>
    <xf numFmtId="2" fontId="6" fillId="9" borderId="21" xfId="0" applyNumberFormat="1" applyFont="1" applyFill="1" applyBorder="1"/>
    <xf numFmtId="0" fontId="0" fillId="11" borderId="31" xfId="0" applyFill="1" applyBorder="1"/>
    <xf numFmtId="0" fontId="0" fillId="11" borderId="40" xfId="0" applyFill="1" applyBorder="1"/>
    <xf numFmtId="0" fontId="0" fillId="11" borderId="41" xfId="0" applyFill="1" applyBorder="1" applyAlignment="1">
      <alignment horizontal="center"/>
    </xf>
    <xf numFmtId="0" fontId="11" fillId="0" borderId="37" xfId="0" applyFont="1" applyBorder="1" applyAlignment="1">
      <alignment horizontal="center"/>
    </xf>
    <xf numFmtId="9" fontId="11" fillId="0" borderId="17" xfId="0" applyNumberFormat="1" applyFont="1" applyBorder="1" applyAlignment="1">
      <alignment horizontal="center"/>
    </xf>
    <xf numFmtId="9" fontId="6" fillId="0" borderId="22" xfId="0" applyNumberFormat="1" applyFont="1" applyBorder="1" applyAlignment="1">
      <alignment horizontal="center"/>
    </xf>
    <xf numFmtId="0" fontId="0" fillId="11" borderId="3" xfId="0" applyFill="1" applyBorder="1" applyAlignment="1">
      <alignment horizontal="right"/>
    </xf>
    <xf numFmtId="0" fontId="0" fillId="11" borderId="2" xfId="0" applyFill="1" applyBorder="1" applyAlignment="1">
      <alignment horizontal="center" vertical="center"/>
    </xf>
    <xf numFmtId="165" fontId="0" fillId="11" borderId="5" xfId="0" applyNumberFormat="1" applyFill="1" applyBorder="1" applyAlignment="1">
      <alignment horizontal="center"/>
    </xf>
    <xf numFmtId="0" fontId="22" fillId="23" borderId="8" xfId="0" applyFont="1" applyFill="1" applyBorder="1" applyAlignment="1">
      <alignment horizontal="center"/>
    </xf>
    <xf numFmtId="0" fontId="0" fillId="11" borderId="0" xfId="0" applyFill="1" applyAlignment="1">
      <alignment horizontal="right"/>
    </xf>
    <xf numFmtId="0" fontId="0" fillId="11" borderId="6" xfId="0" applyFill="1" applyBorder="1" applyAlignment="1">
      <alignment horizontal="right"/>
    </xf>
    <xf numFmtId="9" fontId="0" fillId="0" borderId="37" xfId="1" applyFont="1" applyBorder="1"/>
    <xf numFmtId="165" fontId="0" fillId="0" borderId="37" xfId="0" applyNumberFormat="1" applyBorder="1"/>
    <xf numFmtId="165" fontId="0" fillId="16" borderId="75" xfId="0" applyNumberFormat="1" applyFill="1" applyBorder="1"/>
    <xf numFmtId="165" fontId="39" fillId="0" borderId="75" xfId="0" applyNumberFormat="1" applyFont="1" applyBorder="1"/>
    <xf numFmtId="0" fontId="39" fillId="0" borderId="58" xfId="0" applyFont="1" applyBorder="1"/>
    <xf numFmtId="0" fontId="39" fillId="0" borderId="31" xfId="0" applyFont="1" applyBorder="1"/>
    <xf numFmtId="165" fontId="39" fillId="0" borderId="10" xfId="0" applyNumberFormat="1" applyFont="1" applyBorder="1"/>
    <xf numFmtId="165" fontId="39" fillId="0" borderId="11" xfId="0" applyNumberFormat="1" applyFont="1" applyBorder="1"/>
    <xf numFmtId="165" fontId="39" fillId="0" borderId="13" xfId="0" applyNumberFormat="1" applyFont="1" applyBorder="1"/>
    <xf numFmtId="165" fontId="39" fillId="10" borderId="42" xfId="0" applyNumberFormat="1" applyFont="1" applyFill="1" applyBorder="1"/>
    <xf numFmtId="14" fontId="1" fillId="0" borderId="0" xfId="5" applyNumberFormat="1"/>
    <xf numFmtId="0" fontId="0" fillId="0" borderId="19" xfId="0"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xf>
    <xf numFmtId="0" fontId="0" fillId="0" borderId="45" xfId="0" applyBorder="1" applyAlignment="1">
      <alignment horizontal="center" vertical="center" wrapText="1"/>
    </xf>
    <xf numFmtId="0" fontId="0" fillId="0" borderId="62" xfId="0" applyBorder="1" applyAlignment="1">
      <alignment horizontal="center" vertical="center" wrapText="1"/>
    </xf>
    <xf numFmtId="164" fontId="3" fillId="9" borderId="37" xfId="0" applyNumberFormat="1" applyFont="1" applyFill="1" applyBorder="1"/>
    <xf numFmtId="0" fontId="0" fillId="0" borderId="105" xfId="0" applyBorder="1"/>
    <xf numFmtId="0" fontId="0" fillId="0" borderId="106" xfId="0" applyBorder="1"/>
    <xf numFmtId="0" fontId="0" fillId="0" borderId="104" xfId="0" applyBorder="1"/>
    <xf numFmtId="0" fontId="0" fillId="0" borderId="107" xfId="0" applyBorder="1"/>
    <xf numFmtId="0" fontId="0" fillId="0" borderId="108" xfId="0" applyBorder="1"/>
    <xf numFmtId="0" fontId="0" fillId="0" borderId="109" xfId="0" applyBorder="1"/>
    <xf numFmtId="0" fontId="2" fillId="3" borderId="46" xfId="0" applyFont="1" applyFill="1" applyBorder="1" applyAlignment="1">
      <alignment horizontal="center"/>
    </xf>
    <xf numFmtId="0" fontId="0" fillId="3" borderId="30" xfId="0" applyFill="1" applyBorder="1" applyAlignment="1">
      <alignment horizontal="center" vertical="center" wrapText="1"/>
    </xf>
    <xf numFmtId="2" fontId="2" fillId="3" borderId="18" xfId="0" applyNumberFormat="1" applyFont="1" applyFill="1" applyBorder="1" applyProtection="1">
      <protection locked="0"/>
    </xf>
    <xf numFmtId="2" fontId="2" fillId="3" borderId="22" xfId="0" applyNumberFormat="1" applyFont="1" applyFill="1" applyBorder="1" applyProtection="1">
      <protection locked="0"/>
    </xf>
    <xf numFmtId="165" fontId="0" fillId="17" borderId="42" xfId="0" applyNumberFormat="1" applyFill="1" applyBorder="1"/>
    <xf numFmtId="0" fontId="4" fillId="0" borderId="0" xfId="0" applyFont="1" applyAlignment="1" applyProtection="1">
      <alignment horizontal="left"/>
      <protection locked="0"/>
    </xf>
    <xf numFmtId="0" fontId="4" fillId="0" borderId="0" xfId="0" applyFont="1" applyProtection="1">
      <protection locked="0"/>
    </xf>
    <xf numFmtId="0" fontId="4" fillId="0" borderId="0" xfId="0" applyFont="1" applyAlignment="1" applyProtection="1">
      <alignment horizontal="center"/>
      <protection locked="0"/>
    </xf>
    <xf numFmtId="0" fontId="0" fillId="8" borderId="4" xfId="0" applyFill="1" applyBorder="1"/>
    <xf numFmtId="0" fontId="0" fillId="8" borderId="5" xfId="0" applyFill="1" applyBorder="1"/>
    <xf numFmtId="0" fontId="0" fillId="8" borderId="6" xfId="0" applyFill="1" applyBorder="1"/>
    <xf numFmtId="0" fontId="0" fillId="8" borderId="31" xfId="0" applyFill="1" applyBorder="1"/>
    <xf numFmtId="0" fontId="2" fillId="8" borderId="41" xfId="0" applyFont="1" applyFill="1" applyBorder="1"/>
    <xf numFmtId="0" fontId="6" fillId="31" borderId="37" xfId="0" applyFont="1" applyFill="1" applyBorder="1"/>
    <xf numFmtId="0" fontId="5" fillId="0" borderId="0" xfId="0" applyFont="1" applyProtection="1">
      <protection locked="0"/>
    </xf>
    <xf numFmtId="3" fontId="6" fillId="0" borderId="0" xfId="0" applyNumberFormat="1" applyFont="1"/>
    <xf numFmtId="1" fontId="6" fillId="0" borderId="0" xfId="0" applyNumberFormat="1" applyFont="1"/>
    <xf numFmtId="0" fontId="2" fillId="31" borderId="42" xfId="0" applyFont="1" applyFill="1" applyBorder="1"/>
    <xf numFmtId="9" fontId="4" fillId="31" borderId="43" xfId="0" applyNumberFormat="1" applyFont="1" applyFill="1" applyBorder="1" applyAlignment="1">
      <alignment horizontal="center" vertical="center" wrapText="1"/>
    </xf>
    <xf numFmtId="0" fontId="6" fillId="9" borderId="28" xfId="0" applyFont="1" applyFill="1" applyBorder="1" applyAlignment="1">
      <alignment horizontal="center" vertical="center" wrapText="1"/>
    </xf>
    <xf numFmtId="1" fontId="3" fillId="9" borderId="1" xfId="0" applyNumberFormat="1" applyFont="1" applyFill="1" applyBorder="1"/>
    <xf numFmtId="170" fontId="3" fillId="9" borderId="71" xfId="0" applyNumberFormat="1" applyFont="1" applyFill="1" applyBorder="1"/>
    <xf numFmtId="2" fontId="3" fillId="9" borderId="71" xfId="0" applyNumberFormat="1" applyFont="1" applyFill="1" applyBorder="1"/>
    <xf numFmtId="2" fontId="6" fillId="9" borderId="71" xfId="0" applyNumberFormat="1" applyFont="1" applyFill="1" applyBorder="1"/>
    <xf numFmtId="2" fontId="0" fillId="10" borderId="71" xfId="0" applyNumberFormat="1" applyFill="1" applyBorder="1"/>
    <xf numFmtId="1" fontId="3" fillId="9" borderId="70" xfId="0" applyNumberFormat="1" applyFont="1" applyFill="1" applyBorder="1"/>
    <xf numFmtId="1" fontId="3" fillId="9" borderId="38" xfId="0" applyNumberFormat="1" applyFont="1" applyFill="1" applyBorder="1"/>
    <xf numFmtId="2" fontId="6" fillId="9" borderId="38" xfId="0" applyNumberFormat="1" applyFont="1" applyFill="1" applyBorder="1"/>
    <xf numFmtId="2" fontId="3" fillId="9" borderId="38" xfId="0" applyNumberFormat="1" applyFont="1" applyFill="1" applyBorder="1"/>
    <xf numFmtId="164" fontId="0" fillId="9" borderId="71" xfId="0" applyNumberFormat="1" applyFill="1" applyBorder="1" applyAlignment="1">
      <alignment horizontal="center"/>
    </xf>
    <xf numFmtId="164" fontId="0" fillId="9" borderId="38" xfId="0" applyNumberFormat="1" applyFill="1" applyBorder="1" applyAlignment="1">
      <alignment horizontal="center"/>
    </xf>
    <xf numFmtId="166" fontId="6" fillId="9" borderId="71" xfId="0" applyNumberFormat="1" applyFont="1" applyFill="1" applyBorder="1"/>
    <xf numFmtId="166" fontId="6" fillId="9" borderId="18" xfId="0" applyNumberFormat="1" applyFont="1" applyFill="1" applyBorder="1" applyAlignment="1">
      <alignment horizontal="center"/>
    </xf>
    <xf numFmtId="166" fontId="0" fillId="9" borderId="18" xfId="0" applyNumberFormat="1" applyFill="1" applyBorder="1" applyAlignment="1">
      <alignment horizontal="center"/>
    </xf>
    <xf numFmtId="1" fontId="6" fillId="10" borderId="16" xfId="0" applyNumberFormat="1" applyFont="1" applyFill="1" applyBorder="1"/>
    <xf numFmtId="166" fontId="0" fillId="9" borderId="1" xfId="0" applyNumberFormat="1" applyFill="1" applyBorder="1" applyAlignment="1">
      <alignment horizontal="center" vertical="center"/>
    </xf>
    <xf numFmtId="166" fontId="0" fillId="9" borderId="70" xfId="0" applyNumberFormat="1" applyFill="1" applyBorder="1" applyAlignment="1">
      <alignment horizontal="center" vertical="center"/>
    </xf>
    <xf numFmtId="167" fontId="0" fillId="0" borderId="17" xfId="1" applyNumberFormat="1" applyFont="1" applyBorder="1" applyProtection="1"/>
    <xf numFmtId="167" fontId="0" fillId="0" borderId="24" xfId="1" applyNumberFormat="1" applyFont="1" applyBorder="1" applyProtection="1"/>
    <xf numFmtId="2" fontId="0" fillId="0" borderId="45" xfId="1" applyNumberFormat="1" applyFont="1" applyBorder="1" applyProtection="1"/>
    <xf numFmtId="2" fontId="0" fillId="0" borderId="17" xfId="1" applyNumberFormat="1" applyFont="1" applyBorder="1" applyProtection="1"/>
    <xf numFmtId="2" fontId="0" fillId="0" borderId="24" xfId="1" applyNumberFormat="1" applyFont="1" applyBorder="1" applyProtection="1"/>
    <xf numFmtId="0" fontId="20" fillId="45" borderId="106" xfId="0" applyFont="1" applyFill="1" applyBorder="1"/>
    <xf numFmtId="0" fontId="20" fillId="45" borderId="104" xfId="0" applyFont="1" applyFill="1" applyBorder="1" applyAlignment="1">
      <alignment wrapText="1"/>
    </xf>
    <xf numFmtId="0" fontId="20" fillId="45" borderId="105" xfId="0" applyFont="1" applyFill="1" applyBorder="1" applyAlignment="1">
      <alignment wrapText="1"/>
    </xf>
    <xf numFmtId="2" fontId="0" fillId="0" borderId="106" xfId="0" applyNumberFormat="1" applyBorder="1"/>
    <xf numFmtId="0" fontId="0" fillId="0" borderId="0" xfId="0" applyAlignment="1">
      <alignment horizontal="left" wrapText="1"/>
    </xf>
    <xf numFmtId="0" fontId="0" fillId="30" borderId="31" xfId="0" applyFill="1" applyBorder="1"/>
    <xf numFmtId="0" fontId="0" fillId="30" borderId="40" xfId="0" applyFill="1" applyBorder="1"/>
    <xf numFmtId="0" fontId="0" fillId="30" borderId="41" xfId="0" applyFill="1" applyBorder="1"/>
    <xf numFmtId="0" fontId="0" fillId="0" borderId="17" xfId="0" applyBorder="1" applyAlignment="1">
      <alignment horizontal="right" vertical="center"/>
    </xf>
    <xf numFmtId="0" fontId="44" fillId="11" borderId="17" xfId="0" applyFont="1" applyFill="1" applyBorder="1" applyAlignment="1">
      <alignment horizontal="center"/>
    </xf>
    <xf numFmtId="0" fontId="0" fillId="0" borderId="49" xfId="0" applyBorder="1" applyAlignment="1">
      <alignment horizontal="right" vertical="center"/>
    </xf>
    <xf numFmtId="0" fontId="0" fillId="0" borderId="45" xfId="0" applyBorder="1" applyAlignment="1">
      <alignment horizontal="right" vertical="center"/>
    </xf>
    <xf numFmtId="0" fontId="0" fillId="0" borderId="22" xfId="0" applyBorder="1" applyAlignment="1">
      <alignment horizontal="center"/>
    </xf>
    <xf numFmtId="0" fontId="0" fillId="0" borderId="19" xfId="0" applyBorder="1" applyAlignment="1">
      <alignment horizontal="right" vertical="center"/>
    </xf>
    <xf numFmtId="0" fontId="0" fillId="0" borderId="28" xfId="0" applyBorder="1" applyAlignment="1">
      <alignment horizontal="center"/>
    </xf>
    <xf numFmtId="0" fontId="44" fillId="11" borderId="28" xfId="0" applyFont="1" applyFill="1" applyBorder="1" applyAlignment="1">
      <alignment horizontal="center"/>
    </xf>
    <xf numFmtId="0" fontId="0" fillId="0" borderId="16" xfId="0" applyBorder="1" applyAlignment="1">
      <alignment horizontal="center"/>
    </xf>
    <xf numFmtId="0" fontId="0" fillId="0" borderId="18" xfId="0" applyBorder="1" applyAlignment="1">
      <alignment horizontal="center"/>
    </xf>
    <xf numFmtId="0" fontId="44" fillId="11" borderId="30" xfId="0" applyFont="1" applyFill="1" applyBorder="1" applyAlignment="1">
      <alignment horizontal="center"/>
    </xf>
    <xf numFmtId="0" fontId="6" fillId="0" borderId="46" xfId="0" applyFont="1" applyBorder="1" applyAlignment="1">
      <alignment horizontal="center" vertical="center"/>
    </xf>
    <xf numFmtId="0" fontId="6" fillId="0" borderId="22" xfId="0" applyFont="1" applyBorder="1" applyAlignment="1">
      <alignment horizontal="center"/>
    </xf>
    <xf numFmtId="0" fontId="6" fillId="0" borderId="22" xfId="0" applyFont="1" applyBorder="1" applyAlignment="1">
      <alignment horizontal="center" vertical="center"/>
    </xf>
    <xf numFmtId="0" fontId="6" fillId="0" borderId="30" xfId="0" applyFont="1" applyBorder="1" applyAlignment="1">
      <alignment horizontal="center"/>
    </xf>
    <xf numFmtId="0" fontId="44" fillId="0" borderId="0" xfId="0" applyFont="1" applyAlignment="1">
      <alignment horizontal="center" vertical="center"/>
    </xf>
    <xf numFmtId="0" fontId="44" fillId="0" borderId="0" xfId="0" applyFont="1" applyAlignment="1">
      <alignment horizontal="center"/>
    </xf>
    <xf numFmtId="0" fontId="0" fillId="0" borderId="53" xfId="0" applyBorder="1" applyAlignment="1">
      <alignment horizontal="center" vertical="center"/>
    </xf>
    <xf numFmtId="0" fontId="0" fillId="0" borderId="36" xfId="0" applyBorder="1" applyAlignment="1">
      <alignment horizontal="center" vertical="center"/>
    </xf>
    <xf numFmtId="0" fontId="0" fillId="0" borderId="39" xfId="0" applyBorder="1" applyAlignment="1">
      <alignment horizontal="center" vertic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44" fillId="11" borderId="51" xfId="0" applyFont="1" applyFill="1" applyBorder="1" applyAlignment="1">
      <alignment horizontal="center" vertical="center"/>
    </xf>
    <xf numFmtId="0" fontId="44" fillId="11" borderId="37" xfId="0" applyFont="1" applyFill="1" applyBorder="1" applyAlignment="1">
      <alignment horizontal="center" vertical="center"/>
    </xf>
    <xf numFmtId="0" fontId="44" fillId="11" borderId="50" xfId="0" applyFont="1" applyFill="1" applyBorder="1" applyAlignment="1">
      <alignment horizontal="center" vertical="center"/>
    </xf>
    <xf numFmtId="0" fontId="0" fillId="0" borderId="49" xfId="0" quotePrefix="1" applyBorder="1" applyAlignment="1">
      <alignment horizontal="center" vertical="center"/>
    </xf>
    <xf numFmtId="164" fontId="5" fillId="9" borderId="45" xfId="0" applyNumberFormat="1" applyFont="1" applyFill="1" applyBorder="1"/>
    <xf numFmtId="0" fontId="5" fillId="9" borderId="45" xfId="0" applyFont="1" applyFill="1" applyBorder="1"/>
    <xf numFmtId="164" fontId="5" fillId="9" borderId="17" xfId="0" applyNumberFormat="1" applyFont="1" applyFill="1" applyBorder="1"/>
    <xf numFmtId="0" fontId="5" fillId="9" borderId="17" xfId="0" applyFont="1" applyFill="1" applyBorder="1"/>
    <xf numFmtId="0" fontId="5" fillId="9" borderId="22" xfId="0" applyFont="1" applyFill="1" applyBorder="1"/>
    <xf numFmtId="0" fontId="36" fillId="0" borderId="45" xfId="0" applyFont="1" applyBorder="1" applyAlignment="1">
      <alignment horizontal="center"/>
    </xf>
    <xf numFmtId="0" fontId="36" fillId="0" borderId="17" xfId="0" applyFont="1" applyBorder="1" applyAlignment="1">
      <alignment horizontal="center"/>
    </xf>
    <xf numFmtId="0" fontId="36" fillId="0" borderId="28" xfId="0" applyFont="1" applyBorder="1" applyAlignment="1">
      <alignment horizontal="center"/>
    </xf>
    <xf numFmtId="0" fontId="2" fillId="0" borderId="45" xfId="0" applyFont="1" applyBorder="1" applyAlignment="1">
      <alignment horizontal="center"/>
    </xf>
    <xf numFmtId="0" fontId="2" fillId="0" borderId="17" xfId="0" applyFont="1" applyBorder="1" applyAlignment="1">
      <alignment horizontal="center"/>
    </xf>
    <xf numFmtId="0" fontId="2" fillId="0" borderId="28" xfId="0" applyFont="1" applyBorder="1" applyAlignment="1">
      <alignment horizontal="center"/>
    </xf>
    <xf numFmtId="0" fontId="36" fillId="0" borderId="46" xfId="0" applyFont="1" applyBorder="1" applyAlignment="1">
      <alignment horizontal="center"/>
    </xf>
    <xf numFmtId="0" fontId="36" fillId="0" borderId="22" xfId="0" applyFont="1" applyBorder="1" applyAlignment="1">
      <alignment horizontal="center"/>
    </xf>
    <xf numFmtId="0" fontId="36" fillId="0" borderId="30" xfId="0" applyFont="1" applyBorder="1" applyAlignment="1">
      <alignment horizontal="center"/>
    </xf>
    <xf numFmtId="2" fontId="0" fillId="44" borderId="19" xfId="0" applyNumberFormat="1" applyFill="1" applyBorder="1"/>
    <xf numFmtId="2" fontId="0" fillId="44" borderId="17" xfId="0" applyNumberFormat="1" applyFill="1" applyBorder="1"/>
    <xf numFmtId="2" fontId="0" fillId="44" borderId="22" xfId="0" applyNumberFormat="1" applyFill="1" applyBorder="1"/>
    <xf numFmtId="0" fontId="0" fillId="44" borderId="33" xfId="0" applyFill="1" applyBorder="1" applyAlignment="1">
      <alignment horizontal="center" vertical="center"/>
    </xf>
    <xf numFmtId="0" fontId="0" fillId="44" borderId="34" xfId="0" applyFill="1" applyBorder="1" applyAlignment="1">
      <alignment horizontal="center" vertical="center"/>
    </xf>
    <xf numFmtId="0" fontId="0" fillId="44" borderId="35" xfId="0" applyFill="1" applyBorder="1" applyAlignment="1">
      <alignment horizontal="center" vertical="center"/>
    </xf>
    <xf numFmtId="1" fontId="0" fillId="44" borderId="49" xfId="0" applyNumberFormat="1" applyFill="1" applyBorder="1"/>
    <xf numFmtId="1" fontId="0" fillId="44" borderId="45" xfId="0" applyNumberFormat="1" applyFill="1" applyBorder="1"/>
    <xf numFmtId="1" fontId="0" fillId="44" borderId="46" xfId="0" applyNumberFormat="1" applyFill="1" applyBorder="1"/>
    <xf numFmtId="1" fontId="0" fillId="44" borderId="19" xfId="0" applyNumberFormat="1" applyFill="1" applyBorder="1"/>
    <xf numFmtId="1" fontId="0" fillId="44" borderId="17" xfId="0" applyNumberFormat="1" applyFill="1" applyBorder="1"/>
    <xf numFmtId="1" fontId="0" fillId="44" borderId="22" xfId="0" applyNumberFormat="1" applyFill="1" applyBorder="1"/>
    <xf numFmtId="0" fontId="0" fillId="44" borderId="10" xfId="0" applyFill="1" applyBorder="1" applyAlignment="1">
      <alignment horizontal="center" vertical="center" wrapText="1"/>
    </xf>
    <xf numFmtId="0" fontId="0" fillId="44" borderId="12" xfId="0" applyFill="1" applyBorder="1" applyAlignment="1">
      <alignment horizontal="center" vertical="center" wrapText="1"/>
    </xf>
    <xf numFmtId="166" fontId="0" fillId="44" borderId="19" xfId="0" applyNumberFormat="1" applyFill="1" applyBorder="1"/>
    <xf numFmtId="164" fontId="0" fillId="44" borderId="18" xfId="0" applyNumberFormat="1" applyFill="1" applyBorder="1"/>
    <xf numFmtId="164" fontId="0" fillId="44" borderId="22" xfId="0" applyNumberFormat="1" applyFill="1" applyBorder="1"/>
    <xf numFmtId="0" fontId="0" fillId="0" borderId="0" xfId="7" applyFont="1"/>
    <xf numFmtId="0" fontId="1" fillId="0" borderId="0" xfId="7"/>
    <xf numFmtId="0" fontId="45" fillId="0" borderId="0" xfId="7" applyFont="1"/>
    <xf numFmtId="0" fontId="1" fillId="0" borderId="0" xfId="7" applyAlignment="1">
      <alignment horizontal="right"/>
    </xf>
    <xf numFmtId="0" fontId="9" fillId="0" borderId="0" xfId="7" applyFont="1"/>
    <xf numFmtId="0" fontId="10" fillId="0" borderId="0" xfId="2"/>
    <xf numFmtId="0" fontId="19" fillId="0" borderId="0" xfId="7" applyFont="1"/>
    <xf numFmtId="0" fontId="46" fillId="0" borderId="0" xfId="7" applyFont="1"/>
    <xf numFmtId="0" fontId="47" fillId="0" borderId="0" xfId="7" applyFont="1"/>
    <xf numFmtId="0" fontId="48" fillId="0" borderId="0" xfId="7" applyFont="1"/>
    <xf numFmtId="0" fontId="6" fillId="0" borderId="0" xfId="2" applyFont="1"/>
    <xf numFmtId="0" fontId="1" fillId="0" borderId="0" xfId="7" applyAlignment="1">
      <alignment horizontal="left"/>
    </xf>
    <xf numFmtId="0" fontId="22" fillId="36" borderId="41" xfId="0" applyFont="1" applyFill="1" applyBorder="1" applyAlignment="1">
      <alignment horizontal="center"/>
    </xf>
    <xf numFmtId="0" fontId="22" fillId="0" borderId="3" xfId="0" applyFont="1" applyBorder="1"/>
    <xf numFmtId="0" fontId="1" fillId="23" borderId="0" xfId="7" applyFill="1"/>
    <xf numFmtId="0" fontId="22" fillId="23" borderId="0" xfId="7" applyFont="1" applyFill="1"/>
    <xf numFmtId="0" fontId="0" fillId="23" borderId="0" xfId="7" applyFont="1" applyFill="1"/>
    <xf numFmtId="0" fontId="22" fillId="23" borderId="0" xfId="7" applyFont="1" applyFill="1" applyAlignment="1">
      <alignment horizontal="left"/>
    </xf>
    <xf numFmtId="0" fontId="5" fillId="0" borderId="0" xfId="7" applyFont="1"/>
    <xf numFmtId="0" fontId="2" fillId="0" borderId="0" xfId="7" applyFont="1"/>
    <xf numFmtId="0" fontId="44" fillId="23" borderId="0" xfId="7" applyFont="1" applyFill="1"/>
    <xf numFmtId="1" fontId="2" fillId="0" borderId="0" xfId="0" applyNumberFormat="1" applyFont="1"/>
    <xf numFmtId="0" fontId="0" fillId="0" borderId="0" xfId="0" pivotButton="1"/>
    <xf numFmtId="9" fontId="0" fillId="0" borderId="0" xfId="0" applyNumberFormat="1" applyAlignment="1">
      <alignment horizontal="left"/>
    </xf>
    <xf numFmtId="0" fontId="0" fillId="23" borderId="0" xfId="0" applyFill="1" applyAlignment="1">
      <alignment horizontal="left"/>
    </xf>
    <xf numFmtId="1" fontId="0" fillId="0" borderId="0" xfId="0" applyNumberFormat="1" applyAlignment="1">
      <alignment horizontal="left"/>
    </xf>
    <xf numFmtId="0" fontId="44" fillId="23" borderId="0" xfId="0" applyFont="1" applyFill="1" applyAlignment="1">
      <alignment horizontal="left"/>
    </xf>
    <xf numFmtId="0" fontId="6" fillId="0" borderId="0" xfId="7" applyFont="1"/>
    <xf numFmtId="1" fontId="2" fillId="0" borderId="4" xfId="0" applyNumberFormat="1" applyFont="1" applyBorder="1"/>
    <xf numFmtId="0" fontId="6" fillId="0" borderId="0" xfId="7" applyFont="1" applyAlignment="1">
      <alignment horizontal="left"/>
    </xf>
    <xf numFmtId="0" fontId="2" fillId="0" borderId="0" xfId="0" applyFont="1" applyAlignment="1">
      <alignment horizontal="left"/>
    </xf>
    <xf numFmtId="168" fontId="0" fillId="0" borderId="0" xfId="0" applyNumberFormat="1"/>
    <xf numFmtId="1" fontId="0" fillId="0" borderId="0" xfId="0" applyNumberFormat="1" applyAlignment="1">
      <alignment horizontal="center"/>
    </xf>
    <xf numFmtId="1" fontId="0" fillId="0" borderId="34" xfId="0" applyNumberFormat="1" applyBorder="1"/>
    <xf numFmtId="0" fontId="0" fillId="0" borderId="0" xfId="0" quotePrefix="1" applyAlignment="1">
      <alignment horizontal="center"/>
    </xf>
    <xf numFmtId="9" fontId="0" fillId="0" borderId="0" xfId="0" applyNumberFormat="1" applyAlignment="1">
      <alignment horizontal="center"/>
    </xf>
    <xf numFmtId="9" fontId="0" fillId="0" borderId="0" xfId="0" applyNumberFormat="1" applyAlignment="1">
      <alignment horizontal="right"/>
    </xf>
    <xf numFmtId="0" fontId="0" fillId="0" borderId="19" xfId="0" applyBorder="1" applyAlignment="1">
      <alignment horizontal="left" indent="1"/>
    </xf>
    <xf numFmtId="0" fontId="0" fillId="0" borderId="15" xfId="0" applyBorder="1" applyAlignment="1">
      <alignment horizontal="left" indent="1"/>
    </xf>
    <xf numFmtId="164" fontId="0" fillId="0" borderId="8" xfId="0" applyNumberFormat="1" applyBorder="1"/>
    <xf numFmtId="165" fontId="0" fillId="0" borderId="3" xfId="0" applyNumberFormat="1" applyBorder="1"/>
    <xf numFmtId="0" fontId="2" fillId="36" borderId="49" xfId="0" applyFont="1" applyFill="1" applyBorder="1"/>
    <xf numFmtId="0" fontId="2" fillId="36" borderId="19" xfId="0" applyFont="1" applyFill="1" applyBorder="1"/>
    <xf numFmtId="0" fontId="2" fillId="36" borderId="27" xfId="0" applyFont="1" applyFill="1" applyBorder="1"/>
    <xf numFmtId="0" fontId="2" fillId="8" borderId="54" xfId="0" applyFont="1" applyFill="1" applyBorder="1"/>
    <xf numFmtId="9" fontId="19" fillId="8" borderId="55" xfId="0" applyNumberFormat="1" applyFont="1" applyFill="1" applyBorder="1" applyAlignment="1">
      <alignment horizontal="center"/>
    </xf>
    <xf numFmtId="0" fontId="2" fillId="36" borderId="30" xfId="0" applyFont="1" applyFill="1" applyBorder="1" applyAlignment="1">
      <alignment horizontal="center"/>
    </xf>
    <xf numFmtId="165" fontId="0" fillId="0" borderId="70" xfId="0" applyNumberFormat="1" applyBorder="1"/>
    <xf numFmtId="0" fontId="5" fillId="3" borderId="24" xfId="0" applyFont="1" applyFill="1" applyBorder="1" applyAlignment="1" applyProtection="1">
      <alignment horizontal="center"/>
      <protection locked="0"/>
    </xf>
    <xf numFmtId="0" fontId="2" fillId="3" borderId="24" xfId="0" applyFont="1" applyFill="1" applyBorder="1" applyProtection="1">
      <protection locked="0"/>
    </xf>
    <xf numFmtId="2" fontId="2" fillId="3" borderId="25" xfId="0" applyNumberFormat="1" applyFont="1" applyFill="1" applyBorder="1" applyProtection="1">
      <protection locked="0"/>
    </xf>
    <xf numFmtId="9" fontId="4" fillId="3" borderId="23" xfId="0" applyNumberFormat="1" applyFont="1" applyFill="1" applyBorder="1" applyProtection="1">
      <protection locked="0"/>
    </xf>
    <xf numFmtId="9" fontId="4" fillId="3" borderId="24" xfId="0" applyNumberFormat="1" applyFont="1" applyFill="1" applyBorder="1" applyProtection="1">
      <protection locked="0"/>
    </xf>
    <xf numFmtId="9" fontId="4" fillId="3" borderId="25" xfId="0" applyNumberFormat="1" applyFont="1" applyFill="1" applyBorder="1" applyProtection="1">
      <protection locked="0"/>
    </xf>
    <xf numFmtId="0" fontId="4" fillId="9" borderId="23" xfId="0" applyFont="1" applyFill="1" applyBorder="1"/>
    <xf numFmtId="0" fontId="4" fillId="9" borderId="24" xfId="0" applyFont="1" applyFill="1" applyBorder="1"/>
    <xf numFmtId="164" fontId="5" fillId="9" borderId="24" xfId="0" applyNumberFormat="1" applyFont="1" applyFill="1" applyBorder="1"/>
    <xf numFmtId="0" fontId="5" fillId="9" borderId="24" xfId="0" applyFont="1" applyFill="1" applyBorder="1"/>
    <xf numFmtId="0" fontId="5" fillId="9" borderId="25" xfId="0" applyFont="1" applyFill="1" applyBorder="1"/>
    <xf numFmtId="1" fontId="3" fillId="9" borderId="75" xfId="0" applyNumberFormat="1" applyFont="1" applyFill="1" applyBorder="1"/>
    <xf numFmtId="170" fontId="6" fillId="9" borderId="24" xfId="0" applyNumberFormat="1" applyFont="1" applyFill="1" applyBorder="1"/>
    <xf numFmtId="1" fontId="3" fillId="9" borderId="24" xfId="0" applyNumberFormat="1" applyFont="1" applyFill="1" applyBorder="1"/>
    <xf numFmtId="2" fontId="6" fillId="9" borderId="74" xfId="0" applyNumberFormat="1" applyFont="1" applyFill="1" applyBorder="1"/>
    <xf numFmtId="2" fontId="0" fillId="10" borderId="34" xfId="0" applyNumberFormat="1" applyFill="1" applyBorder="1"/>
    <xf numFmtId="2" fontId="0" fillId="9" borderId="110" xfId="0" applyNumberFormat="1" applyFill="1" applyBorder="1"/>
    <xf numFmtId="166" fontId="0" fillId="9" borderId="110" xfId="0" applyNumberFormat="1" applyFill="1" applyBorder="1" applyAlignment="1">
      <alignment horizontal="center"/>
    </xf>
    <xf numFmtId="165" fontId="0" fillId="8" borderId="31" xfId="0" applyNumberFormat="1" applyFill="1" applyBorder="1"/>
    <xf numFmtId="0" fontId="5" fillId="3" borderId="11" xfId="0" applyFont="1" applyFill="1" applyBorder="1" applyAlignment="1">
      <alignment horizontal="center"/>
    </xf>
    <xf numFmtId="0" fontId="2" fillId="3" borderId="11" xfId="0" applyFont="1" applyFill="1" applyBorder="1"/>
    <xf numFmtId="2" fontId="2" fillId="3" borderId="12" xfId="0" applyNumberFormat="1" applyFont="1" applyFill="1" applyBorder="1"/>
    <xf numFmtId="9" fontId="3" fillId="3" borderId="10" xfId="0" applyNumberFormat="1" applyFont="1" applyFill="1" applyBorder="1"/>
    <xf numFmtId="9" fontId="3" fillId="3" borderId="11" xfId="0" applyNumberFormat="1" applyFont="1" applyFill="1" applyBorder="1"/>
    <xf numFmtId="9" fontId="3" fillId="3" borderId="12" xfId="0" applyNumberFormat="1" applyFont="1" applyFill="1" applyBorder="1"/>
    <xf numFmtId="0" fontId="3" fillId="9" borderId="10" xfId="0" applyFont="1" applyFill="1" applyBorder="1"/>
    <xf numFmtId="0" fontId="3" fillId="9" borderId="11" xfId="0" applyFont="1" applyFill="1" applyBorder="1"/>
    <xf numFmtId="164" fontId="6" fillId="9" borderId="11" xfId="0" applyNumberFormat="1" applyFont="1" applyFill="1" applyBorder="1"/>
    <xf numFmtId="0" fontId="6" fillId="9" borderId="11" xfId="0" applyFont="1" applyFill="1" applyBorder="1"/>
    <xf numFmtId="0" fontId="6" fillId="9" borderId="12" xfId="0" applyFont="1" applyFill="1" applyBorder="1"/>
    <xf numFmtId="1" fontId="0" fillId="10" borderId="11" xfId="0" applyNumberFormat="1" applyFill="1" applyBorder="1"/>
    <xf numFmtId="1" fontId="3" fillId="9" borderId="32" xfId="0" applyNumberFormat="1" applyFont="1" applyFill="1" applyBorder="1"/>
    <xf numFmtId="1" fontId="3" fillId="9" borderId="11" xfId="0" applyNumberFormat="1" applyFont="1" applyFill="1" applyBorder="1"/>
    <xf numFmtId="1" fontId="3" fillId="9" borderId="13" xfId="0" applyNumberFormat="1" applyFont="1" applyFill="1" applyBorder="1"/>
    <xf numFmtId="2" fontId="0" fillId="9" borderId="12" xfId="0" applyNumberFormat="1" applyFill="1" applyBorder="1"/>
    <xf numFmtId="169" fontId="0" fillId="9" borderId="13" xfId="0" applyNumberFormat="1" applyFill="1" applyBorder="1"/>
    <xf numFmtId="1" fontId="3" fillId="9" borderId="10" xfId="0" applyNumberFormat="1" applyFont="1" applyFill="1" applyBorder="1"/>
    <xf numFmtId="1" fontId="6" fillId="9" borderId="13" xfId="0" applyNumberFormat="1" applyFont="1" applyFill="1" applyBorder="1"/>
    <xf numFmtId="169" fontId="0" fillId="9" borderId="42" xfId="0" applyNumberFormat="1" applyFill="1" applyBorder="1"/>
    <xf numFmtId="0" fontId="0" fillId="36" borderId="56" xfId="0" applyFill="1" applyBorder="1"/>
    <xf numFmtId="2" fontId="0" fillId="36" borderId="63" xfId="0" applyNumberFormat="1" applyFill="1" applyBorder="1"/>
    <xf numFmtId="167" fontId="0" fillId="36" borderId="63" xfId="1" applyNumberFormat="1" applyFont="1" applyFill="1" applyBorder="1" applyProtection="1"/>
    <xf numFmtId="165" fontId="0" fillId="36" borderId="63" xfId="1" applyNumberFormat="1" applyFont="1" applyFill="1" applyBorder="1" applyAlignment="1" applyProtection="1">
      <alignment horizontal="center"/>
    </xf>
    <xf numFmtId="165" fontId="0" fillId="36" borderId="63" xfId="0" applyNumberFormat="1" applyFill="1" applyBorder="1" applyAlignment="1">
      <alignment horizontal="center"/>
    </xf>
    <xf numFmtId="165" fontId="0" fillId="36" borderId="64" xfId="0" applyNumberFormat="1" applyFill="1" applyBorder="1" applyAlignment="1">
      <alignment horizontal="center"/>
    </xf>
    <xf numFmtId="166" fontId="0" fillId="32" borderId="10" xfId="0" applyNumberFormat="1" applyFill="1" applyBorder="1"/>
    <xf numFmtId="166" fontId="0" fillId="32" borderId="11" xfId="0" applyNumberFormat="1" applyFill="1" applyBorder="1"/>
    <xf numFmtId="168" fontId="0" fillId="32" borderId="11" xfId="0" applyNumberFormat="1" applyFill="1" applyBorder="1"/>
    <xf numFmtId="167" fontId="0" fillId="32" borderId="11" xfId="1" applyNumberFormat="1" applyFont="1" applyFill="1" applyBorder="1" applyProtection="1"/>
    <xf numFmtId="2" fontId="0" fillId="32" borderId="11" xfId="1" applyNumberFormat="1" applyFont="1" applyFill="1" applyBorder="1" applyProtection="1"/>
    <xf numFmtId="2" fontId="0" fillId="32" borderId="11" xfId="0" applyNumberFormat="1" applyFill="1" applyBorder="1"/>
    <xf numFmtId="2" fontId="19" fillId="32" borderId="11" xfId="0" applyNumberFormat="1" applyFont="1" applyFill="1" applyBorder="1"/>
    <xf numFmtId="0" fontId="0" fillId="32" borderId="12" xfId="0" applyFill="1" applyBorder="1"/>
    <xf numFmtId="0" fontId="0" fillId="32" borderId="40" xfId="0" applyFill="1" applyBorder="1"/>
    <xf numFmtId="166" fontId="0" fillId="32" borderId="40" xfId="0" applyNumberFormat="1" applyFill="1" applyBorder="1"/>
    <xf numFmtId="165" fontId="0" fillId="32" borderId="40" xfId="0" applyNumberFormat="1" applyFill="1" applyBorder="1"/>
    <xf numFmtId="1" fontId="0" fillId="32" borderId="13" xfId="0" applyNumberFormat="1" applyFill="1" applyBorder="1"/>
    <xf numFmtId="0" fontId="43" fillId="0" borderId="40" xfId="5" applyFont="1" applyBorder="1"/>
    <xf numFmtId="0" fontId="43" fillId="0" borderId="41" xfId="5" applyFont="1" applyBorder="1"/>
    <xf numFmtId="2" fontId="0" fillId="0" borderId="29" xfId="0" applyNumberFormat="1" applyBorder="1"/>
    <xf numFmtId="2" fontId="0" fillId="3" borderId="69" xfId="0" applyNumberFormat="1" applyFill="1" applyBorder="1" applyProtection="1">
      <protection locked="0"/>
    </xf>
    <xf numFmtId="166" fontId="0" fillId="0" borderId="0" xfId="0" applyNumberFormat="1" applyAlignment="1">
      <alignment wrapText="1"/>
    </xf>
    <xf numFmtId="0" fontId="13" fillId="9" borderId="41" xfId="0" applyFont="1" applyFill="1" applyBorder="1"/>
    <xf numFmtId="0" fontId="5" fillId="0" borderId="0" xfId="0" applyFont="1" applyAlignment="1">
      <alignment horizontal="center"/>
    </xf>
    <xf numFmtId="2" fontId="0" fillId="0" borderId="0" xfId="0" applyNumberFormat="1" applyAlignment="1">
      <alignment horizontal="center"/>
    </xf>
    <xf numFmtId="167" fontId="0" fillId="0" borderId="0" xfId="0" applyNumberFormat="1" applyAlignment="1">
      <alignment horizontal="center"/>
    </xf>
    <xf numFmtId="0" fontId="0" fillId="0" borderId="37" xfId="0" applyBorder="1"/>
    <xf numFmtId="0" fontId="20" fillId="0" borderId="0" xfId="0" applyFont="1"/>
    <xf numFmtId="1" fontId="2" fillId="0" borderId="0" xfId="0" applyNumberFormat="1" applyFont="1" applyAlignment="1">
      <alignment horizontal="center"/>
    </xf>
    <xf numFmtId="0" fontId="0" fillId="0" borderId="11" xfId="0" applyBorder="1" applyAlignment="1">
      <alignment horizontal="right"/>
    </xf>
    <xf numFmtId="0" fontId="0" fillId="0" borderId="12" xfId="0" applyBorder="1" applyAlignment="1">
      <alignment horizontal="right"/>
    </xf>
    <xf numFmtId="0" fontId="0" fillId="36" borderId="0" xfId="0" applyFill="1"/>
    <xf numFmtId="9" fontId="0" fillId="0" borderId="29" xfId="1" applyFont="1" applyBorder="1"/>
    <xf numFmtId="0" fontId="0" fillId="36" borderId="40" xfId="0" applyFill="1" applyBorder="1"/>
    <xf numFmtId="1" fontId="0" fillId="36" borderId="40" xfId="0" applyNumberFormat="1" applyFill="1" applyBorder="1"/>
    <xf numFmtId="0" fontId="0" fillId="36" borderId="41" xfId="0" applyFill="1" applyBorder="1"/>
    <xf numFmtId="2" fontId="0" fillId="32" borderId="40" xfId="0" applyNumberFormat="1" applyFill="1" applyBorder="1"/>
    <xf numFmtId="1" fontId="0" fillId="0" borderId="51" xfId="0" applyNumberFormat="1" applyBorder="1"/>
    <xf numFmtId="0" fontId="22" fillId="0" borderId="0" xfId="0" applyFont="1"/>
    <xf numFmtId="0" fontId="50" fillId="0" borderId="0" xfId="0" applyFont="1" applyAlignment="1">
      <alignment horizontal="right" vertical="center"/>
    </xf>
    <xf numFmtId="1" fontId="50" fillId="0" borderId="0" xfId="0" applyNumberFormat="1" applyFont="1" applyAlignment="1">
      <alignment horizontal="right" vertical="center"/>
    </xf>
    <xf numFmtId="0" fontId="46" fillId="29" borderId="3" xfId="5" applyFont="1" applyFill="1" applyBorder="1" applyProtection="1">
      <protection locked="0"/>
    </xf>
    <xf numFmtId="0" fontId="0" fillId="29" borderId="0" xfId="5" applyFont="1" applyFill="1" applyProtection="1">
      <protection locked="0"/>
    </xf>
    <xf numFmtId="1" fontId="0" fillId="2" borderId="37" xfId="0" applyNumberFormat="1" applyFill="1" applyBorder="1" applyAlignment="1">
      <alignment horizontal="right"/>
    </xf>
    <xf numFmtId="0" fontId="0" fillId="2" borderId="75" xfId="0" applyFill="1" applyBorder="1"/>
    <xf numFmtId="0" fontId="0" fillId="2" borderId="87" xfId="0" applyFill="1" applyBorder="1" applyAlignment="1">
      <alignment horizontal="center"/>
    </xf>
    <xf numFmtId="9" fontId="0" fillId="2" borderId="87" xfId="1" applyFont="1" applyFill="1" applyBorder="1"/>
    <xf numFmtId="164" fontId="0" fillId="2" borderId="24" xfId="0" applyNumberFormat="1" applyFill="1" applyBorder="1"/>
    <xf numFmtId="164" fontId="0" fillId="2" borderId="38" xfId="0" applyNumberFormat="1" applyFill="1" applyBorder="1"/>
    <xf numFmtId="2" fontId="0" fillId="2" borderId="23" xfId="0" applyNumberFormat="1" applyFill="1" applyBorder="1"/>
    <xf numFmtId="2" fontId="0" fillId="2" borderId="24" xfId="0" applyNumberFormat="1" applyFill="1" applyBorder="1"/>
    <xf numFmtId="9" fontId="2" fillId="2" borderId="24" xfId="1" applyFont="1" applyFill="1" applyBorder="1"/>
    <xf numFmtId="165" fontId="2" fillId="2" borderId="25" xfId="0" applyNumberFormat="1" applyFont="1" applyFill="1" applyBorder="1"/>
    <xf numFmtId="2" fontId="0" fillId="2" borderId="75" xfId="0" applyNumberFormat="1" applyFill="1" applyBorder="1"/>
    <xf numFmtId="165" fontId="2" fillId="2" borderId="38" xfId="0" applyNumberFormat="1" applyFont="1" applyFill="1" applyBorder="1"/>
    <xf numFmtId="1" fontId="0" fillId="44" borderId="23" xfId="0" applyNumberFormat="1" applyFill="1" applyBorder="1"/>
    <xf numFmtId="1" fontId="0" fillId="44" borderId="24" xfId="0" applyNumberFormat="1" applyFill="1" applyBorder="1"/>
    <xf numFmtId="1" fontId="0" fillId="44" borderId="25" xfId="0" applyNumberFormat="1" applyFill="1" applyBorder="1"/>
    <xf numFmtId="166" fontId="0" fillId="44" borderId="23" xfId="0" applyNumberFormat="1" applyFill="1" applyBorder="1"/>
    <xf numFmtId="164" fontId="0" fillId="44" borderId="25" xfId="0" applyNumberFormat="1" applyFill="1" applyBorder="1"/>
    <xf numFmtId="0" fontId="0" fillId="2" borderId="32" xfId="0" applyFill="1" applyBorder="1"/>
    <xf numFmtId="0" fontId="0" fillId="2" borderId="32" xfId="0" applyFill="1" applyBorder="1" applyAlignment="1">
      <alignment horizontal="center"/>
    </xf>
    <xf numFmtId="164" fontId="0" fillId="2" borderId="11" xfId="0" applyNumberFormat="1" applyFill="1" applyBorder="1"/>
    <xf numFmtId="164" fontId="0" fillId="2" borderId="13" xfId="0" applyNumberFormat="1" applyFill="1" applyBorder="1"/>
    <xf numFmtId="0" fontId="0" fillId="36" borderId="13" xfId="0" applyFill="1" applyBorder="1"/>
    <xf numFmtId="9" fontId="4" fillId="36" borderId="12" xfId="0" applyNumberFormat="1" applyFont="1" applyFill="1" applyBorder="1" applyProtection="1">
      <protection locked="0"/>
    </xf>
    <xf numFmtId="1" fontId="0" fillId="21" borderId="10" xfId="0" applyNumberFormat="1" applyFill="1" applyBorder="1"/>
    <xf numFmtId="1" fontId="0" fillId="21" borderId="11" xfId="0" applyNumberFormat="1" applyFill="1" applyBorder="1"/>
    <xf numFmtId="1" fontId="0" fillId="21" borderId="12" xfId="0" applyNumberFormat="1" applyFill="1" applyBorder="1"/>
    <xf numFmtId="166" fontId="0" fillId="21" borderId="10" xfId="0" applyNumberFormat="1" applyFill="1" applyBorder="1"/>
    <xf numFmtId="164" fontId="0" fillId="21" borderId="12" xfId="0" applyNumberFormat="1" applyFill="1" applyBorder="1"/>
    <xf numFmtId="9" fontId="0" fillId="2" borderId="11" xfId="1" applyFont="1" applyFill="1" applyBorder="1"/>
    <xf numFmtId="0" fontId="5" fillId="36" borderId="10" xfId="0" applyFont="1" applyFill="1" applyBorder="1" applyProtection="1">
      <protection locked="0"/>
    </xf>
    <xf numFmtId="0" fontId="5" fillId="36" borderId="11" xfId="0" applyFont="1" applyFill="1" applyBorder="1" applyProtection="1">
      <protection locked="0"/>
    </xf>
    <xf numFmtId="0" fontId="0" fillId="36" borderId="20" xfId="5" applyFont="1" applyFill="1" applyBorder="1" applyProtection="1">
      <protection locked="0"/>
    </xf>
    <xf numFmtId="193" fontId="1" fillId="36" borderId="37" xfId="5" applyNumberFormat="1" applyFill="1" applyBorder="1" applyProtection="1">
      <protection locked="0"/>
    </xf>
    <xf numFmtId="0" fontId="1" fillId="36" borderId="3" xfId="5" applyFill="1" applyBorder="1" applyProtection="1">
      <protection locked="0"/>
    </xf>
    <xf numFmtId="0" fontId="1" fillId="36" borderId="2" xfId="5" applyFill="1" applyBorder="1" applyProtection="1">
      <protection locked="0"/>
    </xf>
    <xf numFmtId="0" fontId="1" fillId="36" borderId="4" xfId="5" applyFill="1" applyBorder="1" applyProtection="1">
      <protection locked="0"/>
    </xf>
    <xf numFmtId="0" fontId="1" fillId="36" borderId="0" xfId="5" applyFill="1" applyProtection="1">
      <protection locked="0"/>
    </xf>
    <xf numFmtId="0" fontId="1" fillId="36" borderId="5" xfId="5" applyFill="1" applyBorder="1" applyProtection="1">
      <protection locked="0"/>
    </xf>
    <xf numFmtId="0" fontId="46" fillId="36" borderId="0" xfId="5" applyFont="1" applyFill="1" applyProtection="1">
      <protection locked="0"/>
    </xf>
    <xf numFmtId="193" fontId="1" fillId="36" borderId="0" xfId="5" applyNumberFormat="1" applyFill="1" applyProtection="1">
      <protection locked="0"/>
    </xf>
    <xf numFmtId="0" fontId="1" fillId="36" borderId="6" xfId="5" applyFill="1" applyBorder="1" applyProtection="1">
      <protection locked="0"/>
    </xf>
    <xf numFmtId="0" fontId="1" fillId="36" borderId="8" xfId="5" applyFill="1" applyBorder="1" applyProtection="1">
      <protection locked="0"/>
    </xf>
    <xf numFmtId="193" fontId="1" fillId="36" borderId="8" xfId="5" applyNumberFormat="1" applyFill="1" applyBorder="1" applyProtection="1">
      <protection locked="0"/>
    </xf>
    <xf numFmtId="0" fontId="1" fillId="36" borderId="7" xfId="5" applyFill="1" applyBorder="1" applyProtection="1">
      <protection locked="0"/>
    </xf>
    <xf numFmtId="0" fontId="0" fillId="36" borderId="0" xfId="5" applyFont="1" applyFill="1" applyProtection="1">
      <protection locked="0"/>
    </xf>
    <xf numFmtId="0" fontId="4" fillId="25" borderId="56" xfId="0" applyFont="1" applyFill="1" applyBorder="1" applyProtection="1">
      <protection locked="0"/>
    </xf>
    <xf numFmtId="0" fontId="4" fillId="25" borderId="52" xfId="0" applyFont="1" applyFill="1" applyBorder="1" applyProtection="1">
      <protection locked="0"/>
    </xf>
    <xf numFmtId="0" fontId="5" fillId="36" borderId="63" xfId="0" applyFont="1" applyFill="1" applyBorder="1" applyAlignment="1" applyProtection="1">
      <alignment horizontal="center"/>
      <protection locked="0"/>
    </xf>
    <xf numFmtId="1" fontId="5" fillId="25" borderId="63" xfId="0" applyNumberFormat="1" applyFont="1" applyFill="1" applyBorder="1" applyProtection="1">
      <protection locked="0"/>
    </xf>
    <xf numFmtId="9" fontId="4" fillId="25" borderId="64" xfId="1" applyFont="1" applyFill="1" applyBorder="1" applyProtection="1">
      <protection locked="0"/>
    </xf>
    <xf numFmtId="9" fontId="6" fillId="36" borderId="63" xfId="1" applyFont="1" applyFill="1" applyBorder="1"/>
    <xf numFmtId="3" fontId="6" fillId="25" borderId="69" xfId="1" applyNumberFormat="1" applyFont="1" applyFill="1" applyBorder="1"/>
    <xf numFmtId="9" fontId="6" fillId="7" borderId="18" xfId="1" applyFont="1" applyFill="1" applyBorder="1"/>
    <xf numFmtId="9" fontId="6" fillId="7" borderId="22" xfId="1" applyFont="1" applyFill="1" applyBorder="1"/>
    <xf numFmtId="9" fontId="6" fillId="7" borderId="30" xfId="1" applyFont="1" applyFill="1" applyBorder="1"/>
    <xf numFmtId="0" fontId="4" fillId="23" borderId="15" xfId="0" applyFont="1" applyFill="1" applyBorder="1" applyProtection="1">
      <protection locked="0"/>
    </xf>
    <xf numFmtId="0" fontId="4" fillId="23" borderId="16" xfId="0" applyFont="1" applyFill="1" applyBorder="1" applyProtection="1">
      <protection locked="0"/>
    </xf>
    <xf numFmtId="0" fontId="4" fillId="23" borderId="19" xfId="0" applyFont="1" applyFill="1" applyBorder="1" applyProtection="1">
      <protection locked="0"/>
    </xf>
    <xf numFmtId="0" fontId="4" fillId="23" borderId="17" xfId="0" applyFont="1" applyFill="1" applyBorder="1" applyProtection="1">
      <protection locked="0"/>
    </xf>
    <xf numFmtId="0" fontId="4" fillId="23" borderId="17" xfId="0" applyFont="1" applyFill="1" applyBorder="1" applyAlignment="1" applyProtection="1">
      <alignment horizontal="center"/>
      <protection locked="0"/>
    </xf>
    <xf numFmtId="0" fontId="19" fillId="23" borderId="19" xfId="0" applyFont="1" applyFill="1" applyBorder="1" applyProtection="1">
      <protection locked="0"/>
    </xf>
    <xf numFmtId="0" fontId="4" fillId="23" borderId="27" xfId="0" applyFont="1" applyFill="1" applyBorder="1" applyProtection="1">
      <protection locked="0"/>
    </xf>
    <xf numFmtId="0" fontId="4" fillId="23" borderId="28" xfId="0" applyFont="1" applyFill="1" applyBorder="1" applyAlignment="1" applyProtection="1">
      <alignment horizontal="center"/>
      <protection locked="0"/>
    </xf>
    <xf numFmtId="1" fontId="4" fillId="23" borderId="16" xfId="0" applyNumberFormat="1" applyFont="1" applyFill="1" applyBorder="1" applyProtection="1">
      <protection locked="0"/>
    </xf>
    <xf numFmtId="1" fontId="4" fillId="23" borderId="17" xfId="0" applyNumberFormat="1" applyFont="1" applyFill="1" applyBorder="1" applyProtection="1">
      <protection locked="0"/>
    </xf>
    <xf numFmtId="9" fontId="4" fillId="23" borderId="17" xfId="1" applyFont="1" applyFill="1" applyBorder="1" applyProtection="1">
      <protection locked="0"/>
    </xf>
    <xf numFmtId="1" fontId="4" fillId="23" borderId="28" xfId="0" applyNumberFormat="1" applyFont="1" applyFill="1" applyBorder="1" applyProtection="1">
      <protection locked="0"/>
    </xf>
    <xf numFmtId="9" fontId="4" fillId="23" borderId="28" xfId="1" applyFont="1" applyFill="1" applyBorder="1" applyProtection="1">
      <protection locked="0"/>
    </xf>
    <xf numFmtId="0" fontId="0" fillId="0" borderId="26" xfId="0" applyBorder="1" applyAlignment="1">
      <alignment horizontal="center"/>
    </xf>
    <xf numFmtId="1" fontId="0" fillId="36" borderId="63" xfId="0" applyNumberFormat="1" applyFill="1" applyBorder="1" applyAlignment="1">
      <alignment horizontal="center"/>
    </xf>
    <xf numFmtId="0" fontId="4" fillId="23" borderId="49" xfId="0" applyFont="1" applyFill="1" applyBorder="1" applyProtection="1">
      <protection locked="0"/>
    </xf>
    <xf numFmtId="0" fontId="4" fillId="23" borderId="45" xfId="0" applyFont="1" applyFill="1" applyBorder="1" applyAlignment="1" applyProtection="1">
      <alignment horizontal="center"/>
      <protection locked="0"/>
    </xf>
    <xf numFmtId="1" fontId="4" fillId="23" borderId="45" xfId="0" applyNumberFormat="1" applyFont="1" applyFill="1" applyBorder="1" applyProtection="1">
      <protection locked="0"/>
    </xf>
    <xf numFmtId="9" fontId="4" fillId="23" borderId="45" xfId="1" applyFont="1" applyFill="1" applyBorder="1" applyProtection="1">
      <protection locked="0"/>
    </xf>
    <xf numFmtId="9" fontId="6" fillId="7" borderId="46" xfId="1" applyFont="1" applyFill="1" applyBorder="1"/>
    <xf numFmtId="0" fontId="0" fillId="7" borderId="31" xfId="0" applyFill="1" applyBorder="1" applyAlignment="1">
      <alignment horizontal="center" vertical="center" wrapText="1"/>
    </xf>
    <xf numFmtId="1" fontId="0" fillId="7" borderId="67" xfId="0" applyNumberFormat="1" applyFill="1" applyBorder="1" applyAlignment="1">
      <alignment horizontal="center"/>
    </xf>
    <xf numFmtId="1" fontId="0" fillId="7" borderId="83" xfId="0" applyNumberFormat="1" applyFill="1" applyBorder="1" applyAlignment="1">
      <alignment horizontal="center"/>
    </xf>
    <xf numFmtId="1" fontId="0" fillId="7" borderId="72" xfId="0" applyNumberFormat="1" applyFill="1" applyBorder="1" applyAlignment="1">
      <alignment horizontal="center"/>
    </xf>
    <xf numFmtId="3" fontId="4" fillId="23" borderId="17" xfId="1" applyNumberFormat="1" applyFont="1" applyFill="1" applyBorder="1"/>
    <xf numFmtId="0" fontId="4" fillId="23" borderId="19" xfId="0" applyFont="1" applyFill="1" applyBorder="1" applyAlignment="1" applyProtection="1">
      <alignment horizontal="center"/>
      <protection locked="0"/>
    </xf>
    <xf numFmtId="3" fontId="4" fillId="23" borderId="28" xfId="1" applyNumberFormat="1" applyFont="1" applyFill="1" applyBorder="1"/>
    <xf numFmtId="3" fontId="4" fillId="23" borderId="16" xfId="1" applyNumberFormat="1" applyFont="1" applyFill="1" applyBorder="1"/>
    <xf numFmtId="9" fontId="4" fillId="23" borderId="17" xfId="0" applyNumberFormat="1" applyFont="1" applyFill="1" applyBorder="1" applyProtection="1">
      <protection locked="0"/>
    </xf>
    <xf numFmtId="9" fontId="4" fillId="23" borderId="22" xfId="0" applyNumberFormat="1" applyFont="1" applyFill="1" applyBorder="1" applyProtection="1">
      <protection locked="0"/>
    </xf>
    <xf numFmtId="0" fontId="4" fillId="23" borderId="24" xfId="0" applyFont="1" applyFill="1" applyBorder="1" applyProtection="1">
      <protection locked="0"/>
    </xf>
    <xf numFmtId="9" fontId="4" fillId="23" borderId="24" xfId="0" applyNumberFormat="1" applyFont="1" applyFill="1" applyBorder="1" applyProtection="1">
      <protection locked="0"/>
    </xf>
    <xf numFmtId="9" fontId="4" fillId="23" borderId="25" xfId="0" applyNumberFormat="1" applyFont="1" applyFill="1" applyBorder="1" applyProtection="1">
      <protection locked="0"/>
    </xf>
    <xf numFmtId="0" fontId="0" fillId="36" borderId="21" xfId="0" applyFill="1" applyBorder="1"/>
    <xf numFmtId="0" fontId="0" fillId="36" borderId="67" xfId="0" applyFill="1" applyBorder="1"/>
    <xf numFmtId="0" fontId="0" fillId="36" borderId="74" xfId="0" applyFill="1" applyBorder="1"/>
    <xf numFmtId="9" fontId="4" fillId="23" borderId="16" xfId="0" applyNumberFormat="1" applyFont="1" applyFill="1" applyBorder="1" applyProtection="1">
      <protection locked="0"/>
    </xf>
    <xf numFmtId="9" fontId="4" fillId="23" borderId="18" xfId="0" applyNumberFormat="1" applyFont="1" applyFill="1" applyBorder="1" applyProtection="1">
      <protection locked="0"/>
    </xf>
    <xf numFmtId="0" fontId="0" fillId="0" borderId="31" xfId="0" applyBorder="1" applyAlignment="1">
      <alignment horizontal="right"/>
    </xf>
    <xf numFmtId="0" fontId="22" fillId="23" borderId="68" xfId="0" applyFont="1" applyFill="1" applyBorder="1" applyAlignment="1">
      <alignment horizontal="center"/>
    </xf>
    <xf numFmtId="0" fontId="22" fillId="23" borderId="83" xfId="0" applyFont="1" applyFill="1" applyBorder="1" applyAlignment="1">
      <alignment horizontal="center"/>
    </xf>
    <xf numFmtId="0" fontId="22" fillId="23" borderId="72" xfId="0" applyFont="1" applyFill="1" applyBorder="1" applyAlignment="1">
      <alignment horizontal="center"/>
    </xf>
    <xf numFmtId="0" fontId="2" fillId="23" borderId="8" xfId="0" applyFont="1" applyFill="1" applyBorder="1" applyAlignment="1">
      <alignment horizontal="center"/>
    </xf>
    <xf numFmtId="0" fontId="0" fillId="36" borderId="1" xfId="5" applyFont="1" applyFill="1" applyBorder="1" applyProtection="1">
      <protection locked="0"/>
    </xf>
    <xf numFmtId="0" fontId="0" fillId="16" borderId="33" xfId="0" applyFill="1" applyBorder="1" applyAlignment="1">
      <alignment horizontal="center" vertical="center" wrapText="1"/>
    </xf>
    <xf numFmtId="0" fontId="0" fillId="3" borderId="69" xfId="0" applyFill="1" applyBorder="1"/>
    <xf numFmtId="0" fontId="0" fillId="16" borderId="56" xfId="0" applyFill="1" applyBorder="1" applyAlignment="1">
      <alignment horizontal="center" vertical="center" wrapText="1"/>
    </xf>
    <xf numFmtId="0" fontId="0" fillId="16" borderId="63" xfId="0" applyFill="1" applyBorder="1" applyAlignment="1">
      <alignment vertical="center" wrapText="1"/>
    </xf>
    <xf numFmtId="0" fontId="0" fillId="16" borderId="63" xfId="0" applyFill="1" applyBorder="1" applyAlignment="1">
      <alignment horizontal="center" vertical="center" wrapText="1"/>
    </xf>
    <xf numFmtId="0" fontId="0" fillId="3" borderId="69" xfId="0" applyFill="1" applyBorder="1" applyAlignment="1">
      <alignment horizontal="center" vertical="center" wrapText="1"/>
    </xf>
    <xf numFmtId="0" fontId="0" fillId="42" borderId="69" xfId="0" applyFill="1" applyBorder="1"/>
    <xf numFmtId="0" fontId="0" fillId="42" borderId="8" xfId="0" applyFill="1" applyBorder="1"/>
    <xf numFmtId="0" fontId="0" fillId="42" borderId="52" xfId="0" applyFill="1" applyBorder="1"/>
    <xf numFmtId="0" fontId="0" fillId="3" borderId="8" xfId="0" applyFill="1" applyBorder="1"/>
    <xf numFmtId="0" fontId="0" fillId="3" borderId="52" xfId="0" applyFill="1" applyBorder="1"/>
    <xf numFmtId="0" fontId="0" fillId="9" borderId="0" xfId="0" applyFill="1" applyAlignment="1">
      <alignment horizontal="left"/>
    </xf>
    <xf numFmtId="14" fontId="0" fillId="0" borderId="0" xfId="0" applyNumberFormat="1"/>
    <xf numFmtId="0" fontId="0" fillId="16" borderId="0" xfId="0" applyFill="1" applyAlignment="1">
      <alignment horizontal="left"/>
    </xf>
    <xf numFmtId="0" fontId="0" fillId="3" borderId="0" xfId="0" applyFill="1" applyAlignment="1">
      <alignment horizontal="left"/>
    </xf>
    <xf numFmtId="0" fontId="0" fillId="3" borderId="0" xfId="0" applyFill="1"/>
    <xf numFmtId="0" fontId="0" fillId="42" borderId="0" xfId="0" applyFill="1"/>
    <xf numFmtId="14" fontId="0" fillId="42" borderId="0" xfId="0" applyNumberFormat="1" applyFill="1"/>
    <xf numFmtId="14" fontId="0" fillId="3" borderId="0" xfId="0" applyNumberFormat="1" applyFill="1"/>
    <xf numFmtId="0" fontId="2" fillId="0" borderId="41" xfId="0" applyFont="1" applyBorder="1"/>
    <xf numFmtId="6" fontId="0" fillId="0" borderId="0" xfId="0" applyNumberFormat="1"/>
    <xf numFmtId="9" fontId="6" fillId="0" borderId="0" xfId="0" applyNumberFormat="1" applyFont="1"/>
    <xf numFmtId="0" fontId="6" fillId="0" borderId="0" xfId="0" applyFont="1"/>
    <xf numFmtId="0" fontId="0" fillId="3" borderId="29" xfId="0" applyFill="1" applyBorder="1" applyAlignment="1">
      <alignment horizontal="center" vertical="center" wrapText="1"/>
    </xf>
    <xf numFmtId="0" fontId="7" fillId="23" borderId="9" xfId="0" applyFont="1" applyFill="1" applyBorder="1"/>
    <xf numFmtId="0" fontId="19" fillId="23" borderId="26" xfId="0" applyFont="1" applyFill="1" applyBorder="1" applyAlignment="1">
      <alignment horizontal="center"/>
    </xf>
    <xf numFmtId="0" fontId="7" fillId="23" borderId="26" xfId="0" applyFont="1" applyFill="1" applyBorder="1"/>
    <xf numFmtId="194" fontId="0" fillId="20" borderId="90" xfId="3" applyNumberFormat="1" applyFont="1" applyFill="1" applyBorder="1" applyAlignment="1">
      <alignment horizontal="center" vertical="center"/>
    </xf>
    <xf numFmtId="194" fontId="0" fillId="0" borderId="90" xfId="3" applyNumberFormat="1" applyFont="1" applyBorder="1" applyAlignment="1">
      <alignment horizontal="center" vertical="center"/>
    </xf>
    <xf numFmtId="0" fontId="0" fillId="0" borderId="27" xfId="0" applyBorder="1" applyAlignment="1">
      <alignment horizontal="center" vertical="center" wrapText="1"/>
    </xf>
    <xf numFmtId="0" fontId="0" fillId="0" borderId="20" xfId="0" applyBorder="1" applyAlignment="1">
      <alignment horizontal="center" vertical="center"/>
    </xf>
    <xf numFmtId="0" fontId="0" fillId="0" borderId="29" xfId="0" applyBorder="1" applyAlignment="1">
      <alignment horizontal="center" vertical="center"/>
    </xf>
    <xf numFmtId="0" fontId="0" fillId="21" borderId="16" xfId="0" applyFill="1" applyBorder="1"/>
    <xf numFmtId="0" fontId="0" fillId="21" borderId="17" xfId="0" applyFill="1" applyBorder="1" applyAlignment="1">
      <alignment horizontal="center" vertical="center"/>
    </xf>
    <xf numFmtId="0" fontId="0" fillId="21" borderId="17" xfId="0" applyFill="1" applyBorder="1"/>
    <xf numFmtId="0" fontId="0" fillId="21" borderId="22" xfId="0" applyFill="1" applyBorder="1" applyAlignment="1">
      <alignment horizontal="center" vertical="center"/>
    </xf>
    <xf numFmtId="0" fontId="0" fillId="21" borderId="28" xfId="0" applyFill="1" applyBorder="1" applyAlignment="1">
      <alignment horizontal="center" vertical="center"/>
    </xf>
    <xf numFmtId="0" fontId="0" fillId="21" borderId="28" xfId="0" applyFill="1" applyBorder="1"/>
    <xf numFmtId="0" fontId="0" fillId="21" borderId="30" xfId="0" applyFill="1" applyBorder="1" applyAlignment="1">
      <alignment horizontal="center" vertical="center"/>
    </xf>
    <xf numFmtId="0" fontId="0" fillId="21" borderId="24" xfId="0" applyFill="1" applyBorder="1"/>
    <xf numFmtId="0" fontId="0" fillId="14" borderId="22" xfId="0" applyFill="1" applyBorder="1" applyAlignment="1">
      <alignment horizontal="center" vertical="center"/>
    </xf>
    <xf numFmtId="0" fontId="6" fillId="0" borderId="28" xfId="0" applyFont="1" applyBorder="1" applyAlignment="1">
      <alignment horizontal="center"/>
    </xf>
    <xf numFmtId="0" fontId="0" fillId="0" borderId="40" xfId="0" applyBorder="1" applyAlignment="1">
      <alignment vertical="center"/>
    </xf>
    <xf numFmtId="0" fontId="0" fillId="21" borderId="45" xfId="0" applyFill="1" applyBorder="1" applyAlignment="1">
      <alignment horizontal="center" vertical="center"/>
    </xf>
    <xf numFmtId="0" fontId="0" fillId="21" borderId="45" xfId="0" applyFill="1" applyBorder="1"/>
    <xf numFmtId="0" fontId="0" fillId="21" borderId="46" xfId="0" applyFill="1" applyBorder="1" applyAlignment="1">
      <alignment horizontal="center" vertical="center"/>
    </xf>
    <xf numFmtId="0" fontId="0" fillId="0" borderId="34" xfId="0" applyBorder="1" applyAlignment="1">
      <alignment horizontal="center"/>
    </xf>
    <xf numFmtId="9" fontId="0" fillId="0" borderId="40" xfId="1" applyFont="1" applyFill="1" applyBorder="1" applyAlignment="1">
      <alignment horizontal="center" vertical="center"/>
    </xf>
    <xf numFmtId="9" fontId="0" fillId="0" borderId="40" xfId="0" applyNumberFormat="1" applyBorder="1"/>
    <xf numFmtId="9" fontId="0" fillId="21" borderId="16" xfId="1" applyFont="1" applyFill="1" applyBorder="1" applyAlignment="1">
      <alignment horizontal="center" vertical="center"/>
    </xf>
    <xf numFmtId="9" fontId="0" fillId="21" borderId="17" xfId="1" applyFont="1" applyFill="1" applyBorder="1" applyAlignment="1">
      <alignment horizontal="center" vertical="center"/>
    </xf>
    <xf numFmtId="9" fontId="0" fillId="21" borderId="24" xfId="1" applyFont="1" applyFill="1" applyBorder="1" applyAlignment="1">
      <alignment horizontal="center" vertical="center"/>
    </xf>
    <xf numFmtId="0" fontId="0" fillId="0" borderId="4" xfId="0" applyBorder="1" applyAlignment="1">
      <alignment horizontal="center" vertical="center" wrapText="1"/>
    </xf>
    <xf numFmtId="0" fontId="3" fillId="0" borderId="19" xfId="0" applyFont="1" applyBorder="1" applyAlignment="1">
      <alignment horizontal="center" vertical="center"/>
    </xf>
    <xf numFmtId="0" fontId="3" fillId="0" borderId="27" xfId="0" applyFont="1" applyBorder="1" applyAlignment="1">
      <alignment horizontal="center" vertical="center"/>
    </xf>
    <xf numFmtId="0" fontId="0" fillId="0" borderId="3" xfId="0" applyBorder="1" applyAlignment="1">
      <alignment vertical="center"/>
    </xf>
    <xf numFmtId="9" fontId="0" fillId="0" borderId="3" xfId="1" applyFont="1" applyFill="1" applyBorder="1" applyAlignment="1">
      <alignment horizontal="center" vertical="center"/>
    </xf>
    <xf numFmtId="9" fontId="0" fillId="0" borderId="3" xfId="0" applyNumberFormat="1" applyBorder="1"/>
    <xf numFmtId="0" fontId="0" fillId="0" borderId="8" xfId="0" applyBorder="1" applyAlignment="1">
      <alignment horizontal="center" vertical="center" wrapText="1"/>
    </xf>
    <xf numFmtId="0" fontId="0" fillId="0" borderId="8" xfId="0" applyBorder="1" applyAlignment="1">
      <alignment horizontal="center" vertical="center"/>
    </xf>
    <xf numFmtId="9" fontId="0" fillId="0" borderId="8" xfId="1" applyFont="1" applyFill="1" applyBorder="1" applyAlignment="1">
      <alignment horizontal="center" vertical="center"/>
    </xf>
    <xf numFmtId="9" fontId="0" fillId="0" borderId="8" xfId="0" applyNumberFormat="1" applyBorder="1"/>
    <xf numFmtId="9" fontId="0" fillId="0" borderId="45" xfId="1" applyFont="1" applyFill="1" applyBorder="1" applyAlignment="1">
      <alignment horizontal="center" vertical="center"/>
    </xf>
    <xf numFmtId="9" fontId="0" fillId="0" borderId="45" xfId="0" applyNumberFormat="1" applyBorder="1"/>
    <xf numFmtId="9" fontId="0" fillId="0" borderId="28" xfId="0" applyNumberFormat="1" applyBorder="1"/>
    <xf numFmtId="9" fontId="0" fillId="0" borderId="21" xfId="0" applyNumberFormat="1" applyBorder="1"/>
    <xf numFmtId="9" fontId="0" fillId="0" borderId="20" xfId="0" applyNumberFormat="1" applyBorder="1"/>
    <xf numFmtId="9" fontId="0" fillId="0" borderId="38" xfId="0" applyNumberFormat="1" applyBorder="1"/>
    <xf numFmtId="9" fontId="0" fillId="0" borderId="49" xfId="0" applyNumberFormat="1" applyBorder="1"/>
    <xf numFmtId="9" fontId="0" fillId="0" borderId="19" xfId="0" applyNumberFormat="1" applyBorder="1"/>
    <xf numFmtId="9" fontId="0" fillId="0" borderId="27" xfId="0" applyNumberFormat="1" applyBorder="1"/>
    <xf numFmtId="9" fontId="0" fillId="0" borderId="62" xfId="0" applyNumberFormat="1" applyBorder="1"/>
    <xf numFmtId="9" fontId="0" fillId="0" borderId="29" xfId="0" applyNumberFormat="1" applyBorder="1"/>
    <xf numFmtId="0" fontId="3" fillId="0" borderId="17" xfId="0" applyFont="1" applyBorder="1"/>
    <xf numFmtId="9" fontId="3" fillId="0" borderId="45" xfId="0" applyNumberFormat="1" applyFont="1" applyBorder="1"/>
    <xf numFmtId="0" fontId="3" fillId="0" borderId="28" xfId="0" applyFont="1" applyBorder="1"/>
    <xf numFmtId="9" fontId="0" fillId="21" borderId="21" xfId="0" applyNumberFormat="1" applyFill="1" applyBorder="1"/>
    <xf numFmtId="9" fontId="0" fillId="21" borderId="20" xfId="0" applyNumberFormat="1" applyFill="1" applyBorder="1"/>
    <xf numFmtId="9" fontId="0" fillId="21" borderId="38" xfId="0" applyNumberFormat="1" applyFill="1" applyBorder="1"/>
    <xf numFmtId="9" fontId="0" fillId="21" borderId="17" xfId="0" applyNumberFormat="1" applyFill="1" applyBorder="1"/>
    <xf numFmtId="9" fontId="0" fillId="21" borderId="49" xfId="0" applyNumberFormat="1" applyFill="1" applyBorder="1"/>
    <xf numFmtId="9" fontId="0" fillId="21" borderId="45" xfId="0" applyNumberFormat="1" applyFill="1" applyBorder="1"/>
    <xf numFmtId="0" fontId="0" fillId="21" borderId="46" xfId="0" applyFill="1" applyBorder="1"/>
    <xf numFmtId="9" fontId="0" fillId="21" borderId="19" xfId="0" applyNumberFormat="1" applyFill="1" applyBorder="1"/>
    <xf numFmtId="0" fontId="0" fillId="21" borderId="22" xfId="0" applyFill="1" applyBorder="1"/>
    <xf numFmtId="9" fontId="0" fillId="21" borderId="27" xfId="0" applyNumberFormat="1" applyFill="1" applyBorder="1"/>
    <xf numFmtId="9" fontId="0" fillId="21" borderId="28" xfId="0" applyNumberFormat="1" applyFill="1" applyBorder="1"/>
    <xf numFmtId="0" fontId="0" fillId="21" borderId="30" xfId="0" applyFill="1" applyBorder="1"/>
    <xf numFmtId="10" fontId="0" fillId="0" borderId="45" xfId="0" applyNumberFormat="1" applyBorder="1"/>
    <xf numFmtId="10" fontId="0" fillId="0" borderId="28" xfId="0" applyNumberFormat="1" applyBorder="1"/>
    <xf numFmtId="0" fontId="51" fillId="0" borderId="0" xfId="0" applyFont="1" applyAlignment="1">
      <alignment horizontal="right" vertical="center"/>
    </xf>
    <xf numFmtId="0" fontId="0" fillId="36" borderId="2" xfId="0" applyFill="1" applyBorder="1"/>
    <xf numFmtId="0" fontId="0" fillId="36" borderId="4" xfId="0" applyFill="1" applyBorder="1"/>
    <xf numFmtId="9" fontId="0" fillId="36" borderId="5" xfId="0" applyNumberFormat="1" applyFill="1" applyBorder="1"/>
    <xf numFmtId="1" fontId="0" fillId="36" borderId="4" xfId="0" applyNumberFormat="1" applyFill="1" applyBorder="1"/>
    <xf numFmtId="9" fontId="5" fillId="36" borderId="11" xfId="0" applyNumberFormat="1" applyFont="1" applyFill="1" applyBorder="1" applyProtection="1">
      <protection locked="0"/>
    </xf>
    <xf numFmtId="0" fontId="6" fillId="32" borderId="9" xfId="0" applyFont="1" applyFill="1" applyBorder="1" applyAlignment="1">
      <alignment horizontal="left" vertical="center"/>
    </xf>
    <xf numFmtId="0" fontId="46" fillId="0" borderId="0" xfId="0" applyFont="1"/>
    <xf numFmtId="0" fontId="0" fillId="0" borderId="56" xfId="0" applyBorder="1"/>
    <xf numFmtId="175" fontId="0" fillId="0" borderId="42" xfId="0" applyNumberFormat="1" applyBorder="1"/>
    <xf numFmtId="0" fontId="2" fillId="13" borderId="31" xfId="0" applyFont="1" applyFill="1" applyBorder="1"/>
    <xf numFmtId="0" fontId="0" fillId="13" borderId="49" xfId="0" applyFill="1" applyBorder="1"/>
    <xf numFmtId="1" fontId="0" fillId="13" borderId="46" xfId="0" applyNumberFormat="1" applyFill="1" applyBorder="1" applyAlignment="1">
      <alignment horizontal="center"/>
    </xf>
    <xf numFmtId="0" fontId="0" fillId="13" borderId="23" xfId="0" applyFill="1" applyBorder="1"/>
    <xf numFmtId="1" fontId="0" fillId="13" borderId="25" xfId="0" applyNumberFormat="1" applyFill="1" applyBorder="1" applyAlignment="1">
      <alignment horizontal="center"/>
    </xf>
    <xf numFmtId="190" fontId="0" fillId="13" borderId="49" xfId="0" applyNumberFormat="1" applyFill="1" applyBorder="1"/>
    <xf numFmtId="2" fontId="0" fillId="13" borderId="25" xfId="0" applyNumberFormat="1" applyFill="1" applyBorder="1" applyAlignment="1">
      <alignment horizontal="center"/>
    </xf>
    <xf numFmtId="0" fontId="0" fillId="13" borderId="10" xfId="0" applyFill="1" applyBorder="1"/>
    <xf numFmtId="1" fontId="0" fillId="13" borderId="12" xfId="0" applyNumberFormat="1" applyFill="1" applyBorder="1" applyAlignment="1">
      <alignment horizontal="center"/>
    </xf>
    <xf numFmtId="175" fontId="0" fillId="0" borderId="14" xfId="0" applyNumberFormat="1" applyBorder="1"/>
    <xf numFmtId="175" fontId="0" fillId="0" borderId="26" xfId="0" applyNumberFormat="1" applyBorder="1"/>
    <xf numFmtId="9" fontId="2" fillId="36" borderId="46" xfId="0" applyNumberFormat="1" applyFont="1" applyFill="1" applyBorder="1" applyAlignment="1">
      <alignment horizontal="center"/>
    </xf>
    <xf numFmtId="9" fontId="2" fillId="36" borderId="22" xfId="0" applyNumberFormat="1" applyFont="1" applyFill="1" applyBorder="1" applyAlignment="1">
      <alignment horizontal="center"/>
    </xf>
    <xf numFmtId="192" fontId="2" fillId="36" borderId="22" xfId="0" applyNumberFormat="1" applyFont="1" applyFill="1" applyBorder="1" applyAlignment="1">
      <alignment horizontal="center"/>
    </xf>
    <xf numFmtId="164" fontId="0" fillId="14" borderId="27" xfId="0" applyNumberFormat="1" applyFill="1" applyBorder="1"/>
    <xf numFmtId="164" fontId="0" fillId="14" borderId="28" xfId="0" applyNumberFormat="1" applyFill="1" applyBorder="1"/>
    <xf numFmtId="164" fontId="0" fillId="14" borderId="30" xfId="0" applyNumberFormat="1" applyFill="1" applyBorder="1"/>
    <xf numFmtId="0" fontId="0" fillId="3" borderId="0" xfId="0" applyFill="1" applyAlignment="1">
      <alignment horizontal="center"/>
    </xf>
    <xf numFmtId="0" fontId="0" fillId="0" borderId="83" xfId="0" applyBorder="1"/>
    <xf numFmtId="0" fontId="0" fillId="0" borderId="45" xfId="0" applyBorder="1" applyAlignment="1">
      <alignment horizontal="center" vertical="center"/>
    </xf>
    <xf numFmtId="4" fontId="6" fillId="9" borderId="25" xfId="0" applyNumberFormat="1" applyFont="1" applyFill="1" applyBorder="1" applyAlignment="1">
      <alignment horizontal="center" vertical="center"/>
    </xf>
    <xf numFmtId="4" fontId="6" fillId="9" borderId="18" xfId="0" applyNumberFormat="1" applyFont="1" applyFill="1" applyBorder="1" applyAlignment="1">
      <alignment horizontal="center" vertical="center"/>
    </xf>
    <xf numFmtId="4" fontId="6" fillId="13" borderId="14" xfId="0" applyNumberFormat="1" applyFont="1" applyFill="1" applyBorder="1" applyAlignment="1">
      <alignment horizontal="center" vertical="center"/>
    </xf>
    <xf numFmtId="4" fontId="6" fillId="36" borderId="23" xfId="0" applyNumberFormat="1" applyFont="1" applyFill="1" applyBorder="1" applyAlignment="1">
      <alignment horizontal="center" vertical="center"/>
    </xf>
    <xf numFmtId="4" fontId="6" fillId="36" borderId="15" xfId="0" applyNumberFormat="1" applyFont="1" applyFill="1" applyBorder="1" applyAlignment="1">
      <alignment horizontal="center" vertical="center"/>
    </xf>
    <xf numFmtId="3" fontId="5" fillId="36" borderId="24" xfId="0" applyNumberFormat="1" applyFont="1" applyFill="1" applyBorder="1" applyAlignment="1">
      <alignment horizontal="center" vertical="center"/>
    </xf>
    <xf numFmtId="3" fontId="5" fillId="36" borderId="16" xfId="0" applyNumberFormat="1" applyFont="1" applyFill="1" applyBorder="1" applyAlignment="1">
      <alignment horizontal="center" vertical="center"/>
    </xf>
    <xf numFmtId="4" fontId="5" fillId="36" borderId="24" xfId="0" applyNumberFormat="1" applyFont="1" applyFill="1" applyBorder="1" applyAlignment="1">
      <alignment horizontal="center" vertical="center"/>
    </xf>
    <xf numFmtId="4" fontId="5" fillId="36" borderId="16" xfId="0" applyNumberFormat="1" applyFont="1" applyFill="1" applyBorder="1" applyAlignment="1">
      <alignment horizontal="center" vertical="center"/>
    </xf>
    <xf numFmtId="3" fontId="22" fillId="23" borderId="24" xfId="0" applyNumberFormat="1" applyFont="1" applyFill="1" applyBorder="1" applyAlignment="1">
      <alignment horizontal="center" vertical="center"/>
    </xf>
    <xf numFmtId="3" fontId="22" fillId="23" borderId="16" xfId="0" applyNumberFormat="1" applyFont="1" applyFill="1" applyBorder="1" applyAlignment="1">
      <alignment horizontal="center" vertical="center"/>
    </xf>
    <xf numFmtId="9" fontId="22" fillId="23" borderId="24" xfId="0" applyNumberFormat="1" applyFont="1" applyFill="1" applyBorder="1" applyAlignment="1">
      <alignment horizontal="center" vertical="center"/>
    </xf>
    <xf numFmtId="9" fontId="22" fillId="23" borderId="16" xfId="0" applyNumberFormat="1" applyFont="1" applyFill="1" applyBorder="1" applyAlignment="1">
      <alignment horizontal="center" vertical="center"/>
    </xf>
    <xf numFmtId="0" fontId="0" fillId="0" borderId="4" xfId="0" applyBorder="1" applyAlignment="1">
      <alignment horizontal="center" vertical="center"/>
    </xf>
    <xf numFmtId="0" fontId="0" fillId="0" borderId="9" xfId="0" applyBorder="1" applyAlignment="1">
      <alignment horizontal="center" vertical="center"/>
    </xf>
    <xf numFmtId="0" fontId="0" fillId="0" borderId="26" xfId="0" applyBorder="1" applyAlignment="1">
      <alignment horizontal="center" vertical="center"/>
    </xf>
    <xf numFmtId="3" fontId="0" fillId="0" borderId="38" xfId="0" applyNumberFormat="1" applyBorder="1" applyAlignment="1">
      <alignment horizontal="center"/>
    </xf>
    <xf numFmtId="3" fontId="0" fillId="0" borderId="74" xfId="0" applyNumberFormat="1" applyBorder="1" applyAlignment="1">
      <alignment horizontal="center"/>
    </xf>
    <xf numFmtId="3" fontId="0" fillId="0" borderId="21" xfId="0" applyNumberFormat="1" applyBorder="1" applyAlignment="1">
      <alignment horizontal="center"/>
    </xf>
    <xf numFmtId="0" fontId="0" fillId="0" borderId="83" xfId="0" applyBorder="1" applyAlignment="1">
      <alignment horizontal="center"/>
    </xf>
    <xf numFmtId="0" fontId="0" fillId="0" borderId="37" xfId="0" applyBorder="1" applyAlignment="1">
      <alignment horizontal="center"/>
    </xf>
    <xf numFmtId="1" fontId="0" fillId="0" borderId="19" xfId="0" quotePrefix="1" applyNumberFormat="1" applyBorder="1" applyAlignment="1">
      <alignment horizontal="center" vertical="center"/>
    </xf>
    <xf numFmtId="1" fontId="0" fillId="0" borderId="17" xfId="0" applyNumberFormat="1" applyBorder="1" applyAlignment="1">
      <alignment horizontal="center"/>
    </xf>
    <xf numFmtId="1" fontId="0" fillId="0" borderId="22" xfId="0" applyNumberFormat="1" applyBorder="1" applyAlignment="1">
      <alignment horizontal="center"/>
    </xf>
    <xf numFmtId="1" fontId="0" fillId="0" borderId="17" xfId="0" applyNumberFormat="1" applyBorder="1" applyAlignment="1">
      <alignment horizontal="center" vertical="center"/>
    </xf>
    <xf numFmtId="1" fontId="0" fillId="0" borderId="22" xfId="0" applyNumberFormat="1" applyBorder="1" applyAlignment="1">
      <alignment horizontal="center" vertical="center"/>
    </xf>
    <xf numFmtId="0" fontId="0" fillId="25" borderId="15" xfId="0" applyFill="1" applyBorder="1"/>
    <xf numFmtId="1" fontId="0" fillId="25" borderId="16" xfId="0" applyNumberFormat="1" applyFill="1" applyBorder="1"/>
    <xf numFmtId="1" fontId="7" fillId="25" borderId="16" xfId="0" applyNumberFormat="1" applyFont="1" applyFill="1" applyBorder="1"/>
    <xf numFmtId="1" fontId="7" fillId="25" borderId="18" xfId="0" applyNumberFormat="1" applyFont="1" applyFill="1" applyBorder="1"/>
    <xf numFmtId="1" fontId="0" fillId="0" borderId="19" xfId="0" applyNumberFormat="1" applyBorder="1" applyAlignment="1">
      <alignment horizontal="center" vertical="center"/>
    </xf>
    <xf numFmtId="1" fontId="0" fillId="0" borderId="19" xfId="0" applyNumberFormat="1" applyBorder="1" applyAlignment="1">
      <alignment horizontal="center"/>
    </xf>
    <xf numFmtId="1" fontId="0" fillId="25" borderId="19" xfId="0" applyNumberFormat="1" applyFill="1" applyBorder="1"/>
    <xf numFmtId="1" fontId="0" fillId="25" borderId="17" xfId="0" applyNumberFormat="1" applyFill="1" applyBorder="1"/>
    <xf numFmtId="1" fontId="0" fillId="25" borderId="22" xfId="0" applyNumberFormat="1" applyFill="1" applyBorder="1"/>
    <xf numFmtId="164" fontId="0" fillId="0" borderId="19" xfId="0" applyNumberFormat="1" applyBorder="1" applyAlignment="1">
      <alignment horizontal="center" vertical="center"/>
    </xf>
    <xf numFmtId="164" fontId="0" fillId="0" borderId="17" xfId="0" applyNumberFormat="1" applyBorder="1" applyAlignment="1">
      <alignment horizontal="center" vertical="center"/>
    </xf>
    <xf numFmtId="164" fontId="0" fillId="0" borderId="22" xfId="0" applyNumberFormat="1" applyBorder="1" applyAlignment="1">
      <alignment horizontal="center" vertical="center"/>
    </xf>
    <xf numFmtId="164" fontId="0" fillId="0" borderId="19" xfId="0" applyNumberFormat="1" applyBorder="1" applyAlignment="1">
      <alignment horizontal="center"/>
    </xf>
    <xf numFmtId="164" fontId="0" fillId="0" borderId="17" xfId="0" applyNumberFormat="1" applyBorder="1" applyAlignment="1">
      <alignment horizontal="center"/>
    </xf>
    <xf numFmtId="164" fontId="0" fillId="0" borderId="22" xfId="0" applyNumberFormat="1" applyBorder="1" applyAlignment="1">
      <alignment horizontal="center"/>
    </xf>
    <xf numFmtId="165" fontId="6" fillId="11" borderId="7" xfId="0" applyNumberFormat="1" applyFont="1" applyFill="1" applyBorder="1" applyAlignment="1">
      <alignment horizontal="center"/>
    </xf>
    <xf numFmtId="0" fontId="23" fillId="0" borderId="19" xfId="0" applyFont="1" applyBorder="1" applyAlignment="1" applyProtection="1">
      <alignment horizontal="center"/>
      <protection locked="0"/>
    </xf>
    <xf numFmtId="14" fontId="23" fillId="0" borderId="17" xfId="0" applyNumberFormat="1" applyFont="1" applyBorder="1" applyAlignment="1" applyProtection="1">
      <alignment horizontal="center"/>
      <protection locked="0"/>
    </xf>
    <xf numFmtId="0" fontId="40" fillId="13" borderId="8" xfId="0" applyFont="1" applyFill="1" applyBorder="1" applyAlignment="1">
      <alignment horizontal="center"/>
    </xf>
    <xf numFmtId="0" fontId="16" fillId="13" borderId="8" xfId="0" applyFont="1" applyFill="1" applyBorder="1"/>
    <xf numFmtId="0" fontId="2" fillId="13" borderId="8" xfId="0" applyFont="1" applyFill="1" applyBorder="1"/>
    <xf numFmtId="0" fontId="0" fillId="13" borderId="8" xfId="0" applyFill="1" applyBorder="1"/>
    <xf numFmtId="0" fontId="40" fillId="13" borderId="8" xfId="0" applyFont="1" applyFill="1" applyBorder="1" applyAlignment="1">
      <alignment horizontal="left"/>
    </xf>
    <xf numFmtId="0" fontId="49" fillId="13" borderId="8" xfId="0" applyFont="1" applyFill="1" applyBorder="1" applyAlignment="1">
      <alignment horizontal="center"/>
    </xf>
    <xf numFmtId="0" fontId="16" fillId="13" borderId="7" xfId="0" applyFont="1" applyFill="1" applyBorder="1"/>
    <xf numFmtId="0" fontId="52" fillId="0" borderId="33" xfId="0" applyFont="1" applyBorder="1" applyAlignment="1" applyProtection="1">
      <alignment horizontal="center" vertical="center" wrapText="1"/>
      <protection locked="0"/>
    </xf>
    <xf numFmtId="0" fontId="52" fillId="0" borderId="34" xfId="0" applyFont="1" applyBorder="1" applyAlignment="1" applyProtection="1">
      <alignment horizontal="center" vertical="center"/>
      <protection locked="0"/>
    </xf>
    <xf numFmtId="0" fontId="16" fillId="13" borderId="6" xfId="0" applyFont="1" applyFill="1" applyBorder="1"/>
    <xf numFmtId="0" fontId="23" fillId="0" borderId="49" xfId="0" applyFont="1" applyBorder="1" applyAlignment="1" applyProtection="1">
      <alignment horizontal="center"/>
      <protection locked="0"/>
    </xf>
    <xf numFmtId="14" fontId="23" fillId="0" borderId="45" xfId="0" applyNumberFormat="1" applyFont="1" applyBorder="1" applyAlignment="1" applyProtection="1">
      <alignment horizontal="center"/>
      <protection locked="0"/>
    </xf>
    <xf numFmtId="1" fontId="0" fillId="0" borderId="27" xfId="0" applyNumberFormat="1" applyBorder="1" applyAlignment="1">
      <alignment horizontal="center"/>
    </xf>
    <xf numFmtId="0" fontId="0" fillId="0" borderId="0" xfId="0" applyAlignment="1">
      <alignment horizontal="right" vertical="center"/>
    </xf>
    <xf numFmtId="1" fontId="0" fillId="0" borderId="23" xfId="0" applyNumberFormat="1" applyBorder="1" applyAlignment="1">
      <alignment horizontal="center" vertical="center"/>
    </xf>
    <xf numFmtId="1" fontId="0" fillId="0" borderId="24" xfId="0" applyNumberFormat="1" applyBorder="1" applyAlignment="1">
      <alignment horizontal="center" vertical="center"/>
    </xf>
    <xf numFmtId="1" fontId="0" fillId="0" borderId="25" xfId="0" applyNumberFormat="1" applyBorder="1" applyAlignment="1">
      <alignment horizontal="center" vertical="center"/>
    </xf>
    <xf numFmtId="1" fontId="0" fillId="0" borderId="15" xfId="0" applyNumberFormat="1" applyBorder="1" applyAlignment="1">
      <alignment horizontal="center" vertical="center"/>
    </xf>
    <xf numFmtId="1" fontId="0" fillId="0" borderId="16" xfId="0" applyNumberFormat="1" applyBorder="1" applyAlignment="1">
      <alignment horizontal="center" vertical="center"/>
    </xf>
    <xf numFmtId="1" fontId="0" fillId="0" borderId="18" xfId="0" applyNumberFormat="1" applyBorder="1" applyAlignment="1">
      <alignment horizontal="center" vertical="center"/>
    </xf>
    <xf numFmtId="164" fontId="0" fillId="0" borderId="23" xfId="0" applyNumberFormat="1" applyBorder="1" applyAlignment="1">
      <alignment horizontal="center" vertical="center"/>
    </xf>
    <xf numFmtId="164" fontId="0" fillId="0" borderId="24" xfId="0" applyNumberFormat="1" applyBorder="1" applyAlignment="1">
      <alignment horizontal="center" vertical="center"/>
    </xf>
    <xf numFmtId="164" fontId="0" fillId="0" borderId="25" xfId="0" applyNumberFormat="1" applyBorder="1" applyAlignment="1">
      <alignment horizontal="center" vertical="center"/>
    </xf>
    <xf numFmtId="164" fontId="0" fillId="0" borderId="15" xfId="0" applyNumberFormat="1" applyBorder="1" applyAlignment="1">
      <alignment horizontal="center" vertical="center"/>
    </xf>
    <xf numFmtId="164" fontId="0" fillId="0" borderId="16" xfId="0" applyNumberFormat="1" applyBorder="1" applyAlignment="1">
      <alignment horizontal="center" vertical="center"/>
    </xf>
    <xf numFmtId="164" fontId="0" fillId="0" borderId="18" xfId="0" applyNumberFormat="1" applyBorder="1" applyAlignment="1">
      <alignment horizontal="center" vertical="center"/>
    </xf>
    <xf numFmtId="0" fontId="0" fillId="25" borderId="51" xfId="0" applyFill="1" applyBorder="1"/>
    <xf numFmtId="1" fontId="0" fillId="0" borderId="37" xfId="0" applyNumberFormat="1" applyBorder="1" applyAlignment="1">
      <alignment horizontal="center" vertical="center"/>
    </xf>
    <xf numFmtId="1" fontId="0" fillId="0" borderId="37" xfId="0" applyNumberFormat="1" applyBorder="1" applyAlignment="1">
      <alignment horizontal="center"/>
    </xf>
    <xf numFmtId="1" fontId="0" fillId="25" borderId="37" xfId="0" applyNumberFormat="1" applyFill="1" applyBorder="1"/>
    <xf numFmtId="1" fontId="0" fillId="0" borderId="37" xfId="0" applyNumberFormat="1" applyBorder="1"/>
    <xf numFmtId="1" fontId="0" fillId="0" borderId="50" xfId="0" applyNumberFormat="1" applyBorder="1"/>
    <xf numFmtId="0" fontId="0" fillId="0" borderId="43" xfId="0" applyBorder="1" applyAlignment="1">
      <alignment horizontal="right"/>
    </xf>
    <xf numFmtId="0" fontId="0" fillId="0" borderId="57" xfId="0" applyBorder="1" applyAlignment="1">
      <alignment horizontal="right"/>
    </xf>
    <xf numFmtId="0" fontId="0" fillId="0" borderId="58" xfId="0" applyBorder="1" applyAlignment="1">
      <alignment horizontal="right"/>
    </xf>
    <xf numFmtId="164" fontId="0" fillId="0" borderId="37" xfId="0" applyNumberFormat="1" applyBorder="1" applyAlignment="1">
      <alignment horizontal="center" vertical="center"/>
    </xf>
    <xf numFmtId="164" fontId="0" fillId="0" borderId="37" xfId="0" applyNumberFormat="1" applyBorder="1" applyAlignment="1">
      <alignment horizontal="center"/>
    </xf>
    <xf numFmtId="0" fontId="0" fillId="0" borderId="66" xfId="0" applyBorder="1" applyAlignment="1">
      <alignment horizontal="right"/>
    </xf>
    <xf numFmtId="1" fontId="0" fillId="0" borderId="75" xfId="0" applyNumberFormat="1" applyBorder="1" applyAlignment="1">
      <alignment horizontal="center"/>
    </xf>
    <xf numFmtId="1" fontId="0" fillId="0" borderId="24" xfId="0" applyNumberFormat="1" applyBorder="1" applyAlignment="1">
      <alignment horizontal="center"/>
    </xf>
    <xf numFmtId="1" fontId="0" fillId="0" borderId="25" xfId="0" applyNumberFormat="1" applyBorder="1" applyAlignment="1">
      <alignment horizontal="center"/>
    </xf>
    <xf numFmtId="1" fontId="0" fillId="0" borderId="11" xfId="0" applyNumberFormat="1" applyBorder="1" applyAlignment="1">
      <alignment horizontal="center"/>
    </xf>
    <xf numFmtId="1" fontId="0" fillId="0" borderId="12" xfId="0" applyNumberFormat="1" applyBorder="1" applyAlignment="1">
      <alignment horizontal="center"/>
    </xf>
    <xf numFmtId="0" fontId="0" fillId="0" borderId="42" xfId="0" applyBorder="1" applyAlignment="1">
      <alignment horizontal="right"/>
    </xf>
    <xf numFmtId="0" fontId="0" fillId="11" borderId="33" xfId="0" applyFill="1" applyBorder="1" applyAlignment="1">
      <alignment horizontal="center" vertical="center"/>
    </xf>
    <xf numFmtId="0" fontId="0" fillId="11" borderId="34" xfId="0" applyFill="1" applyBorder="1" applyAlignment="1">
      <alignment horizontal="center" vertical="center"/>
    </xf>
    <xf numFmtId="0" fontId="0" fillId="11" borderId="35" xfId="0" applyFill="1" applyBorder="1" applyAlignment="1">
      <alignment horizontal="center" vertical="center"/>
    </xf>
    <xf numFmtId="0" fontId="0" fillId="36" borderId="1" xfId="0" applyFill="1" applyBorder="1" applyAlignment="1">
      <alignment horizontal="right"/>
    </xf>
    <xf numFmtId="1" fontId="0" fillId="36" borderId="49" xfId="0" quotePrefix="1" applyNumberFormat="1" applyFill="1" applyBorder="1" applyAlignment="1">
      <alignment horizontal="center" vertical="center"/>
    </xf>
    <xf numFmtId="1" fontId="0" fillId="36" borderId="45" xfId="0" applyNumberFormat="1" applyFill="1" applyBorder="1" applyAlignment="1">
      <alignment horizontal="center"/>
    </xf>
    <xf numFmtId="1" fontId="0" fillId="36" borderId="46" xfId="0" applyNumberFormat="1" applyFill="1" applyBorder="1" applyAlignment="1">
      <alignment horizontal="center"/>
    </xf>
    <xf numFmtId="0" fontId="0" fillId="36" borderId="4" xfId="0" applyFill="1" applyBorder="1" applyAlignment="1">
      <alignment horizontal="right"/>
    </xf>
    <xf numFmtId="0" fontId="0" fillId="36" borderId="27" xfId="0" applyFill="1" applyBorder="1" applyAlignment="1">
      <alignment horizontal="center" vertical="center"/>
    </xf>
    <xf numFmtId="1" fontId="0" fillId="36" borderId="28" xfId="0" applyNumberFormat="1" applyFill="1" applyBorder="1" applyAlignment="1">
      <alignment horizontal="center" vertical="center"/>
    </xf>
    <xf numFmtId="1" fontId="0" fillId="36" borderId="30" xfId="0" applyNumberFormat="1" applyFill="1" applyBorder="1" applyAlignment="1">
      <alignment horizontal="center" vertical="center"/>
    </xf>
    <xf numFmtId="0" fontId="2" fillId="35" borderId="31" xfId="0" applyFont="1" applyFill="1" applyBorder="1"/>
    <xf numFmtId="0" fontId="2" fillId="35" borderId="40" xfId="0" applyFont="1" applyFill="1" applyBorder="1"/>
    <xf numFmtId="0" fontId="2" fillId="35" borderId="41" xfId="0" applyFont="1" applyFill="1" applyBorder="1"/>
    <xf numFmtId="0" fontId="53" fillId="9" borderId="40" xfId="0" applyFont="1" applyFill="1" applyBorder="1" applyAlignment="1">
      <alignment horizontal="center"/>
    </xf>
    <xf numFmtId="1" fontId="2" fillId="32" borderId="5" xfId="0" applyNumberFormat="1" applyFont="1" applyFill="1" applyBorder="1" applyAlignment="1">
      <alignment horizontal="center"/>
    </xf>
    <xf numFmtId="0" fontId="0" fillId="32" borderId="0" xfId="0" applyFill="1"/>
    <xf numFmtId="1" fontId="2" fillId="32" borderId="4" xfId="0" applyNumberFormat="1" applyFont="1" applyFill="1" applyBorder="1" applyAlignment="1">
      <alignment horizontal="center"/>
    </xf>
    <xf numFmtId="0" fontId="0" fillId="32" borderId="6" xfId="0" applyFill="1" applyBorder="1"/>
    <xf numFmtId="0" fontId="0" fillId="32" borderId="9" xfId="0" applyFill="1" applyBorder="1"/>
    <xf numFmtId="4" fontId="0" fillId="0" borderId="0" xfId="0" applyNumberFormat="1"/>
    <xf numFmtId="164" fontId="0" fillId="0" borderId="20" xfId="0" applyNumberFormat="1" applyBorder="1" applyAlignment="1">
      <alignment horizontal="center" vertical="center"/>
    </xf>
    <xf numFmtId="164" fontId="0" fillId="0" borderId="20" xfId="0" applyNumberFormat="1" applyBorder="1" applyAlignment="1">
      <alignment horizontal="center"/>
    </xf>
    <xf numFmtId="1" fontId="0" fillId="25" borderId="20" xfId="0" applyNumberFormat="1" applyFill="1" applyBorder="1"/>
    <xf numFmtId="1" fontId="0" fillId="0" borderId="29" xfId="0" applyNumberFormat="1" applyBorder="1"/>
    <xf numFmtId="3" fontId="0" fillId="0" borderId="57" xfId="0" applyNumberFormat="1" applyBorder="1" applyAlignment="1">
      <alignment horizontal="center" vertical="center"/>
    </xf>
    <xf numFmtId="3" fontId="0" fillId="25" borderId="57" xfId="0" applyNumberFormat="1" applyFill="1" applyBorder="1" applyAlignment="1">
      <alignment horizontal="center" vertical="center"/>
    </xf>
    <xf numFmtId="3" fontId="0" fillId="0" borderId="58" xfId="0" applyNumberFormat="1" applyBorder="1" applyAlignment="1">
      <alignment horizontal="center" vertical="center"/>
    </xf>
    <xf numFmtId="0" fontId="0" fillId="0" borderId="0" xfId="0" applyAlignment="1">
      <alignment vertical="center"/>
    </xf>
    <xf numFmtId="0" fontId="0" fillId="25" borderId="0" xfId="0" applyFill="1" applyAlignment="1">
      <alignment vertical="center"/>
    </xf>
    <xf numFmtId="1" fontId="0" fillId="0" borderId="32" xfId="0" applyNumberFormat="1" applyBorder="1" applyAlignment="1">
      <alignment horizontal="center"/>
    </xf>
    <xf numFmtId="1" fontId="0" fillId="0" borderId="42" xfId="0" applyNumberFormat="1" applyBorder="1" applyAlignment="1">
      <alignment horizontal="center"/>
    </xf>
    <xf numFmtId="3" fontId="0" fillId="0" borderId="9" xfId="0" applyNumberFormat="1" applyBorder="1" applyAlignment="1">
      <alignment horizontal="center" vertical="center"/>
    </xf>
    <xf numFmtId="3" fontId="0" fillId="0" borderId="76" xfId="0" applyNumberFormat="1" applyBorder="1" applyAlignment="1">
      <alignment horizontal="center" vertical="center"/>
    </xf>
    <xf numFmtId="164" fontId="0" fillId="0" borderId="38" xfId="0" applyNumberFormat="1" applyBorder="1" applyAlignment="1">
      <alignment horizontal="center" vertical="center"/>
    </xf>
    <xf numFmtId="164" fontId="0" fillId="0" borderId="21" xfId="0" applyNumberFormat="1" applyBorder="1" applyAlignment="1">
      <alignment horizontal="center" vertical="center"/>
    </xf>
    <xf numFmtId="1" fontId="0" fillId="0" borderId="23" xfId="0" applyNumberFormat="1" applyBorder="1" applyAlignment="1">
      <alignment horizontal="center"/>
    </xf>
    <xf numFmtId="1" fontId="0" fillId="0" borderId="10" xfId="0" applyNumberFormat="1" applyBorder="1" applyAlignment="1">
      <alignment horizontal="center"/>
    </xf>
    <xf numFmtId="3" fontId="0" fillId="0" borderId="0" xfId="0" applyNumberFormat="1" applyAlignment="1">
      <alignment horizontal="center" vertical="center"/>
    </xf>
    <xf numFmtId="0" fontId="2" fillId="0" borderId="31" xfId="0" applyFont="1" applyBorder="1" applyAlignment="1">
      <alignment horizontal="center"/>
    </xf>
    <xf numFmtId="0" fontId="2" fillId="0" borderId="40" xfId="0" applyFont="1" applyBorder="1" applyAlignment="1">
      <alignment horizontal="center"/>
    </xf>
    <xf numFmtId="0" fontId="2" fillId="0" borderId="41" xfId="0" applyFont="1" applyBorder="1" applyAlignment="1">
      <alignment horizontal="center"/>
    </xf>
    <xf numFmtId="164" fontId="0" fillId="0" borderId="75" xfId="0" applyNumberFormat="1" applyBorder="1" applyAlignment="1">
      <alignment horizontal="center" vertical="center"/>
    </xf>
    <xf numFmtId="164" fontId="0" fillId="0" borderId="51" xfId="0" applyNumberFormat="1" applyBorder="1" applyAlignment="1">
      <alignment horizontal="center" vertical="center"/>
    </xf>
    <xf numFmtId="170" fontId="3" fillId="9" borderId="16" xfId="0" applyNumberFormat="1" applyFont="1" applyFill="1" applyBorder="1"/>
    <xf numFmtId="168" fontId="2" fillId="2" borderId="21" xfId="0" applyNumberFormat="1" applyFont="1" applyFill="1" applyBorder="1"/>
    <xf numFmtId="168" fontId="2" fillId="2" borderId="74" xfId="0" applyNumberFormat="1" applyFont="1" applyFill="1" applyBorder="1"/>
    <xf numFmtId="0" fontId="0" fillId="2" borderId="45" xfId="0" applyFill="1" applyBorder="1" applyAlignment="1">
      <alignment horizontal="center" vertical="center" wrapText="1"/>
    </xf>
    <xf numFmtId="0" fontId="0" fillId="2" borderId="62" xfId="0" applyFill="1" applyBorder="1" applyAlignment="1">
      <alignment horizontal="center" vertical="center" wrapText="1"/>
    </xf>
    <xf numFmtId="0" fontId="0" fillId="2" borderId="28" xfId="0" applyFill="1" applyBorder="1" applyAlignment="1">
      <alignment horizontal="center" vertical="center" wrapText="1"/>
    </xf>
    <xf numFmtId="0" fontId="0" fillId="2" borderId="29" xfId="0" applyFill="1" applyBorder="1" applyAlignment="1">
      <alignment horizontal="center" vertical="center" wrapText="1"/>
    </xf>
    <xf numFmtId="0" fontId="0" fillId="9" borderId="45" xfId="0" applyFill="1" applyBorder="1" applyAlignment="1">
      <alignment vertical="center"/>
    </xf>
    <xf numFmtId="9" fontId="6" fillId="9" borderId="24" xfId="0" applyNumberFormat="1" applyFont="1" applyFill="1" applyBorder="1" applyAlignment="1">
      <alignment horizontal="center" vertical="center"/>
    </xf>
    <xf numFmtId="0" fontId="0" fillId="9" borderId="49" xfId="0" applyFill="1" applyBorder="1"/>
    <xf numFmtId="0" fontId="0" fillId="9" borderId="45" xfId="0" applyFill="1" applyBorder="1"/>
    <xf numFmtId="2" fontId="0" fillId="9" borderId="45" xfId="0" applyNumberFormat="1" applyFill="1" applyBorder="1"/>
    <xf numFmtId="0" fontId="0" fillId="9" borderId="20" xfId="0" applyFill="1" applyBorder="1"/>
    <xf numFmtId="0" fontId="4" fillId="2" borderId="15" xfId="0" applyFont="1" applyFill="1" applyBorder="1" applyProtection="1">
      <protection locked="0"/>
    </xf>
    <xf numFmtId="0" fontId="4" fillId="2" borderId="16" xfId="0" applyFont="1" applyFill="1" applyBorder="1" applyProtection="1">
      <protection locked="0"/>
    </xf>
    <xf numFmtId="2" fontId="0" fillId="2" borderId="76" xfId="0" applyNumberFormat="1" applyFill="1" applyBorder="1"/>
    <xf numFmtId="0" fontId="4" fillId="9" borderId="15" xfId="0" applyFont="1" applyFill="1" applyBorder="1" applyProtection="1">
      <protection locked="0"/>
    </xf>
    <xf numFmtId="0" fontId="4" fillId="9" borderId="16" xfId="0" applyFont="1" applyFill="1" applyBorder="1" applyProtection="1">
      <protection locked="0"/>
    </xf>
    <xf numFmtId="0" fontId="4" fillId="9" borderId="21" xfId="0" applyFont="1" applyFill="1" applyBorder="1" applyProtection="1">
      <protection locked="0"/>
    </xf>
    <xf numFmtId="2" fontId="6" fillId="9" borderId="43" xfId="0" applyNumberFormat="1" applyFont="1" applyFill="1" applyBorder="1" applyAlignment="1">
      <alignment horizontal="center"/>
    </xf>
    <xf numFmtId="2" fontId="6" fillId="2" borderId="53" xfId="0" applyNumberFormat="1" applyFont="1" applyFill="1" applyBorder="1" applyAlignment="1">
      <alignment horizontal="center"/>
    </xf>
    <xf numFmtId="2" fontId="2" fillId="9" borderId="43" xfId="0" applyNumberFormat="1" applyFont="1" applyFill="1" applyBorder="1"/>
    <xf numFmtId="0" fontId="0" fillId="9" borderId="19" xfId="0" applyFill="1" applyBorder="1"/>
    <xf numFmtId="0" fontId="0" fillId="9" borderId="17" xfId="0" applyFill="1" applyBorder="1"/>
    <xf numFmtId="2" fontId="0" fillId="9" borderId="17" xfId="0" applyNumberFormat="1" applyFill="1" applyBorder="1"/>
    <xf numFmtId="0" fontId="4" fillId="2" borderId="19" xfId="0" applyFont="1" applyFill="1" applyBorder="1" applyProtection="1">
      <protection locked="0"/>
    </xf>
    <xf numFmtId="0" fontId="4" fillId="2" borderId="17" xfId="0" applyFont="1" applyFill="1" applyBorder="1" applyProtection="1">
      <protection locked="0"/>
    </xf>
    <xf numFmtId="2" fontId="0" fillId="2" borderId="57" xfId="0" applyNumberFormat="1" applyFill="1" applyBorder="1"/>
    <xf numFmtId="0" fontId="4" fillId="9" borderId="19" xfId="0" applyFont="1" applyFill="1" applyBorder="1" applyProtection="1">
      <protection locked="0"/>
    </xf>
    <xf numFmtId="0" fontId="4" fillId="9" borderId="17" xfId="0" applyFont="1" applyFill="1" applyBorder="1" applyProtection="1">
      <protection locked="0"/>
    </xf>
    <xf numFmtId="0" fontId="4" fillId="9" borderId="20" xfId="0" applyFont="1" applyFill="1" applyBorder="1" applyProtection="1">
      <protection locked="0"/>
    </xf>
    <xf numFmtId="2" fontId="6" fillId="9" borderId="57" xfId="0" applyNumberFormat="1" applyFont="1" applyFill="1" applyBorder="1" applyAlignment="1">
      <alignment horizontal="center"/>
    </xf>
    <xf numFmtId="2" fontId="6" fillId="2" borderId="36" xfId="0" applyNumberFormat="1" applyFont="1" applyFill="1" applyBorder="1" applyAlignment="1">
      <alignment horizontal="center"/>
    </xf>
    <xf numFmtId="2" fontId="2" fillId="9" borderId="57" xfId="0" applyNumberFormat="1" applyFont="1" applyFill="1" applyBorder="1"/>
    <xf numFmtId="0" fontId="0" fillId="9" borderId="27" xfId="0" applyFill="1" applyBorder="1"/>
    <xf numFmtId="0" fontId="0" fillId="9" borderId="28" xfId="0" applyFill="1" applyBorder="1"/>
    <xf numFmtId="2" fontId="0" fillId="9" borderId="28" xfId="0" applyNumberFormat="1" applyFill="1" applyBorder="1"/>
    <xf numFmtId="0" fontId="0" fillId="9" borderId="29" xfId="0" applyFill="1" applyBorder="1"/>
    <xf numFmtId="0" fontId="4" fillId="2" borderId="27" xfId="0" applyFont="1" applyFill="1" applyBorder="1" applyProtection="1">
      <protection locked="0"/>
    </xf>
    <xf numFmtId="0" fontId="4" fillId="2" borderId="28" xfId="0" applyFont="1" applyFill="1" applyBorder="1" applyProtection="1">
      <protection locked="0"/>
    </xf>
    <xf numFmtId="2" fontId="0" fillId="2" borderId="58" xfId="0" applyNumberFormat="1" applyFill="1" applyBorder="1"/>
    <xf numFmtId="0" fontId="4" fillId="9" borderId="27" xfId="0" applyFont="1" applyFill="1" applyBorder="1" applyProtection="1">
      <protection locked="0"/>
    </xf>
    <xf numFmtId="0" fontId="4" fillId="9" borderId="28" xfId="0" applyFont="1" applyFill="1" applyBorder="1" applyProtection="1">
      <protection locked="0"/>
    </xf>
    <xf numFmtId="0" fontId="4" fillId="9" borderId="29" xfId="0" applyFont="1" applyFill="1" applyBorder="1" applyProtection="1">
      <protection locked="0"/>
    </xf>
    <xf numFmtId="2" fontId="6" fillId="9" borderId="58" xfId="0" applyNumberFormat="1" applyFont="1" applyFill="1" applyBorder="1" applyAlignment="1">
      <alignment horizontal="center"/>
    </xf>
    <xf numFmtId="2" fontId="6" fillId="2" borderId="39" xfId="0" applyNumberFormat="1" applyFont="1" applyFill="1" applyBorder="1" applyAlignment="1">
      <alignment horizontal="center"/>
    </xf>
    <xf numFmtId="2" fontId="2" fillId="9" borderId="58" xfId="0" applyNumberFormat="1" applyFont="1" applyFill="1" applyBorder="1"/>
    <xf numFmtId="0" fontId="6" fillId="2" borderId="16" xfId="0" applyFont="1" applyFill="1" applyBorder="1" applyAlignment="1">
      <alignment horizontal="center"/>
    </xf>
    <xf numFmtId="0" fontId="0" fillId="2" borderId="16" xfId="0" applyFill="1" applyBorder="1"/>
    <xf numFmtId="2" fontId="0" fillId="2" borderId="21" xfId="0" applyNumberFormat="1" applyFill="1" applyBorder="1"/>
    <xf numFmtId="0" fontId="6" fillId="2" borderId="17" xfId="0" applyFont="1" applyFill="1" applyBorder="1" applyAlignment="1">
      <alignment horizontal="center"/>
    </xf>
    <xf numFmtId="0" fontId="0" fillId="2" borderId="17" xfId="0" applyFill="1" applyBorder="1"/>
    <xf numFmtId="2" fontId="0" fillId="2" borderId="20" xfId="0" applyNumberFormat="1" applyFill="1" applyBorder="1"/>
    <xf numFmtId="0" fontId="6" fillId="2" borderId="28" xfId="0" applyFont="1" applyFill="1" applyBorder="1" applyAlignment="1">
      <alignment horizontal="center"/>
    </xf>
    <xf numFmtId="0" fontId="0" fillId="2" borderId="28" xfId="0" applyFill="1" applyBorder="1"/>
    <xf numFmtId="2" fontId="0" fillId="2" borderId="29" xfId="0" applyNumberFormat="1" applyFill="1" applyBorder="1"/>
    <xf numFmtId="0" fontId="4" fillId="23" borderId="56" xfId="0" applyFont="1" applyFill="1" applyBorder="1" applyProtection="1">
      <protection locked="0"/>
    </xf>
    <xf numFmtId="1" fontId="4" fillId="23" borderId="63" xfId="0" applyNumberFormat="1" applyFont="1" applyFill="1" applyBorder="1" applyProtection="1">
      <protection locked="0"/>
    </xf>
    <xf numFmtId="9" fontId="4" fillId="23" borderId="64" xfId="1" applyFont="1" applyFill="1" applyBorder="1" applyProtection="1">
      <protection locked="0"/>
    </xf>
    <xf numFmtId="9" fontId="2" fillId="0" borderId="0" xfId="0" applyNumberFormat="1" applyFont="1"/>
    <xf numFmtId="164" fontId="0" fillId="0" borderId="0" xfId="0" applyNumberFormat="1" applyAlignment="1">
      <alignment horizontal="center"/>
    </xf>
    <xf numFmtId="164" fontId="0" fillId="0" borderId="15" xfId="0" applyNumberFormat="1" applyBorder="1"/>
    <xf numFmtId="164" fontId="0" fillId="0" borderId="16" xfId="0" applyNumberFormat="1" applyBorder="1"/>
    <xf numFmtId="164" fontId="0" fillId="0" borderId="21" xfId="0" applyNumberFormat="1" applyBorder="1"/>
    <xf numFmtId="164" fontId="0" fillId="0" borderId="19" xfId="0" applyNumberFormat="1" applyBorder="1"/>
    <xf numFmtId="164" fontId="0" fillId="0" borderId="20" xfId="0" applyNumberFormat="1" applyBorder="1"/>
    <xf numFmtId="164" fontId="0" fillId="0" borderId="49" xfId="0" applyNumberFormat="1" applyBorder="1"/>
    <xf numFmtId="164" fontId="6" fillId="0" borderId="19" xfId="0" applyNumberFormat="1" applyFont="1" applyBorder="1"/>
    <xf numFmtId="164" fontId="2" fillId="0" borderId="56" xfId="0" applyNumberFormat="1" applyFont="1" applyBorder="1"/>
    <xf numFmtId="164" fontId="2" fillId="0" borderId="63" xfId="0" applyNumberFormat="1" applyFont="1" applyBorder="1"/>
    <xf numFmtId="164" fontId="2" fillId="0" borderId="64" xfId="0" applyNumberFormat="1" applyFont="1" applyBorder="1"/>
    <xf numFmtId="164" fontId="0" fillId="0" borderId="18" xfId="0" applyNumberFormat="1" applyBorder="1"/>
    <xf numFmtId="164" fontId="0" fillId="32" borderId="10" xfId="0" applyNumberFormat="1" applyFill="1" applyBorder="1"/>
    <xf numFmtId="164" fontId="0" fillId="32" borderId="11" xfId="0" applyNumberFormat="1" applyFill="1" applyBorder="1"/>
    <xf numFmtId="164" fontId="0" fillId="32" borderId="12" xfId="0" applyNumberFormat="1" applyFill="1" applyBorder="1"/>
    <xf numFmtId="172" fontId="7" fillId="0" borderId="0" xfId="0" applyNumberFormat="1" applyFont="1" applyAlignment="1">
      <alignment horizontal="center" vertical="center"/>
    </xf>
    <xf numFmtId="172" fontId="7" fillId="20" borderId="90" xfId="0" applyNumberFormat="1" applyFont="1" applyFill="1" applyBorder="1" applyAlignment="1">
      <alignment horizontal="center" vertical="center"/>
    </xf>
    <xf numFmtId="172" fontId="7" fillId="0" borderId="90" xfId="0" applyNumberFormat="1" applyFont="1" applyBorder="1" applyAlignment="1">
      <alignment horizontal="center" vertical="center"/>
    </xf>
    <xf numFmtId="172" fontId="0" fillId="0" borderId="89" xfId="0" applyNumberFormat="1" applyBorder="1" applyAlignment="1">
      <alignment horizontal="center" vertical="center"/>
    </xf>
    <xf numFmtId="172" fontId="6" fillId="0" borderId="90" xfId="3" applyNumberFormat="1" applyFont="1" applyBorder="1" applyAlignment="1">
      <alignment horizontal="center" vertical="center"/>
    </xf>
    <xf numFmtId="172" fontId="6" fillId="20" borderId="90" xfId="3" applyNumberFormat="1" applyFont="1" applyFill="1" applyBorder="1" applyAlignment="1">
      <alignment horizontal="center" vertical="center"/>
    </xf>
    <xf numFmtId="172" fontId="6" fillId="0" borderId="0" xfId="0" applyNumberFormat="1" applyFont="1" applyAlignment="1">
      <alignment horizontal="center" vertical="center"/>
    </xf>
    <xf numFmtId="172" fontId="6" fillId="20" borderId="90" xfId="0" applyNumberFormat="1" applyFont="1" applyFill="1" applyBorder="1" applyAlignment="1">
      <alignment horizontal="center" vertical="center"/>
    </xf>
    <xf numFmtId="172" fontId="6" fillId="0" borderId="90" xfId="0" applyNumberFormat="1" applyFont="1" applyBorder="1" applyAlignment="1">
      <alignment horizontal="center" vertical="center"/>
    </xf>
    <xf numFmtId="172" fontId="6" fillId="0" borderId="89" xfId="0" applyNumberFormat="1" applyFont="1" applyBorder="1" applyAlignment="1">
      <alignment horizontal="center" vertical="center"/>
    </xf>
    <xf numFmtId="1" fontId="6" fillId="0" borderId="90" xfId="3" applyNumberFormat="1" applyFont="1" applyBorder="1" applyAlignment="1">
      <alignment horizontal="center" vertical="center"/>
    </xf>
    <xf numFmtId="1" fontId="6" fillId="20" borderId="90" xfId="3" applyNumberFormat="1" applyFont="1" applyFill="1" applyBorder="1" applyAlignment="1">
      <alignment horizontal="center" vertical="center"/>
    </xf>
    <xf numFmtId="1" fontId="7" fillId="0" borderId="0" xfId="0" applyNumberFormat="1" applyFont="1" applyAlignment="1">
      <alignment horizontal="center" vertical="center"/>
    </xf>
    <xf numFmtId="1" fontId="7" fillId="20" borderId="90" xfId="0" applyNumberFormat="1" applyFont="1" applyFill="1" applyBorder="1" applyAlignment="1">
      <alignment horizontal="center" vertical="center"/>
    </xf>
    <xf numFmtId="1" fontId="7" fillId="0" borderId="90" xfId="0" applyNumberFormat="1" applyFont="1" applyBorder="1" applyAlignment="1">
      <alignment horizontal="center" vertical="center"/>
    </xf>
    <xf numFmtId="1" fontId="0" fillId="0" borderId="89" xfId="0" applyNumberFormat="1" applyBorder="1" applyAlignment="1">
      <alignment horizontal="center" vertical="center"/>
    </xf>
    <xf numFmtId="1" fontId="0" fillId="8" borderId="41" xfId="0" applyNumberFormat="1" applyFill="1" applyBorder="1" applyAlignment="1">
      <alignment horizontal="center" vertical="center"/>
    </xf>
    <xf numFmtId="185" fontId="0" fillId="0" borderId="0" xfId="3" applyNumberFormat="1" applyFont="1" applyFill="1" applyBorder="1" applyAlignment="1">
      <alignment horizontal="center" vertical="center"/>
    </xf>
    <xf numFmtId="1" fontId="0" fillId="13" borderId="40" xfId="0" applyNumberFormat="1" applyFill="1" applyBorder="1" applyAlignment="1">
      <alignment horizontal="center"/>
    </xf>
    <xf numFmtId="0" fontId="13" fillId="9" borderId="40" xfId="0" applyFont="1" applyFill="1" applyBorder="1" applyAlignment="1">
      <alignment horizontal="center"/>
    </xf>
    <xf numFmtId="2" fontId="0" fillId="0" borderId="11" xfId="0" applyNumberFormat="1" applyBorder="1" applyAlignment="1">
      <alignment wrapText="1"/>
    </xf>
    <xf numFmtId="9" fontId="0" fillId="0" borderId="11" xfId="0" applyNumberFormat="1" applyBorder="1" applyAlignment="1">
      <alignment wrapText="1"/>
    </xf>
    <xf numFmtId="2" fontId="0" fillId="0" borderId="16" xfId="0" applyNumberFormat="1" applyBorder="1"/>
    <xf numFmtId="3" fontId="0" fillId="0" borderId="0" xfId="0" applyNumberFormat="1" applyAlignment="1">
      <alignment horizontal="left" vertical="top"/>
    </xf>
    <xf numFmtId="0" fontId="0" fillId="0" borderId="19" xfId="0" applyBorder="1" applyAlignment="1">
      <alignment horizontal="center" vertical="center" wrapText="1"/>
    </xf>
    <xf numFmtId="0" fontId="0" fillId="0" borderId="25" xfId="0" applyBorder="1" applyAlignment="1">
      <alignment horizontal="center" vertical="center"/>
    </xf>
    <xf numFmtId="9" fontId="0" fillId="0" borderId="23" xfId="0" applyNumberFormat="1" applyBorder="1"/>
    <xf numFmtId="9" fontId="0" fillId="0" borderId="24" xfId="0" applyNumberFormat="1" applyBorder="1"/>
    <xf numFmtId="0" fontId="0" fillId="0" borderId="75" xfId="0" applyBorder="1" applyAlignment="1">
      <alignment horizontal="center" vertical="center"/>
    </xf>
    <xf numFmtId="0" fontId="6" fillId="0" borderId="49" xfId="0" applyFont="1" applyBorder="1" applyAlignment="1">
      <alignment horizontal="center" vertical="center"/>
    </xf>
    <xf numFmtId="0" fontId="6" fillId="0" borderId="45" xfId="0" applyFont="1" applyBorder="1" applyAlignment="1">
      <alignment horizontal="center" vertical="center"/>
    </xf>
    <xf numFmtId="0" fontId="6" fillId="14" borderId="28" xfId="0" applyFont="1" applyFill="1" applyBorder="1" applyAlignment="1">
      <alignment horizontal="center"/>
    </xf>
    <xf numFmtId="0" fontId="6" fillId="48" borderId="28" xfId="0" applyFont="1" applyFill="1" applyBorder="1" applyAlignment="1">
      <alignment horizontal="center"/>
    </xf>
    <xf numFmtId="0" fontId="17" fillId="0" borderId="49" xfId="0" applyFont="1" applyBorder="1" applyAlignment="1">
      <alignment horizontal="center" vertical="center"/>
    </xf>
    <xf numFmtId="0" fontId="17" fillId="0" borderId="45" xfId="0" applyFont="1" applyBorder="1"/>
    <xf numFmtId="0" fontId="17" fillId="0" borderId="46" xfId="0" applyFont="1" applyBorder="1" applyAlignment="1">
      <alignment horizontal="center" vertical="center"/>
    </xf>
    <xf numFmtId="0" fontId="17" fillId="0" borderId="44" xfId="0" applyFont="1" applyBorder="1" applyAlignment="1">
      <alignment horizontal="center" vertical="center"/>
    </xf>
    <xf numFmtId="0" fontId="17" fillId="0" borderId="45" xfId="0" applyFont="1" applyBorder="1" applyAlignment="1">
      <alignment horizontal="center" vertical="center"/>
    </xf>
    <xf numFmtId="0" fontId="0" fillId="14" borderId="17" xfId="0" applyFill="1" applyBorder="1"/>
    <xf numFmtId="0" fontId="0" fillId="14" borderId="37" xfId="0" applyFill="1" applyBorder="1" applyAlignment="1">
      <alignment horizontal="center" vertical="center"/>
    </xf>
    <xf numFmtId="0" fontId="0" fillId="48" borderId="17" xfId="0" applyFill="1" applyBorder="1" applyAlignment="1">
      <alignment horizontal="center" vertical="center"/>
    </xf>
    <xf numFmtId="0" fontId="6" fillId="0" borderId="62" xfId="0" applyFont="1" applyBorder="1" applyAlignment="1">
      <alignment horizontal="center" vertical="center"/>
    </xf>
    <xf numFmtId="0" fontId="3" fillId="0" borderId="20" xfId="0" applyFont="1" applyBorder="1" applyAlignment="1">
      <alignment horizontal="center" vertical="center"/>
    </xf>
    <xf numFmtId="0" fontId="6" fillId="0" borderId="44" xfId="0" applyFont="1" applyBorder="1" applyAlignment="1">
      <alignment horizontal="center" vertical="center"/>
    </xf>
    <xf numFmtId="0" fontId="55" fillId="0" borderId="87" xfId="0" applyFont="1" applyBorder="1" applyAlignment="1">
      <alignment vertical="top"/>
    </xf>
    <xf numFmtId="0" fontId="55" fillId="0" borderId="0" xfId="0" applyFont="1" applyAlignment="1">
      <alignment horizontal="center" vertical="center" wrapText="1"/>
    </xf>
    <xf numFmtId="0" fontId="55" fillId="0" borderId="0" xfId="0" applyFont="1"/>
    <xf numFmtId="0" fontId="56" fillId="0" borderId="9" xfId="0" applyFont="1" applyBorder="1" applyAlignment="1">
      <alignment horizontal="center" vertical="center" wrapText="1"/>
    </xf>
    <xf numFmtId="0" fontId="57" fillId="0" borderId="0" xfId="0" applyFont="1" applyAlignment="1">
      <alignment horizontal="center" vertical="center" wrapText="1"/>
    </xf>
    <xf numFmtId="0" fontId="59" fillId="0" borderId="0" xfId="0" applyFont="1" applyAlignment="1">
      <alignment horizontal="center" vertical="center" wrapText="1"/>
    </xf>
    <xf numFmtId="0" fontId="60" fillId="0" borderId="0" xfId="0" applyFont="1" applyAlignment="1">
      <alignment horizontal="center" vertical="center" wrapText="1"/>
    </xf>
    <xf numFmtId="0" fontId="62" fillId="0" borderId="14" xfId="0" applyFont="1" applyBorder="1" applyAlignment="1">
      <alignment horizontal="center" vertical="center" wrapText="1"/>
    </xf>
    <xf numFmtId="0" fontId="56" fillId="0" borderId="14" xfId="0" applyFont="1" applyBorder="1" applyAlignment="1">
      <alignment horizontal="center" vertical="center" wrapText="1"/>
    </xf>
    <xf numFmtId="0" fontId="23" fillId="0" borderId="17" xfId="0" applyFont="1" applyBorder="1"/>
    <xf numFmtId="3" fontId="0" fillId="0" borderId="17" xfId="0" applyNumberFormat="1" applyBorder="1" applyAlignment="1">
      <alignment horizontal="center"/>
    </xf>
    <xf numFmtId="4" fontId="0" fillId="0" borderId="17" xfId="0" applyNumberFormat="1" applyBorder="1" applyAlignment="1">
      <alignment horizontal="center"/>
    </xf>
    <xf numFmtId="3" fontId="58" fillId="0" borderId="17" xfId="0" applyNumberFormat="1" applyFont="1" applyBorder="1" applyAlignment="1">
      <alignment horizontal="center"/>
    </xf>
    <xf numFmtId="196" fontId="1" fillId="0" borderId="17" xfId="6" applyNumberFormat="1" applyFill="1" applyBorder="1"/>
    <xf numFmtId="197" fontId="56" fillId="0" borderId="17" xfId="6" applyNumberFormat="1" applyFont="1" applyFill="1" applyBorder="1"/>
    <xf numFmtId="197" fontId="61" fillId="0" borderId="17" xfId="6" applyNumberFormat="1" applyFont="1" applyFill="1" applyBorder="1"/>
    <xf numFmtId="189" fontId="1" fillId="0" borderId="17" xfId="6" applyNumberFormat="1" applyFill="1" applyBorder="1"/>
    <xf numFmtId="189" fontId="1" fillId="0" borderId="20" xfId="6" applyNumberFormat="1" applyFill="1" applyBorder="1"/>
    <xf numFmtId="189" fontId="64" fillId="0" borderId="57" xfId="6" applyNumberFormat="1" applyFont="1" applyFill="1" applyBorder="1"/>
    <xf numFmtId="189" fontId="64" fillId="9" borderId="57" xfId="6" applyNumberFormat="1" applyFont="1" applyFill="1" applyBorder="1"/>
    <xf numFmtId="9" fontId="1" fillId="0" borderId="20" xfId="1" applyFill="1" applyBorder="1" applyAlignment="1">
      <alignment horizontal="center"/>
    </xf>
    <xf numFmtId="3" fontId="23" fillId="0" borderId="17" xfId="0" applyNumberFormat="1" applyFont="1" applyBorder="1" applyAlignment="1">
      <alignment horizontal="center"/>
    </xf>
    <xf numFmtId="196" fontId="0" fillId="0" borderId="17" xfId="0" applyNumberFormat="1" applyBorder="1"/>
    <xf numFmtId="3" fontId="0" fillId="27" borderId="17" xfId="0" applyNumberFormat="1" applyFill="1" applyBorder="1" applyAlignment="1">
      <alignment horizontal="center"/>
    </xf>
    <xf numFmtId="3" fontId="58" fillId="27" borderId="17" xfId="0" applyNumberFormat="1" applyFont="1" applyFill="1" applyBorder="1" applyAlignment="1">
      <alignment horizontal="center"/>
    </xf>
    <xf numFmtId="189" fontId="64" fillId="9" borderId="57" xfId="6" applyNumberFormat="1" applyFont="1" applyFill="1" applyBorder="1" applyAlignment="1">
      <alignment horizontal="center"/>
    </xf>
    <xf numFmtId="0" fontId="6" fillId="36" borderId="31" xfId="0" applyFont="1" applyFill="1" applyBorder="1"/>
    <xf numFmtId="9" fontId="6" fillId="36" borderId="40" xfId="0" applyNumberFormat="1" applyFont="1" applyFill="1" applyBorder="1"/>
    <xf numFmtId="9" fontId="6" fillId="36" borderId="11" xfId="0" applyNumberFormat="1" applyFont="1" applyFill="1" applyBorder="1"/>
    <xf numFmtId="0" fontId="6" fillId="36" borderId="40" xfId="0" applyFont="1" applyFill="1" applyBorder="1"/>
    <xf numFmtId="0" fontId="6" fillId="36" borderId="41" xfId="0" applyFont="1" applyFill="1" applyBorder="1"/>
    <xf numFmtId="2" fontId="0" fillId="3" borderId="0" xfId="0" applyNumberFormat="1" applyFill="1"/>
    <xf numFmtId="2" fontId="0" fillId="42" borderId="0" xfId="0" applyNumberFormat="1" applyFill="1"/>
    <xf numFmtId="165" fontId="5" fillId="36" borderId="10" xfId="0" applyNumberFormat="1" applyFont="1" applyFill="1" applyBorder="1"/>
    <xf numFmtId="0" fontId="6" fillId="36" borderId="11" xfId="0" applyFont="1" applyFill="1" applyBorder="1" applyAlignment="1">
      <alignment horizontal="center"/>
    </xf>
    <xf numFmtId="165" fontId="5" fillId="36" borderId="61" xfId="0" applyNumberFormat="1" applyFont="1" applyFill="1" applyBorder="1"/>
    <xf numFmtId="165" fontId="5" fillId="36" borderId="73" xfId="0" applyNumberFormat="1" applyFont="1" applyFill="1" applyBorder="1"/>
    <xf numFmtId="165" fontId="5" fillId="36" borderId="41" xfId="0" applyNumberFormat="1" applyFont="1" applyFill="1" applyBorder="1"/>
    <xf numFmtId="165" fontId="5" fillId="36" borderId="42" xfId="0" applyNumberFormat="1" applyFont="1" applyFill="1" applyBorder="1"/>
    <xf numFmtId="164" fontId="4" fillId="3" borderId="15" xfId="0" applyNumberFormat="1" applyFont="1" applyFill="1" applyBorder="1"/>
    <xf numFmtId="0" fontId="4" fillId="3" borderId="16" xfId="0" applyFont="1" applyFill="1" applyBorder="1"/>
    <xf numFmtId="0" fontId="3" fillId="3" borderId="16" xfId="0" applyFont="1" applyFill="1" applyBorder="1" applyAlignment="1">
      <alignment horizontal="center"/>
    </xf>
    <xf numFmtId="0" fontId="3" fillId="3" borderId="16" xfId="0" applyFont="1" applyFill="1" applyBorder="1"/>
    <xf numFmtId="164" fontId="4" fillId="3" borderId="19" xfId="0" applyNumberFormat="1" applyFont="1" applyFill="1" applyBorder="1"/>
    <xf numFmtId="0" fontId="4" fillId="3" borderId="17" xfId="0" applyFont="1" applyFill="1" applyBorder="1"/>
    <xf numFmtId="0" fontId="3" fillId="3" borderId="17" xfId="0" applyFont="1" applyFill="1" applyBorder="1" applyAlignment="1">
      <alignment horizontal="center"/>
    </xf>
    <xf numFmtId="0" fontId="3" fillId="3" borderId="17" xfId="0" applyFont="1" applyFill="1" applyBorder="1"/>
    <xf numFmtId="0" fontId="7" fillId="3" borderId="17" xfId="0" applyFont="1" applyFill="1" applyBorder="1"/>
    <xf numFmtId="0" fontId="3" fillId="3" borderId="10" xfId="0" applyFont="1" applyFill="1" applyBorder="1"/>
    <xf numFmtId="0" fontId="3" fillId="3" borderId="11" xfId="0" applyFont="1" applyFill="1" applyBorder="1"/>
    <xf numFmtId="2" fontId="0" fillId="3" borderId="11" xfId="0" applyNumberFormat="1" applyFill="1" applyBorder="1"/>
    <xf numFmtId="1" fontId="3" fillId="3" borderId="11" xfId="0" applyNumberFormat="1" applyFont="1" applyFill="1" applyBorder="1"/>
    <xf numFmtId="1" fontId="4" fillId="3" borderId="18" xfId="0" applyNumberFormat="1" applyFont="1" applyFill="1" applyBorder="1"/>
    <xf numFmtId="1" fontId="4" fillId="3" borderId="22" xfId="0" applyNumberFormat="1" applyFont="1" applyFill="1" applyBorder="1"/>
    <xf numFmtId="164" fontId="4" fillId="3" borderId="27" xfId="0" applyNumberFormat="1" applyFont="1" applyFill="1" applyBorder="1"/>
    <xf numFmtId="0" fontId="4" fillId="3" borderId="28" xfId="0" applyFont="1" applyFill="1" applyBorder="1"/>
    <xf numFmtId="0" fontId="3" fillId="3" borderId="28" xfId="0" applyFont="1" applyFill="1" applyBorder="1" applyAlignment="1">
      <alignment horizontal="center"/>
    </xf>
    <xf numFmtId="0" fontId="3" fillId="3" borderId="28" xfId="0" applyFont="1" applyFill="1" applyBorder="1"/>
    <xf numFmtId="1" fontId="6" fillId="10" borderId="28" xfId="0" applyNumberFormat="1" applyFont="1" applyFill="1" applyBorder="1"/>
    <xf numFmtId="1" fontId="4" fillId="3" borderId="30" xfId="0" applyNumberFormat="1" applyFont="1" applyFill="1" applyBorder="1"/>
    <xf numFmtId="0" fontId="7" fillId="0" borderId="24" xfId="0" applyFont="1" applyBorder="1"/>
    <xf numFmtId="3" fontId="7" fillId="0" borderId="86" xfId="0" applyNumberFormat="1" applyFont="1" applyBorder="1" applyAlignment="1">
      <alignment horizontal="center"/>
    </xf>
    <xf numFmtId="3" fontId="7" fillId="0" borderId="24" xfId="0" applyNumberFormat="1" applyFont="1" applyBorder="1" applyAlignment="1">
      <alignment horizontal="center"/>
    </xf>
    <xf numFmtId="3" fontId="7" fillId="0" borderId="75" xfId="0" applyNumberFormat="1" applyFont="1" applyBorder="1" applyAlignment="1">
      <alignment horizontal="center"/>
    </xf>
    <xf numFmtId="0" fontId="7" fillId="0" borderId="82" xfId="0" applyFont="1" applyBorder="1"/>
    <xf numFmtId="3" fontId="7" fillId="0" borderId="0" xfId="0" applyNumberFormat="1" applyFont="1" applyAlignment="1">
      <alignment horizontal="center"/>
    </xf>
    <xf numFmtId="3" fontId="7" fillId="0" borderId="82" xfId="0" applyNumberFormat="1" applyFont="1" applyBorder="1" applyAlignment="1">
      <alignment horizontal="center"/>
    </xf>
    <xf numFmtId="3" fontId="7" fillId="0" borderId="87" xfId="0" applyNumberFormat="1" applyFont="1" applyBorder="1" applyAlignment="1">
      <alignment horizontal="center"/>
    </xf>
    <xf numFmtId="0" fontId="7" fillId="0" borderId="16" xfId="0" applyFont="1" applyBorder="1"/>
    <xf numFmtId="3" fontId="7" fillId="0" borderId="67" xfId="0" applyNumberFormat="1" applyFont="1" applyBorder="1" applyAlignment="1">
      <alignment horizontal="center"/>
    </xf>
    <xf numFmtId="3" fontId="7" fillId="0" borderId="16" xfId="0" applyNumberFormat="1" applyFont="1" applyBorder="1" applyAlignment="1">
      <alignment horizontal="center"/>
    </xf>
    <xf numFmtId="3" fontId="7" fillId="0" borderId="51" xfId="0" applyNumberFormat="1"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1" fontId="7" fillId="0" borderId="0" xfId="0" applyNumberFormat="1" applyFont="1" applyAlignment="1">
      <alignment horizontal="center"/>
    </xf>
    <xf numFmtId="9" fontId="7" fillId="0" borderId="0" xfId="0" applyNumberFormat="1" applyFont="1" applyAlignment="1">
      <alignment horizontal="center"/>
    </xf>
    <xf numFmtId="0" fontId="0" fillId="8" borderId="31" xfId="0" applyFill="1" applyBorder="1" applyAlignment="1">
      <alignment horizontal="center" wrapText="1"/>
    </xf>
    <xf numFmtId="0" fontId="0" fillId="8" borderId="40" xfId="0" applyFill="1" applyBorder="1" applyAlignment="1">
      <alignment horizontal="center" wrapText="1"/>
    </xf>
    <xf numFmtId="0" fontId="0" fillId="8" borderId="41" xfId="0" applyFill="1" applyBorder="1" applyAlignment="1">
      <alignment horizontal="center" wrapText="1"/>
    </xf>
    <xf numFmtId="9" fontId="0" fillId="8" borderId="4" xfId="1" applyFont="1" applyFill="1" applyBorder="1" applyAlignment="1">
      <alignment horizontal="center"/>
    </xf>
    <xf numFmtId="9" fontId="0" fillId="8" borderId="0" xfId="1" applyFont="1" applyFill="1" applyBorder="1" applyAlignment="1">
      <alignment horizontal="center"/>
    </xf>
    <xf numFmtId="9" fontId="0" fillId="8" borderId="5" xfId="1" applyFont="1" applyFill="1" applyBorder="1" applyAlignment="1">
      <alignment horizontal="center"/>
    </xf>
    <xf numFmtId="9" fontId="0" fillId="8" borderId="6" xfId="1" applyFont="1" applyFill="1" applyBorder="1" applyAlignment="1">
      <alignment horizontal="center"/>
    </xf>
    <xf numFmtId="9" fontId="0" fillId="8" borderId="8" xfId="1" applyFont="1" applyFill="1" applyBorder="1" applyAlignment="1">
      <alignment horizontal="center"/>
    </xf>
    <xf numFmtId="9" fontId="0" fillId="8" borderId="7" xfId="1" applyFont="1" applyFill="1" applyBorder="1" applyAlignment="1">
      <alignment horizontal="center"/>
    </xf>
    <xf numFmtId="0" fontId="0" fillId="0" borderId="32" xfId="0" applyBorder="1"/>
    <xf numFmtId="164" fontId="0" fillId="44" borderId="19" xfId="0" applyNumberFormat="1" applyFill="1" applyBorder="1"/>
    <xf numFmtId="164" fontId="0" fillId="44" borderId="49" xfId="0" applyNumberFormat="1" applyFill="1" applyBorder="1"/>
    <xf numFmtId="164" fontId="0" fillId="44" borderId="45" xfId="0" applyNumberFormat="1" applyFill="1" applyBorder="1"/>
    <xf numFmtId="164" fontId="0" fillId="44" borderId="46" xfId="0" applyNumberFormat="1" applyFill="1" applyBorder="1"/>
    <xf numFmtId="164" fontId="0" fillId="44" borderId="17" xfId="0" applyNumberFormat="1" applyFill="1" applyBorder="1"/>
    <xf numFmtId="164" fontId="0" fillId="44" borderId="23" xfId="0" applyNumberFormat="1" applyFill="1" applyBorder="1"/>
    <xf numFmtId="164" fontId="0" fillId="44" borderId="24" xfId="0" applyNumberFormat="1" applyFill="1" applyBorder="1"/>
    <xf numFmtId="164" fontId="0" fillId="21" borderId="10" xfId="0" applyNumberFormat="1" applyFill="1" applyBorder="1"/>
    <xf numFmtId="164" fontId="0" fillId="21" borderId="11" xfId="0" applyNumberFormat="1" applyFill="1" applyBorder="1"/>
    <xf numFmtId="164" fontId="2" fillId="0" borderId="10" xfId="0" applyNumberFormat="1" applyFont="1" applyBorder="1"/>
    <xf numFmtId="164" fontId="2" fillId="0" borderId="11" xfId="0" applyNumberFormat="1" applyFont="1" applyBorder="1"/>
    <xf numFmtId="164" fontId="2" fillId="0" borderId="12" xfId="0" applyNumberFormat="1" applyFont="1" applyBorder="1"/>
    <xf numFmtId="164" fontId="0" fillId="2" borderId="68" xfId="0" applyNumberFormat="1" applyFill="1" applyBorder="1"/>
    <xf numFmtId="164" fontId="0" fillId="2" borderId="3" xfId="0" applyNumberFormat="1" applyFill="1" applyBorder="1"/>
    <xf numFmtId="164" fontId="0" fillId="21" borderId="40" xfId="0" applyNumberFormat="1" applyFill="1" applyBorder="1"/>
    <xf numFmtId="164" fontId="2" fillId="0" borderId="40" xfId="0" applyNumberFormat="1" applyFont="1" applyBorder="1"/>
    <xf numFmtId="2" fontId="0" fillId="44" borderId="56" xfId="0" applyNumberFormat="1" applyFill="1" applyBorder="1"/>
    <xf numFmtId="2" fontId="0" fillId="44" borderId="63" xfId="0" applyNumberFormat="1" applyFill="1" applyBorder="1"/>
    <xf numFmtId="2" fontId="0" fillId="44" borderId="69" xfId="0" applyNumberFormat="1" applyFill="1" applyBorder="1"/>
    <xf numFmtId="2" fontId="0" fillId="44" borderId="26" xfId="0" applyNumberFormat="1" applyFill="1" applyBorder="1"/>
    <xf numFmtId="2" fontId="0" fillId="44" borderId="27" xfId="0" applyNumberFormat="1" applyFill="1" applyBorder="1"/>
    <xf numFmtId="2" fontId="0" fillId="44" borderId="28" xfId="0" applyNumberFormat="1" applyFill="1" applyBorder="1"/>
    <xf numFmtId="2" fontId="0" fillId="44" borderId="30" xfId="0" applyNumberFormat="1" applyFill="1" applyBorder="1"/>
    <xf numFmtId="2" fontId="0" fillId="44" borderId="15" xfId="0" applyNumberFormat="1" applyFill="1" applyBorder="1"/>
    <xf numFmtId="2" fontId="0" fillId="44" borderId="16" xfId="0" applyNumberFormat="1" applyFill="1" applyBorder="1"/>
    <xf numFmtId="2" fontId="0" fillId="44" borderId="18" xfId="0" applyNumberFormat="1" applyFill="1" applyBorder="1"/>
    <xf numFmtId="0" fontId="0" fillId="44" borderId="11" xfId="0" applyFill="1" applyBorder="1" applyAlignment="1">
      <alignment horizontal="center" vertical="center" wrapText="1"/>
    </xf>
    <xf numFmtId="0" fontId="3" fillId="3" borderId="3"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52" xfId="0" applyFont="1" applyFill="1" applyBorder="1" applyAlignment="1">
      <alignment horizontal="center" vertical="center" wrapText="1"/>
    </xf>
    <xf numFmtId="9" fontId="4" fillId="3" borderId="63" xfId="0" applyNumberFormat="1" applyFont="1" applyFill="1" applyBorder="1" applyAlignment="1">
      <alignment vertical="center" wrapText="1"/>
    </xf>
    <xf numFmtId="9" fontId="4" fillId="3" borderId="63" xfId="0" applyNumberFormat="1" applyFont="1" applyFill="1" applyBorder="1" applyAlignment="1">
      <alignment horizontal="center" vertical="center" wrapText="1"/>
    </xf>
    <xf numFmtId="0" fontId="4" fillId="3" borderId="19" xfId="0" applyFont="1" applyFill="1" applyBorder="1" applyProtection="1">
      <protection locked="0"/>
    </xf>
    <xf numFmtId="0" fontId="4" fillId="3" borderId="51" xfId="0" applyFont="1" applyFill="1" applyBorder="1" applyProtection="1">
      <protection locked="0"/>
    </xf>
    <xf numFmtId="0" fontId="4" fillId="3" borderId="51" xfId="0" applyFont="1" applyFill="1" applyBorder="1" applyAlignment="1" applyProtection="1">
      <alignment horizontal="center"/>
      <protection locked="0"/>
    </xf>
    <xf numFmtId="0" fontId="4" fillId="3" borderId="16" xfId="0" applyFont="1" applyFill="1" applyBorder="1" applyProtection="1">
      <protection locked="0"/>
    </xf>
    <xf numFmtId="0" fontId="4" fillId="3" borderId="18" xfId="0" applyFont="1" applyFill="1" applyBorder="1" applyProtection="1">
      <protection locked="0"/>
    </xf>
    <xf numFmtId="0" fontId="4" fillId="3" borderId="17" xfId="0" applyFont="1" applyFill="1" applyBorder="1" applyProtection="1">
      <protection locked="0"/>
    </xf>
    <xf numFmtId="0" fontId="4" fillId="3" borderId="24" xfId="0" applyFont="1" applyFill="1" applyBorder="1" applyProtection="1">
      <protection locked="0"/>
    </xf>
    <xf numFmtId="0" fontId="3" fillId="3" borderId="24" xfId="0" applyFont="1" applyFill="1" applyBorder="1" applyAlignment="1">
      <alignment horizontal="center"/>
    </xf>
    <xf numFmtId="0" fontId="4" fillId="3" borderId="3" xfId="0" applyFont="1" applyFill="1" applyBorder="1" applyAlignment="1">
      <alignment horizontal="center"/>
    </xf>
    <xf numFmtId="0" fontId="3" fillId="3" borderId="8" xfId="0" applyFont="1" applyFill="1" applyBorder="1" applyAlignment="1">
      <alignment horizontal="center" vertical="center" wrapText="1"/>
    </xf>
    <xf numFmtId="0" fontId="4" fillId="3" borderId="67" xfId="0" applyFont="1" applyFill="1" applyBorder="1" applyAlignment="1" applyProtection="1">
      <alignment horizontal="center"/>
      <protection locked="0"/>
    </xf>
    <xf numFmtId="166" fontId="4" fillId="3" borderId="19" xfId="0" applyNumberFormat="1" applyFont="1" applyFill="1" applyBorder="1" applyProtection="1">
      <protection locked="0"/>
    </xf>
    <xf numFmtId="0" fontId="4" fillId="3" borderId="24" xfId="0" applyFont="1" applyFill="1" applyBorder="1" applyAlignment="1" applyProtection="1">
      <alignment horizontal="center"/>
      <protection locked="0"/>
    </xf>
    <xf numFmtId="49" fontId="4" fillId="3" borderId="16" xfId="0" applyNumberFormat="1" applyFont="1" applyFill="1" applyBorder="1" applyAlignment="1" applyProtection="1">
      <alignment horizontal="center"/>
      <protection locked="0"/>
    </xf>
    <xf numFmtId="0" fontId="4" fillId="3" borderId="67" xfId="0" applyFont="1" applyFill="1" applyBorder="1" applyAlignment="1">
      <alignment horizontal="center"/>
    </xf>
    <xf numFmtId="1" fontId="4" fillId="3" borderId="43" xfId="0" applyNumberFormat="1" applyFont="1" applyFill="1" applyBorder="1"/>
    <xf numFmtId="165" fontId="4" fillId="3" borderId="57" xfId="0" applyNumberFormat="1" applyFont="1" applyFill="1" applyBorder="1"/>
    <xf numFmtId="165" fontId="4" fillId="3" borderId="66" xfId="0" applyNumberFormat="1" applyFont="1" applyFill="1" applyBorder="1"/>
    <xf numFmtId="0" fontId="4" fillId="3" borderId="19" xfId="0" applyFont="1" applyFill="1" applyBorder="1"/>
    <xf numFmtId="0" fontId="2" fillId="3" borderId="44" xfId="0" applyFont="1" applyFill="1" applyBorder="1" applyAlignment="1">
      <alignment horizontal="center"/>
    </xf>
    <xf numFmtId="0" fontId="0" fillId="3" borderId="50" xfId="0" applyFill="1" applyBorder="1" applyAlignment="1">
      <alignment horizontal="center" vertical="center" wrapText="1"/>
    </xf>
    <xf numFmtId="0" fontId="0" fillId="13" borderId="75" xfId="0" applyFill="1" applyBorder="1" applyAlignment="1">
      <alignment horizontal="center" vertical="center" wrapText="1"/>
    </xf>
    <xf numFmtId="0" fontId="0" fillId="13" borderId="52" xfId="0" applyFill="1" applyBorder="1" applyAlignment="1">
      <alignment horizontal="center" vertical="center" wrapText="1"/>
    </xf>
    <xf numFmtId="0" fontId="6" fillId="13" borderId="44" xfId="0" applyFont="1" applyFill="1" applyBorder="1"/>
    <xf numFmtId="0" fontId="6" fillId="13" borderId="37" xfId="0" applyFont="1" applyFill="1" applyBorder="1"/>
    <xf numFmtId="0" fontId="6" fillId="13" borderId="75" xfId="0" applyFont="1" applyFill="1" applyBorder="1"/>
    <xf numFmtId="0" fontId="3" fillId="13" borderId="32" xfId="0" applyFont="1" applyFill="1" applyBorder="1"/>
    <xf numFmtId="0" fontId="0" fillId="7" borderId="32" xfId="0" applyFill="1" applyBorder="1" applyAlignment="1">
      <alignment horizontal="center" vertical="center" wrapText="1"/>
    </xf>
    <xf numFmtId="0" fontId="0" fillId="7" borderId="31" xfId="0" applyFill="1" applyBorder="1" applyAlignment="1">
      <alignment horizontal="center" vertical="center"/>
    </xf>
    <xf numFmtId="184" fontId="0" fillId="0" borderId="90" xfId="3" applyNumberFormat="1" applyFont="1" applyBorder="1" applyAlignment="1">
      <alignment horizontal="center" vertical="center"/>
    </xf>
    <xf numFmtId="184" fontId="0" fillId="20" borderId="90" xfId="3" applyNumberFormat="1" applyFont="1" applyFill="1" applyBorder="1" applyAlignment="1">
      <alignment horizontal="center" vertical="center"/>
    </xf>
    <xf numFmtId="0" fontId="2" fillId="0" borderId="53" xfId="0" applyFont="1" applyBorder="1" applyAlignment="1">
      <alignment horizontal="left" vertical="center"/>
    </xf>
    <xf numFmtId="0" fontId="2" fillId="0" borderId="39" xfId="0" applyFont="1" applyBorder="1" applyAlignment="1">
      <alignment horizontal="left" vertical="center"/>
    </xf>
    <xf numFmtId="9" fontId="0" fillId="0" borderId="11" xfId="0" applyNumberFormat="1" applyBorder="1"/>
    <xf numFmtId="0" fontId="0" fillId="0" borderId="117" xfId="0" applyBorder="1"/>
    <xf numFmtId="0" fontId="0" fillId="0" borderId="118" xfId="0" applyBorder="1"/>
    <xf numFmtId="0" fontId="0" fillId="50" borderId="119" xfId="0" applyFill="1" applyBorder="1" applyAlignment="1">
      <alignment horizontal="center"/>
    </xf>
    <xf numFmtId="0" fontId="0" fillId="50" borderId="60" xfId="0" applyFill="1" applyBorder="1" applyAlignment="1">
      <alignment horizontal="center"/>
    </xf>
    <xf numFmtId="0" fontId="0" fillId="50" borderId="120" xfId="0" applyFill="1" applyBorder="1" applyAlignment="1">
      <alignment horizontal="center"/>
    </xf>
    <xf numFmtId="14" fontId="0" fillId="0" borderId="118" xfId="0" applyNumberFormat="1" applyBorder="1"/>
    <xf numFmtId="0" fontId="0" fillId="0" borderId="121" xfId="0" applyBorder="1"/>
    <xf numFmtId="0" fontId="0" fillId="0" borderId="122" xfId="0" applyBorder="1"/>
    <xf numFmtId="0" fontId="0" fillId="0" borderId="123" xfId="0" applyBorder="1"/>
    <xf numFmtId="0" fontId="0" fillId="50" borderId="119" xfId="0" applyFill="1" applyBorder="1"/>
    <xf numFmtId="0" fontId="0" fillId="50" borderId="60" xfId="0" applyFill="1" applyBorder="1"/>
    <xf numFmtId="0" fontId="0" fillId="50" borderId="120" xfId="0" applyFill="1" applyBorder="1"/>
    <xf numFmtId="0" fontId="0" fillId="50" borderId="117" xfId="0" applyFill="1" applyBorder="1"/>
    <xf numFmtId="0" fontId="0" fillId="50" borderId="0" xfId="0" applyFill="1"/>
    <xf numFmtId="0" fontId="23" fillId="0" borderId="23" xfId="0" applyFont="1" applyBorder="1" applyAlignment="1" applyProtection="1">
      <alignment horizontal="center"/>
      <protection locked="0"/>
    </xf>
    <xf numFmtId="0" fontId="23" fillId="0" borderId="24" xfId="0" applyFont="1" applyBorder="1" applyAlignment="1" applyProtection="1">
      <alignment horizontal="center"/>
      <protection locked="0"/>
    </xf>
    <xf numFmtId="0" fontId="16" fillId="13" borderId="1" xfId="0" applyFont="1" applyFill="1" applyBorder="1"/>
    <xf numFmtId="0" fontId="40" fillId="13" borderId="3" xfId="0" applyFont="1" applyFill="1" applyBorder="1" applyAlignment="1">
      <alignment horizontal="center"/>
    </xf>
    <xf numFmtId="0" fontId="16" fillId="13" borderId="3" xfId="0" applyFont="1" applyFill="1" applyBorder="1"/>
    <xf numFmtId="0" fontId="2" fillId="13" borderId="3" xfId="0" applyFont="1" applyFill="1" applyBorder="1"/>
    <xf numFmtId="0" fontId="16" fillId="13" borderId="2" xfId="0" applyFont="1" applyFill="1" applyBorder="1"/>
    <xf numFmtId="0" fontId="2" fillId="13" borderId="8" xfId="0" applyFont="1" applyFill="1" applyBorder="1" applyAlignment="1">
      <alignment horizontal="center" vertical="center"/>
    </xf>
    <xf numFmtId="0" fontId="65" fillId="13" borderId="8" xfId="0" applyFont="1" applyFill="1" applyBorder="1" applyAlignment="1">
      <alignment horizontal="left"/>
    </xf>
    <xf numFmtId="1" fontId="2" fillId="0" borderId="5" xfId="0" applyNumberFormat="1" applyFont="1" applyBorder="1"/>
    <xf numFmtId="1" fontId="0" fillId="0" borderId="3" xfId="0" applyNumberFormat="1" applyBorder="1" applyAlignment="1">
      <alignment horizontal="left" vertical="center"/>
    </xf>
    <xf numFmtId="1" fontId="0" fillId="0" borderId="2" xfId="0" applyNumberFormat="1" applyBorder="1" applyAlignment="1">
      <alignment horizontal="left" vertical="center"/>
    </xf>
    <xf numFmtId="1" fontId="0" fillId="0" borderId="5" xfId="0" applyNumberFormat="1" applyBorder="1" applyAlignment="1">
      <alignment horizontal="left" vertical="center"/>
    </xf>
    <xf numFmtId="1" fontId="0" fillId="0" borderId="8" xfId="0" applyNumberFormat="1" applyBorder="1" applyAlignment="1">
      <alignment horizontal="left" vertical="center"/>
    </xf>
    <xf numFmtId="1" fontId="0" fillId="0" borderId="7" xfId="0" applyNumberFormat="1" applyBorder="1" applyAlignment="1">
      <alignment horizontal="left" vertical="center"/>
    </xf>
    <xf numFmtId="1" fontId="0" fillId="30" borderId="25" xfId="0" applyNumberFormat="1" applyFill="1" applyBorder="1"/>
    <xf numFmtId="9" fontId="0" fillId="0" borderId="11" xfId="1" applyFont="1" applyBorder="1"/>
    <xf numFmtId="0" fontId="0" fillId="0" borderId="42" xfId="0" applyBorder="1"/>
    <xf numFmtId="165" fontId="0" fillId="16" borderId="0" xfId="0" applyNumberFormat="1" applyFill="1"/>
    <xf numFmtId="165" fontId="0" fillId="0" borderId="5" xfId="0" applyNumberFormat="1" applyBorder="1"/>
    <xf numFmtId="165" fontId="0" fillId="16" borderId="5" xfId="0" applyNumberFormat="1" applyFill="1" applyBorder="1"/>
    <xf numFmtId="165" fontId="0" fillId="0" borderId="8" xfId="0" applyNumberFormat="1" applyBorder="1"/>
    <xf numFmtId="165" fontId="0" fillId="0" borderId="7" xfId="0" applyNumberFormat="1" applyBorder="1"/>
    <xf numFmtId="0" fontId="0" fillId="0" borderId="1" xfId="0" applyBorder="1" applyAlignment="1">
      <alignment vertical="center"/>
    </xf>
    <xf numFmtId="9" fontId="2" fillId="0" borderId="0" xfId="1" applyFont="1" applyBorder="1"/>
    <xf numFmtId="0" fontId="2" fillId="0" borderId="1" xfId="0" applyFont="1" applyBorder="1" applyAlignment="1">
      <alignment vertical="center"/>
    </xf>
    <xf numFmtId="1" fontId="2" fillId="0" borderId="3" xfId="0" applyNumberFormat="1" applyFont="1" applyBorder="1"/>
    <xf numFmtId="1" fontId="2" fillId="0" borderId="2" xfId="0" applyNumberFormat="1" applyFont="1" applyBorder="1"/>
    <xf numFmtId="0" fontId="2" fillId="0" borderId="4" xfId="0" applyFont="1" applyBorder="1" applyAlignment="1">
      <alignment vertical="center"/>
    </xf>
    <xf numFmtId="9" fontId="2" fillId="0" borderId="5" xfId="1" applyFont="1" applyBorder="1"/>
    <xf numFmtId="1" fontId="0" fillId="0" borderId="0" xfId="1" applyNumberFormat="1" applyFont="1" applyBorder="1"/>
    <xf numFmtId="1" fontId="0" fillId="0" borderId="5" xfId="1" applyNumberFormat="1" applyFont="1" applyBorder="1"/>
    <xf numFmtId="1" fontId="2" fillId="0" borderId="8" xfId="0" applyNumberFormat="1" applyFont="1" applyBorder="1"/>
    <xf numFmtId="1" fontId="2" fillId="0" borderId="7" xfId="0" applyNumberFormat="1" applyFont="1" applyBorder="1"/>
    <xf numFmtId="9" fontId="0" fillId="0" borderId="30" xfId="0" applyNumberFormat="1" applyBorder="1"/>
    <xf numFmtId="165" fontId="0" fillId="10" borderId="66" xfId="0" applyNumberFormat="1" applyFill="1" applyBorder="1"/>
    <xf numFmtId="9" fontId="0" fillId="0" borderId="0" xfId="1" applyFont="1" applyFill="1" applyBorder="1" applyAlignment="1">
      <alignment horizontal="center" vertical="center"/>
    </xf>
    <xf numFmtId="1" fontId="2" fillId="20" borderId="31" xfId="0" applyNumberFormat="1" applyFont="1" applyFill="1" applyBorder="1" applyAlignment="1">
      <alignment horizontal="center" vertical="center"/>
    </xf>
    <xf numFmtId="1" fontId="2" fillId="20" borderId="13" xfId="0" applyNumberFormat="1" applyFont="1" applyFill="1" applyBorder="1" applyAlignment="1">
      <alignment horizontal="center" vertical="center"/>
    </xf>
    <xf numFmtId="9" fontId="0" fillId="42" borderId="29" xfId="1" applyFont="1" applyFill="1" applyBorder="1"/>
    <xf numFmtId="9" fontId="0" fillId="0" borderId="0" xfId="1" applyFont="1" applyFill="1" applyBorder="1"/>
    <xf numFmtId="1" fontId="2" fillId="20" borderId="12" xfId="0" applyNumberFormat="1" applyFont="1" applyFill="1" applyBorder="1" applyAlignment="1">
      <alignment horizontal="center"/>
    </xf>
    <xf numFmtId="9" fontId="0" fillId="42" borderId="30" xfId="1" applyFont="1" applyFill="1" applyBorder="1"/>
    <xf numFmtId="0" fontId="0" fillId="8" borderId="9" xfId="0" applyFill="1" applyBorder="1"/>
    <xf numFmtId="0" fontId="10" fillId="8" borderId="1" xfId="2" applyFill="1" applyBorder="1"/>
    <xf numFmtId="0" fontId="0" fillId="8" borderId="26" xfId="0" applyFill="1" applyBorder="1"/>
    <xf numFmtId="1" fontId="0" fillId="0" borderId="28" xfId="0" applyNumberFormat="1" applyBorder="1" applyAlignment="1">
      <alignment horizontal="left" vertical="center"/>
    </xf>
    <xf numFmtId="1" fontId="0" fillId="0" borderId="0" xfId="0" applyNumberFormat="1" applyAlignment="1">
      <alignment horizontal="left" vertical="center"/>
    </xf>
    <xf numFmtId="1" fontId="0" fillId="0" borderId="30" xfId="0" applyNumberFormat="1" applyBorder="1" applyAlignment="1">
      <alignment horizontal="left" vertical="center"/>
    </xf>
    <xf numFmtId="1" fontId="2" fillId="0" borderId="3" xfId="0" applyNumberFormat="1" applyFont="1" applyBorder="1" applyAlignment="1">
      <alignment horizontal="left" vertical="center"/>
    </xf>
    <xf numFmtId="1" fontId="2" fillId="0" borderId="2" xfId="0" applyNumberFormat="1" applyFont="1" applyBorder="1" applyAlignment="1">
      <alignment horizontal="left" vertical="center"/>
    </xf>
    <xf numFmtId="9" fontId="0" fillId="0" borderId="12" xfId="0" applyNumberFormat="1" applyBorder="1"/>
    <xf numFmtId="175" fontId="0" fillId="0" borderId="0" xfId="0" applyNumberFormat="1"/>
    <xf numFmtId="195" fontId="0" fillId="0" borderId="0" xfId="0" quotePrefix="1" applyNumberFormat="1" applyAlignment="1">
      <alignment horizontal="right"/>
    </xf>
    <xf numFmtId="195" fontId="0" fillId="0" borderId="0" xfId="0" quotePrefix="1" applyNumberFormat="1"/>
    <xf numFmtId="0" fontId="0" fillId="46" borderId="0" xfId="0" applyFill="1"/>
    <xf numFmtId="195" fontId="0" fillId="0" borderId="0" xfId="0" applyNumberFormat="1" applyAlignment="1">
      <alignment horizontal="right"/>
    </xf>
    <xf numFmtId="195" fontId="0" fillId="0" borderId="0" xfId="0" applyNumberFormat="1"/>
    <xf numFmtId="0" fontId="0" fillId="35" borderId="0" xfId="0" applyFill="1"/>
    <xf numFmtId="0" fontId="0" fillId="47" borderId="0" xfId="0" applyFill="1"/>
    <xf numFmtId="0" fontId="0" fillId="34" borderId="0" xfId="0" applyFill="1"/>
    <xf numFmtId="0" fontId="0" fillId="28" borderId="0" xfId="0" applyFill="1"/>
    <xf numFmtId="164" fontId="22" fillId="23" borderId="27" xfId="0" applyNumberFormat="1" applyFont="1" applyFill="1" applyBorder="1"/>
    <xf numFmtId="0" fontId="22" fillId="23" borderId="20" xfId="0" applyFont="1" applyFill="1" applyBorder="1"/>
    <xf numFmtId="164" fontId="22" fillId="23" borderId="28" xfId="0" applyNumberFormat="1" applyFont="1" applyFill="1" applyBorder="1"/>
    <xf numFmtId="164" fontId="22" fillId="23" borderId="30" xfId="0" applyNumberFormat="1" applyFont="1" applyFill="1" applyBorder="1"/>
    <xf numFmtId="0" fontId="29" fillId="23" borderId="19" xfId="0" applyFont="1" applyFill="1" applyBorder="1"/>
    <xf numFmtId="0" fontId="29" fillId="23" borderId="23" xfId="0" applyFont="1" applyFill="1" applyBorder="1"/>
    <xf numFmtId="0" fontId="29" fillId="23" borderId="22" xfId="0" applyFont="1" applyFill="1" applyBorder="1"/>
    <xf numFmtId="1" fontId="29" fillId="23" borderId="19" xfId="0" applyNumberFormat="1" applyFont="1" applyFill="1" applyBorder="1"/>
    <xf numFmtId="1" fontId="29" fillId="23" borderId="17" xfId="0" applyNumberFormat="1" applyFont="1" applyFill="1" applyBorder="1"/>
    <xf numFmtId="1" fontId="29" fillId="23" borderId="22" xfId="0" applyNumberFormat="1" applyFont="1" applyFill="1" applyBorder="1"/>
    <xf numFmtId="0" fontId="0" fillId="0" borderId="31" xfId="0" applyBorder="1" applyAlignment="1">
      <alignment horizontal="center"/>
    </xf>
    <xf numFmtId="0" fontId="0" fillId="0" borderId="41" xfId="0" applyBorder="1" applyAlignment="1">
      <alignment horizontal="center"/>
    </xf>
    <xf numFmtId="0" fontId="0" fillId="0" borderId="13" xfId="0" applyBorder="1" applyAlignment="1">
      <alignment horizontal="center"/>
    </xf>
    <xf numFmtId="0" fontId="0" fillId="0" borderId="32" xfId="0" applyBorder="1" applyAlignment="1">
      <alignment horizontal="center"/>
    </xf>
    <xf numFmtId="0" fontId="0" fillId="0" borderId="3" xfId="0" applyBorder="1" applyAlignment="1">
      <alignment horizontal="center" vertical="center"/>
    </xf>
    <xf numFmtId="0" fontId="0" fillId="0" borderId="33" xfId="0" applyBorder="1" applyAlignment="1">
      <alignment horizontal="center"/>
    </xf>
    <xf numFmtId="0" fontId="0" fillId="0" borderId="71" xfId="0" applyBorder="1" applyAlignment="1">
      <alignment horizontal="center"/>
    </xf>
    <xf numFmtId="0" fontId="0" fillId="0" borderId="3" xfId="0" applyBorder="1" applyAlignment="1">
      <alignment horizontal="center" vertical="center" wrapText="1"/>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23" xfId="0" applyBorder="1" applyAlignment="1">
      <alignment horizontal="center" vertical="center"/>
    </xf>
    <xf numFmtId="0" fontId="0" fillId="0" borderId="48" xfId="0" applyBorder="1" applyAlignment="1">
      <alignment horizontal="center" vertical="center"/>
    </xf>
    <xf numFmtId="0" fontId="0" fillId="21" borderId="19" xfId="0" applyFill="1" applyBorder="1" applyAlignment="1">
      <alignment horizontal="center" vertical="center"/>
    </xf>
    <xf numFmtId="0" fontId="0" fillId="21" borderId="15" xfId="0" applyFill="1" applyBorder="1" applyAlignment="1">
      <alignment horizontal="center" vertical="center"/>
    </xf>
    <xf numFmtId="0" fontId="0" fillId="21" borderId="23" xfId="0" applyFill="1" applyBorder="1" applyAlignment="1">
      <alignment horizontal="center" vertical="center"/>
    </xf>
    <xf numFmtId="0" fontId="0" fillId="0" borderId="15" xfId="0" applyBorder="1" applyAlignment="1">
      <alignment horizontal="center" vertical="center" wrapText="1"/>
    </xf>
    <xf numFmtId="0" fontId="0" fillId="0" borderId="23" xfId="0" applyBorder="1" applyAlignment="1">
      <alignment horizontal="center" vertical="center" wrapText="1"/>
    </xf>
    <xf numFmtId="0" fontId="0" fillId="0" borderId="2" xfId="0" applyBorder="1" applyAlignment="1">
      <alignment vertical="center"/>
    </xf>
    <xf numFmtId="0" fontId="0" fillId="0" borderId="9" xfId="0" applyBorder="1" applyAlignment="1">
      <alignment vertical="center"/>
    </xf>
    <xf numFmtId="0" fontId="0" fillId="0" borderId="40" xfId="0" applyBorder="1" applyAlignment="1">
      <alignment horizontal="center" vertical="center"/>
    </xf>
    <xf numFmtId="0" fontId="18" fillId="0" borderId="40" xfId="0" applyFont="1" applyBorder="1" applyAlignment="1">
      <alignment horizontal="center" vertical="center" wrapText="1"/>
    </xf>
    <xf numFmtId="0" fontId="0" fillId="0" borderId="40" xfId="0" applyBorder="1" applyAlignment="1">
      <alignment horizontal="center" vertical="center" wrapText="1"/>
    </xf>
    <xf numFmtId="0" fontId="18" fillId="0" borderId="40" xfId="0" applyFont="1" applyBorder="1" applyAlignment="1">
      <alignment horizontal="center" vertical="center"/>
    </xf>
    <xf numFmtId="0" fontId="0" fillId="0" borderId="14" xfId="0" applyBorder="1" applyAlignment="1">
      <alignment horizontal="center" vertical="center" wrapText="1"/>
    </xf>
    <xf numFmtId="0" fontId="0" fillId="0" borderId="26" xfId="0" applyBorder="1" applyAlignment="1">
      <alignment horizontal="center" vertical="center" wrapText="1"/>
    </xf>
    <xf numFmtId="0" fontId="0" fillId="21" borderId="33" xfId="0" applyFill="1" applyBorder="1" applyAlignment="1">
      <alignment horizontal="center" vertical="center"/>
    </xf>
    <xf numFmtId="0" fontId="0" fillId="21" borderId="48" xfId="0" applyFill="1" applyBorder="1" applyAlignment="1">
      <alignment horizontal="center" vertical="center"/>
    </xf>
    <xf numFmtId="0" fontId="0" fillId="21" borderId="56" xfId="0" applyFill="1" applyBorder="1" applyAlignment="1">
      <alignment horizontal="center" vertical="center"/>
    </xf>
    <xf numFmtId="0" fontId="0" fillId="0" borderId="10" xfId="0" applyBorder="1" applyAlignment="1">
      <alignment horizontal="center" wrapText="1"/>
    </xf>
    <xf numFmtId="0" fontId="0" fillId="0" borderId="11"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42" xfId="0" applyBorder="1" applyAlignment="1">
      <alignment horizontal="center"/>
    </xf>
    <xf numFmtId="0" fontId="0" fillId="0" borderId="32" xfId="0" applyBorder="1" applyAlignment="1">
      <alignment horizontal="center" wrapText="1"/>
    </xf>
    <xf numFmtId="0" fontId="0" fillId="0" borderId="45" xfId="0" applyBorder="1" applyAlignment="1">
      <alignment wrapText="1"/>
    </xf>
    <xf numFmtId="0" fontId="0" fillId="0" borderId="17" xfId="0" applyBorder="1" applyAlignment="1">
      <alignment wrapText="1"/>
    </xf>
    <xf numFmtId="0" fontId="0" fillId="0" borderId="28" xfId="0" applyBorder="1" applyAlignment="1">
      <alignment wrapText="1"/>
    </xf>
    <xf numFmtId="0" fontId="0" fillId="21" borderId="45" xfId="0" applyFill="1" applyBorder="1" applyAlignment="1">
      <alignment wrapText="1"/>
    </xf>
    <xf numFmtId="0" fontId="0" fillId="21" borderId="17" xfId="0" applyFill="1" applyBorder="1" applyAlignment="1">
      <alignment wrapText="1"/>
    </xf>
    <xf numFmtId="0" fontId="0" fillId="21" borderId="28" xfId="0" applyFill="1" applyBorder="1" applyAlignment="1">
      <alignment wrapText="1"/>
    </xf>
    <xf numFmtId="0" fontId="0" fillId="0" borderId="24" xfId="0" applyBorder="1" applyAlignment="1">
      <alignment wrapText="1"/>
    </xf>
    <xf numFmtId="0" fontId="0" fillId="21" borderId="0" xfId="0" applyFill="1"/>
    <xf numFmtId="0" fontId="0" fillId="21" borderId="8" xfId="0" applyFill="1" applyBorder="1"/>
    <xf numFmtId="0" fontId="5" fillId="11" borderId="45" xfId="0" applyFont="1" applyFill="1" applyBorder="1"/>
    <xf numFmtId="0" fontId="5" fillId="11" borderId="28" xfId="0" applyFont="1" applyFill="1" applyBorder="1" applyAlignment="1">
      <alignment horizontal="center" vertical="center" wrapText="1"/>
    </xf>
    <xf numFmtId="2" fontId="6" fillId="11" borderId="16" xfId="0" applyNumberFormat="1" applyFont="1" applyFill="1" applyBorder="1"/>
    <xf numFmtId="2" fontId="6" fillId="11" borderId="17" xfId="0" applyNumberFormat="1" applyFont="1" applyFill="1" applyBorder="1"/>
    <xf numFmtId="2" fontId="6" fillId="11" borderId="28" xfId="0" applyNumberFormat="1" applyFont="1" applyFill="1" applyBorder="1"/>
    <xf numFmtId="2" fontId="6" fillId="11" borderId="11" xfId="0" applyNumberFormat="1" applyFont="1" applyFill="1" applyBorder="1"/>
    <xf numFmtId="0" fontId="5" fillId="11" borderId="45" xfId="0" applyFont="1" applyFill="1" applyBorder="1" applyProtection="1">
      <protection locked="0"/>
    </xf>
    <xf numFmtId="0" fontId="5" fillId="11" borderId="17" xfId="0" applyFont="1" applyFill="1" applyBorder="1" applyProtection="1">
      <protection locked="0"/>
    </xf>
    <xf numFmtId="0" fontId="5" fillId="11" borderId="28" xfId="0" applyFont="1" applyFill="1" applyBorder="1" applyProtection="1">
      <protection locked="0"/>
    </xf>
    <xf numFmtId="0" fontId="5" fillId="11" borderId="16" xfId="0" applyFont="1" applyFill="1" applyBorder="1" applyProtection="1">
      <protection locked="0"/>
    </xf>
    <xf numFmtId="0" fontId="5" fillId="11" borderId="52" xfId="0" applyFont="1" applyFill="1" applyBorder="1" applyProtection="1">
      <protection locked="0"/>
    </xf>
    <xf numFmtId="0" fontId="54" fillId="0" borderId="0" xfId="0" applyFont="1"/>
    <xf numFmtId="2" fontId="22" fillId="23" borderId="23" xfId="0" applyNumberFormat="1" applyFont="1" applyFill="1" applyBorder="1" applyAlignment="1" applyProtection="1">
      <alignment horizontal="center" vertical="center"/>
      <protection locked="0"/>
    </xf>
    <xf numFmtId="2" fontId="22" fillId="13" borderId="38" xfId="0" applyNumberFormat="1" applyFont="1" applyFill="1" applyBorder="1" applyAlignment="1" applyProtection="1">
      <alignment horizontal="center" vertical="center"/>
      <protection locked="0"/>
    </xf>
    <xf numFmtId="2" fontId="5" fillId="13" borderId="75" xfId="0" applyNumberFormat="1" applyFont="1" applyFill="1" applyBorder="1" applyAlignment="1" applyProtection="1">
      <alignment horizontal="right"/>
      <protection locked="0"/>
    </xf>
    <xf numFmtId="2" fontId="6" fillId="36" borderId="24" xfId="0" applyNumberFormat="1" applyFont="1" applyFill="1" applyBorder="1" applyAlignment="1" applyProtection="1">
      <alignment horizontal="center" vertical="center"/>
      <protection locked="0"/>
    </xf>
    <xf numFmtId="0" fontId="6" fillId="36" borderId="24" xfId="0" applyFont="1" applyFill="1" applyBorder="1" applyAlignment="1" applyProtection="1">
      <alignment horizontal="center"/>
      <protection locked="0"/>
    </xf>
    <xf numFmtId="0" fontId="6" fillId="36" borderId="24" xfId="0" applyFont="1" applyFill="1" applyBorder="1" applyAlignment="1">
      <alignment horizontal="center" vertical="center"/>
    </xf>
    <xf numFmtId="181" fontId="22" fillId="23" borderId="24" xfId="0" applyNumberFormat="1" applyFont="1" applyFill="1" applyBorder="1" applyProtection="1">
      <protection locked="0"/>
    </xf>
    <xf numFmtId="166" fontId="6" fillId="36" borderId="24" xfId="0" applyNumberFormat="1" applyFont="1" applyFill="1" applyBorder="1"/>
    <xf numFmtId="4" fontId="6" fillId="25" borderId="23" xfId="0" applyNumberFormat="1" applyFont="1" applyFill="1" applyBorder="1" applyAlignment="1">
      <alignment horizontal="center"/>
    </xf>
    <xf numFmtId="3" fontId="6" fillId="36" borderId="24" xfId="0" applyNumberFormat="1" applyFont="1" applyFill="1" applyBorder="1" applyAlignment="1">
      <alignment horizontal="center"/>
    </xf>
    <xf numFmtId="3" fontId="22" fillId="23" borderId="24" xfId="0" applyNumberFormat="1" applyFont="1" applyFill="1" applyBorder="1" applyAlignment="1">
      <alignment horizontal="center"/>
    </xf>
    <xf numFmtId="3" fontId="22" fillId="23" borderId="25" xfId="0" applyNumberFormat="1" applyFont="1" applyFill="1" applyBorder="1" applyAlignment="1">
      <alignment horizontal="center"/>
    </xf>
    <xf numFmtId="166" fontId="0" fillId="36" borderId="6" xfId="0" applyNumberFormat="1" applyFill="1" applyBorder="1" applyAlignment="1">
      <alignment horizontal="center" vertical="center"/>
    </xf>
    <xf numFmtId="166" fontId="2" fillId="16" borderId="14" xfId="0" applyNumberFormat="1" applyFont="1" applyFill="1" applyBorder="1" applyAlignment="1">
      <alignment horizontal="center" vertical="center"/>
    </xf>
    <xf numFmtId="0" fontId="0" fillId="14" borderId="14" xfId="0" applyFill="1" applyBorder="1" applyAlignment="1">
      <alignment horizontal="center" vertical="center"/>
    </xf>
    <xf numFmtId="2" fontId="2" fillId="16" borderId="5" xfId="0" applyNumberFormat="1" applyFont="1" applyFill="1" applyBorder="1" applyAlignment="1">
      <alignment horizontal="center" vertical="center"/>
    </xf>
    <xf numFmtId="4" fontId="44" fillId="23" borderId="49" xfId="0" applyNumberFormat="1" applyFont="1" applyFill="1" applyBorder="1" applyAlignment="1">
      <alignment horizontal="center"/>
    </xf>
    <xf numFmtId="4" fontId="44" fillId="23" borderId="19" xfId="0" applyNumberFormat="1" applyFont="1" applyFill="1" applyBorder="1" applyAlignment="1">
      <alignment horizontal="center"/>
    </xf>
    <xf numFmtId="4" fontId="44" fillId="23" borderId="27" xfId="0" applyNumberFormat="1" applyFont="1" applyFill="1" applyBorder="1" applyAlignment="1">
      <alignment horizontal="center"/>
    </xf>
    <xf numFmtId="0" fontId="44" fillId="23" borderId="45" xfId="0" applyFont="1" applyFill="1" applyBorder="1" applyAlignment="1">
      <alignment horizontal="center" vertical="center"/>
    </xf>
    <xf numFmtId="0" fontId="44" fillId="23" borderId="17" xfId="0" applyFont="1" applyFill="1" applyBorder="1" applyAlignment="1">
      <alignment horizontal="center" vertical="center"/>
    </xf>
    <xf numFmtId="0" fontId="44" fillId="23" borderId="28" xfId="0" applyFont="1" applyFill="1" applyBorder="1" applyAlignment="1">
      <alignment horizontal="center" vertical="center"/>
    </xf>
    <xf numFmtId="2" fontId="44" fillId="23" borderId="49" xfId="0" applyNumberFormat="1" applyFont="1" applyFill="1" applyBorder="1" applyAlignment="1" applyProtection="1">
      <alignment horizontal="center" vertical="center"/>
      <protection locked="0"/>
    </xf>
    <xf numFmtId="166" fontId="44" fillId="23" borderId="45" xfId="0" applyNumberFormat="1" applyFont="1" applyFill="1" applyBorder="1" applyAlignment="1" applyProtection="1">
      <alignment horizontal="center"/>
      <protection locked="0"/>
    </xf>
    <xf numFmtId="2" fontId="44" fillId="23" borderId="19" xfId="0" applyNumberFormat="1" applyFont="1" applyFill="1" applyBorder="1" applyAlignment="1" applyProtection="1">
      <alignment horizontal="center" vertical="center"/>
      <protection locked="0"/>
    </xf>
    <xf numFmtId="166" fontId="44" fillId="23" borderId="17" xfId="0" applyNumberFormat="1" applyFont="1" applyFill="1" applyBorder="1" applyAlignment="1" applyProtection="1">
      <alignment horizontal="center"/>
      <protection locked="0"/>
    </xf>
    <xf numFmtId="2" fontId="44" fillId="23" borderId="27" xfId="0" applyNumberFormat="1" applyFont="1" applyFill="1" applyBorder="1" applyAlignment="1" applyProtection="1">
      <alignment horizontal="center" vertical="center"/>
      <protection locked="0"/>
    </xf>
    <xf numFmtId="166" fontId="44" fillId="23" borderId="28" xfId="0" applyNumberFormat="1" applyFont="1" applyFill="1" applyBorder="1" applyAlignment="1" applyProtection="1">
      <alignment horizontal="center"/>
      <protection locked="0"/>
    </xf>
    <xf numFmtId="2" fontId="44" fillId="23" borderId="62" xfId="0" applyNumberFormat="1" applyFont="1" applyFill="1" applyBorder="1" applyAlignment="1" applyProtection="1">
      <alignment horizontal="center" vertical="center"/>
      <protection locked="0"/>
    </xf>
    <xf numFmtId="2" fontId="36" fillId="23" borderId="44" xfId="0" applyNumberFormat="1" applyFont="1" applyFill="1" applyBorder="1" applyAlignment="1" applyProtection="1">
      <alignment horizontal="right"/>
      <protection locked="0"/>
    </xf>
    <xf numFmtId="2" fontId="44" fillId="23" borderId="20" xfId="0" applyNumberFormat="1" applyFont="1" applyFill="1" applyBorder="1" applyAlignment="1" applyProtection="1">
      <alignment horizontal="center" vertical="center"/>
      <protection locked="0"/>
    </xf>
    <xf numFmtId="2" fontId="36" fillId="23" borderId="37" xfId="0" applyNumberFormat="1" applyFont="1" applyFill="1" applyBorder="1" applyAlignment="1" applyProtection="1">
      <alignment horizontal="right"/>
      <protection locked="0"/>
    </xf>
    <xf numFmtId="2" fontId="44" fillId="23" borderId="29" xfId="0" applyNumberFormat="1" applyFont="1" applyFill="1" applyBorder="1" applyAlignment="1" applyProtection="1">
      <alignment horizontal="center" vertical="center"/>
      <protection locked="0"/>
    </xf>
    <xf numFmtId="2" fontId="36" fillId="23" borderId="50" xfId="0" applyNumberFormat="1" applyFont="1" applyFill="1" applyBorder="1" applyAlignment="1" applyProtection="1">
      <alignment horizontal="right"/>
      <protection locked="0"/>
    </xf>
    <xf numFmtId="181" fontId="44" fillId="23" borderId="45" xfId="0" applyNumberFormat="1" applyFont="1" applyFill="1" applyBorder="1" applyProtection="1">
      <protection locked="0"/>
    </xf>
    <xf numFmtId="181" fontId="44" fillId="23" borderId="17" xfId="0" applyNumberFormat="1" applyFont="1" applyFill="1" applyBorder="1" applyProtection="1">
      <protection locked="0"/>
    </xf>
    <xf numFmtId="181" fontId="44" fillId="23" borderId="28" xfId="0" applyNumberFormat="1" applyFont="1" applyFill="1" applyBorder="1" applyProtection="1">
      <protection locked="0"/>
    </xf>
    <xf numFmtId="2" fontId="22" fillId="25" borderId="49" xfId="0" applyNumberFormat="1" applyFont="1" applyFill="1" applyBorder="1" applyAlignment="1" applyProtection="1">
      <alignment horizontal="center" vertical="center"/>
      <protection locked="0"/>
    </xf>
    <xf numFmtId="2" fontId="22" fillId="25" borderId="19" xfId="0" applyNumberFormat="1" applyFont="1" applyFill="1" applyBorder="1" applyAlignment="1" applyProtection="1">
      <alignment horizontal="center" vertical="center"/>
      <protection locked="0"/>
    </xf>
    <xf numFmtId="2" fontId="22" fillId="25" borderId="27" xfId="0" applyNumberFormat="1" applyFont="1" applyFill="1" applyBorder="1" applyAlignment="1" applyProtection="1">
      <alignment horizontal="center" vertical="center"/>
      <protection locked="0"/>
    </xf>
    <xf numFmtId="0" fontId="6" fillId="25" borderId="45" xfId="0" applyFont="1" applyFill="1" applyBorder="1" applyAlignment="1" applyProtection="1">
      <alignment horizontal="center" vertical="center"/>
      <protection locked="0"/>
    </xf>
    <xf numFmtId="166" fontId="6" fillId="9" borderId="46" xfId="0" applyNumberFormat="1" applyFont="1" applyFill="1" applyBorder="1"/>
    <xf numFmtId="166" fontId="6" fillId="9" borderId="22" xfId="0" applyNumberFormat="1" applyFont="1" applyFill="1" applyBorder="1"/>
    <xf numFmtId="166" fontId="6" fillId="9" borderId="30" xfId="0" applyNumberFormat="1" applyFont="1" applyFill="1" applyBorder="1"/>
    <xf numFmtId="3" fontId="44" fillId="25" borderId="45" xfId="0" applyNumberFormat="1" applyFont="1" applyFill="1" applyBorder="1" applyAlignment="1">
      <alignment horizontal="center"/>
    </xf>
    <xf numFmtId="3" fontId="44" fillId="25" borderId="17" xfId="0" applyNumberFormat="1" applyFont="1" applyFill="1" applyBorder="1" applyAlignment="1">
      <alignment horizontal="center"/>
    </xf>
    <xf numFmtId="3" fontId="44" fillId="25" borderId="28" xfId="0" applyNumberFormat="1" applyFont="1" applyFill="1" applyBorder="1" applyAlignment="1">
      <alignment horizontal="center"/>
    </xf>
    <xf numFmtId="198" fontId="0" fillId="20" borderId="95" xfId="0" applyNumberFormat="1" applyFill="1" applyBorder="1" applyAlignment="1">
      <alignment horizontal="center" vertical="center"/>
    </xf>
    <xf numFmtId="198" fontId="0" fillId="0" borderId="95" xfId="0" applyNumberFormat="1" applyBorder="1" applyAlignment="1">
      <alignment horizontal="center" vertical="center"/>
    </xf>
    <xf numFmtId="198" fontId="0" fillId="20" borderId="95" xfId="0" applyNumberFormat="1" applyFill="1" applyBorder="1" applyAlignment="1">
      <alignment horizontal="center"/>
    </xf>
    <xf numFmtId="198" fontId="0" fillId="0" borderId="95" xfId="0" applyNumberFormat="1" applyBorder="1" applyAlignment="1">
      <alignment horizontal="center"/>
    </xf>
    <xf numFmtId="0" fontId="37" fillId="0" borderId="0" xfId="0" applyFont="1" applyAlignment="1">
      <alignment horizontal="right" vertical="center"/>
    </xf>
    <xf numFmtId="177" fontId="0" fillId="0" borderId="0" xfId="3" applyNumberFormat="1" applyFont="1" applyFill="1" applyBorder="1" applyAlignment="1">
      <alignment horizontal="right" vertical="center"/>
    </xf>
    <xf numFmtId="177" fontId="0" fillId="0" borderId="0" xfId="3" applyNumberFormat="1" applyFont="1" applyFill="1" applyBorder="1" applyAlignment="1">
      <alignment horizontal="center" vertical="center"/>
    </xf>
    <xf numFmtId="176" fontId="0" fillId="0" borderId="0" xfId="0" applyNumberFormat="1"/>
    <xf numFmtId="44" fontId="0" fillId="0" borderId="0" xfId="3" applyFont="1" applyFill="1" applyBorder="1" applyAlignment="1">
      <alignment horizontal="center" vertical="center"/>
    </xf>
    <xf numFmtId="0" fontId="0" fillId="0" borderId="124" xfId="0" applyBorder="1" applyAlignment="1">
      <alignment horizontal="center" vertical="center"/>
    </xf>
    <xf numFmtId="166" fontId="0" fillId="0" borderId="124" xfId="0" applyNumberFormat="1" applyBorder="1" applyAlignment="1">
      <alignment horizontal="center" vertical="center"/>
    </xf>
    <xf numFmtId="1" fontId="0" fillId="0" borderId="0" xfId="3" applyNumberFormat="1" applyFont="1" applyFill="1" applyBorder="1" applyAlignment="1">
      <alignment horizontal="center" vertical="center"/>
    </xf>
    <xf numFmtId="172" fontId="0" fillId="0" borderId="0" xfId="3" applyNumberFormat="1" applyFont="1" applyFill="1" applyBorder="1" applyAlignment="1">
      <alignment horizontal="center" vertical="center"/>
    </xf>
    <xf numFmtId="0" fontId="37" fillId="0" borderId="0" xfId="0" applyFont="1" applyAlignment="1">
      <alignment horizontal="center" vertical="center"/>
    </xf>
    <xf numFmtId="176" fontId="0" fillId="0" borderId="0" xfId="3" applyNumberFormat="1" applyFont="1" applyFill="1" applyBorder="1" applyAlignment="1">
      <alignment horizontal="center" vertical="center"/>
    </xf>
    <xf numFmtId="175" fontId="0" fillId="0" borderId="0" xfId="3" applyNumberFormat="1" applyFont="1" applyFill="1" applyBorder="1" applyAlignment="1">
      <alignment horizontal="center" vertical="center"/>
    </xf>
    <xf numFmtId="0" fontId="6" fillId="0" borderId="0" xfId="0" applyFont="1" applyAlignment="1">
      <alignment horizontal="center" vertical="center"/>
    </xf>
    <xf numFmtId="182" fontId="0" fillId="0" borderId="0" xfId="3" applyNumberFormat="1" applyFont="1" applyFill="1" applyBorder="1" applyAlignment="1">
      <alignment horizontal="center" vertical="center"/>
    </xf>
    <xf numFmtId="172" fontId="0" fillId="0" borderId="0" xfId="0" applyNumberFormat="1" applyAlignment="1">
      <alignment horizontal="center"/>
    </xf>
    <xf numFmtId="172" fontId="0" fillId="0" borderId="0" xfId="0" applyNumberFormat="1" applyAlignment="1">
      <alignment horizontal="center" vertical="center"/>
    </xf>
    <xf numFmtId="176" fontId="0" fillId="0" borderId="0" xfId="0" applyNumberFormat="1" applyAlignment="1">
      <alignment horizontal="center" vertical="center"/>
    </xf>
    <xf numFmtId="191" fontId="6" fillId="36" borderId="24" xfId="0" applyNumberFormat="1" applyFont="1" applyFill="1" applyBorder="1" applyAlignment="1">
      <alignment horizontal="center"/>
    </xf>
    <xf numFmtId="3" fontId="6" fillId="9" borderId="25" xfId="0" applyNumberFormat="1" applyFont="1" applyFill="1" applyBorder="1" applyAlignment="1">
      <alignment horizontal="center"/>
    </xf>
    <xf numFmtId="191" fontId="6" fillId="36" borderId="24" xfId="0" applyNumberFormat="1" applyFont="1" applyFill="1" applyBorder="1" applyAlignment="1">
      <alignment horizontal="center" vertical="center"/>
    </xf>
    <xf numFmtId="191" fontId="6" fillId="36" borderId="16" xfId="0" applyNumberFormat="1" applyFont="1" applyFill="1" applyBorder="1" applyAlignment="1">
      <alignment horizontal="center" vertical="center"/>
    </xf>
    <xf numFmtId="191" fontId="6" fillId="36" borderId="17" xfId="0" applyNumberFormat="1" applyFont="1" applyFill="1" applyBorder="1" applyAlignment="1">
      <alignment horizontal="center"/>
    </xf>
    <xf numFmtId="191" fontId="6" fillId="25" borderId="17" xfId="0" applyNumberFormat="1" applyFont="1" applyFill="1" applyBorder="1" applyAlignment="1">
      <alignment horizontal="center"/>
    </xf>
    <xf numFmtId="191" fontId="6" fillId="36" borderId="45" xfId="0" applyNumberFormat="1" applyFont="1" applyFill="1" applyBorder="1" applyAlignment="1">
      <alignment horizontal="center"/>
    </xf>
    <xf numFmtId="4" fontId="6" fillId="36" borderId="46" xfId="0" applyNumberFormat="1" applyFont="1" applyFill="1" applyBorder="1" applyAlignment="1">
      <alignment horizontal="center"/>
    </xf>
    <xf numFmtId="4" fontId="6" fillId="36" borderId="22" xfId="0" applyNumberFormat="1" applyFont="1" applyFill="1" applyBorder="1" applyAlignment="1">
      <alignment horizontal="center"/>
    </xf>
    <xf numFmtId="191" fontId="6" fillId="36" borderId="28" xfId="0" applyNumberFormat="1" applyFont="1" applyFill="1" applyBorder="1" applyAlignment="1">
      <alignment horizontal="center"/>
    </xf>
    <xf numFmtId="4" fontId="6" fillId="36" borderId="30" xfId="0" applyNumberFormat="1" applyFont="1" applyFill="1" applyBorder="1" applyAlignment="1">
      <alignment horizontal="center"/>
    </xf>
    <xf numFmtId="3" fontId="6" fillId="36" borderId="45" xfId="0" applyNumberFormat="1" applyFont="1" applyFill="1" applyBorder="1" applyAlignment="1">
      <alignment horizontal="center"/>
    </xf>
    <xf numFmtId="3" fontId="44" fillId="3" borderId="45" xfId="0" applyNumberFormat="1" applyFont="1" applyFill="1" applyBorder="1" applyAlignment="1">
      <alignment horizontal="center"/>
    </xf>
    <xf numFmtId="9" fontId="44" fillId="3" borderId="45" xfId="0" applyNumberFormat="1" applyFont="1" applyFill="1" applyBorder="1" applyAlignment="1">
      <alignment horizontal="center"/>
    </xf>
    <xf numFmtId="3" fontId="44" fillId="3" borderId="17" xfId="0" applyNumberFormat="1" applyFont="1" applyFill="1" applyBorder="1" applyAlignment="1">
      <alignment horizontal="center"/>
    </xf>
    <xf numFmtId="9" fontId="44" fillId="3" borderId="17" xfId="0" applyNumberFormat="1" applyFont="1" applyFill="1" applyBorder="1" applyAlignment="1">
      <alignment horizontal="center"/>
    </xf>
    <xf numFmtId="3" fontId="44" fillId="3" borderId="28" xfId="0" applyNumberFormat="1" applyFont="1" applyFill="1" applyBorder="1" applyAlignment="1">
      <alignment horizontal="center"/>
    </xf>
    <xf numFmtId="9" fontId="44" fillId="3" borderId="28" xfId="0" applyNumberFormat="1" applyFont="1" applyFill="1" applyBorder="1" applyAlignment="1">
      <alignment horizontal="center"/>
    </xf>
    <xf numFmtId="0" fontId="0" fillId="41" borderId="3" xfId="0" applyFill="1" applyBorder="1" applyAlignment="1">
      <alignment vertical="center"/>
    </xf>
    <xf numFmtId="0" fontId="0" fillId="41" borderId="0" xfId="0" applyFill="1" applyAlignment="1">
      <alignment vertical="center"/>
    </xf>
    <xf numFmtId="0" fontId="0" fillId="41" borderId="3" xfId="0" applyFill="1" applyBorder="1" applyAlignment="1">
      <alignment vertical="center" wrapText="1"/>
    </xf>
    <xf numFmtId="0" fontId="0" fillId="41" borderId="0" xfId="0" applyFill="1" applyAlignment="1">
      <alignment vertical="center" wrapText="1"/>
    </xf>
    <xf numFmtId="0" fontId="36" fillId="3" borderId="41" xfId="0" applyFont="1" applyFill="1" applyBorder="1" applyAlignment="1">
      <alignment horizontal="center"/>
    </xf>
    <xf numFmtId="3" fontId="44" fillId="3" borderId="22" xfId="0" applyNumberFormat="1" applyFont="1" applyFill="1" applyBorder="1" applyAlignment="1">
      <alignment horizontal="center"/>
    </xf>
    <xf numFmtId="3" fontId="44" fillId="3" borderId="30" xfId="0" applyNumberFormat="1" applyFont="1" applyFill="1" applyBorder="1" applyAlignment="1">
      <alignment horizontal="center"/>
    </xf>
    <xf numFmtId="3" fontId="44" fillId="3" borderId="46" xfId="0" applyNumberFormat="1" applyFont="1" applyFill="1" applyBorder="1" applyAlignment="1">
      <alignment horizontal="center"/>
    </xf>
    <xf numFmtId="3" fontId="6" fillId="13" borderId="43" xfId="0" applyNumberFormat="1" applyFont="1" applyFill="1" applyBorder="1" applyAlignment="1">
      <alignment horizontal="center"/>
    </xf>
    <xf numFmtId="3" fontId="6" fillId="13" borderId="57" xfId="0" applyNumberFormat="1" applyFont="1" applyFill="1" applyBorder="1" applyAlignment="1">
      <alignment horizontal="center"/>
    </xf>
    <xf numFmtId="3" fontId="6" fillId="13" borderId="58" xfId="0" applyNumberFormat="1" applyFont="1" applyFill="1" applyBorder="1" applyAlignment="1">
      <alignment horizontal="center"/>
    </xf>
    <xf numFmtId="9" fontId="0" fillId="36" borderId="39" xfId="1" applyFont="1" applyFill="1" applyBorder="1"/>
    <xf numFmtId="0" fontId="0" fillId="29" borderId="19" xfId="0" applyFill="1" applyBorder="1" applyAlignment="1">
      <alignment horizontal="left" vertical="center"/>
    </xf>
    <xf numFmtId="9" fontId="1" fillId="29" borderId="17" xfId="1" applyFont="1" applyFill="1" applyBorder="1" applyAlignment="1">
      <alignment horizontal="center" vertical="center"/>
    </xf>
    <xf numFmtId="9" fontId="0" fillId="29" borderId="17" xfId="1" applyFont="1" applyFill="1" applyBorder="1" applyAlignment="1">
      <alignment horizontal="center" vertical="center"/>
    </xf>
    <xf numFmtId="0" fontId="0" fillId="44" borderId="19" xfId="0" applyFill="1" applyBorder="1" applyAlignment="1">
      <alignment horizontal="left" vertical="center"/>
    </xf>
    <xf numFmtId="164" fontId="1" fillId="44" borderId="17" xfId="1" applyNumberFormat="1" applyFont="1" applyFill="1" applyBorder="1" applyAlignment="1">
      <alignment horizontal="center" vertical="center"/>
    </xf>
    <xf numFmtId="9" fontId="0" fillId="44" borderId="17" xfId="1" applyFont="1" applyFill="1" applyBorder="1" applyAlignment="1">
      <alignment horizontal="center" vertical="center"/>
    </xf>
    <xf numFmtId="1" fontId="1" fillId="29" borderId="28" xfId="1" applyNumberFormat="1" applyFont="1" applyFill="1" applyBorder="1" applyAlignment="1">
      <alignment horizontal="center" vertical="center"/>
    </xf>
    <xf numFmtId="1" fontId="1" fillId="29" borderId="17" xfId="1" applyNumberFormat="1" applyFont="1" applyFill="1" applyBorder="1" applyAlignment="1">
      <alignment horizontal="center" vertical="center"/>
    </xf>
    <xf numFmtId="0" fontId="2" fillId="29" borderId="19" xfId="0" applyFont="1" applyFill="1" applyBorder="1" applyAlignment="1">
      <alignment horizontal="left" vertical="center"/>
    </xf>
    <xf numFmtId="164" fontId="2" fillId="29" borderId="17" xfId="1" applyNumberFormat="1" applyFont="1" applyFill="1" applyBorder="1" applyAlignment="1">
      <alignment horizontal="center" vertical="center"/>
    </xf>
    <xf numFmtId="1" fontId="0" fillId="0" borderId="62" xfId="0" applyNumberFormat="1" applyBorder="1"/>
    <xf numFmtId="167" fontId="0" fillId="0" borderId="27" xfId="1" applyNumberFormat="1" applyFont="1" applyBorder="1" applyAlignment="1">
      <alignment horizontal="center" vertical="center"/>
    </xf>
    <xf numFmtId="167" fontId="0" fillId="10" borderId="55" xfId="1" applyNumberFormat="1" applyFont="1" applyFill="1" applyBorder="1" applyAlignment="1">
      <alignment horizontal="center" vertical="center"/>
    </xf>
    <xf numFmtId="167" fontId="13" fillId="0" borderId="0" xfId="1" applyNumberFormat="1" applyFont="1" applyBorder="1" applyAlignment="1">
      <alignment horizontal="center"/>
    </xf>
    <xf numFmtId="166" fontId="2" fillId="0" borderId="0" xfId="0" applyNumberFormat="1" applyFont="1"/>
    <xf numFmtId="0" fontId="5" fillId="0" borderId="0" xfId="0" applyFont="1"/>
    <xf numFmtId="1" fontId="5" fillId="0" borderId="0" xfId="0" applyNumberFormat="1" applyFont="1"/>
    <xf numFmtId="1" fontId="6" fillId="0" borderId="0" xfId="0" applyNumberFormat="1" applyFont="1" applyAlignment="1">
      <alignment horizontal="left" vertical="center"/>
    </xf>
    <xf numFmtId="1" fontId="5" fillId="0" borderId="0" xfId="0" applyNumberFormat="1" applyFont="1" applyAlignment="1">
      <alignment horizontal="left" vertical="center"/>
    </xf>
    <xf numFmtId="1" fontId="12" fillId="0" borderId="0" xfId="0" applyNumberFormat="1" applyFont="1" applyAlignment="1">
      <alignment horizontal="left" vertical="center"/>
    </xf>
    <xf numFmtId="0" fontId="6" fillId="0" borderId="0" xfId="0" applyFont="1" applyAlignment="1">
      <alignment horizontal="left"/>
    </xf>
    <xf numFmtId="1" fontId="6" fillId="0" borderId="0" xfId="0" applyNumberFormat="1" applyFont="1" applyAlignment="1">
      <alignment horizontal="left"/>
    </xf>
    <xf numFmtId="0" fontId="0" fillId="0" borderId="5" xfId="0" applyBorder="1" applyAlignment="1">
      <alignment horizontal="right" vertical="center"/>
    </xf>
    <xf numFmtId="0" fontId="40" fillId="23" borderId="3" xfId="0" applyFont="1" applyFill="1" applyBorder="1" applyAlignment="1">
      <alignment horizontal="center"/>
    </xf>
    <xf numFmtId="0" fontId="40" fillId="23" borderId="3" xfId="0" applyFont="1" applyFill="1" applyBorder="1" applyAlignment="1">
      <alignment horizontal="left"/>
    </xf>
    <xf numFmtId="0" fontId="49" fillId="23" borderId="3" xfId="0" applyFont="1" applyFill="1" applyBorder="1" applyAlignment="1">
      <alignment horizontal="center"/>
    </xf>
    <xf numFmtId="0" fontId="3" fillId="23" borderId="3" xfId="0" applyFont="1" applyFill="1" applyBorder="1" applyAlignment="1">
      <alignment horizontal="center"/>
    </xf>
    <xf numFmtId="0" fontId="3" fillId="23" borderId="0" xfId="0" applyFont="1" applyFill="1" applyAlignment="1">
      <alignment horizontal="center"/>
    </xf>
    <xf numFmtId="0" fontId="3" fillId="23" borderId="3" xfId="0" applyFont="1" applyFill="1" applyBorder="1"/>
    <xf numFmtId="0" fontId="3" fillId="23" borderId="0" xfId="0" applyFont="1" applyFill="1"/>
    <xf numFmtId="0" fontId="4" fillId="23" borderId="3" xfId="0" applyFont="1" applyFill="1" applyBorder="1"/>
    <xf numFmtId="0" fontId="4" fillId="23" borderId="0" xfId="0" applyFont="1" applyFill="1"/>
    <xf numFmtId="0" fontId="4" fillId="23" borderId="41" xfId="0" applyFont="1" applyFill="1" applyBorder="1"/>
    <xf numFmtId="1" fontId="3" fillId="23" borderId="17" xfId="0" applyNumberFormat="1" applyFont="1" applyFill="1" applyBorder="1" applyAlignment="1">
      <alignment horizontal="center"/>
    </xf>
    <xf numFmtId="0" fontId="3" fillId="23" borderId="44" xfId="0" applyFont="1" applyFill="1" applyBorder="1" applyAlignment="1">
      <alignment horizontal="center"/>
    </xf>
    <xf numFmtId="0" fontId="3" fillId="23" borderId="53" xfId="0" applyFont="1" applyFill="1" applyBorder="1"/>
    <xf numFmtId="0" fontId="3" fillId="23" borderId="57" xfId="0" applyFont="1" applyFill="1" applyBorder="1"/>
    <xf numFmtId="0" fontId="18" fillId="36" borderId="31" xfId="0" applyFont="1" applyFill="1" applyBorder="1"/>
    <xf numFmtId="0" fontId="18" fillId="36" borderId="40" xfId="0" applyFont="1" applyFill="1" applyBorder="1"/>
    <xf numFmtId="0" fontId="18" fillId="36" borderId="40" xfId="0" applyFont="1" applyFill="1" applyBorder="1" applyAlignment="1">
      <alignment horizontal="center"/>
    </xf>
    <xf numFmtId="0" fontId="18" fillId="36" borderId="41" xfId="0" applyFont="1" applyFill="1" applyBorder="1" applyAlignment="1">
      <alignment horizontal="center"/>
    </xf>
    <xf numFmtId="1" fontId="18" fillId="36" borderId="41" xfId="0" applyNumberFormat="1" applyFont="1" applyFill="1" applyBorder="1" applyAlignment="1">
      <alignment horizontal="center"/>
    </xf>
    <xf numFmtId="0" fontId="22" fillId="23" borderId="41" xfId="0" applyFont="1" applyFill="1" applyBorder="1" applyAlignment="1">
      <alignment horizontal="center" vertical="center"/>
    </xf>
    <xf numFmtId="166" fontId="66" fillId="0" borderId="0" xfId="0" applyNumberFormat="1" applyFont="1"/>
    <xf numFmtId="0" fontId="4" fillId="23" borderId="51" xfId="0" applyFont="1" applyFill="1" applyBorder="1" applyProtection="1">
      <protection locked="0"/>
    </xf>
    <xf numFmtId="0" fontId="4" fillId="23" borderId="37" xfId="0" applyFont="1" applyFill="1" applyBorder="1" applyProtection="1">
      <protection locked="0"/>
    </xf>
    <xf numFmtId="0" fontId="19" fillId="23" borderId="37" xfId="0" applyFont="1" applyFill="1" applyBorder="1" applyProtection="1">
      <protection locked="0"/>
    </xf>
    <xf numFmtId="0" fontId="4" fillId="23" borderId="50" xfId="0" applyFont="1" applyFill="1" applyBorder="1" applyProtection="1">
      <protection locked="0"/>
    </xf>
    <xf numFmtId="0" fontId="4" fillId="36" borderId="8" xfId="0" applyFont="1" applyFill="1" applyBorder="1" applyProtection="1">
      <protection locked="0"/>
    </xf>
    <xf numFmtId="0" fontId="5" fillId="36" borderId="16" xfId="0" applyFont="1" applyFill="1" applyBorder="1" applyProtection="1">
      <protection locked="0"/>
    </xf>
    <xf numFmtId="0" fontId="5" fillId="36" borderId="17" xfId="0" applyFont="1" applyFill="1" applyBorder="1" applyProtection="1">
      <protection locked="0"/>
    </xf>
    <xf numFmtId="0" fontId="5" fillId="36" borderId="24" xfId="0" applyFont="1" applyFill="1" applyBorder="1" applyProtection="1">
      <protection locked="0"/>
    </xf>
    <xf numFmtId="0" fontId="7" fillId="3" borderId="0" xfId="0" applyFont="1" applyFill="1" applyAlignment="1">
      <alignment horizontal="center"/>
    </xf>
    <xf numFmtId="0" fontId="0" fillId="8" borderId="0" xfId="0" applyFill="1"/>
    <xf numFmtId="0" fontId="19" fillId="9" borderId="46" xfId="0" applyFont="1" applyFill="1" applyBorder="1"/>
    <xf numFmtId="0" fontId="0" fillId="29" borderId="0" xfId="0" applyFill="1" applyAlignment="1">
      <alignment horizontal="left"/>
    </xf>
    <xf numFmtId="199" fontId="0" fillId="0" borderId="0" xfId="0" applyNumberFormat="1"/>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6" xfId="0"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2" fillId="0" borderId="53" xfId="0" applyFont="1" applyBorder="1" applyAlignment="1">
      <alignment horizontal="left" vertical="center"/>
    </xf>
    <xf numFmtId="0" fontId="2" fillId="0" borderId="39" xfId="0" applyFont="1" applyBorder="1" applyAlignment="1">
      <alignment horizontal="left" vertical="center"/>
    </xf>
    <xf numFmtId="0" fontId="0" fillId="8" borderId="31" xfId="0" applyFill="1" applyBorder="1" applyAlignment="1">
      <alignment horizontal="left"/>
    </xf>
    <xf numFmtId="0" fontId="0" fillId="8" borderId="40" xfId="0" applyFill="1" applyBorder="1" applyAlignment="1">
      <alignment horizontal="left"/>
    </xf>
    <xf numFmtId="0" fontId="0" fillId="0" borderId="4" xfId="0" applyBorder="1" applyAlignment="1">
      <alignment horizontal="center" vertical="center"/>
    </xf>
    <xf numFmtId="0" fontId="0" fillId="0" borderId="0" xfId="0" applyAlignment="1">
      <alignment horizontal="center" vertical="center"/>
    </xf>
    <xf numFmtId="0" fontId="0" fillId="0" borderId="5" xfId="0" applyBorder="1" applyAlignment="1">
      <alignment horizontal="center" vertical="center"/>
    </xf>
    <xf numFmtId="0" fontId="0" fillId="0" borderId="31"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3" fillId="0" borderId="3" xfId="0" applyFont="1" applyBorder="1" applyAlignment="1">
      <alignment horizontal="center"/>
    </xf>
    <xf numFmtId="0" fontId="3" fillId="0" borderId="2" xfId="0" applyFont="1" applyBorder="1" applyAlignment="1">
      <alignment horizontal="center"/>
    </xf>
    <xf numFmtId="0" fontId="3" fillId="0" borderId="8" xfId="0" applyFont="1" applyBorder="1" applyAlignment="1">
      <alignment horizontal="center"/>
    </xf>
    <xf numFmtId="0" fontId="3" fillId="0" borderId="7" xfId="0" applyFont="1" applyBorder="1" applyAlignment="1">
      <alignment horizontal="center"/>
    </xf>
    <xf numFmtId="0" fontId="0" fillId="0" borderId="1" xfId="0" applyBorder="1"/>
    <xf numFmtId="0" fontId="0" fillId="0" borderId="3" xfId="0" applyBorder="1"/>
    <xf numFmtId="0" fontId="0" fillId="0" borderId="20" xfId="0" quotePrefix="1" applyBorder="1"/>
    <xf numFmtId="0" fontId="0" fillId="0" borderId="83" xfId="0" quotePrefix="1" applyBorder="1"/>
    <xf numFmtId="0" fontId="0" fillId="0" borderId="61" xfId="0" quotePrefix="1" applyBorder="1"/>
    <xf numFmtId="0" fontId="0" fillId="0" borderId="13" xfId="0" applyBorder="1"/>
    <xf numFmtId="0" fontId="0" fillId="0" borderId="40" xfId="0" applyBorder="1"/>
    <xf numFmtId="0" fontId="0" fillId="0" borderId="41" xfId="0" applyBorder="1"/>
    <xf numFmtId="0" fontId="0" fillId="0" borderId="62" xfId="0" applyBorder="1"/>
    <xf numFmtId="0" fontId="0" fillId="0" borderId="68" xfId="0" applyBorder="1"/>
    <xf numFmtId="0" fontId="0" fillId="0" borderId="54" xfId="0" applyBorder="1"/>
    <xf numFmtId="0" fontId="4" fillId="23" borderId="40" xfId="0" applyFont="1" applyFill="1" applyBorder="1" applyAlignment="1">
      <alignment horizontal="center"/>
    </xf>
    <xf numFmtId="0" fontId="4" fillId="23" borderId="41" xfId="0" applyFont="1" applyFill="1" applyBorder="1" applyAlignment="1">
      <alignment horizontal="center"/>
    </xf>
    <xf numFmtId="0" fontId="0" fillId="0" borderId="38" xfId="0" quotePrefix="1" applyBorder="1"/>
    <xf numFmtId="0" fontId="0" fillId="0" borderId="86" xfId="0" quotePrefix="1" applyBorder="1"/>
    <xf numFmtId="0" fontId="0" fillId="0" borderId="73" xfId="0" quotePrefix="1" applyBorder="1"/>
    <xf numFmtId="0" fontId="7" fillId="23" borderId="40" xfId="0" applyFont="1" applyFill="1" applyBorder="1" applyAlignment="1">
      <alignment horizontal="center"/>
    </xf>
    <xf numFmtId="0" fontId="7" fillId="23" borderId="41" xfId="0" applyFont="1" applyFill="1" applyBorder="1" applyAlignment="1">
      <alignment horizontal="center"/>
    </xf>
    <xf numFmtId="0" fontId="2" fillId="0" borderId="31" xfId="0" applyFont="1" applyBorder="1"/>
    <xf numFmtId="0" fontId="2" fillId="0" borderId="32" xfId="0" applyFont="1" applyBorder="1"/>
    <xf numFmtId="0" fontId="0" fillId="0" borderId="13" xfId="0" applyBorder="1" applyAlignment="1">
      <alignment horizontal="center"/>
    </xf>
    <xf numFmtId="0" fontId="0" fillId="0" borderId="32" xfId="0" applyBorder="1" applyAlignment="1">
      <alignment horizontal="center"/>
    </xf>
    <xf numFmtId="0" fontId="22" fillId="23" borderId="13" xfId="0" applyFont="1" applyFill="1" applyBorder="1" applyAlignment="1">
      <alignment horizontal="center"/>
    </xf>
    <xf numFmtId="0" fontId="22" fillId="23" borderId="32" xfId="0" applyFont="1" applyFill="1" applyBorder="1" applyAlignment="1">
      <alignment horizontal="center"/>
    </xf>
    <xf numFmtId="0" fontId="2" fillId="23" borderId="13" xfId="0" applyFont="1" applyFill="1" applyBorder="1" applyAlignment="1">
      <alignment horizontal="center"/>
    </xf>
    <xf numFmtId="0" fontId="2" fillId="23" borderId="41" xfId="0" applyFont="1" applyFill="1" applyBorder="1" applyAlignment="1">
      <alignment horizontal="center"/>
    </xf>
    <xf numFmtId="0" fontId="0" fillId="0" borderId="31" xfId="0" applyBorder="1"/>
    <xf numFmtId="0" fontId="0" fillId="0" borderId="32" xfId="0" applyBorder="1"/>
    <xf numFmtId="0" fontId="0" fillId="0" borderId="53" xfId="0" applyBorder="1"/>
    <xf numFmtId="0" fontId="0" fillId="0" borderId="44" xfId="0" applyBorder="1"/>
    <xf numFmtId="0" fontId="0" fillId="0" borderId="36" xfId="0" applyBorder="1"/>
    <xf numFmtId="0" fontId="0" fillId="0" borderId="37" xfId="0" applyBorder="1"/>
    <xf numFmtId="0" fontId="22" fillId="23" borderId="62" xfId="0" applyFont="1" applyFill="1" applyBorder="1" applyAlignment="1">
      <alignment horizontal="center"/>
    </xf>
    <xf numFmtId="0" fontId="22" fillId="23" borderId="44" xfId="0" applyFont="1" applyFill="1" applyBorder="1" applyAlignment="1">
      <alignment horizontal="center"/>
    </xf>
    <xf numFmtId="0" fontId="22" fillId="23" borderId="20" xfId="0" applyFont="1" applyFill="1" applyBorder="1" applyAlignment="1">
      <alignment horizontal="center"/>
    </xf>
    <xf numFmtId="0" fontId="22" fillId="23" borderId="37" xfId="0" applyFont="1" applyFill="1" applyBorder="1" applyAlignment="1">
      <alignment horizontal="center"/>
    </xf>
    <xf numFmtId="0" fontId="22" fillId="23" borderId="38" xfId="0" applyFont="1" applyFill="1" applyBorder="1" applyAlignment="1">
      <alignment horizontal="center"/>
    </xf>
    <xf numFmtId="0" fontId="22" fillId="23" borderId="75" xfId="0" applyFont="1" applyFill="1" applyBorder="1" applyAlignment="1">
      <alignment horizontal="center"/>
    </xf>
    <xf numFmtId="0" fontId="0" fillId="0" borderId="70" xfId="0" applyBorder="1"/>
    <xf numFmtId="0" fontId="0" fillId="0" borderId="75" xfId="0" applyBorder="1"/>
    <xf numFmtId="0" fontId="23" fillId="0" borderId="24" xfId="0" applyFont="1" applyBorder="1" applyProtection="1">
      <protection locked="0"/>
    </xf>
    <xf numFmtId="0" fontId="23" fillId="0" borderId="25" xfId="0" applyFont="1" applyBorder="1" applyProtection="1">
      <protection locked="0"/>
    </xf>
    <xf numFmtId="0" fontId="0" fillId="0" borderId="27" xfId="0" applyBorder="1"/>
    <xf numFmtId="0" fontId="0" fillId="0" borderId="30" xfId="0" applyBorder="1"/>
    <xf numFmtId="0" fontId="0" fillId="0" borderId="36" xfId="0" applyBorder="1" applyAlignment="1">
      <alignment horizontal="left"/>
    </xf>
    <xf numFmtId="0" fontId="0" fillId="0" borderId="61" xfId="0" applyBorder="1" applyAlignment="1">
      <alignment horizontal="left"/>
    </xf>
    <xf numFmtId="0" fontId="0" fillId="0" borderId="20" xfId="0" applyBorder="1"/>
    <xf numFmtId="0" fontId="0" fillId="0" borderId="83" xfId="0" applyBorder="1"/>
    <xf numFmtId="0" fontId="0" fillId="0" borderId="61" xfId="0" applyBorder="1"/>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52" fillId="0" borderId="34" xfId="0" applyFont="1" applyBorder="1" applyAlignment="1" applyProtection="1">
      <alignment horizontal="center" vertical="center" wrapText="1"/>
      <protection locked="0"/>
    </xf>
    <xf numFmtId="0" fontId="52" fillId="0" borderId="35" xfId="0" applyFont="1" applyBorder="1" applyAlignment="1" applyProtection="1">
      <alignment horizontal="center" vertical="center" wrapText="1"/>
      <protection locked="0"/>
    </xf>
    <xf numFmtId="0" fontId="23" fillId="0" borderId="45" xfId="0" applyFont="1" applyBorder="1" applyProtection="1">
      <protection locked="0"/>
    </xf>
    <xf numFmtId="0" fontId="23" fillId="0" borderId="46" xfId="0" applyFont="1" applyBorder="1" applyProtection="1">
      <protection locked="0"/>
    </xf>
    <xf numFmtId="0" fontId="23" fillId="0" borderId="17" xfId="0" applyFont="1" applyBorder="1" applyProtection="1">
      <protection locked="0"/>
    </xf>
    <xf numFmtId="0" fontId="23" fillId="0" borderId="22" xfId="0" applyFont="1" applyBorder="1" applyProtection="1">
      <protection locked="0"/>
    </xf>
    <xf numFmtId="0" fontId="0" fillId="16" borderId="34" xfId="0" applyFill="1" applyBorder="1" applyAlignment="1">
      <alignment horizontal="center" vertical="center" wrapText="1"/>
    </xf>
    <xf numFmtId="0" fontId="0" fillId="16" borderId="63" xfId="0" applyFill="1" applyBorder="1" applyAlignment="1">
      <alignment horizontal="center" vertical="center" wrapText="1"/>
    </xf>
    <xf numFmtId="0" fontId="0" fillId="16" borderId="17" xfId="0" applyFill="1" applyBorder="1" applyAlignment="1">
      <alignment horizontal="center" vertical="center" wrapText="1"/>
    </xf>
    <xf numFmtId="0" fontId="0" fillId="3" borderId="82" xfId="0" applyFill="1" applyBorder="1" applyAlignment="1">
      <alignment horizontal="center" vertical="center" wrapText="1"/>
    </xf>
    <xf numFmtId="0" fontId="0" fillId="3" borderId="63" xfId="0" applyFill="1" applyBorder="1" applyAlignment="1">
      <alignment horizontal="center" vertical="center" wrapText="1"/>
    </xf>
    <xf numFmtId="9" fontId="0" fillId="3" borderId="71" xfId="0" applyNumberFormat="1" applyFill="1" applyBorder="1" applyAlignment="1">
      <alignment horizontal="center" vertical="center" wrapText="1"/>
    </xf>
    <xf numFmtId="9" fontId="0" fillId="3" borderId="3" xfId="0" applyNumberFormat="1" applyFill="1" applyBorder="1" applyAlignment="1">
      <alignment horizontal="center" vertical="center" wrapText="1"/>
    </xf>
    <xf numFmtId="9" fontId="0" fillId="3" borderId="47" xfId="0" applyNumberFormat="1" applyFill="1" applyBorder="1" applyAlignment="1">
      <alignment horizontal="center" vertical="center" wrapText="1"/>
    </xf>
    <xf numFmtId="0" fontId="0" fillId="16" borderId="82" xfId="0" applyFill="1" applyBorder="1" applyAlignment="1">
      <alignment horizontal="center" vertical="center" wrapText="1"/>
    </xf>
    <xf numFmtId="0" fontId="0" fillId="3" borderId="17" xfId="0" applyFill="1" applyBorder="1" applyAlignment="1">
      <alignment horizontal="center" vertical="center" wrapText="1"/>
    </xf>
    <xf numFmtId="0" fontId="0" fillId="3" borderId="74" xfId="0" applyFill="1" applyBorder="1" applyAlignment="1">
      <alignment horizontal="center" vertical="center" wrapText="1"/>
    </xf>
    <xf numFmtId="0" fontId="0" fillId="3" borderId="69" xfId="0" applyFill="1" applyBorder="1" applyAlignment="1">
      <alignment horizontal="center" vertical="center" wrapText="1"/>
    </xf>
    <xf numFmtId="0" fontId="0" fillId="42" borderId="74" xfId="0" applyFill="1" applyBorder="1" applyAlignment="1">
      <alignment horizontal="center" vertical="center"/>
    </xf>
    <xf numFmtId="0" fontId="0" fillId="42" borderId="0" xfId="0" applyFill="1" applyAlignment="1">
      <alignment horizontal="center" vertical="center"/>
    </xf>
    <xf numFmtId="0" fontId="0" fillId="42" borderId="87" xfId="0" applyFill="1" applyBorder="1" applyAlignment="1">
      <alignment horizontal="center" vertical="center"/>
    </xf>
    <xf numFmtId="0" fontId="0" fillId="3" borderId="74" xfId="0" applyFill="1" applyBorder="1" applyAlignment="1">
      <alignment horizontal="center" vertical="center"/>
    </xf>
    <xf numFmtId="0" fontId="0" fillId="3" borderId="0" xfId="0" applyFill="1" applyAlignment="1">
      <alignment horizontal="center" vertical="center"/>
    </xf>
    <xf numFmtId="0" fontId="0" fillId="3" borderId="87" xfId="0" applyFill="1" applyBorder="1" applyAlignment="1">
      <alignment horizontal="center" vertical="center"/>
    </xf>
    <xf numFmtId="0" fontId="2" fillId="0" borderId="31" xfId="0" applyFont="1" applyBorder="1" applyAlignment="1">
      <alignment horizontal="right"/>
    </xf>
    <xf numFmtId="0" fontId="2" fillId="0" borderId="40" xfId="0" applyFont="1" applyBorder="1" applyAlignment="1">
      <alignment horizontal="right"/>
    </xf>
    <xf numFmtId="0" fontId="6" fillId="9" borderId="34" xfId="0" applyFont="1" applyFill="1" applyBorder="1" applyAlignment="1">
      <alignment horizontal="center" vertical="center" wrapText="1"/>
    </xf>
    <xf numFmtId="0" fontId="6" fillId="9" borderId="63" xfId="0" applyFont="1" applyFill="1" applyBorder="1" applyAlignment="1">
      <alignment horizontal="center" vertical="center" wrapText="1"/>
    </xf>
    <xf numFmtId="0" fontId="6" fillId="9" borderId="35" xfId="0" applyFont="1" applyFill="1" applyBorder="1" applyAlignment="1">
      <alignment horizontal="center" vertical="center" wrapText="1"/>
    </xf>
    <xf numFmtId="0" fontId="6" fillId="9" borderId="64" xfId="0" applyFont="1" applyFill="1" applyBorder="1" applyAlignment="1">
      <alignment horizontal="center" vertical="center" wrapText="1"/>
    </xf>
    <xf numFmtId="0" fontId="6" fillId="9" borderId="33" xfId="0" applyFont="1" applyFill="1" applyBorder="1" applyAlignment="1">
      <alignment horizontal="center" vertical="center" wrapText="1"/>
    </xf>
    <xf numFmtId="0" fontId="6" fillId="9" borderId="56" xfId="0" applyFont="1" applyFill="1" applyBorder="1" applyAlignment="1">
      <alignment horizontal="center" vertical="center" wrapText="1"/>
    </xf>
    <xf numFmtId="0" fontId="4" fillId="3" borderId="9" xfId="0" applyFont="1" applyFill="1" applyBorder="1" applyAlignment="1">
      <alignment horizontal="center" vertical="center" wrapText="1"/>
    </xf>
    <xf numFmtId="0" fontId="4" fillId="3" borderId="26" xfId="0" applyFont="1" applyFill="1" applyBorder="1" applyAlignment="1">
      <alignment horizontal="center" vertical="center" wrapText="1"/>
    </xf>
    <xf numFmtId="0" fontId="4" fillId="3" borderId="34" xfId="0" applyFont="1" applyFill="1" applyBorder="1" applyAlignment="1">
      <alignment horizontal="center" vertical="center" wrapText="1"/>
    </xf>
    <xf numFmtId="0" fontId="4" fillId="3" borderId="63" xfId="0" applyFont="1" applyFill="1" applyBorder="1" applyAlignment="1">
      <alignment horizontal="center" vertical="center" wrapText="1"/>
    </xf>
    <xf numFmtId="0" fontId="6" fillId="9" borderId="47" xfId="0" applyFont="1" applyFill="1" applyBorder="1" applyAlignment="1">
      <alignment horizontal="center" vertical="center" wrapText="1"/>
    </xf>
    <xf numFmtId="0" fontId="6" fillId="9" borderId="52" xfId="0" applyFont="1" applyFill="1" applyBorder="1" applyAlignment="1">
      <alignment horizontal="center" vertical="center" wrapText="1"/>
    </xf>
    <xf numFmtId="0" fontId="2" fillId="3" borderId="1" xfId="0" applyFont="1" applyFill="1" applyBorder="1" applyAlignment="1">
      <alignment horizontal="center"/>
    </xf>
    <xf numFmtId="0" fontId="2" fillId="3" borderId="3" xfId="0" applyFont="1" applyFill="1" applyBorder="1" applyAlignment="1">
      <alignment horizontal="center"/>
    </xf>
    <xf numFmtId="0" fontId="2" fillId="3" borderId="2" xfId="0" applyFont="1" applyFill="1" applyBorder="1" applyAlignment="1">
      <alignment horizontal="center"/>
    </xf>
    <xf numFmtId="0" fontId="0" fillId="9" borderId="49" xfId="0" applyFill="1" applyBorder="1" applyAlignment="1">
      <alignment horizontal="center"/>
    </xf>
    <xf numFmtId="0" fontId="0" fillId="9" borderId="44" xfId="0" applyFill="1" applyBorder="1" applyAlignment="1">
      <alignment horizontal="center"/>
    </xf>
    <xf numFmtId="0" fontId="0" fillId="9" borderId="45" xfId="0" applyFill="1" applyBorder="1" applyAlignment="1">
      <alignment horizontal="center"/>
    </xf>
    <xf numFmtId="0" fontId="0" fillId="9" borderId="62" xfId="0" applyFill="1" applyBorder="1" applyAlignment="1">
      <alignment horizontal="center"/>
    </xf>
    <xf numFmtId="0" fontId="0" fillId="3" borderId="34" xfId="0" applyFill="1" applyBorder="1" applyAlignment="1">
      <alignment horizontal="center"/>
    </xf>
    <xf numFmtId="0" fontId="0" fillId="3" borderId="71" xfId="0" applyFill="1" applyBorder="1" applyAlignment="1">
      <alignment horizontal="center"/>
    </xf>
    <xf numFmtId="0" fontId="4" fillId="3" borderId="31" xfId="0" applyFont="1" applyFill="1" applyBorder="1" applyAlignment="1">
      <alignment horizontal="center"/>
    </xf>
    <xf numFmtId="0" fontId="4" fillId="3" borderId="40" xfId="0" applyFont="1" applyFill="1" applyBorder="1" applyAlignment="1">
      <alignment horizontal="center"/>
    </xf>
    <xf numFmtId="0" fontId="4" fillId="3" borderId="41" xfId="0" applyFont="1" applyFill="1" applyBorder="1" applyAlignment="1">
      <alignment horizontal="center"/>
    </xf>
    <xf numFmtId="0" fontId="4" fillId="3" borderId="35" xfId="0" applyFont="1" applyFill="1" applyBorder="1" applyAlignment="1">
      <alignment horizontal="center" vertical="center" wrapText="1"/>
    </xf>
    <xf numFmtId="0" fontId="4" fillId="3" borderId="64" xfId="0" applyFont="1" applyFill="1" applyBorder="1" applyAlignment="1">
      <alignment horizontal="center" vertical="center" wrapText="1"/>
    </xf>
    <xf numFmtId="0" fontId="4" fillId="3" borderId="47" xfId="0" applyFont="1" applyFill="1" applyBorder="1" applyAlignment="1">
      <alignment horizontal="center" vertical="center" wrapText="1"/>
    </xf>
    <xf numFmtId="0" fontId="4" fillId="3" borderId="52" xfId="0" applyFont="1" applyFill="1" applyBorder="1" applyAlignment="1">
      <alignment horizontal="center" vertical="center" wrapText="1"/>
    </xf>
    <xf numFmtId="0" fontId="0" fillId="9" borderId="1" xfId="0" applyFill="1" applyBorder="1" applyAlignment="1">
      <alignment horizontal="center"/>
    </xf>
    <xf numFmtId="0" fontId="0" fillId="9" borderId="3" xfId="0" applyFill="1" applyBorder="1" applyAlignment="1">
      <alignment horizontal="center"/>
    </xf>
    <xf numFmtId="0" fontId="0" fillId="9" borderId="2" xfId="0" applyFill="1" applyBorder="1" applyAlignment="1">
      <alignment horizontal="center"/>
    </xf>
    <xf numFmtId="0" fontId="4" fillId="3" borderId="46" xfId="0" applyFont="1" applyFill="1" applyBorder="1" applyAlignment="1">
      <alignment horizontal="center" vertical="center" wrapText="1"/>
    </xf>
    <xf numFmtId="0" fontId="4" fillId="3" borderId="30" xfId="0" applyFont="1" applyFill="1" applyBorder="1" applyAlignment="1">
      <alignment horizontal="center" vertical="center" wrapText="1"/>
    </xf>
    <xf numFmtId="0" fontId="4" fillId="3" borderId="33" xfId="0" applyFont="1" applyFill="1" applyBorder="1" applyAlignment="1">
      <alignment horizontal="center" vertical="center" wrapText="1"/>
    </xf>
    <xf numFmtId="0" fontId="4" fillId="3" borderId="56" xfId="0" applyFont="1" applyFill="1" applyBorder="1" applyAlignment="1">
      <alignment horizontal="center" vertical="center" wrapText="1"/>
    </xf>
    <xf numFmtId="0" fontId="3" fillId="3" borderId="33" xfId="0" applyFont="1" applyFill="1" applyBorder="1" applyAlignment="1">
      <alignment horizontal="center" vertical="center" wrapText="1"/>
    </xf>
    <xf numFmtId="0" fontId="3" fillId="3" borderId="56" xfId="0" applyFont="1" applyFill="1" applyBorder="1" applyAlignment="1">
      <alignment horizontal="center" vertical="center" wrapText="1"/>
    </xf>
    <xf numFmtId="9" fontId="4" fillId="3" borderId="71" xfId="0" applyNumberFormat="1" applyFont="1" applyFill="1" applyBorder="1" applyAlignment="1">
      <alignment horizontal="center" vertical="center" wrapText="1"/>
    </xf>
    <xf numFmtId="9" fontId="4" fillId="3" borderId="3" xfId="0" applyNumberFormat="1" applyFont="1" applyFill="1" applyBorder="1" applyAlignment="1">
      <alignment horizontal="center" vertical="center" wrapText="1"/>
    </xf>
    <xf numFmtId="9" fontId="4" fillId="3" borderId="47" xfId="0" applyNumberFormat="1" applyFont="1" applyFill="1" applyBorder="1" applyAlignment="1">
      <alignment horizontal="center" vertical="center" wrapText="1"/>
    </xf>
    <xf numFmtId="0" fontId="18" fillId="36" borderId="31" xfId="0" applyFont="1" applyFill="1" applyBorder="1" applyAlignment="1">
      <alignment horizontal="center"/>
    </xf>
    <xf numFmtId="0" fontId="18" fillId="36" borderId="40" xfId="0" applyFont="1" applyFill="1" applyBorder="1" applyAlignment="1">
      <alignment horizontal="center"/>
    </xf>
    <xf numFmtId="0" fontId="4" fillId="3" borderId="45" xfId="0" applyFont="1" applyFill="1" applyBorder="1" applyAlignment="1">
      <alignment horizontal="center" vertical="center" wrapText="1"/>
    </xf>
    <xf numFmtId="0" fontId="4" fillId="3" borderId="28" xfId="0" applyFont="1" applyFill="1" applyBorder="1" applyAlignment="1">
      <alignment horizontal="center" vertical="center" wrapText="1"/>
    </xf>
    <xf numFmtId="0" fontId="4" fillId="9" borderId="23" xfId="0" applyFont="1" applyFill="1" applyBorder="1" applyAlignment="1">
      <alignment horizontal="center" vertical="center" wrapText="1"/>
    </xf>
    <xf numFmtId="0" fontId="4" fillId="9" borderId="56" xfId="0" applyFont="1" applyFill="1" applyBorder="1" applyAlignment="1">
      <alignment horizontal="center" vertical="center" wrapText="1"/>
    </xf>
    <xf numFmtId="0" fontId="0" fillId="9" borderId="24" xfId="0" applyFill="1" applyBorder="1" applyAlignment="1">
      <alignment horizontal="center" vertical="center" wrapText="1"/>
    </xf>
    <xf numFmtId="0" fontId="0" fillId="9" borderId="63" xfId="0" applyFill="1" applyBorder="1" applyAlignment="1">
      <alignment horizontal="center" vertical="center" wrapText="1"/>
    </xf>
    <xf numFmtId="0" fontId="0" fillId="9" borderId="38" xfId="0" applyFill="1" applyBorder="1" applyAlignment="1">
      <alignment horizontal="center" vertical="center" wrapText="1"/>
    </xf>
    <xf numFmtId="0" fontId="0" fillId="9" borderId="69" xfId="0" applyFill="1" applyBorder="1" applyAlignment="1">
      <alignment horizontal="center" vertical="center" wrapText="1"/>
    </xf>
    <xf numFmtId="0" fontId="0" fillId="10" borderId="45" xfId="0" applyFill="1" applyBorder="1" applyAlignment="1">
      <alignment horizontal="center" vertical="center" wrapText="1"/>
    </xf>
    <xf numFmtId="0" fontId="0" fillId="10" borderId="28" xfId="0" applyFill="1" applyBorder="1" applyAlignment="1">
      <alignment horizontal="center" vertical="center" wrapText="1"/>
    </xf>
    <xf numFmtId="0" fontId="4" fillId="3" borderId="49" xfId="0" applyFont="1" applyFill="1" applyBorder="1" applyAlignment="1">
      <alignment horizontal="center" vertical="center" wrapText="1"/>
    </xf>
    <xf numFmtId="0" fontId="4" fillId="3" borderId="27" xfId="0" applyFont="1" applyFill="1" applyBorder="1" applyAlignment="1">
      <alignment horizontal="center" vertical="center" wrapText="1"/>
    </xf>
    <xf numFmtId="0" fontId="5" fillId="11" borderId="45" xfId="0" applyFont="1" applyFill="1" applyBorder="1" applyAlignment="1">
      <alignment horizontal="center" vertical="center" wrapText="1"/>
    </xf>
    <xf numFmtId="0" fontId="5" fillId="11" borderId="28" xfId="0" applyFont="1" applyFill="1" applyBorder="1" applyAlignment="1">
      <alignment horizontal="center" vertical="center" wrapText="1"/>
    </xf>
    <xf numFmtId="0" fontId="3" fillId="3" borderId="35" xfId="0" applyFont="1" applyFill="1" applyBorder="1" applyAlignment="1">
      <alignment horizontal="center" vertical="center" wrapText="1"/>
    </xf>
    <xf numFmtId="0" fontId="3" fillId="3" borderId="64" xfId="0" applyFont="1" applyFill="1" applyBorder="1" applyAlignment="1">
      <alignment horizontal="center" vertical="center" wrapText="1"/>
    </xf>
    <xf numFmtId="0" fontId="5" fillId="36" borderId="9" xfId="0" applyFont="1" applyFill="1" applyBorder="1" applyAlignment="1">
      <alignment horizontal="center" vertical="center" wrapText="1"/>
    </xf>
    <xf numFmtId="0" fontId="5" fillId="36" borderId="26" xfId="0" applyFont="1" applyFill="1" applyBorder="1" applyAlignment="1">
      <alignment horizontal="center" vertical="center" wrapText="1"/>
    </xf>
    <xf numFmtId="0" fontId="2" fillId="3" borderId="53" xfId="0" applyFont="1" applyFill="1" applyBorder="1" applyAlignment="1">
      <alignment horizontal="center"/>
    </xf>
    <xf numFmtId="0" fontId="2" fillId="3" borderId="68" xfId="0" applyFont="1" applyFill="1" applyBorder="1" applyAlignment="1">
      <alignment horizontal="center"/>
    </xf>
    <xf numFmtId="0" fontId="2" fillId="3" borderId="54" xfId="0" applyFont="1" applyFill="1" applyBorder="1" applyAlignment="1">
      <alignment horizontal="center"/>
    </xf>
    <xf numFmtId="0" fontId="15" fillId="11" borderId="31" xfId="0" applyFont="1" applyFill="1" applyBorder="1" applyAlignment="1">
      <alignment horizontal="center"/>
    </xf>
    <xf numFmtId="0" fontId="15" fillId="11" borderId="40" xfId="0" applyFont="1" applyFill="1" applyBorder="1" applyAlignment="1">
      <alignment horizontal="center"/>
    </xf>
    <xf numFmtId="0" fontId="15" fillId="11" borderId="41" xfId="0" applyFont="1" applyFill="1" applyBorder="1" applyAlignment="1">
      <alignment horizontal="center"/>
    </xf>
    <xf numFmtId="0" fontId="4" fillId="0" borderId="0" xfId="0" applyFont="1" applyAlignment="1" applyProtection="1">
      <alignment horizontal="center"/>
      <protection locked="0"/>
    </xf>
    <xf numFmtId="0" fontId="0" fillId="44" borderId="1" xfId="0" applyFill="1" applyBorder="1" applyAlignment="1">
      <alignment horizontal="center"/>
    </xf>
    <xf numFmtId="0" fontId="0" fillId="44" borderId="3" xfId="0" applyFill="1" applyBorder="1" applyAlignment="1">
      <alignment horizontal="center"/>
    </xf>
    <xf numFmtId="0" fontId="0" fillId="44" borderId="2" xfId="0" applyFill="1" applyBorder="1" applyAlignment="1">
      <alignment horizontal="center"/>
    </xf>
    <xf numFmtId="0" fontId="0" fillId="44" borderId="1" xfId="0" applyFill="1" applyBorder="1" applyAlignment="1">
      <alignment horizontal="left"/>
    </xf>
    <xf numFmtId="0" fontId="0" fillId="44" borderId="3" xfId="0" applyFill="1" applyBorder="1" applyAlignment="1">
      <alignment horizontal="left"/>
    </xf>
    <xf numFmtId="0" fontId="0" fillId="44" borderId="2" xfId="0" applyFill="1" applyBorder="1" applyAlignment="1">
      <alignment horizontal="left"/>
    </xf>
    <xf numFmtId="0" fontId="0" fillId="0" borderId="0" xfId="0" applyAlignment="1">
      <alignment horizontal="center"/>
    </xf>
    <xf numFmtId="2" fontId="0" fillId="2" borderId="31" xfId="0" applyNumberFormat="1" applyFill="1" applyBorder="1" applyAlignment="1">
      <alignment horizontal="center"/>
    </xf>
    <xf numFmtId="2" fontId="0" fillId="2" borderId="40" xfId="0" applyNumberFormat="1" applyFill="1" applyBorder="1" applyAlignment="1">
      <alignment horizontal="center"/>
    </xf>
    <xf numFmtId="2" fontId="0" fillId="2" borderId="41" xfId="0" applyNumberFormat="1" applyFill="1" applyBorder="1" applyAlignment="1">
      <alignment horizontal="center"/>
    </xf>
    <xf numFmtId="0" fontId="0" fillId="9" borderId="45" xfId="0" applyFill="1" applyBorder="1" applyAlignment="1">
      <alignment horizontal="center" vertical="center" wrapText="1"/>
    </xf>
    <xf numFmtId="0" fontId="0" fillId="9" borderId="28" xfId="0" applyFill="1" applyBorder="1" applyAlignment="1">
      <alignment horizontal="center" vertical="center" wrapText="1"/>
    </xf>
    <xf numFmtId="0" fontId="7" fillId="9" borderId="62" xfId="0" applyFont="1" applyFill="1" applyBorder="1" applyAlignment="1">
      <alignment horizontal="center" vertical="center" wrapText="1"/>
    </xf>
    <xf numFmtId="0" fontId="7" fillId="9" borderId="29" xfId="0" applyFont="1" applyFill="1" applyBorder="1" applyAlignment="1">
      <alignment horizontal="center" vertical="center" wrapText="1"/>
    </xf>
    <xf numFmtId="0" fontId="0" fillId="9" borderId="9"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43" xfId="0" applyFill="1" applyBorder="1" applyAlignment="1">
      <alignment horizontal="center" vertical="center" wrapText="1"/>
    </xf>
    <xf numFmtId="0" fontId="0" fillId="9" borderId="66" xfId="0" applyFill="1" applyBorder="1" applyAlignment="1">
      <alignment horizontal="center" vertical="center" wrapText="1"/>
    </xf>
    <xf numFmtId="0" fontId="54" fillId="0" borderId="31" xfId="0" applyFont="1" applyBorder="1" applyAlignment="1">
      <alignment horizontal="center"/>
    </xf>
    <xf numFmtId="0" fontId="54" fillId="0" borderId="40" xfId="0" applyFont="1" applyBorder="1" applyAlignment="1">
      <alignment horizontal="center"/>
    </xf>
    <xf numFmtId="0" fontId="54" fillId="0" borderId="41" xfId="0" applyFont="1" applyBorder="1" applyAlignment="1">
      <alignment horizontal="center"/>
    </xf>
    <xf numFmtId="0" fontId="7" fillId="2" borderId="62" xfId="0" applyFont="1" applyFill="1" applyBorder="1" applyAlignment="1">
      <alignment horizontal="center" vertical="center" wrapText="1"/>
    </xf>
    <xf numFmtId="0" fontId="7" fillId="2" borderId="29" xfId="0" applyFont="1" applyFill="1" applyBorder="1" applyAlignment="1">
      <alignment horizontal="center" vertical="center" wrapText="1"/>
    </xf>
    <xf numFmtId="0" fontId="0" fillId="2" borderId="43" xfId="0" applyFill="1" applyBorder="1" applyAlignment="1">
      <alignment horizontal="center" vertical="center" wrapText="1"/>
    </xf>
    <xf numFmtId="0" fontId="0" fillId="2" borderId="58" xfId="0" applyFill="1" applyBorder="1" applyAlignment="1">
      <alignment horizontal="center" vertical="center" wrapText="1"/>
    </xf>
    <xf numFmtId="0" fontId="0" fillId="9" borderId="49" xfId="0" applyFill="1" applyBorder="1" applyAlignment="1">
      <alignment horizontal="center" vertical="center"/>
    </xf>
    <xf numFmtId="0" fontId="0" fillId="9" borderId="23" xfId="0" applyFill="1" applyBorder="1" applyAlignment="1">
      <alignment horizontal="center" vertical="center"/>
    </xf>
    <xf numFmtId="0" fontId="0" fillId="9" borderId="45" xfId="0" applyFill="1" applyBorder="1" applyAlignment="1">
      <alignment horizontal="center" vertical="center"/>
    </xf>
    <xf numFmtId="0" fontId="0" fillId="9" borderId="24" xfId="0" applyFill="1" applyBorder="1" applyAlignment="1">
      <alignment horizontal="center" vertical="center"/>
    </xf>
    <xf numFmtId="0" fontId="0" fillId="9" borderId="35" xfId="0" applyFill="1" applyBorder="1" applyAlignment="1">
      <alignment horizontal="center" vertical="center" wrapText="1"/>
    </xf>
    <xf numFmtId="0" fontId="0" fillId="9" borderId="64" xfId="0" applyFill="1" applyBorder="1" applyAlignment="1">
      <alignment horizontal="center" vertical="center" wrapText="1"/>
    </xf>
    <xf numFmtId="0" fontId="0" fillId="2" borderId="49" xfId="0" applyFill="1" applyBorder="1" applyAlignment="1">
      <alignment horizontal="center" vertical="center" wrapText="1"/>
    </xf>
    <xf numFmtId="0" fontId="0" fillId="2" borderId="27" xfId="0" applyFill="1" applyBorder="1" applyAlignment="1">
      <alignment horizontal="center" vertical="center" wrapText="1"/>
    </xf>
    <xf numFmtId="0" fontId="0" fillId="2" borderId="45" xfId="0" applyFill="1" applyBorder="1" applyAlignment="1">
      <alignment horizontal="center" vertical="center" wrapText="1"/>
    </xf>
    <xf numFmtId="0" fontId="0" fillId="2" borderId="28" xfId="0" applyFill="1" applyBorder="1" applyAlignment="1">
      <alignment horizontal="center" vertical="center" wrapText="1"/>
    </xf>
    <xf numFmtId="0" fontId="7" fillId="2" borderId="45" xfId="0" applyFont="1" applyFill="1" applyBorder="1" applyAlignment="1">
      <alignment horizontal="center" vertical="center" wrapText="1"/>
    </xf>
    <xf numFmtId="0" fontId="7" fillId="2" borderId="28" xfId="0" applyFont="1" applyFill="1" applyBorder="1" applyAlignment="1">
      <alignment horizontal="center" vertical="center" wrapText="1"/>
    </xf>
    <xf numFmtId="0" fontId="0" fillId="9" borderId="49" xfId="0" applyFill="1" applyBorder="1" applyAlignment="1">
      <alignment horizontal="center" vertical="center" wrapText="1"/>
    </xf>
    <xf numFmtId="0" fontId="0" fillId="9" borderId="27" xfId="0" applyFill="1" applyBorder="1" applyAlignment="1">
      <alignment horizontal="center" vertical="center" wrapText="1"/>
    </xf>
    <xf numFmtId="0" fontId="22" fillId="3" borderId="14" xfId="0" applyFont="1" applyFill="1" applyBorder="1" applyAlignment="1">
      <alignment horizontal="center" vertical="center" textRotation="180"/>
    </xf>
    <xf numFmtId="0" fontId="22" fillId="3" borderId="26" xfId="0" applyFont="1" applyFill="1" applyBorder="1" applyAlignment="1">
      <alignment horizontal="center" vertical="center" textRotation="180"/>
    </xf>
    <xf numFmtId="0" fontId="2" fillId="44" borderId="31" xfId="0" applyFont="1" applyFill="1" applyBorder="1" applyAlignment="1">
      <alignment horizontal="center"/>
    </xf>
    <xf numFmtId="0" fontId="2" fillId="44" borderId="40" xfId="0" applyFont="1" applyFill="1" applyBorder="1" applyAlignment="1">
      <alignment horizontal="center"/>
    </xf>
    <xf numFmtId="0" fontId="2" fillId="44" borderId="41" xfId="0" applyFont="1" applyFill="1" applyBorder="1" applyAlignment="1">
      <alignment horizontal="center"/>
    </xf>
    <xf numFmtId="0" fontId="2" fillId="35" borderId="31" xfId="0" applyFont="1" applyFill="1" applyBorder="1" applyAlignment="1">
      <alignment horizontal="center"/>
    </xf>
    <xf numFmtId="0" fontId="2" fillId="35" borderId="40" xfId="0" applyFont="1" applyFill="1" applyBorder="1" applyAlignment="1">
      <alignment horizontal="center"/>
    </xf>
    <xf numFmtId="0" fontId="2" fillId="35" borderId="41" xfId="0" applyFont="1" applyFill="1" applyBorder="1" applyAlignment="1">
      <alignment horizontal="center"/>
    </xf>
    <xf numFmtId="165" fontId="34" fillId="0" borderId="1" xfId="0" applyNumberFormat="1" applyFont="1" applyBorder="1" applyAlignment="1">
      <alignment horizontal="center" vertical="center"/>
    </xf>
    <xf numFmtId="165" fontId="34" fillId="0" borderId="6" xfId="0" applyNumberFormat="1" applyFont="1" applyBorder="1" applyAlignment="1">
      <alignment horizontal="center" vertical="center"/>
    </xf>
    <xf numFmtId="164" fontId="38" fillId="0" borderId="3" xfId="0" applyNumberFormat="1" applyFont="1" applyBorder="1" applyAlignment="1">
      <alignment horizontal="center" vertical="center"/>
    </xf>
    <xf numFmtId="164" fontId="38" fillId="0" borderId="8" xfId="0" applyNumberFormat="1" applyFont="1" applyBorder="1" applyAlignment="1">
      <alignment horizontal="center" vertical="center"/>
    </xf>
    <xf numFmtId="164" fontId="38" fillId="0" borderId="2" xfId="0" applyNumberFormat="1" applyFont="1" applyBorder="1" applyAlignment="1">
      <alignment horizontal="center" vertical="center"/>
    </xf>
    <xf numFmtId="164" fontId="38" fillId="0" borderId="7" xfId="0" applyNumberFormat="1" applyFont="1" applyBorder="1" applyAlignment="1">
      <alignment horizontal="center" vertical="center"/>
    </xf>
    <xf numFmtId="0" fontId="18" fillId="34" borderId="31" xfId="0" applyFont="1" applyFill="1" applyBorder="1" applyAlignment="1">
      <alignment horizontal="center"/>
    </xf>
    <xf numFmtId="0" fontId="18" fillId="34" borderId="40" xfId="0" applyFont="1" applyFill="1" applyBorder="1" applyAlignment="1">
      <alignment horizontal="center"/>
    </xf>
    <xf numFmtId="0" fontId="18" fillId="34" borderId="41" xfId="0" applyFont="1" applyFill="1" applyBorder="1" applyAlignment="1">
      <alignment horizontal="center"/>
    </xf>
    <xf numFmtId="0" fontId="34" fillId="23" borderId="31" xfId="0" applyFont="1" applyFill="1" applyBorder="1" applyAlignment="1">
      <alignment horizontal="center" wrapText="1"/>
    </xf>
    <xf numFmtId="0" fontId="34" fillId="23" borderId="40" xfId="0" applyFont="1" applyFill="1" applyBorder="1" applyAlignment="1">
      <alignment horizontal="center" wrapText="1"/>
    </xf>
    <xf numFmtId="0" fontId="34" fillId="23" borderId="41" xfId="0" applyFont="1" applyFill="1" applyBorder="1" applyAlignment="1">
      <alignment horizontal="center" wrapText="1"/>
    </xf>
    <xf numFmtId="0" fontId="34" fillId="34" borderId="31" xfId="0" applyFont="1" applyFill="1" applyBorder="1" applyAlignment="1">
      <alignment horizontal="center" vertical="center" wrapText="1"/>
    </xf>
    <xf numFmtId="0" fontId="34" fillId="34" borderId="40" xfId="0" applyFont="1" applyFill="1" applyBorder="1" applyAlignment="1">
      <alignment horizontal="center" vertical="center" wrapText="1"/>
    </xf>
    <xf numFmtId="0" fontId="34" fillId="34" borderId="41" xfId="0" applyFont="1" applyFill="1" applyBorder="1" applyAlignment="1">
      <alignment horizontal="center" vertical="center" wrapText="1"/>
    </xf>
    <xf numFmtId="0" fontId="16" fillId="34" borderId="40" xfId="0" applyFont="1" applyFill="1" applyBorder="1" applyAlignment="1">
      <alignment horizontal="center"/>
    </xf>
    <xf numFmtId="0" fontId="15" fillId="0" borderId="1" xfId="0" applyFont="1" applyBorder="1" applyAlignment="1">
      <alignment horizontal="center" vertical="center"/>
    </xf>
    <xf numFmtId="0" fontId="15" fillId="0" borderId="3" xfId="0" applyFont="1" applyBorder="1" applyAlignment="1">
      <alignment horizontal="center" vertical="center"/>
    </xf>
    <xf numFmtId="0" fontId="15" fillId="0" borderId="6" xfId="0" applyFont="1" applyBorder="1" applyAlignment="1">
      <alignment horizontal="center" vertical="center"/>
    </xf>
    <xf numFmtId="0" fontId="15" fillId="0" borderId="8" xfId="0" applyFont="1" applyBorder="1" applyAlignment="1">
      <alignment horizontal="center" vertical="center"/>
    </xf>
    <xf numFmtId="0" fontId="34" fillId="7" borderId="1" xfId="0" applyFont="1" applyFill="1" applyBorder="1" applyAlignment="1">
      <alignment horizontal="center" vertical="center"/>
    </xf>
    <xf numFmtId="0" fontId="34" fillId="7" borderId="3" xfId="0" applyFont="1" applyFill="1" applyBorder="1" applyAlignment="1">
      <alignment horizontal="center" vertical="center"/>
    </xf>
    <xf numFmtId="0" fontId="34" fillId="7" borderId="2" xfId="0" applyFont="1" applyFill="1" applyBorder="1" applyAlignment="1">
      <alignment horizontal="center" vertical="center"/>
    </xf>
    <xf numFmtId="0" fontId="34" fillId="7" borderId="6" xfId="0" applyFont="1" applyFill="1" applyBorder="1" applyAlignment="1">
      <alignment horizontal="center" vertical="center"/>
    </xf>
    <xf numFmtId="0" fontId="34" fillId="7" borderId="8" xfId="0" applyFont="1" applyFill="1" applyBorder="1" applyAlignment="1">
      <alignment horizontal="center" vertical="center"/>
    </xf>
    <xf numFmtId="0" fontId="34" fillId="7" borderId="7" xfId="0" applyFont="1" applyFill="1" applyBorder="1" applyAlignment="1">
      <alignment horizontal="center" vertical="center"/>
    </xf>
    <xf numFmtId="0" fontId="2" fillId="13" borderId="31" xfId="0" applyFont="1" applyFill="1" applyBorder="1" applyAlignment="1">
      <alignment horizontal="center"/>
    </xf>
    <xf numFmtId="0" fontId="2" fillId="13" borderId="40" xfId="0" applyFont="1" applyFill="1" applyBorder="1" applyAlignment="1">
      <alignment horizontal="center"/>
    </xf>
    <xf numFmtId="0" fontId="0" fillId="13" borderId="9" xfId="0" applyFill="1" applyBorder="1" applyAlignment="1">
      <alignment horizontal="center"/>
    </xf>
    <xf numFmtId="0" fontId="0" fillId="13" borderId="14" xfId="0" applyFill="1" applyBorder="1" applyAlignment="1">
      <alignment horizontal="center"/>
    </xf>
    <xf numFmtId="0" fontId="2" fillId="34" borderId="31" xfId="0" applyFont="1" applyFill="1" applyBorder="1" applyAlignment="1">
      <alignment horizontal="left"/>
    </xf>
    <xf numFmtId="0" fontId="2" fillId="34" borderId="40" xfId="0" applyFont="1" applyFill="1" applyBorder="1" applyAlignment="1">
      <alignment horizontal="left"/>
    </xf>
    <xf numFmtId="0" fontId="2" fillId="34" borderId="41" xfId="0" applyFont="1" applyFill="1" applyBorder="1" applyAlignment="1">
      <alignment horizontal="left"/>
    </xf>
    <xf numFmtId="0" fontId="0" fillId="5" borderId="4" xfId="0" applyFill="1" applyBorder="1" applyAlignment="1">
      <alignment horizontal="center"/>
    </xf>
    <xf numFmtId="0" fontId="0" fillId="5" borderId="0" xfId="0" applyFill="1" applyAlignment="1">
      <alignment horizontal="center"/>
    </xf>
    <xf numFmtId="0" fontId="0" fillId="2" borderId="40" xfId="0" applyFill="1" applyBorder="1" applyAlignment="1">
      <alignment horizontal="center"/>
    </xf>
    <xf numFmtId="0" fontId="0" fillId="2" borderId="41" xfId="0" applyFill="1" applyBorder="1" applyAlignment="1">
      <alignment horizontal="center"/>
    </xf>
    <xf numFmtId="0" fontId="0" fillId="11" borderId="1" xfId="0" applyFill="1" applyBorder="1" applyAlignment="1">
      <alignment horizontal="center" vertical="center"/>
    </xf>
    <xf numFmtId="0" fontId="0" fillId="11" borderId="3" xfId="0" applyFill="1" applyBorder="1" applyAlignment="1">
      <alignment horizontal="center" vertical="center"/>
    </xf>
    <xf numFmtId="0" fontId="0" fillId="11" borderId="2" xfId="0" applyFill="1" applyBorder="1" applyAlignment="1">
      <alignment horizontal="center" vertical="center"/>
    </xf>
    <xf numFmtId="0" fontId="0" fillId="11" borderId="6" xfId="0" applyFill="1" applyBorder="1" applyAlignment="1">
      <alignment horizontal="center" vertical="center"/>
    </xf>
    <xf numFmtId="0" fontId="0" fillId="11" borderId="8" xfId="0" applyFill="1" applyBorder="1" applyAlignment="1">
      <alignment horizontal="center" vertical="center"/>
    </xf>
    <xf numFmtId="0" fontId="0" fillId="11" borderId="7" xfId="0" applyFill="1" applyBorder="1" applyAlignment="1">
      <alignment horizontal="center" vertical="center"/>
    </xf>
    <xf numFmtId="0" fontId="0" fillId="0" borderId="33" xfId="0" applyBorder="1" applyAlignment="1">
      <alignment horizontal="center"/>
    </xf>
    <xf numFmtId="0" fontId="0" fillId="0" borderId="34" xfId="0" applyBorder="1" applyAlignment="1">
      <alignment horizontal="center"/>
    </xf>
    <xf numFmtId="0" fontId="0" fillId="0" borderId="71" xfId="0" applyBorder="1" applyAlignment="1">
      <alignment horizontal="center"/>
    </xf>
    <xf numFmtId="0" fontId="0" fillId="0" borderId="53" xfId="0" applyBorder="1" applyAlignment="1">
      <alignment horizontal="center"/>
    </xf>
    <xf numFmtId="0" fontId="0" fillId="0" borderId="68" xfId="0" applyBorder="1" applyAlignment="1">
      <alignment horizontal="center"/>
    </xf>
    <xf numFmtId="0" fontId="0" fillId="0" borderId="54" xfId="0" applyBorder="1" applyAlignment="1">
      <alignment horizontal="center"/>
    </xf>
    <xf numFmtId="166" fontId="2" fillId="42" borderId="36" xfId="0" applyNumberFormat="1" applyFont="1" applyFill="1" applyBorder="1" applyAlignment="1">
      <alignment horizontal="center"/>
    </xf>
    <xf numFmtId="166" fontId="2" fillId="42" borderId="83" xfId="0" applyNumberFormat="1" applyFont="1" applyFill="1" applyBorder="1" applyAlignment="1">
      <alignment horizontal="center"/>
    </xf>
    <xf numFmtId="166" fontId="2" fillId="42" borderId="61" xfId="0" applyNumberFormat="1" applyFont="1" applyFill="1" applyBorder="1" applyAlignment="1">
      <alignment horizontal="center"/>
    </xf>
    <xf numFmtId="166" fontId="0" fillId="0" borderId="36" xfId="0" applyNumberFormat="1" applyBorder="1" applyAlignment="1">
      <alignment horizontal="center"/>
    </xf>
    <xf numFmtId="166" fontId="0" fillId="0" borderId="83" xfId="0" applyNumberFormat="1" applyBorder="1" applyAlignment="1">
      <alignment horizontal="center"/>
    </xf>
    <xf numFmtId="166" fontId="0" fillId="0" borderId="61" xfId="0" applyNumberFormat="1" applyBorder="1" applyAlignment="1">
      <alignment horizontal="center"/>
    </xf>
    <xf numFmtId="166" fontId="19" fillId="42" borderId="36" xfId="0" applyNumberFormat="1" applyFont="1" applyFill="1" applyBorder="1" applyAlignment="1">
      <alignment horizontal="center"/>
    </xf>
    <xf numFmtId="166" fontId="19" fillId="42" borderId="83" xfId="0" applyNumberFormat="1" applyFont="1" applyFill="1" applyBorder="1" applyAlignment="1">
      <alignment horizontal="center"/>
    </xf>
    <xf numFmtId="166" fontId="19" fillId="42" borderId="61" xfId="0" applyNumberFormat="1" applyFont="1" applyFill="1" applyBorder="1" applyAlignment="1">
      <alignment horizontal="center"/>
    </xf>
    <xf numFmtId="0" fontId="1" fillId="0" borderId="0" xfId="7" applyAlignment="1">
      <alignment horizontal="left"/>
    </xf>
    <xf numFmtId="0" fontId="0" fillId="0" borderId="11" xfId="0" applyBorder="1" applyAlignment="1">
      <alignment horizontal="center" vertical="center"/>
    </xf>
    <xf numFmtId="0" fontId="0" fillId="0" borderId="12" xfId="0" applyBorder="1" applyAlignment="1">
      <alignment horizontal="center" vertical="center"/>
    </xf>
    <xf numFmtId="9" fontId="0" fillId="0" borderId="16" xfId="0" applyNumberFormat="1" applyBorder="1"/>
    <xf numFmtId="9" fontId="0" fillId="0" borderId="18" xfId="0" applyNumberFormat="1" applyBorder="1"/>
    <xf numFmtId="9" fontId="0" fillId="0" borderId="17" xfId="0" applyNumberFormat="1" applyBorder="1"/>
    <xf numFmtId="9" fontId="0" fillId="0" borderId="22" xfId="0" applyNumberFormat="1" applyBorder="1"/>
    <xf numFmtId="0" fontId="0" fillId="0" borderId="28" xfId="0" applyBorder="1"/>
    <xf numFmtId="0" fontId="0" fillId="0" borderId="29" xfId="0" applyBorder="1"/>
    <xf numFmtId="0" fontId="0" fillId="0" borderId="72" xfId="0" applyBorder="1"/>
    <xf numFmtId="0" fontId="0" fillId="0" borderId="55" xfId="0" applyBorder="1"/>
    <xf numFmtId="0" fontId="0" fillId="0" borderId="31" xfId="0" applyBorder="1" applyAlignment="1">
      <alignment horizontal="left"/>
    </xf>
    <xf numFmtId="0" fontId="0" fillId="0" borderId="41" xfId="0" applyBorder="1" applyAlignment="1">
      <alignment horizontal="left"/>
    </xf>
    <xf numFmtId="0" fontId="0" fillId="0" borderId="31" xfId="0" applyBorder="1" applyAlignment="1">
      <alignment horizontal="left" wrapText="1"/>
    </xf>
    <xf numFmtId="0" fontId="0" fillId="0" borderId="40" xfId="0" applyBorder="1" applyAlignment="1">
      <alignment horizontal="left" wrapText="1"/>
    </xf>
    <xf numFmtId="0" fontId="0" fillId="0" borderId="41" xfId="0" applyBorder="1" applyAlignment="1">
      <alignment horizontal="left" wrapText="1"/>
    </xf>
    <xf numFmtId="0" fontId="0" fillId="0" borderId="31" xfId="0" applyBorder="1" applyAlignment="1">
      <alignment horizontal="left" vertical="center"/>
    </xf>
    <xf numFmtId="0" fontId="0" fillId="0" borderId="41" xfId="0" applyBorder="1" applyAlignment="1">
      <alignment horizontal="left" vertical="center"/>
    </xf>
    <xf numFmtId="0" fontId="2" fillId="0" borderId="4" xfId="0" applyFont="1" applyBorder="1" applyAlignment="1">
      <alignment horizontal="center"/>
    </xf>
    <xf numFmtId="0" fontId="2" fillId="0" borderId="0" xfId="0" applyFont="1" applyAlignment="1">
      <alignment horizontal="center"/>
    </xf>
    <xf numFmtId="0" fontId="54" fillId="0" borderId="0" xfId="0" applyFont="1" applyAlignment="1">
      <alignment horizontal="center"/>
    </xf>
    <xf numFmtId="0" fontId="2" fillId="0" borderId="31" xfId="0" applyFont="1" applyBorder="1" applyAlignment="1">
      <alignment horizontal="left"/>
    </xf>
    <xf numFmtId="0" fontId="2" fillId="0" borderId="41" xfId="0" applyFont="1" applyBorder="1" applyAlignment="1">
      <alignment horizontal="left"/>
    </xf>
    <xf numFmtId="0" fontId="0" fillId="0" borderId="39" xfId="0" applyBorder="1"/>
    <xf numFmtId="0" fontId="0" fillId="0" borderId="36" xfId="0" quotePrefix="1" applyBorder="1"/>
    <xf numFmtId="0" fontId="0" fillId="0" borderId="39" xfId="0" quotePrefix="1" applyBorder="1"/>
    <xf numFmtId="0" fontId="0" fillId="0" borderId="72" xfId="0" quotePrefix="1" applyBorder="1"/>
    <xf numFmtId="0" fontId="0" fillId="0" borderId="55" xfId="0" quotePrefix="1" applyBorder="1"/>
    <xf numFmtId="14" fontId="1" fillId="0" borderId="0" xfId="7" applyNumberFormat="1" applyAlignment="1">
      <alignment horizontal="left"/>
    </xf>
    <xf numFmtId="2" fontId="0" fillId="0" borderId="13" xfId="0" applyNumberFormat="1" applyBorder="1" applyAlignment="1">
      <alignment wrapText="1"/>
    </xf>
    <xf numFmtId="2" fontId="0" fillId="0" borderId="40" xfId="0" applyNumberFormat="1" applyBorder="1" applyAlignment="1">
      <alignment wrapText="1"/>
    </xf>
    <xf numFmtId="2" fontId="0" fillId="0" borderId="41" xfId="0" applyNumberFormat="1" applyBorder="1" applyAlignment="1">
      <alignment wrapText="1"/>
    </xf>
    <xf numFmtId="2" fontId="0" fillId="0" borderId="21" xfId="0" applyNumberFormat="1" applyBorder="1"/>
    <xf numFmtId="2" fontId="0" fillId="0" borderId="67" xfId="0" applyNumberFormat="1" applyBorder="1"/>
    <xf numFmtId="2" fontId="0" fillId="0" borderId="65" xfId="0" applyNumberFormat="1" applyBorder="1"/>
    <xf numFmtId="2" fontId="0" fillId="0" borderId="20" xfId="0" applyNumberFormat="1" applyBorder="1"/>
    <xf numFmtId="2" fontId="0" fillId="0" borderId="83" xfId="0" applyNumberFormat="1" applyBorder="1"/>
    <xf numFmtId="2" fontId="0" fillId="0" borderId="61" xfId="0" applyNumberFormat="1" applyBorder="1"/>
    <xf numFmtId="0" fontId="0" fillId="2" borderId="31" xfId="0" applyFill="1" applyBorder="1" applyAlignment="1">
      <alignment horizontal="center"/>
    </xf>
    <xf numFmtId="0" fontId="0" fillId="0" borderId="57" xfId="0" applyBorder="1" applyAlignment="1">
      <alignment horizontal="right" vertical="center"/>
    </xf>
    <xf numFmtId="1" fontId="0" fillId="0" borderId="23" xfId="0" applyNumberFormat="1" applyBorder="1" applyAlignment="1">
      <alignment horizontal="center" vertical="center"/>
    </xf>
    <xf numFmtId="1" fontId="0" fillId="0" borderId="15" xfId="0" applyNumberFormat="1" applyBorder="1" applyAlignment="1">
      <alignment horizontal="center" vertical="center"/>
    </xf>
    <xf numFmtId="1" fontId="0" fillId="0" borderId="24" xfId="0" applyNumberFormat="1" applyBorder="1" applyAlignment="1">
      <alignment horizontal="center" vertical="center"/>
    </xf>
    <xf numFmtId="1" fontId="0" fillId="0" borderId="16" xfId="0" applyNumberFormat="1" applyBorder="1" applyAlignment="1">
      <alignment horizontal="center" vertical="center"/>
    </xf>
    <xf numFmtId="1" fontId="0" fillId="0" borderId="25" xfId="0" applyNumberFormat="1" applyBorder="1" applyAlignment="1">
      <alignment horizontal="center" vertical="center"/>
    </xf>
    <xf numFmtId="1" fontId="0" fillId="0" borderId="18" xfId="0" applyNumberFormat="1" applyBorder="1" applyAlignment="1">
      <alignment horizontal="center" vertical="center"/>
    </xf>
    <xf numFmtId="0" fontId="0" fillId="49" borderId="111" xfId="0" applyFill="1" applyBorder="1" applyAlignment="1">
      <alignment horizontal="center"/>
    </xf>
    <xf numFmtId="0" fontId="0" fillId="49" borderId="112" xfId="0" applyFill="1" applyBorder="1" applyAlignment="1">
      <alignment horizontal="center"/>
    </xf>
    <xf numFmtId="0" fontId="0" fillId="49" borderId="113" xfId="0" applyFill="1" applyBorder="1" applyAlignment="1">
      <alignment horizontal="center"/>
    </xf>
    <xf numFmtId="0" fontId="0" fillId="49" borderId="114" xfId="0" applyFill="1" applyBorder="1" applyAlignment="1">
      <alignment horizontal="center"/>
    </xf>
    <xf numFmtId="0" fontId="0" fillId="49" borderId="115" xfId="0" applyFill="1" applyBorder="1" applyAlignment="1">
      <alignment horizontal="center"/>
    </xf>
    <xf numFmtId="0" fontId="0" fillId="49" borderId="116" xfId="0" applyFill="1" applyBorder="1" applyAlignment="1">
      <alignment horizontal="center"/>
    </xf>
    <xf numFmtId="0" fontId="30" fillId="29" borderId="1" xfId="5" applyFont="1" applyFill="1" applyBorder="1" applyAlignment="1" applyProtection="1">
      <alignment horizontal="center" vertical="center"/>
      <protection locked="0"/>
    </xf>
    <xf numFmtId="0" fontId="30" fillId="29" borderId="3" xfId="5" applyFont="1" applyFill="1" applyBorder="1" applyAlignment="1" applyProtection="1">
      <alignment horizontal="center" vertical="center"/>
      <protection locked="0"/>
    </xf>
    <xf numFmtId="0" fontId="30" fillId="29" borderId="2" xfId="5" applyFont="1" applyFill="1" applyBorder="1" applyAlignment="1" applyProtection="1">
      <alignment horizontal="center" vertical="center"/>
      <protection locked="0"/>
    </xf>
    <xf numFmtId="0" fontId="30" fillId="29" borderId="4" xfId="5" applyFont="1" applyFill="1" applyBorder="1" applyAlignment="1" applyProtection="1">
      <alignment horizontal="center" vertical="center"/>
      <protection locked="0"/>
    </xf>
    <xf numFmtId="0" fontId="30" fillId="29" borderId="0" xfId="5" applyFont="1" applyFill="1" applyAlignment="1" applyProtection="1">
      <alignment horizontal="center" vertical="center"/>
      <protection locked="0"/>
    </xf>
    <xf numFmtId="0" fontId="30" fillId="29" borderId="5" xfId="5" applyFont="1" applyFill="1" applyBorder="1" applyAlignment="1" applyProtection="1">
      <alignment horizontal="center" vertical="center"/>
      <protection locked="0"/>
    </xf>
    <xf numFmtId="0" fontId="30" fillId="29" borderId="6" xfId="5" applyFont="1" applyFill="1" applyBorder="1" applyAlignment="1" applyProtection="1">
      <alignment horizontal="center" vertical="center"/>
      <protection locked="0"/>
    </xf>
    <xf numFmtId="0" fontId="30" fillId="29" borderId="8" xfId="5" applyFont="1" applyFill="1" applyBorder="1" applyAlignment="1" applyProtection="1">
      <alignment horizontal="center" vertical="center"/>
      <protection locked="0"/>
    </xf>
    <xf numFmtId="0" fontId="30" fillId="29" borderId="7" xfId="5" applyFont="1" applyFill="1" applyBorder="1" applyAlignment="1" applyProtection="1">
      <alignment horizontal="center" vertical="center"/>
      <protection locked="0"/>
    </xf>
    <xf numFmtId="0" fontId="43" fillId="0" borderId="31" xfId="5" applyFont="1" applyBorder="1" applyAlignment="1">
      <alignment horizontal="center"/>
    </xf>
    <xf numFmtId="0" fontId="43" fillId="0" borderId="40" xfId="5" applyFont="1" applyBorder="1" applyAlignment="1">
      <alignment horizontal="center"/>
    </xf>
    <xf numFmtId="9" fontId="2" fillId="0" borderId="8" xfId="0" applyNumberFormat="1" applyFont="1" applyBorder="1" applyAlignment="1">
      <alignment horizontal="center"/>
    </xf>
    <xf numFmtId="0" fontId="0" fillId="26" borderId="38" xfId="0" applyFill="1" applyBorder="1" applyAlignment="1">
      <alignment horizontal="center"/>
    </xf>
    <xf numFmtId="0" fontId="0" fillId="26" borderId="86" xfId="0" applyFill="1" applyBorder="1" applyAlignment="1">
      <alignment horizontal="center"/>
    </xf>
    <xf numFmtId="0" fontId="0" fillId="26" borderId="75" xfId="0" applyFill="1" applyBorder="1" applyAlignment="1">
      <alignment horizontal="center"/>
    </xf>
    <xf numFmtId="0" fontId="0" fillId="26" borderId="20" xfId="0" applyFill="1" applyBorder="1" applyAlignment="1">
      <alignment horizontal="center"/>
    </xf>
    <xf numFmtId="0" fontId="0" fillId="26" borderId="83" xfId="0" applyFill="1" applyBorder="1" applyAlignment="1">
      <alignment horizontal="center"/>
    </xf>
    <xf numFmtId="0" fontId="0" fillId="26" borderId="37" xfId="0" applyFill="1" applyBorder="1" applyAlignment="1">
      <alignment horizontal="center"/>
    </xf>
    <xf numFmtId="9" fontId="0" fillId="0" borderId="8" xfId="0" applyNumberFormat="1" applyBorder="1" applyAlignment="1">
      <alignment horizontal="center"/>
    </xf>
    <xf numFmtId="0" fontId="0" fillId="0" borderId="8" xfId="0" applyBorder="1" applyAlignment="1">
      <alignment horizontal="center"/>
    </xf>
    <xf numFmtId="0" fontId="36" fillId="0" borderId="19" xfId="0" applyFont="1" applyBorder="1" applyAlignment="1">
      <alignment horizontal="center"/>
    </xf>
    <xf numFmtId="0" fontId="36" fillId="0" borderId="17" xfId="0" applyFont="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67" xfId="0" applyBorder="1" applyAlignment="1">
      <alignment horizontal="center" vertical="center" wrapText="1"/>
    </xf>
    <xf numFmtId="0" fontId="0" fillId="0" borderId="65" xfId="0" applyBorder="1" applyAlignment="1">
      <alignment horizontal="center" vertical="center" wrapText="1"/>
    </xf>
    <xf numFmtId="0" fontId="0" fillId="0" borderId="49" xfId="0" applyBorder="1" applyAlignment="1">
      <alignment horizontal="center" wrapText="1"/>
    </xf>
    <xf numFmtId="0" fontId="0" fillId="0" borderId="45" xfId="0" applyBorder="1" applyAlignment="1">
      <alignment horizontal="center" wrapText="1"/>
    </xf>
    <xf numFmtId="0" fontId="0" fillId="0" borderId="46" xfId="0" applyBorder="1" applyAlignment="1">
      <alignment horizontal="center" wrapText="1"/>
    </xf>
    <xf numFmtId="0" fontId="0" fillId="11" borderId="31" xfId="0" applyFill="1" applyBorder="1" applyAlignment="1">
      <alignment horizontal="center" wrapText="1"/>
    </xf>
    <xf numFmtId="0" fontId="0" fillId="11" borderId="40" xfId="0" applyFill="1" applyBorder="1" applyAlignment="1">
      <alignment horizontal="center" wrapText="1"/>
    </xf>
    <xf numFmtId="0" fontId="0" fillId="11" borderId="41" xfId="0" applyFill="1" applyBorder="1" applyAlignment="1">
      <alignment horizontal="center" wrapText="1"/>
    </xf>
    <xf numFmtId="0" fontId="0" fillId="11" borderId="6" xfId="0" applyFill="1" applyBorder="1" applyAlignment="1">
      <alignment horizontal="center" wrapText="1"/>
    </xf>
    <xf numFmtId="0" fontId="0" fillId="11" borderId="8" xfId="0" applyFill="1" applyBorder="1" applyAlignment="1">
      <alignment horizontal="center" wrapText="1"/>
    </xf>
  </cellXfs>
  <cellStyles count="8">
    <cellStyle name="Euro" xfId="4" xr:uid="{1F655247-E93A-4631-9C31-1D83776A17C1}"/>
    <cellStyle name="Lien hypertexte" xfId="2" builtinId="8"/>
    <cellStyle name="Milliers" xfId="6" builtinId="3"/>
    <cellStyle name="Monétaire" xfId="3" builtinId="4"/>
    <cellStyle name="Normal" xfId="0" builtinId="0"/>
    <cellStyle name="Normal 2" xfId="5" xr:uid="{D02DC1D2-C378-4925-85ED-17DA8BA0110B}"/>
    <cellStyle name="Pourcentage" xfId="1" builtinId="5"/>
    <cellStyle name="Standard 2" xfId="7" xr:uid="{C835EEE3-595A-41E4-BFBA-B1DC44C627DA}"/>
  </cellStyles>
  <dxfs count="197">
    <dxf>
      <numFmt numFmtId="164" formatCode="0.0"/>
    </dxf>
    <dxf>
      <alignment horizontal="center"/>
    </dxf>
    <dxf>
      <numFmt numFmtId="1" formatCode="0"/>
    </dxf>
    <dxf>
      <numFmt numFmtId="166" formatCode="0.0000"/>
    </dxf>
    <dxf>
      <alignment wrapText="1"/>
    </dxf>
    <dxf>
      <alignment wrapText="1"/>
    </dxf>
    <dxf>
      <numFmt numFmtId="166" formatCode="0.0000"/>
    </dxf>
    <dxf>
      <alignment wrapText="1"/>
    </dxf>
    <dxf>
      <alignment wrapText="1"/>
    </dxf>
    <dxf>
      <alignment wrapText="1"/>
    </dxf>
    <dxf>
      <numFmt numFmtId="166" formatCode="0.0000"/>
    </dxf>
    <dxf>
      <numFmt numFmtId="166" formatCode="0.0000"/>
    </dxf>
    <dxf>
      <numFmt numFmtId="168" formatCode="0.00000"/>
    </dxf>
    <dxf>
      <numFmt numFmtId="168" formatCode="0.00000"/>
    </dxf>
    <dxf>
      <alignment wrapText="1"/>
    </dxf>
    <dxf>
      <numFmt numFmtId="166" formatCode="0.0000"/>
    </dxf>
    <dxf>
      <numFmt numFmtId="166" formatCode="0.0000"/>
    </dxf>
    <dxf>
      <alignment wrapText="1"/>
    </dxf>
    <dxf>
      <alignment wrapText="1"/>
    </dxf>
    <dxf>
      <alignment wrapText="1"/>
    </dxf>
    <dxf>
      <border diagonalUp="0" diagonalDown="0">
        <left style="thin">
          <color indexed="64"/>
        </left>
        <right style="medium">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3" formatCode="0%"/>
      <border diagonalUp="0" diagonalDown="0">
        <left style="thin">
          <color indexed="64"/>
        </left>
        <right style="thin">
          <color indexed="64"/>
        </right>
        <top style="thin">
          <color indexed="64"/>
        </top>
        <bottom style="thin">
          <color indexed="64"/>
        </bottom>
        <vertical/>
        <horizontal/>
      </border>
    </dxf>
    <dxf>
      <numFmt numFmtId="13" formatCode="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numFmt numFmtId="13" formatCode="0%"/>
      <border diagonalUp="0" diagonalDown="0">
        <left style="medium">
          <color indexed="64"/>
        </left>
        <right style="thin">
          <color indexed="64"/>
        </right>
        <top style="thin">
          <color indexed="64"/>
        </top>
        <bottom style="thin">
          <color indexed="64"/>
        </bottom>
        <vertical/>
        <horizontal/>
      </border>
    </dxf>
    <dxf>
      <numFmt numFmtId="13" formatCode="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medium">
          <color indexed="64"/>
        </left>
        <right style="medium">
          <color indexed="64"/>
        </right>
        <top/>
        <bottom/>
        <vertical/>
        <horizontal/>
      </border>
    </dxf>
    <dxf>
      <alignment horizontal="center" vertical="bottom" textRotation="0" wrapText="0" indent="0" justifyLastLine="0" shrinkToFit="0" readingOrder="0"/>
    </dxf>
    <dxf>
      <numFmt numFmtId="167"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7" formatCode="0.0%"/>
    </dxf>
    <dxf>
      <numFmt numFmtId="164" formatCode="0.0"/>
    </dxf>
    <dxf>
      <numFmt numFmtId="164" formatCode="0.0"/>
    </dxf>
    <dxf>
      <numFmt numFmtId="167" formatCode="0.0%"/>
    </dxf>
    <dxf>
      <numFmt numFmtId="164" formatCode="0.0"/>
    </dxf>
    <dxf>
      <numFmt numFmtId="164" formatCode="0.0"/>
    </dxf>
    <dxf>
      <numFmt numFmtId="164" formatCode="0.0"/>
    </dxf>
    <dxf>
      <numFmt numFmtId="167" formatCode="0.0%"/>
    </dxf>
    <dxf>
      <numFmt numFmtId="164" formatCode="0.0"/>
    </dxf>
    <dxf>
      <numFmt numFmtId="167" formatCode="0.0%"/>
    </dxf>
    <dxf>
      <numFmt numFmtId="164" formatCode="0.0"/>
    </dxf>
    <dxf>
      <numFmt numFmtId="167" formatCode="0.0%"/>
    </dxf>
    <dxf>
      <numFmt numFmtId="164" formatCode="0.0"/>
    </dxf>
    <dxf>
      <numFmt numFmtId="167" formatCode="0.0%"/>
    </dxf>
    <dxf>
      <numFmt numFmtId="164" formatCode="0.0"/>
    </dxf>
    <dxf>
      <numFmt numFmtId="167" formatCode="0.0%"/>
    </dxf>
    <dxf>
      <numFmt numFmtId="164" formatCode="0.0"/>
    </dxf>
    <dxf>
      <numFmt numFmtId="167" formatCode="0.0%"/>
    </dxf>
    <dxf>
      <numFmt numFmtId="164" formatCode="0.0"/>
    </dxf>
    <dxf>
      <numFmt numFmtId="167" formatCode="0.0%"/>
    </dxf>
    <dxf>
      <numFmt numFmtId="164" formatCode="0.0"/>
    </dxf>
    <dxf>
      <numFmt numFmtId="164" formatCode="0.0"/>
    </dxf>
    <dxf>
      <numFmt numFmtId="164" formatCode="0.0"/>
    </dxf>
    <dxf>
      <numFmt numFmtId="164"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3" formatCode="0%"/>
      <border diagonalUp="0" diagonalDown="0" outline="0">
        <left style="thin">
          <color indexed="64"/>
        </left>
        <right style="medium">
          <color indexed="64"/>
        </right>
        <top style="thin">
          <color indexed="64"/>
        </top>
        <bottom style="medium">
          <color indexed="64"/>
        </bottom>
      </border>
    </dxf>
    <dxf>
      <numFmt numFmtId="1" formatCode="0"/>
      <border diagonalUp="0" diagonalDown="0">
        <left style="thin">
          <color indexed="64"/>
        </left>
        <right style="thin">
          <color indexed="64"/>
        </right>
        <top style="thin">
          <color indexed="64"/>
        </top>
        <bottom style="medium">
          <color indexed="64"/>
        </bottom>
        <vertical/>
        <horizontal/>
      </border>
    </dxf>
    <dxf>
      <numFmt numFmtId="13" formatCode="0%"/>
      <border diagonalUp="0" diagonalDown="0" outline="0">
        <left style="thin">
          <color indexed="64"/>
        </left>
        <right style="thin">
          <color indexed="64"/>
        </right>
        <top style="thin">
          <color indexed="64"/>
        </top>
        <bottom style="medium">
          <color indexed="64"/>
        </bottom>
      </border>
    </dxf>
    <dxf>
      <numFmt numFmtId="1" formatCode="0"/>
      <border diagonalUp="0" diagonalDown="0">
        <left style="thin">
          <color indexed="64"/>
        </left>
        <right style="thin">
          <color indexed="64"/>
        </right>
        <top style="thin">
          <color indexed="64"/>
        </top>
        <bottom style="medium">
          <color indexed="64"/>
        </bottom>
        <vertical/>
        <horizontal/>
      </border>
    </dxf>
    <dxf>
      <numFmt numFmtId="13" formatCode="0%"/>
      <border diagonalUp="0" diagonalDown="0" outline="0">
        <left style="thin">
          <color indexed="64"/>
        </left>
        <right style="thin">
          <color indexed="64"/>
        </right>
        <top style="thin">
          <color indexed="64"/>
        </top>
        <bottom style="medium">
          <color indexed="64"/>
        </bottom>
      </border>
    </dxf>
    <dxf>
      <numFmt numFmtId="1" formatCode="0"/>
      <border diagonalUp="0" diagonalDown="0">
        <left style="thin">
          <color indexed="64"/>
        </left>
        <right style="thin">
          <color indexed="64"/>
        </right>
        <top style="thin">
          <color indexed="64"/>
        </top>
        <bottom style="medium">
          <color indexed="64"/>
        </bottom>
        <vertical/>
        <horizontal/>
      </border>
    </dxf>
    <dxf>
      <numFmt numFmtId="13" formatCode="0%"/>
      <border diagonalUp="0" diagonalDown="0" outline="0">
        <left style="thin">
          <color indexed="64"/>
        </left>
        <right style="thin">
          <color indexed="64"/>
        </right>
        <top style="thin">
          <color indexed="64"/>
        </top>
        <bottom style="medium">
          <color indexed="64"/>
        </bottom>
      </border>
    </dxf>
    <dxf>
      <numFmt numFmtId="1" formatCode="0"/>
      <border diagonalUp="0" diagonalDown="0">
        <left style="thin">
          <color indexed="64"/>
        </left>
        <right style="thin">
          <color indexed="64"/>
        </right>
        <top style="thin">
          <color indexed="64"/>
        </top>
        <bottom style="medium">
          <color indexed="64"/>
        </bottom>
        <vertical/>
        <horizontal/>
      </border>
    </dxf>
    <dxf>
      <numFmt numFmtId="13" formatCode="0%"/>
      <border diagonalUp="0" diagonalDown="0" outline="0">
        <left style="thin">
          <color indexed="64"/>
        </left>
        <right style="thin">
          <color indexed="64"/>
        </right>
        <top style="thin">
          <color indexed="64"/>
        </top>
        <bottom style="medium">
          <color indexed="64"/>
        </bottom>
      </border>
    </dxf>
    <dxf>
      <numFmt numFmtId="1" formatCode="0"/>
      <border diagonalUp="0" diagonalDown="0">
        <left style="thin">
          <color indexed="64"/>
        </left>
        <right style="thin">
          <color indexed="64"/>
        </right>
        <top style="thin">
          <color indexed="64"/>
        </top>
        <bottom style="medium">
          <color indexed="64"/>
        </bottom>
        <vertical/>
        <horizontal/>
      </border>
    </dxf>
    <dxf>
      <border diagonalUp="0" diagonalDown="0" outline="0">
        <left style="medium">
          <color indexed="64"/>
        </left>
        <right style="thin">
          <color indexed="64"/>
        </right>
        <top style="thin">
          <color indexed="64"/>
        </top>
        <bottom style="medium">
          <color indexed="64"/>
        </bottom>
      </border>
    </dxf>
    <dxf>
      <border diagonalUp="0" diagonalDown="0">
        <left style="medium">
          <color indexed="64"/>
        </left>
        <right style="thin">
          <color indexed="64"/>
        </right>
        <top style="thin">
          <color indexed="64"/>
        </top>
        <bottom style="medium">
          <color indexed="64"/>
        </bottom>
        <vertical/>
        <horizontal/>
      </border>
    </dxf>
    <dxf>
      <border outline="0">
        <top style="medium">
          <color indexed="64"/>
        </top>
        <bottom style="medium">
          <color indexed="64"/>
        </bottom>
      </border>
    </dxf>
    <dxf>
      <border outline="0">
        <bottom style="medium">
          <color indexed="64"/>
        </bottom>
      </border>
    </dxf>
    <dxf>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color auto="1"/>
        <name val="Calibri"/>
        <family val="2"/>
        <scheme val="minor"/>
      </font>
      <fill>
        <patternFill patternType="none">
          <bgColor auto="1"/>
        </patternFill>
      </fill>
      <alignment horizontal="left" textRotation="0" wrapText="0" indent="0" justifyLastLine="0" shrinkToFit="0" readingOrder="0"/>
    </dxf>
    <dxf>
      <font>
        <strike val="0"/>
        <outline val="0"/>
        <shadow val="0"/>
        <u val="none"/>
        <vertAlign val="baseline"/>
        <color auto="1"/>
        <name val="Calibri"/>
        <family val="2"/>
        <scheme val="minor"/>
      </font>
      <fill>
        <patternFill patternType="none">
          <bgColor auto="1"/>
        </patternFill>
      </fill>
      <alignment horizontal="left" textRotation="0" wrapText="0" indent="0" justifyLastLine="0" shrinkToFit="0" readingOrder="0"/>
    </dxf>
    <dxf>
      <font>
        <strike val="0"/>
        <outline val="0"/>
        <shadow val="0"/>
        <u val="none"/>
        <vertAlign val="baseline"/>
        <color auto="1"/>
        <name val="Calibri"/>
        <family val="2"/>
        <scheme val="minor"/>
      </font>
      <fill>
        <patternFill patternType="none">
          <bgColor auto="1"/>
        </patternFill>
      </fill>
      <alignment horizontal="left" textRotation="0" wrapText="0" indent="0" justifyLastLine="0" shrinkToFit="0" readingOrder="0"/>
    </dxf>
    <dxf>
      <font>
        <strike val="0"/>
        <outline val="0"/>
        <shadow val="0"/>
        <u val="none"/>
        <vertAlign val="baseline"/>
        <color auto="1"/>
        <name val="Calibri"/>
        <family val="2"/>
        <scheme val="minor"/>
      </font>
      <fill>
        <patternFill patternType="none">
          <bgColor auto="1"/>
        </patternFill>
      </fill>
      <alignment horizontal="left" textRotation="0" wrapText="0" indent="0" justifyLastLine="0" shrinkToFit="0" readingOrder="0"/>
    </dxf>
    <dxf>
      <font>
        <strike val="0"/>
        <outline val="0"/>
        <shadow val="0"/>
        <u val="none"/>
        <vertAlign val="baseline"/>
        <color auto="1"/>
        <name val="Calibri"/>
        <family val="2"/>
        <scheme val="minor"/>
      </font>
      <fill>
        <patternFill patternType="none">
          <bgColor auto="1"/>
        </patternFill>
      </fill>
      <alignment horizontal="left" textRotation="0" wrapText="0" indent="0" justifyLastLine="0" shrinkToFit="0" readingOrder="0"/>
    </dxf>
    <dxf>
      <font>
        <strike val="0"/>
        <outline val="0"/>
        <shadow val="0"/>
        <u val="none"/>
        <vertAlign val="baseline"/>
        <color auto="1"/>
        <name val="Calibri"/>
        <family val="2"/>
        <scheme val="minor"/>
      </font>
      <fill>
        <patternFill patternType="none">
          <bgColor auto="1"/>
        </patternFill>
      </fill>
      <alignment horizontal="left"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 formatCode="0"/>
      <fill>
        <patternFill patternType="none">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theme="4" tint="0.79998168889431442"/>
          <bgColor auto="1"/>
        </patternFill>
      </fill>
    </dxf>
    <dxf>
      <font>
        <strike val="0"/>
        <outline val="0"/>
        <shadow val="0"/>
        <u val="none"/>
        <vertAlign val="baseline"/>
        <color auto="1"/>
        <name val="Calibri"/>
        <family val="2"/>
        <scheme val="minor"/>
      </font>
      <fill>
        <patternFill patternType="none">
          <bgColor auto="1"/>
        </patternFill>
      </fill>
    </dxf>
    <dxf>
      <font>
        <b/>
        <i val="0"/>
        <strike val="0"/>
        <condense val="0"/>
        <extend val="0"/>
        <outline val="0"/>
        <shadow val="0"/>
        <u val="none"/>
        <vertAlign val="baseline"/>
        <sz val="11"/>
        <color auto="1"/>
        <name val="Calibri"/>
        <family val="2"/>
        <scheme val="minor"/>
      </font>
      <fill>
        <patternFill patternType="none">
          <fgColor theme="5"/>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fill>
        <patternFill patternType="solid">
          <fgColor theme="5" tint="0.79998168889431442"/>
          <bgColor theme="5" tint="0.79998168889431442"/>
        </patternFill>
      </fill>
      <border diagonalUp="0" diagonalDown="0">
        <left style="medium">
          <color indexed="64"/>
        </left>
        <right/>
        <top style="thin">
          <color indexed="64"/>
        </top>
        <bottom/>
        <vertical/>
        <horizontal/>
      </border>
    </dxf>
    <dxf>
      <border outline="0">
        <top style="medium">
          <color indexed="64"/>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5" tint="0.79998168889431442"/>
          <bgColor theme="5" tint="0.79998168889431442"/>
        </patternFill>
      </fill>
    </dxf>
    <dxf>
      <font>
        <b/>
        <i val="0"/>
        <strike val="0"/>
        <condense val="0"/>
        <extend val="0"/>
        <outline val="0"/>
        <shadow val="0"/>
        <u val="none"/>
        <vertAlign val="baseline"/>
        <sz val="11"/>
        <color theme="0"/>
        <name val="Calibri"/>
        <family val="2"/>
        <scheme val="minor"/>
      </font>
      <fill>
        <patternFill patternType="solid">
          <fgColor theme="5"/>
          <bgColor theme="5"/>
        </patternFill>
      </fill>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theme="1"/>
        </patternFill>
      </fill>
    </dxf>
    <dxf>
      <fill>
        <patternFill>
          <bgColor theme="1"/>
        </patternFill>
      </fill>
    </dxf>
    <dxf>
      <fill>
        <patternFill>
          <bgColor theme="9"/>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theme="9" tint="0.39994506668294322"/>
        </patternFill>
      </fill>
    </dxf>
    <dxf>
      <fill>
        <patternFill>
          <bgColor rgb="FFFF0000"/>
        </patternFill>
      </fill>
    </dxf>
    <dxf>
      <fill>
        <patternFill>
          <bgColor theme="9" tint="0.39994506668294322"/>
        </patternFill>
      </fill>
    </dxf>
    <dxf>
      <fill>
        <patternFill>
          <bgColor rgb="FFFF0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color rgb="FF7030A0"/>
      </font>
    </dxf>
    <dxf>
      <font>
        <color rgb="FFFF0000"/>
      </font>
    </dxf>
    <dxf>
      <font>
        <color rgb="FF006100"/>
      </font>
      <fill>
        <patternFill>
          <bgColor rgb="FFC6EFCE"/>
        </patternFill>
      </fill>
    </dxf>
    <dxf>
      <font>
        <color rgb="FF9C5700"/>
      </font>
      <fill>
        <patternFill>
          <bgColor rgb="FFFFFF00"/>
        </patternFill>
      </fill>
    </dxf>
    <dxf>
      <font>
        <color rgb="FF9C0006"/>
      </font>
      <fill>
        <patternFill>
          <bgColor rgb="FFFFC7CE"/>
        </patternFill>
      </fill>
    </dxf>
    <dxf>
      <fill>
        <patternFill>
          <bgColor theme="7" tint="0.39994506668294322"/>
        </patternFill>
      </fill>
    </dxf>
  </dxfs>
  <tableStyles count="0" defaultTableStyle="TableStyleMedium2" defaultPivotStyle="PivotStyleMedium9"/>
  <colors>
    <mruColors>
      <color rgb="FF00B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aredStrings" Target="sharedString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tyles" Target="styles.xml"/><Relationship Id="rId30" Type="http://schemas.openxmlformats.org/officeDocument/2006/relationships/powerPivotData" Target="model/item.data"/><Relationship Id="rId35" Type="http://schemas.openxmlformats.org/officeDocument/2006/relationships/customXml" Target="../customXml/item4.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Cash (kCur)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PriceCalAVO!$B$1:$H$1</c:f>
              <c:numCache>
                <c:formatCode>General</c:formatCode>
                <c:ptCount val="7"/>
                <c:pt idx="0">
                  <c:v>2024</c:v>
                </c:pt>
                <c:pt idx="1">
                  <c:v>2025</c:v>
                </c:pt>
                <c:pt idx="2">
                  <c:v>2026</c:v>
                </c:pt>
                <c:pt idx="3">
                  <c:v>2027</c:v>
                </c:pt>
                <c:pt idx="4">
                  <c:v>2028</c:v>
                </c:pt>
                <c:pt idx="5">
                  <c:v>2029</c:v>
                </c:pt>
                <c:pt idx="6">
                  <c:v>2030</c:v>
                </c:pt>
              </c:numCache>
            </c:numRef>
          </c:cat>
          <c:val>
            <c:numRef>
              <c:f>PriceCalAVO!$B$55:$H$55</c:f>
              <c:numCache>
                <c:formatCode>0</c:formatCode>
                <c:ptCount val="7"/>
                <c:pt idx="0">
                  <c:v>-90.443198693195342</c:v>
                </c:pt>
                <c:pt idx="1">
                  <c:v>-204.35541056455099</c:v>
                </c:pt>
                <c:pt idx="2">
                  <c:v>-61.310539156993428</c:v>
                </c:pt>
                <c:pt idx="3">
                  <c:v>92.673216706331488</c:v>
                </c:pt>
                <c:pt idx="4">
                  <c:v>256.4268754445277</c:v>
                </c:pt>
                <c:pt idx="5">
                  <c:v>426.89698639753976</c:v>
                </c:pt>
                <c:pt idx="6">
                  <c:v>454.1116692803829</c:v>
                </c:pt>
              </c:numCache>
            </c:numRef>
          </c:val>
          <c:smooth val="0"/>
          <c:extLst>
            <c:ext xmlns:c16="http://schemas.microsoft.com/office/drawing/2014/chart" uri="{C3380CC4-5D6E-409C-BE32-E72D297353CC}">
              <c16:uniqueId val="{00000000-642F-40C0-9A83-E21FE5F5F17D}"/>
            </c:ext>
          </c:extLst>
        </c:ser>
        <c:dLbls>
          <c:showLegendKey val="0"/>
          <c:showVal val="0"/>
          <c:showCatName val="0"/>
          <c:showSerName val="0"/>
          <c:showPercent val="0"/>
          <c:showBubbleSize val="0"/>
        </c:dLbls>
        <c:smooth val="0"/>
        <c:axId val="887710736"/>
        <c:axId val="887711064"/>
      </c:lineChart>
      <c:catAx>
        <c:axId val="88771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11064"/>
        <c:crosses val="autoZero"/>
        <c:auto val="1"/>
        <c:lblAlgn val="ctr"/>
        <c:lblOffset val="100"/>
        <c:noMultiLvlLbl val="0"/>
      </c:catAx>
      <c:valAx>
        <c:axId val="8877110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10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15</xdr:col>
      <xdr:colOff>41274</xdr:colOff>
      <xdr:row>15</xdr:row>
      <xdr:rowOff>177800</xdr:rowOff>
    </xdr:from>
    <xdr:to>
      <xdr:col>19</xdr:col>
      <xdr:colOff>533400</xdr:colOff>
      <xdr:row>30</xdr:row>
      <xdr:rowOff>41910</xdr:rowOff>
    </xdr:to>
    <xdr:grpSp>
      <xdr:nvGrpSpPr>
        <xdr:cNvPr id="2" name="Groupe 1">
          <a:extLst>
            <a:ext uri="{FF2B5EF4-FFF2-40B4-BE49-F238E27FC236}">
              <a16:creationId xmlns:a16="http://schemas.microsoft.com/office/drawing/2014/main" id="{00000000-0008-0000-0600-000002000000}"/>
            </a:ext>
          </a:extLst>
        </xdr:cNvPr>
        <xdr:cNvGrpSpPr/>
      </xdr:nvGrpSpPr>
      <xdr:grpSpPr>
        <a:xfrm>
          <a:off x="14160686" y="3020284"/>
          <a:ext cx="4492626" cy="2693707"/>
          <a:chOff x="12344399" y="742948"/>
          <a:chExt cx="3488056" cy="2461262"/>
        </a:xfrm>
      </xdr:grpSpPr>
      <xdr:grpSp>
        <xdr:nvGrpSpPr>
          <xdr:cNvPr id="3" name="Groupe 2">
            <a:extLst>
              <a:ext uri="{FF2B5EF4-FFF2-40B4-BE49-F238E27FC236}">
                <a16:creationId xmlns:a16="http://schemas.microsoft.com/office/drawing/2014/main" id="{00000000-0008-0000-0600-000003000000}"/>
              </a:ext>
            </a:extLst>
          </xdr:cNvPr>
          <xdr:cNvGrpSpPr/>
        </xdr:nvGrpSpPr>
        <xdr:grpSpPr>
          <a:xfrm>
            <a:off x="12344399" y="742948"/>
            <a:ext cx="3488056" cy="2461262"/>
            <a:chOff x="12344399" y="742948"/>
            <a:chExt cx="3488056" cy="2461262"/>
          </a:xfrm>
        </xdr:grpSpPr>
        <xdr:grpSp>
          <xdr:nvGrpSpPr>
            <xdr:cNvPr id="5" name="Groupe 4">
              <a:extLst>
                <a:ext uri="{FF2B5EF4-FFF2-40B4-BE49-F238E27FC236}">
                  <a16:creationId xmlns:a16="http://schemas.microsoft.com/office/drawing/2014/main" id="{00000000-0008-0000-0600-000005000000}"/>
                </a:ext>
              </a:extLst>
            </xdr:cNvPr>
            <xdr:cNvGrpSpPr/>
          </xdr:nvGrpSpPr>
          <xdr:grpSpPr>
            <a:xfrm>
              <a:off x="12344399" y="742948"/>
              <a:ext cx="3488056" cy="2461262"/>
              <a:chOff x="12344399" y="742948"/>
              <a:chExt cx="3488056" cy="2461262"/>
            </a:xfrm>
          </xdr:grpSpPr>
          <xdr:grpSp>
            <xdr:nvGrpSpPr>
              <xdr:cNvPr id="9" name="Groupe 8">
                <a:extLst>
                  <a:ext uri="{FF2B5EF4-FFF2-40B4-BE49-F238E27FC236}">
                    <a16:creationId xmlns:a16="http://schemas.microsoft.com/office/drawing/2014/main" id="{00000000-0008-0000-0600-000009000000}"/>
                  </a:ext>
                </a:extLst>
              </xdr:cNvPr>
              <xdr:cNvGrpSpPr/>
            </xdr:nvGrpSpPr>
            <xdr:grpSpPr>
              <a:xfrm>
                <a:off x="12344399" y="762000"/>
                <a:ext cx="3488056" cy="2442210"/>
                <a:chOff x="12344399" y="762000"/>
                <a:chExt cx="3488056" cy="2442210"/>
              </a:xfrm>
            </xdr:grpSpPr>
            <xdr:sp macro="" textlink="">
              <xdr:nvSpPr>
                <xdr:cNvPr id="31" name="Rectangle 30">
                  <a:extLst>
                    <a:ext uri="{FF2B5EF4-FFF2-40B4-BE49-F238E27FC236}">
                      <a16:creationId xmlns:a16="http://schemas.microsoft.com/office/drawing/2014/main" id="{00000000-0008-0000-0600-00001F000000}"/>
                    </a:ext>
                  </a:extLst>
                </xdr:cNvPr>
                <xdr:cNvSpPr/>
              </xdr:nvSpPr>
              <xdr:spPr>
                <a:xfrm>
                  <a:off x="12344399" y="762000"/>
                  <a:ext cx="3488056" cy="2438400"/>
                </a:xfrm>
                <a:prstGeom prst="rect">
                  <a:avLst/>
                </a:prstGeom>
                <a:solidFill>
                  <a:schemeClr val="accent3">
                    <a:lumMod val="20000"/>
                    <a:lumOff val="80000"/>
                  </a:schemeClr>
                </a:solid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200"/>
                </a:p>
              </xdr:txBody>
            </xdr:sp>
            <xdr:sp macro="" textlink="">
              <xdr:nvSpPr>
                <xdr:cNvPr id="32" name="ZoneTexte 31">
                  <a:extLst>
                    <a:ext uri="{FF2B5EF4-FFF2-40B4-BE49-F238E27FC236}">
                      <a16:creationId xmlns:a16="http://schemas.microsoft.com/office/drawing/2014/main" id="{00000000-0008-0000-0600-000020000000}"/>
                    </a:ext>
                  </a:extLst>
                </xdr:cNvPr>
                <xdr:cNvSpPr txBox="1"/>
              </xdr:nvSpPr>
              <xdr:spPr>
                <a:xfrm>
                  <a:off x="12380595" y="2954655"/>
                  <a:ext cx="2773680"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b="1">
                      <a:solidFill>
                        <a:srgbClr val="0070C0"/>
                      </a:solidFill>
                    </a:rPr>
                    <a:t>Note: Don't consider any gap/pieces</a:t>
                  </a:r>
                </a:p>
              </xdr:txBody>
            </xdr:sp>
          </xdr:grpSp>
          <xdr:grpSp>
            <xdr:nvGrpSpPr>
              <xdr:cNvPr id="10" name="Groupe 9">
                <a:extLst>
                  <a:ext uri="{FF2B5EF4-FFF2-40B4-BE49-F238E27FC236}">
                    <a16:creationId xmlns:a16="http://schemas.microsoft.com/office/drawing/2014/main" id="{00000000-0008-0000-0600-00000A000000}"/>
                  </a:ext>
                </a:extLst>
              </xdr:cNvPr>
              <xdr:cNvGrpSpPr/>
            </xdr:nvGrpSpPr>
            <xdr:grpSpPr>
              <a:xfrm>
                <a:off x="12349699" y="742948"/>
                <a:ext cx="3398936" cy="2239078"/>
                <a:chOff x="13056432" y="742948"/>
                <a:chExt cx="3044838" cy="2209837"/>
              </a:xfrm>
            </xdr:grpSpPr>
            <xdr:grpSp>
              <xdr:nvGrpSpPr>
                <xdr:cNvPr id="11" name="Groupe 10">
                  <a:extLst>
                    <a:ext uri="{FF2B5EF4-FFF2-40B4-BE49-F238E27FC236}">
                      <a16:creationId xmlns:a16="http://schemas.microsoft.com/office/drawing/2014/main" id="{00000000-0008-0000-0600-00000B000000}"/>
                    </a:ext>
                  </a:extLst>
                </xdr:cNvPr>
                <xdr:cNvGrpSpPr/>
              </xdr:nvGrpSpPr>
              <xdr:grpSpPr>
                <a:xfrm>
                  <a:off x="13056432" y="866772"/>
                  <a:ext cx="3044838" cy="2086013"/>
                  <a:chOff x="1809905" y="2159781"/>
                  <a:chExt cx="2432050" cy="1146439"/>
                </a:xfrm>
              </xdr:grpSpPr>
              <xdr:grpSp>
                <xdr:nvGrpSpPr>
                  <xdr:cNvPr id="18" name="Groupe 17">
                    <a:extLst>
                      <a:ext uri="{FF2B5EF4-FFF2-40B4-BE49-F238E27FC236}">
                        <a16:creationId xmlns:a16="http://schemas.microsoft.com/office/drawing/2014/main" id="{00000000-0008-0000-0600-000012000000}"/>
                      </a:ext>
                    </a:extLst>
                  </xdr:cNvPr>
                  <xdr:cNvGrpSpPr/>
                </xdr:nvGrpSpPr>
                <xdr:grpSpPr>
                  <a:xfrm>
                    <a:off x="1809905" y="2159781"/>
                    <a:ext cx="2432050" cy="1146439"/>
                    <a:chOff x="1809905" y="2159781"/>
                    <a:chExt cx="2432050" cy="1146439"/>
                  </a:xfrm>
                </xdr:grpSpPr>
                <xdr:grpSp>
                  <xdr:nvGrpSpPr>
                    <xdr:cNvPr id="20" name="Groupe 19">
                      <a:extLst>
                        <a:ext uri="{FF2B5EF4-FFF2-40B4-BE49-F238E27FC236}">
                          <a16:creationId xmlns:a16="http://schemas.microsoft.com/office/drawing/2014/main" id="{00000000-0008-0000-0600-000014000000}"/>
                        </a:ext>
                      </a:extLst>
                    </xdr:cNvPr>
                    <xdr:cNvGrpSpPr/>
                  </xdr:nvGrpSpPr>
                  <xdr:grpSpPr>
                    <a:xfrm>
                      <a:off x="1809905" y="2159781"/>
                      <a:ext cx="2432050" cy="1146439"/>
                      <a:chOff x="1741787" y="2135823"/>
                      <a:chExt cx="4368278" cy="2427226"/>
                    </a:xfrm>
                  </xdr:grpSpPr>
                  <xdr:sp macro="" textlink="">
                    <xdr:nvSpPr>
                      <xdr:cNvPr id="22" name="Forme libre : forme 21">
                        <a:extLst>
                          <a:ext uri="{FF2B5EF4-FFF2-40B4-BE49-F238E27FC236}">
                            <a16:creationId xmlns:a16="http://schemas.microsoft.com/office/drawing/2014/main" id="{00000000-0008-0000-0600-000016000000}"/>
                          </a:ext>
                        </a:extLst>
                      </xdr:cNvPr>
                      <xdr:cNvSpPr/>
                    </xdr:nvSpPr>
                    <xdr:spPr>
                      <a:xfrm rot="12313319">
                        <a:off x="2097304" y="2647633"/>
                        <a:ext cx="2086235" cy="823107"/>
                      </a:xfrm>
                      <a:custGeom>
                        <a:avLst/>
                        <a:gdLst>
                          <a:gd name="connsiteX0" fmla="*/ 1247783 w 2085983"/>
                          <a:gd name="connsiteY0" fmla="*/ 1154 h 1030526"/>
                          <a:gd name="connsiteX1" fmla="*/ 2085983 w 2085983"/>
                          <a:gd name="connsiteY1" fmla="*/ 486929 h 1030526"/>
                          <a:gd name="connsiteX2" fmla="*/ 1247783 w 2085983"/>
                          <a:gd name="connsiteY2" fmla="*/ 1029854 h 1030526"/>
                          <a:gd name="connsiteX3" fmla="*/ 8 w 2085983"/>
                          <a:gd name="connsiteY3" fmla="*/ 372629 h 1030526"/>
                          <a:gd name="connsiteX4" fmla="*/ 1247783 w 2085983"/>
                          <a:gd name="connsiteY4" fmla="*/ 1154 h 1030526"/>
                          <a:gd name="connsiteX0" fmla="*/ 1247872 w 2086235"/>
                          <a:gd name="connsiteY0" fmla="*/ 1016 h 823107"/>
                          <a:gd name="connsiteX1" fmla="*/ 2086072 w 2086235"/>
                          <a:gd name="connsiteY1" fmla="*/ 486791 h 823107"/>
                          <a:gd name="connsiteX2" fmla="*/ 1184592 w 2086235"/>
                          <a:gd name="connsiteY2" fmla="*/ 821935 h 823107"/>
                          <a:gd name="connsiteX3" fmla="*/ 97 w 2086235"/>
                          <a:gd name="connsiteY3" fmla="*/ 372491 h 823107"/>
                          <a:gd name="connsiteX4" fmla="*/ 1247872 w 2086235"/>
                          <a:gd name="connsiteY4" fmla="*/ 1016 h 8231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86235" h="823107">
                            <a:moveTo>
                              <a:pt x="1247872" y="1016"/>
                            </a:moveTo>
                            <a:cubicBezTo>
                              <a:pt x="1595535" y="20066"/>
                              <a:pt x="2096619" y="349971"/>
                              <a:pt x="2086072" y="486791"/>
                            </a:cubicBezTo>
                            <a:cubicBezTo>
                              <a:pt x="2075525" y="623611"/>
                              <a:pt x="1532255" y="840985"/>
                              <a:pt x="1184592" y="821935"/>
                            </a:cubicBezTo>
                            <a:cubicBezTo>
                              <a:pt x="836929" y="802885"/>
                              <a:pt x="-10450" y="509311"/>
                              <a:pt x="97" y="372491"/>
                            </a:cubicBezTo>
                            <a:cubicBezTo>
                              <a:pt x="10644" y="235671"/>
                              <a:pt x="900209" y="-18034"/>
                              <a:pt x="1247872" y="1016"/>
                            </a:cubicBezTo>
                            <a:close/>
                          </a:path>
                        </a:pathLst>
                      </a:cu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800"/>
                      </a:p>
                    </xdr:txBody>
                  </xdr:sp>
                  <xdr:sp macro="" textlink="">
                    <xdr:nvSpPr>
                      <xdr:cNvPr id="23" name="Forme libre : forme 22">
                        <a:extLst>
                          <a:ext uri="{FF2B5EF4-FFF2-40B4-BE49-F238E27FC236}">
                            <a16:creationId xmlns:a16="http://schemas.microsoft.com/office/drawing/2014/main" id="{00000000-0008-0000-0600-000017000000}"/>
                          </a:ext>
                        </a:extLst>
                      </xdr:cNvPr>
                      <xdr:cNvSpPr/>
                    </xdr:nvSpPr>
                    <xdr:spPr>
                      <a:xfrm rot="12313319">
                        <a:off x="3531297" y="2647632"/>
                        <a:ext cx="2086235" cy="823106"/>
                      </a:xfrm>
                      <a:custGeom>
                        <a:avLst/>
                        <a:gdLst>
                          <a:gd name="connsiteX0" fmla="*/ 1247783 w 2085983"/>
                          <a:gd name="connsiteY0" fmla="*/ 1154 h 1030526"/>
                          <a:gd name="connsiteX1" fmla="*/ 2085983 w 2085983"/>
                          <a:gd name="connsiteY1" fmla="*/ 486929 h 1030526"/>
                          <a:gd name="connsiteX2" fmla="*/ 1247783 w 2085983"/>
                          <a:gd name="connsiteY2" fmla="*/ 1029854 h 1030526"/>
                          <a:gd name="connsiteX3" fmla="*/ 8 w 2085983"/>
                          <a:gd name="connsiteY3" fmla="*/ 372629 h 1030526"/>
                          <a:gd name="connsiteX4" fmla="*/ 1247783 w 2085983"/>
                          <a:gd name="connsiteY4" fmla="*/ 1154 h 1030526"/>
                          <a:gd name="connsiteX0" fmla="*/ 1247872 w 2086235"/>
                          <a:gd name="connsiteY0" fmla="*/ 1016 h 823107"/>
                          <a:gd name="connsiteX1" fmla="*/ 2086072 w 2086235"/>
                          <a:gd name="connsiteY1" fmla="*/ 486791 h 823107"/>
                          <a:gd name="connsiteX2" fmla="*/ 1184592 w 2086235"/>
                          <a:gd name="connsiteY2" fmla="*/ 821935 h 823107"/>
                          <a:gd name="connsiteX3" fmla="*/ 97 w 2086235"/>
                          <a:gd name="connsiteY3" fmla="*/ 372491 h 823107"/>
                          <a:gd name="connsiteX4" fmla="*/ 1247872 w 2086235"/>
                          <a:gd name="connsiteY4" fmla="*/ 1016 h 8231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86235" h="823107">
                            <a:moveTo>
                              <a:pt x="1247872" y="1016"/>
                            </a:moveTo>
                            <a:cubicBezTo>
                              <a:pt x="1595535" y="20066"/>
                              <a:pt x="2096619" y="349971"/>
                              <a:pt x="2086072" y="486791"/>
                            </a:cubicBezTo>
                            <a:cubicBezTo>
                              <a:pt x="2075525" y="623611"/>
                              <a:pt x="1532255" y="840985"/>
                              <a:pt x="1184592" y="821935"/>
                            </a:cubicBezTo>
                            <a:cubicBezTo>
                              <a:pt x="836929" y="802885"/>
                              <a:pt x="-10450" y="509311"/>
                              <a:pt x="97" y="372491"/>
                            </a:cubicBezTo>
                            <a:cubicBezTo>
                              <a:pt x="10644" y="235671"/>
                              <a:pt x="900209" y="-18034"/>
                              <a:pt x="1247872" y="1016"/>
                            </a:cubicBezTo>
                            <a:close/>
                          </a:path>
                        </a:pathLst>
                      </a:cu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800"/>
                      </a:p>
                    </xdr:txBody>
                  </xdr:sp>
                  <xdr:sp macro="" textlink="">
                    <xdr:nvSpPr>
                      <xdr:cNvPr id="24" name="Forme libre : forme 23">
                        <a:extLst>
                          <a:ext uri="{FF2B5EF4-FFF2-40B4-BE49-F238E27FC236}">
                            <a16:creationId xmlns:a16="http://schemas.microsoft.com/office/drawing/2014/main" id="{00000000-0008-0000-0600-000018000000}"/>
                          </a:ext>
                        </a:extLst>
                      </xdr:cNvPr>
                      <xdr:cNvSpPr/>
                    </xdr:nvSpPr>
                    <xdr:spPr>
                      <a:xfrm rot="12313319">
                        <a:off x="2602129" y="3667421"/>
                        <a:ext cx="2086235" cy="823106"/>
                      </a:xfrm>
                      <a:custGeom>
                        <a:avLst/>
                        <a:gdLst>
                          <a:gd name="connsiteX0" fmla="*/ 1247783 w 2085983"/>
                          <a:gd name="connsiteY0" fmla="*/ 1154 h 1030526"/>
                          <a:gd name="connsiteX1" fmla="*/ 2085983 w 2085983"/>
                          <a:gd name="connsiteY1" fmla="*/ 486929 h 1030526"/>
                          <a:gd name="connsiteX2" fmla="*/ 1247783 w 2085983"/>
                          <a:gd name="connsiteY2" fmla="*/ 1029854 h 1030526"/>
                          <a:gd name="connsiteX3" fmla="*/ 8 w 2085983"/>
                          <a:gd name="connsiteY3" fmla="*/ 372629 h 1030526"/>
                          <a:gd name="connsiteX4" fmla="*/ 1247783 w 2085983"/>
                          <a:gd name="connsiteY4" fmla="*/ 1154 h 1030526"/>
                          <a:gd name="connsiteX0" fmla="*/ 1247872 w 2086235"/>
                          <a:gd name="connsiteY0" fmla="*/ 1016 h 823107"/>
                          <a:gd name="connsiteX1" fmla="*/ 2086072 w 2086235"/>
                          <a:gd name="connsiteY1" fmla="*/ 486791 h 823107"/>
                          <a:gd name="connsiteX2" fmla="*/ 1184592 w 2086235"/>
                          <a:gd name="connsiteY2" fmla="*/ 821935 h 823107"/>
                          <a:gd name="connsiteX3" fmla="*/ 97 w 2086235"/>
                          <a:gd name="connsiteY3" fmla="*/ 372491 h 823107"/>
                          <a:gd name="connsiteX4" fmla="*/ 1247872 w 2086235"/>
                          <a:gd name="connsiteY4" fmla="*/ 1016 h 8231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86235" h="823107">
                            <a:moveTo>
                              <a:pt x="1247872" y="1016"/>
                            </a:moveTo>
                            <a:cubicBezTo>
                              <a:pt x="1595535" y="20066"/>
                              <a:pt x="2096619" y="349971"/>
                              <a:pt x="2086072" y="486791"/>
                            </a:cubicBezTo>
                            <a:cubicBezTo>
                              <a:pt x="2075525" y="623611"/>
                              <a:pt x="1532255" y="840985"/>
                              <a:pt x="1184592" y="821935"/>
                            </a:cubicBezTo>
                            <a:cubicBezTo>
                              <a:pt x="836929" y="802885"/>
                              <a:pt x="-10450" y="509311"/>
                              <a:pt x="97" y="372491"/>
                            </a:cubicBezTo>
                            <a:cubicBezTo>
                              <a:pt x="10644" y="235671"/>
                              <a:pt x="900209" y="-18034"/>
                              <a:pt x="1247872" y="1016"/>
                            </a:cubicBezTo>
                            <a:close/>
                          </a:path>
                        </a:pathLst>
                      </a:cu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800"/>
                      </a:p>
                    </xdr:txBody>
                  </xdr:sp>
                  <xdr:sp macro="" textlink="">
                    <xdr:nvSpPr>
                      <xdr:cNvPr id="25" name="Forme libre : forme 24">
                        <a:extLst>
                          <a:ext uri="{FF2B5EF4-FFF2-40B4-BE49-F238E27FC236}">
                            <a16:creationId xmlns:a16="http://schemas.microsoft.com/office/drawing/2014/main" id="{00000000-0008-0000-0600-000019000000}"/>
                          </a:ext>
                        </a:extLst>
                      </xdr:cNvPr>
                      <xdr:cNvSpPr/>
                    </xdr:nvSpPr>
                    <xdr:spPr>
                      <a:xfrm rot="12313319">
                        <a:off x="4023830" y="3659342"/>
                        <a:ext cx="2086235" cy="823106"/>
                      </a:xfrm>
                      <a:custGeom>
                        <a:avLst/>
                        <a:gdLst>
                          <a:gd name="connsiteX0" fmla="*/ 1247783 w 2085983"/>
                          <a:gd name="connsiteY0" fmla="*/ 1154 h 1030526"/>
                          <a:gd name="connsiteX1" fmla="*/ 2085983 w 2085983"/>
                          <a:gd name="connsiteY1" fmla="*/ 486929 h 1030526"/>
                          <a:gd name="connsiteX2" fmla="*/ 1247783 w 2085983"/>
                          <a:gd name="connsiteY2" fmla="*/ 1029854 h 1030526"/>
                          <a:gd name="connsiteX3" fmla="*/ 8 w 2085983"/>
                          <a:gd name="connsiteY3" fmla="*/ 372629 h 1030526"/>
                          <a:gd name="connsiteX4" fmla="*/ 1247783 w 2085983"/>
                          <a:gd name="connsiteY4" fmla="*/ 1154 h 1030526"/>
                          <a:gd name="connsiteX0" fmla="*/ 1247872 w 2086235"/>
                          <a:gd name="connsiteY0" fmla="*/ 1016 h 823107"/>
                          <a:gd name="connsiteX1" fmla="*/ 2086072 w 2086235"/>
                          <a:gd name="connsiteY1" fmla="*/ 486791 h 823107"/>
                          <a:gd name="connsiteX2" fmla="*/ 1184592 w 2086235"/>
                          <a:gd name="connsiteY2" fmla="*/ 821935 h 823107"/>
                          <a:gd name="connsiteX3" fmla="*/ 97 w 2086235"/>
                          <a:gd name="connsiteY3" fmla="*/ 372491 h 823107"/>
                          <a:gd name="connsiteX4" fmla="*/ 1247872 w 2086235"/>
                          <a:gd name="connsiteY4" fmla="*/ 1016 h 8231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86235" h="823107">
                            <a:moveTo>
                              <a:pt x="1247872" y="1016"/>
                            </a:moveTo>
                            <a:cubicBezTo>
                              <a:pt x="1595535" y="20066"/>
                              <a:pt x="2096619" y="349971"/>
                              <a:pt x="2086072" y="486791"/>
                            </a:cubicBezTo>
                            <a:cubicBezTo>
                              <a:pt x="2075525" y="623611"/>
                              <a:pt x="1532255" y="840985"/>
                              <a:pt x="1184592" y="821935"/>
                            </a:cubicBezTo>
                            <a:cubicBezTo>
                              <a:pt x="836929" y="802885"/>
                              <a:pt x="-10450" y="509311"/>
                              <a:pt x="97" y="372491"/>
                            </a:cubicBezTo>
                            <a:cubicBezTo>
                              <a:pt x="10644" y="235671"/>
                              <a:pt x="900209" y="-18034"/>
                              <a:pt x="1247872" y="1016"/>
                            </a:cubicBezTo>
                            <a:close/>
                          </a:path>
                        </a:pathLst>
                      </a:cu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800"/>
                      </a:p>
                    </xdr:txBody>
                  </xdr:sp>
                  <xdr:sp macro="" textlink="">
                    <xdr:nvSpPr>
                      <xdr:cNvPr id="26" name="Rectangle 25">
                        <a:extLst>
                          <a:ext uri="{FF2B5EF4-FFF2-40B4-BE49-F238E27FC236}">
                            <a16:creationId xmlns:a16="http://schemas.microsoft.com/office/drawing/2014/main" id="{00000000-0008-0000-0600-00001A000000}"/>
                          </a:ext>
                        </a:extLst>
                      </xdr:cNvPr>
                      <xdr:cNvSpPr/>
                    </xdr:nvSpPr>
                    <xdr:spPr>
                      <a:xfrm>
                        <a:off x="2705101" y="3542069"/>
                        <a:ext cx="1882369" cy="1008554"/>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800"/>
                      </a:p>
                    </xdr:txBody>
                  </xdr:sp>
                  <xdr:sp macro="" textlink="">
                    <xdr:nvSpPr>
                      <xdr:cNvPr id="27" name="ZoneTexte 26">
                        <a:extLst>
                          <a:ext uri="{FF2B5EF4-FFF2-40B4-BE49-F238E27FC236}">
                            <a16:creationId xmlns:a16="http://schemas.microsoft.com/office/drawing/2014/main" id="{00000000-0008-0000-0600-00001B000000}"/>
                          </a:ext>
                        </a:extLst>
                      </xdr:cNvPr>
                      <xdr:cNvSpPr txBox="1"/>
                    </xdr:nvSpPr>
                    <xdr:spPr>
                      <a:xfrm>
                        <a:off x="2544614" y="2135823"/>
                        <a:ext cx="1277748" cy="465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000" b="1"/>
                          <a:t>Lengh</a:t>
                        </a:r>
                      </a:p>
                    </xdr:txBody>
                  </xdr:sp>
                  <xdr:sp macro="" textlink="">
                    <xdr:nvSpPr>
                      <xdr:cNvPr id="28" name="ZoneTexte 27">
                        <a:extLst>
                          <a:ext uri="{FF2B5EF4-FFF2-40B4-BE49-F238E27FC236}">
                            <a16:creationId xmlns:a16="http://schemas.microsoft.com/office/drawing/2014/main" id="{00000000-0008-0000-0600-00001C000000}"/>
                          </a:ext>
                        </a:extLst>
                      </xdr:cNvPr>
                      <xdr:cNvSpPr txBox="1"/>
                    </xdr:nvSpPr>
                    <xdr:spPr>
                      <a:xfrm rot="16200000">
                        <a:off x="1412964" y="2609353"/>
                        <a:ext cx="1340201" cy="443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000" b="1"/>
                          <a:t>Width</a:t>
                        </a:r>
                      </a:p>
                    </xdr:txBody>
                  </xdr:sp>
                  <xdr:sp macro="" textlink="">
                    <xdr:nvSpPr>
                      <xdr:cNvPr id="29" name="ZoneTexte 28">
                        <a:extLst>
                          <a:ext uri="{FF2B5EF4-FFF2-40B4-BE49-F238E27FC236}">
                            <a16:creationId xmlns:a16="http://schemas.microsoft.com/office/drawing/2014/main" id="{00000000-0008-0000-0600-00001D000000}"/>
                          </a:ext>
                        </a:extLst>
                      </xdr:cNvPr>
                      <xdr:cNvSpPr txBox="1"/>
                    </xdr:nvSpPr>
                    <xdr:spPr>
                      <a:xfrm>
                        <a:off x="1741787" y="4020648"/>
                        <a:ext cx="1144370" cy="542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000" b="1"/>
                          <a:t>Offset width</a:t>
                        </a:r>
                      </a:p>
                      <a:p>
                        <a:r>
                          <a:rPr lang="fr-FR" sz="1000" b="1"/>
                          <a:t>(If needed)</a:t>
                        </a:r>
                      </a:p>
                    </xdr:txBody>
                  </xdr:sp>
                  <xdr:sp macro="" textlink="">
                    <xdr:nvSpPr>
                      <xdr:cNvPr id="30" name="Rectangle 29">
                        <a:extLst>
                          <a:ext uri="{FF2B5EF4-FFF2-40B4-BE49-F238E27FC236}">
                            <a16:creationId xmlns:a16="http://schemas.microsoft.com/office/drawing/2014/main" id="{00000000-0008-0000-0600-00001E000000}"/>
                          </a:ext>
                        </a:extLst>
                      </xdr:cNvPr>
                      <xdr:cNvSpPr/>
                    </xdr:nvSpPr>
                    <xdr:spPr>
                      <a:xfrm>
                        <a:off x="2219323" y="2516899"/>
                        <a:ext cx="1876769" cy="1026469"/>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800"/>
                      </a:p>
                    </xdr:txBody>
                  </xdr:sp>
                </xdr:grpSp>
                <xdr:cxnSp macro="">
                  <xdr:nvCxnSpPr>
                    <xdr:cNvPr id="21" name="Connecteur droit 20">
                      <a:extLst>
                        <a:ext uri="{FF2B5EF4-FFF2-40B4-BE49-F238E27FC236}">
                          <a16:creationId xmlns:a16="http://schemas.microsoft.com/office/drawing/2014/main" id="{00000000-0008-0000-0600-000015000000}"/>
                        </a:ext>
                      </a:extLst>
                    </xdr:cNvPr>
                    <xdr:cNvCxnSpPr/>
                  </xdr:nvCxnSpPr>
                  <xdr:spPr>
                    <a:xfrm>
                      <a:off x="2076450" y="2886075"/>
                      <a:ext cx="0" cy="1905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9" name="Connecteur droit avec flèche 18">
                    <a:extLst>
                      <a:ext uri="{FF2B5EF4-FFF2-40B4-BE49-F238E27FC236}">
                        <a16:creationId xmlns:a16="http://schemas.microsoft.com/office/drawing/2014/main" id="{00000000-0008-0000-0600-000013000000}"/>
                      </a:ext>
                    </a:extLst>
                  </xdr:cNvPr>
                  <xdr:cNvCxnSpPr/>
                </xdr:nvCxnSpPr>
                <xdr:spPr>
                  <a:xfrm flipV="1">
                    <a:off x="2084889" y="3009900"/>
                    <a:ext cx="239211" cy="4294"/>
                  </a:xfrm>
                  <a:prstGeom prst="straightConnector1">
                    <a:avLst/>
                  </a:prstGeom>
                  <a:ln>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12" name="Groupe 11">
                  <a:extLst>
                    <a:ext uri="{FF2B5EF4-FFF2-40B4-BE49-F238E27FC236}">
                      <a16:creationId xmlns:a16="http://schemas.microsoft.com/office/drawing/2014/main" id="{00000000-0008-0000-0600-00000C000000}"/>
                    </a:ext>
                  </a:extLst>
                </xdr:cNvPr>
                <xdr:cNvGrpSpPr/>
              </xdr:nvGrpSpPr>
              <xdr:grpSpPr>
                <a:xfrm>
                  <a:off x="14208471" y="742948"/>
                  <a:ext cx="831503" cy="682323"/>
                  <a:chOff x="14208471" y="742948"/>
                  <a:chExt cx="831503" cy="682323"/>
                </a:xfrm>
              </xdr:grpSpPr>
              <xdr:sp macro="" textlink="">
                <xdr:nvSpPr>
                  <xdr:cNvPr id="13" name="ZoneTexte 12">
                    <a:extLst>
                      <a:ext uri="{FF2B5EF4-FFF2-40B4-BE49-F238E27FC236}">
                        <a16:creationId xmlns:a16="http://schemas.microsoft.com/office/drawing/2014/main" id="{00000000-0008-0000-0600-00000D000000}"/>
                      </a:ext>
                    </a:extLst>
                  </xdr:cNvPr>
                  <xdr:cNvSpPr txBox="1"/>
                </xdr:nvSpPr>
                <xdr:spPr>
                  <a:xfrm>
                    <a:off x="14208471" y="742948"/>
                    <a:ext cx="831503" cy="389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000" b="1"/>
                      <a:t>Offset lengh</a:t>
                    </a:r>
                  </a:p>
                </xdr:txBody>
              </xdr:sp>
              <xdr:grpSp>
                <xdr:nvGrpSpPr>
                  <xdr:cNvPr id="14" name="Groupe 13">
                    <a:extLst>
                      <a:ext uri="{FF2B5EF4-FFF2-40B4-BE49-F238E27FC236}">
                        <a16:creationId xmlns:a16="http://schemas.microsoft.com/office/drawing/2014/main" id="{00000000-0008-0000-0600-00000E000000}"/>
                      </a:ext>
                    </a:extLst>
                  </xdr:cNvPr>
                  <xdr:cNvGrpSpPr/>
                </xdr:nvGrpSpPr>
                <xdr:grpSpPr>
                  <a:xfrm>
                    <a:off x="14389628" y="895350"/>
                    <a:ext cx="310769" cy="529921"/>
                    <a:chOff x="14389628" y="895350"/>
                    <a:chExt cx="310769" cy="529921"/>
                  </a:xfrm>
                </xdr:grpSpPr>
                <xdr:cxnSp macro="">
                  <xdr:nvCxnSpPr>
                    <xdr:cNvPr id="15" name="Connecteur droit 14">
                      <a:extLst>
                        <a:ext uri="{FF2B5EF4-FFF2-40B4-BE49-F238E27FC236}">
                          <a16:creationId xmlns:a16="http://schemas.microsoft.com/office/drawing/2014/main" id="{00000000-0008-0000-0600-00000F000000}"/>
                        </a:ext>
                      </a:extLst>
                    </xdr:cNvPr>
                    <xdr:cNvCxnSpPr/>
                  </xdr:nvCxnSpPr>
                  <xdr:spPr>
                    <a:xfrm flipH="1">
                      <a:off x="14694247" y="933450"/>
                      <a:ext cx="2828" cy="491821"/>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6" name="Connecteur droit 15">
                      <a:extLst>
                        <a:ext uri="{FF2B5EF4-FFF2-40B4-BE49-F238E27FC236}">
                          <a16:creationId xmlns:a16="http://schemas.microsoft.com/office/drawing/2014/main" id="{00000000-0008-0000-0600-000010000000}"/>
                        </a:ext>
                      </a:extLst>
                    </xdr:cNvPr>
                    <xdr:cNvCxnSpPr/>
                  </xdr:nvCxnSpPr>
                  <xdr:spPr>
                    <a:xfrm flipH="1">
                      <a:off x="14389628" y="895350"/>
                      <a:ext cx="2828" cy="491821"/>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 name="Connecteur droit avec flèche 16">
                      <a:extLst>
                        <a:ext uri="{FF2B5EF4-FFF2-40B4-BE49-F238E27FC236}">
                          <a16:creationId xmlns:a16="http://schemas.microsoft.com/office/drawing/2014/main" id="{00000000-0008-0000-0600-000011000000}"/>
                        </a:ext>
                      </a:extLst>
                    </xdr:cNvPr>
                    <xdr:cNvCxnSpPr/>
                  </xdr:nvCxnSpPr>
                  <xdr:spPr>
                    <a:xfrm flipV="1">
                      <a:off x="14398477" y="971548"/>
                      <a:ext cx="301920" cy="2095"/>
                    </a:xfrm>
                    <a:prstGeom prst="straightConnector1">
                      <a:avLst/>
                    </a:prstGeom>
                    <a:ln>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grpSp>
            </xdr:grpSp>
          </xdr:grpSp>
        </xdr:grpSp>
        <xdr:cxnSp macro="">
          <xdr:nvCxnSpPr>
            <xdr:cNvPr id="6" name="Connecteur droit avec flèche 5">
              <a:extLst>
                <a:ext uri="{FF2B5EF4-FFF2-40B4-BE49-F238E27FC236}">
                  <a16:creationId xmlns:a16="http://schemas.microsoft.com/office/drawing/2014/main" id="{00000000-0008-0000-0600-000006000000}"/>
                </a:ext>
              </a:extLst>
            </xdr:cNvPr>
            <xdr:cNvCxnSpPr/>
          </xdr:nvCxnSpPr>
          <xdr:spPr>
            <a:xfrm>
              <a:off x="15373350" y="1190625"/>
              <a:ext cx="15261" cy="867808"/>
            </a:xfrm>
            <a:prstGeom prst="straightConnector1">
              <a:avLst/>
            </a:prstGeom>
            <a:ln>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Connecteur droit 6">
              <a:extLst>
                <a:ext uri="{FF2B5EF4-FFF2-40B4-BE49-F238E27FC236}">
                  <a16:creationId xmlns:a16="http://schemas.microsoft.com/office/drawing/2014/main" id="{00000000-0008-0000-0600-000007000000}"/>
                </a:ext>
              </a:extLst>
            </xdr:cNvPr>
            <xdr:cNvCxnSpPr/>
          </xdr:nvCxnSpPr>
          <xdr:spPr>
            <a:xfrm>
              <a:off x="14125575" y="2064316"/>
              <a:ext cx="135255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8" name="ZoneTexte 7">
              <a:extLst>
                <a:ext uri="{FF2B5EF4-FFF2-40B4-BE49-F238E27FC236}">
                  <a16:creationId xmlns:a16="http://schemas.microsoft.com/office/drawing/2014/main" id="{00000000-0008-0000-0600-000008000000}"/>
                </a:ext>
              </a:extLst>
            </xdr:cNvPr>
            <xdr:cNvSpPr txBox="1"/>
          </xdr:nvSpPr>
          <xdr:spPr>
            <a:xfrm>
              <a:off x="14045141" y="990598"/>
              <a:ext cx="1413934" cy="389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fr-FR" sz="1000" b="1"/>
                <a:t>Distance between 2 lines (if needed)</a:t>
              </a:r>
            </a:p>
          </xdr:txBody>
        </xdr:sp>
      </xdr:grpSp>
      <xdr:cxnSp macro="">
        <xdr:nvCxnSpPr>
          <xdr:cNvPr id="4" name="Connecteur droit 3">
            <a:extLst>
              <a:ext uri="{FF2B5EF4-FFF2-40B4-BE49-F238E27FC236}">
                <a16:creationId xmlns:a16="http://schemas.microsoft.com/office/drawing/2014/main" id="{00000000-0008-0000-0600-000004000000}"/>
              </a:ext>
            </a:extLst>
          </xdr:cNvPr>
          <xdr:cNvCxnSpPr/>
        </xdr:nvCxnSpPr>
        <xdr:spPr>
          <a:xfrm>
            <a:off x="14201775" y="1181100"/>
            <a:ext cx="135255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563881</xdr:colOff>
      <xdr:row>17</xdr:row>
      <xdr:rowOff>50800</xdr:rowOff>
    </xdr:from>
    <xdr:to>
      <xdr:col>5</xdr:col>
      <xdr:colOff>677333</xdr:colOff>
      <xdr:row>18</xdr:row>
      <xdr:rowOff>152400</xdr:rowOff>
    </xdr:to>
    <xdr:sp macro="" textlink="">
      <xdr:nvSpPr>
        <xdr:cNvPr id="33" name="Accolade fermante 32">
          <a:extLst>
            <a:ext uri="{FF2B5EF4-FFF2-40B4-BE49-F238E27FC236}">
              <a16:creationId xmlns:a16="http://schemas.microsoft.com/office/drawing/2014/main" id="{00000000-0008-0000-0600-000021000000}"/>
            </a:ext>
          </a:extLst>
        </xdr:cNvPr>
        <xdr:cNvSpPr/>
      </xdr:nvSpPr>
      <xdr:spPr>
        <a:xfrm>
          <a:off x="4709161" y="2527300"/>
          <a:ext cx="113452" cy="284480"/>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5</xdr:col>
      <xdr:colOff>660400</xdr:colOff>
      <xdr:row>18</xdr:row>
      <xdr:rowOff>8468</xdr:rowOff>
    </xdr:from>
    <xdr:to>
      <xdr:col>5</xdr:col>
      <xdr:colOff>677333</xdr:colOff>
      <xdr:row>21</xdr:row>
      <xdr:rowOff>84668</xdr:rowOff>
    </xdr:to>
    <xdr:cxnSp macro="">
      <xdr:nvCxnSpPr>
        <xdr:cNvPr id="34" name="Connecteur : en angle 33">
          <a:extLst>
            <a:ext uri="{FF2B5EF4-FFF2-40B4-BE49-F238E27FC236}">
              <a16:creationId xmlns:a16="http://schemas.microsoft.com/office/drawing/2014/main" id="{00000000-0008-0000-0600-000022000000}"/>
            </a:ext>
          </a:extLst>
        </xdr:cNvPr>
        <xdr:cNvCxnSpPr>
          <a:endCxn id="33" idx="1"/>
        </xdr:cNvCxnSpPr>
      </xdr:nvCxnSpPr>
      <xdr:spPr>
        <a:xfrm rot="5400000" flipH="1" flipV="1">
          <a:off x="4497917" y="2975611"/>
          <a:ext cx="632460" cy="16933"/>
        </a:xfrm>
        <a:prstGeom prst="bentConnector4">
          <a:avLst>
            <a:gd name="adj1" fmla="val 658"/>
            <a:gd name="adj2" fmla="val 980027"/>
          </a:avLst>
        </a:prstGeom>
        <a:ln>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524933</xdr:colOff>
      <xdr:row>19</xdr:row>
      <xdr:rowOff>8467</xdr:rowOff>
    </xdr:from>
    <xdr:to>
      <xdr:col>5</xdr:col>
      <xdr:colOff>905933</xdr:colOff>
      <xdr:row>21</xdr:row>
      <xdr:rowOff>1</xdr:rowOff>
    </xdr:to>
    <xdr:sp macro="" textlink="">
      <xdr:nvSpPr>
        <xdr:cNvPr id="35" name="ZoneTexte 34">
          <a:extLst>
            <a:ext uri="{FF2B5EF4-FFF2-40B4-BE49-F238E27FC236}">
              <a16:creationId xmlns:a16="http://schemas.microsoft.com/office/drawing/2014/main" id="{00000000-0008-0000-0600-000023000000}"/>
            </a:ext>
          </a:extLst>
        </xdr:cNvPr>
        <xdr:cNvSpPr txBox="1"/>
      </xdr:nvSpPr>
      <xdr:spPr>
        <a:xfrm>
          <a:off x="4670213" y="2858347"/>
          <a:ext cx="381000" cy="3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rgbClr val="0070C0"/>
              </a:solidFill>
            </a:rPr>
            <a:t>OR</a:t>
          </a:r>
        </a:p>
      </xdr:txBody>
    </xdr:sp>
    <xdr:clientData/>
  </xdr:twoCellAnchor>
  <xdr:twoCellAnchor>
    <xdr:from>
      <xdr:col>14</xdr:col>
      <xdr:colOff>10886</xdr:colOff>
      <xdr:row>19</xdr:row>
      <xdr:rowOff>21772</xdr:rowOff>
    </xdr:from>
    <xdr:to>
      <xdr:col>14</xdr:col>
      <xdr:colOff>903515</xdr:colOff>
      <xdr:row>30</xdr:row>
      <xdr:rowOff>10886</xdr:rowOff>
    </xdr:to>
    <xdr:cxnSp macro="">
      <xdr:nvCxnSpPr>
        <xdr:cNvPr id="36" name="Connecteur droit 35">
          <a:extLst>
            <a:ext uri="{FF2B5EF4-FFF2-40B4-BE49-F238E27FC236}">
              <a16:creationId xmlns:a16="http://schemas.microsoft.com/office/drawing/2014/main" id="{00000000-0008-0000-0600-000024000000}"/>
            </a:ext>
          </a:extLst>
        </xdr:cNvPr>
        <xdr:cNvCxnSpPr/>
      </xdr:nvCxnSpPr>
      <xdr:spPr>
        <a:xfrm>
          <a:off x="12096206" y="2871652"/>
          <a:ext cx="892629" cy="2061754"/>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10886</xdr:colOff>
      <xdr:row>19</xdr:row>
      <xdr:rowOff>32657</xdr:rowOff>
    </xdr:from>
    <xdr:to>
      <xdr:col>14</xdr:col>
      <xdr:colOff>892629</xdr:colOff>
      <xdr:row>30</xdr:row>
      <xdr:rowOff>21771</xdr:rowOff>
    </xdr:to>
    <xdr:cxnSp macro="">
      <xdr:nvCxnSpPr>
        <xdr:cNvPr id="37" name="Connecteur droit 36">
          <a:extLst>
            <a:ext uri="{FF2B5EF4-FFF2-40B4-BE49-F238E27FC236}">
              <a16:creationId xmlns:a16="http://schemas.microsoft.com/office/drawing/2014/main" id="{00000000-0008-0000-0600-000025000000}"/>
            </a:ext>
          </a:extLst>
        </xdr:cNvPr>
        <xdr:cNvCxnSpPr/>
      </xdr:nvCxnSpPr>
      <xdr:spPr>
        <a:xfrm flipH="1">
          <a:off x="12096206" y="2882537"/>
          <a:ext cx="881743" cy="2061754"/>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177800</xdr:colOff>
      <xdr:row>6</xdr:row>
      <xdr:rowOff>76200</xdr:rowOff>
    </xdr:from>
    <xdr:to>
      <xdr:col>8</xdr:col>
      <xdr:colOff>774700</xdr:colOff>
      <xdr:row>34</xdr:row>
      <xdr:rowOff>76200</xdr:rowOff>
    </xdr:to>
    <xdr:sp macro="" textlink="">
      <xdr:nvSpPr>
        <xdr:cNvPr id="38" name="Flèche : bas 37">
          <a:extLst>
            <a:ext uri="{FF2B5EF4-FFF2-40B4-BE49-F238E27FC236}">
              <a16:creationId xmlns:a16="http://schemas.microsoft.com/office/drawing/2014/main" id="{00000000-0008-0000-0600-000026000000}"/>
            </a:ext>
          </a:extLst>
        </xdr:cNvPr>
        <xdr:cNvSpPr/>
      </xdr:nvSpPr>
      <xdr:spPr>
        <a:xfrm>
          <a:off x="6731000" y="1219200"/>
          <a:ext cx="596900" cy="5194300"/>
        </a:xfrm>
        <a:prstGeom prst="downArrow">
          <a:avLst>
            <a:gd name="adj1" fmla="val 15957"/>
            <a:gd name="adj2" fmla="val 50000"/>
          </a:avLst>
        </a:prstGeom>
        <a:ln>
          <a:prstDash val="dash"/>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173355</xdr:colOff>
      <xdr:row>0</xdr:row>
      <xdr:rowOff>57150</xdr:rowOff>
    </xdr:from>
    <xdr:to>
      <xdr:col>9</xdr:col>
      <xdr:colOff>361950</xdr:colOff>
      <xdr:row>3</xdr:row>
      <xdr:rowOff>114300</xdr:rowOff>
    </xdr:to>
    <xdr:sp macro="[0]!caculprix" textlink="">
      <xdr:nvSpPr>
        <xdr:cNvPr id="2" name="Rectangle 1">
          <a:extLst>
            <a:ext uri="{FF2B5EF4-FFF2-40B4-BE49-F238E27FC236}">
              <a16:creationId xmlns:a16="http://schemas.microsoft.com/office/drawing/2014/main" id="{00000000-0008-0000-0900-000002000000}"/>
            </a:ext>
          </a:extLst>
        </xdr:cNvPr>
        <xdr:cNvSpPr/>
      </xdr:nvSpPr>
      <xdr:spPr>
        <a:xfrm>
          <a:off x="8050530" y="57150"/>
          <a:ext cx="979170" cy="609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Price calculation</a:t>
          </a:r>
        </a:p>
      </xdr:txBody>
    </xdr:sp>
    <xdr:clientData/>
  </xdr:twoCellAnchor>
  <xdr:twoCellAnchor>
    <xdr:from>
      <xdr:col>9</xdr:col>
      <xdr:colOff>32807</xdr:colOff>
      <xdr:row>9</xdr:row>
      <xdr:rowOff>9525</xdr:rowOff>
    </xdr:from>
    <xdr:to>
      <xdr:col>19</xdr:col>
      <xdr:colOff>9524</xdr:colOff>
      <xdr:row>23</xdr:row>
      <xdr:rowOff>47625</xdr:rowOff>
    </xdr:to>
    <xdr:graphicFrame macro="">
      <xdr:nvGraphicFramePr>
        <xdr:cNvPr id="4" name="Graphique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624840</xdr:colOff>
          <xdr:row>0</xdr:row>
          <xdr:rowOff>76200</xdr:rowOff>
        </xdr:from>
        <xdr:to>
          <xdr:col>11</xdr:col>
          <xdr:colOff>548640</xdr:colOff>
          <xdr:row>3</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900-00000B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FR" sz="1600" b="1" i="0" u="none" strike="noStrike" baseline="0">
                  <a:solidFill>
                    <a:srgbClr val="000000"/>
                  </a:solidFill>
                  <a:latin typeface="Calibri"/>
                  <a:ea typeface="Calibri"/>
                  <a:cs typeface="Calibri"/>
                </a:rPr>
                <a:t>Export to database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256567</xdr:colOff>
      <xdr:row>1</xdr:row>
      <xdr:rowOff>118532</xdr:rowOff>
    </xdr:from>
    <xdr:to>
      <xdr:col>7</xdr:col>
      <xdr:colOff>630767</xdr:colOff>
      <xdr:row>4</xdr:row>
      <xdr:rowOff>152399</xdr:rowOff>
    </xdr:to>
    <xdr:pic>
      <xdr:nvPicPr>
        <xdr:cNvPr id="2" name="Grafik 1" descr="AVO Carbon">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33592" y="118532"/>
          <a:ext cx="3336475" cy="576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257175</xdr:colOff>
      <xdr:row>7</xdr:row>
      <xdr:rowOff>47625</xdr:rowOff>
    </xdr:from>
    <xdr:to>
      <xdr:col>15</xdr:col>
      <xdr:colOff>942975</xdr:colOff>
      <xdr:row>31</xdr:row>
      <xdr:rowOff>95250</xdr:rowOff>
    </xdr:to>
    <xdr:cxnSp macro="">
      <xdr:nvCxnSpPr>
        <xdr:cNvPr id="3" name="Connecteur droit 2">
          <a:extLst>
            <a:ext uri="{FF2B5EF4-FFF2-40B4-BE49-F238E27FC236}">
              <a16:creationId xmlns:a16="http://schemas.microsoft.com/office/drawing/2014/main" id="{00000000-0008-0000-0D00-000003000000}"/>
            </a:ext>
          </a:extLst>
        </xdr:cNvPr>
        <xdr:cNvCxnSpPr/>
      </xdr:nvCxnSpPr>
      <xdr:spPr>
        <a:xfrm>
          <a:off x="9315450" y="1352550"/>
          <a:ext cx="7124700" cy="4457700"/>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twoCellAnchor>
    <xdr:from>
      <xdr:col>9</xdr:col>
      <xdr:colOff>209550</xdr:colOff>
      <xdr:row>7</xdr:row>
      <xdr:rowOff>114300</xdr:rowOff>
    </xdr:from>
    <xdr:to>
      <xdr:col>15</xdr:col>
      <xdr:colOff>819150</xdr:colOff>
      <xdr:row>31</xdr:row>
      <xdr:rowOff>47625</xdr:rowOff>
    </xdr:to>
    <xdr:cxnSp macro="">
      <xdr:nvCxnSpPr>
        <xdr:cNvPr id="4" name="Connecteur droit 3">
          <a:extLst>
            <a:ext uri="{FF2B5EF4-FFF2-40B4-BE49-F238E27FC236}">
              <a16:creationId xmlns:a16="http://schemas.microsoft.com/office/drawing/2014/main" id="{00000000-0008-0000-0D00-000004000000}"/>
            </a:ext>
          </a:extLst>
        </xdr:cNvPr>
        <xdr:cNvCxnSpPr/>
      </xdr:nvCxnSpPr>
      <xdr:spPr>
        <a:xfrm flipH="1">
          <a:off x="9267825" y="1419225"/>
          <a:ext cx="7048500" cy="4343400"/>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264416</xdr:colOff>
      <xdr:row>12</xdr:row>
      <xdr:rowOff>161210</xdr:rowOff>
    </xdr:from>
    <xdr:to>
      <xdr:col>1</xdr:col>
      <xdr:colOff>85602</xdr:colOff>
      <xdr:row>14</xdr:row>
      <xdr:rowOff>116060</xdr:rowOff>
    </xdr:to>
    <xdr:sp macro="" textlink="">
      <xdr:nvSpPr>
        <xdr:cNvPr id="2" name="ZoneTexte 1">
          <a:extLst>
            <a:ext uri="{FF2B5EF4-FFF2-40B4-BE49-F238E27FC236}">
              <a16:creationId xmlns:a16="http://schemas.microsoft.com/office/drawing/2014/main" id="{00000000-0008-0000-1100-000002000000}"/>
            </a:ext>
          </a:extLst>
        </xdr:cNvPr>
        <xdr:cNvSpPr txBox="1"/>
      </xdr:nvSpPr>
      <xdr:spPr>
        <a:xfrm>
          <a:off x="264416" y="2355770"/>
          <a:ext cx="606046" cy="320610"/>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800" b="1"/>
            <a:t>OP</a:t>
          </a:r>
          <a:r>
            <a:rPr lang="fr-FR" sz="1800" b="1" baseline="0"/>
            <a:t> </a:t>
          </a:r>
          <a:r>
            <a:rPr lang="fr-FR" sz="1800" b="1"/>
            <a:t>10</a:t>
          </a:r>
        </a:p>
      </xdr:txBody>
    </xdr:sp>
    <xdr:clientData/>
  </xdr:twoCellAnchor>
  <xdr:twoCellAnchor>
    <xdr:from>
      <xdr:col>8</xdr:col>
      <xdr:colOff>496898</xdr:colOff>
      <xdr:row>8</xdr:row>
      <xdr:rowOff>2079</xdr:rowOff>
    </xdr:from>
    <xdr:to>
      <xdr:col>8</xdr:col>
      <xdr:colOff>1072935</xdr:colOff>
      <xdr:row>10</xdr:row>
      <xdr:rowOff>17319</xdr:rowOff>
    </xdr:to>
    <xdr:grpSp>
      <xdr:nvGrpSpPr>
        <xdr:cNvPr id="3" name="Groupe 2">
          <a:extLst>
            <a:ext uri="{FF2B5EF4-FFF2-40B4-BE49-F238E27FC236}">
              <a16:creationId xmlns:a16="http://schemas.microsoft.com/office/drawing/2014/main" id="{00000000-0008-0000-1100-000003000000}"/>
            </a:ext>
          </a:extLst>
        </xdr:cNvPr>
        <xdr:cNvGrpSpPr/>
      </xdr:nvGrpSpPr>
      <xdr:grpSpPr>
        <a:xfrm>
          <a:off x="12566434" y="1689365"/>
          <a:ext cx="577942" cy="372835"/>
          <a:chOff x="8498205" y="1223011"/>
          <a:chExt cx="506896" cy="400050"/>
        </a:xfrm>
      </xdr:grpSpPr>
      <xdr:sp macro="" textlink="">
        <xdr:nvSpPr>
          <xdr:cNvPr id="4" name="Rectangle 3">
            <a:extLst>
              <a:ext uri="{FF2B5EF4-FFF2-40B4-BE49-F238E27FC236}">
                <a16:creationId xmlns:a16="http://schemas.microsoft.com/office/drawing/2014/main" id="{00000000-0008-0000-1100-000004000000}"/>
              </a:ext>
            </a:extLst>
          </xdr:cNvPr>
          <xdr:cNvSpPr/>
        </xdr:nvSpPr>
        <xdr:spPr>
          <a:xfrm>
            <a:off x="8498205" y="1223011"/>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5" name="Rectangle à coins arrondis 591">
            <a:extLst>
              <a:ext uri="{FF2B5EF4-FFF2-40B4-BE49-F238E27FC236}">
                <a16:creationId xmlns:a16="http://schemas.microsoft.com/office/drawing/2014/main" id="{00000000-0008-0000-1100-000005000000}"/>
              </a:ext>
            </a:extLst>
          </xdr:cNvPr>
          <xdr:cNvSpPr/>
        </xdr:nvSpPr>
        <xdr:spPr>
          <a:xfrm>
            <a:off x="8552221" y="1232120"/>
            <a:ext cx="384073" cy="28425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6" name="Rectangle à coins arrondis 592">
            <a:extLst>
              <a:ext uri="{FF2B5EF4-FFF2-40B4-BE49-F238E27FC236}">
                <a16:creationId xmlns:a16="http://schemas.microsoft.com/office/drawing/2014/main" id="{00000000-0008-0000-1100-000006000000}"/>
              </a:ext>
            </a:extLst>
          </xdr:cNvPr>
          <xdr:cNvSpPr/>
        </xdr:nvSpPr>
        <xdr:spPr>
          <a:xfrm>
            <a:off x="8611472" y="1271352"/>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7" name="Rectangle à coins arrondis 593">
            <a:extLst>
              <a:ext uri="{FF2B5EF4-FFF2-40B4-BE49-F238E27FC236}">
                <a16:creationId xmlns:a16="http://schemas.microsoft.com/office/drawing/2014/main" id="{00000000-0008-0000-1100-000007000000}"/>
              </a:ext>
            </a:extLst>
          </xdr:cNvPr>
          <xdr:cNvSpPr/>
        </xdr:nvSpPr>
        <xdr:spPr>
          <a:xfrm>
            <a:off x="8816106" y="1273975"/>
            <a:ext cx="45719" cy="195534"/>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8" name="Rectangle à coins arrondis 594">
            <a:extLst>
              <a:ext uri="{FF2B5EF4-FFF2-40B4-BE49-F238E27FC236}">
                <a16:creationId xmlns:a16="http://schemas.microsoft.com/office/drawing/2014/main" id="{00000000-0008-0000-1100-000008000000}"/>
              </a:ext>
            </a:extLst>
          </xdr:cNvPr>
          <xdr:cNvSpPr/>
        </xdr:nvSpPr>
        <xdr:spPr>
          <a:xfrm rot="5400000">
            <a:off x="8681466" y="1239251"/>
            <a:ext cx="109152" cy="19087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9" name="Rectangle à coins arrondis 595">
            <a:extLst>
              <a:ext uri="{FF2B5EF4-FFF2-40B4-BE49-F238E27FC236}">
                <a16:creationId xmlns:a16="http://schemas.microsoft.com/office/drawing/2014/main" id="{00000000-0008-0000-1100-000009000000}"/>
              </a:ext>
            </a:extLst>
          </xdr:cNvPr>
          <xdr:cNvSpPr/>
        </xdr:nvSpPr>
        <xdr:spPr>
          <a:xfrm>
            <a:off x="8866549" y="1271504"/>
            <a:ext cx="45719" cy="85301"/>
          </a:xfrm>
          <a:prstGeom prst="roundRect">
            <a:avLst/>
          </a:prstGeom>
          <a:solidFill>
            <a:srgbClr val="FF0000"/>
          </a:solidFill>
          <a:ln w="3175">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endParaRPr lang="fr-FR" sz="1100"/>
          </a:p>
        </xdr:txBody>
      </xdr:sp>
      <xdr:sp macro="" textlink="">
        <xdr:nvSpPr>
          <xdr:cNvPr id="10" name="Ellipse 9">
            <a:extLst>
              <a:ext uri="{FF2B5EF4-FFF2-40B4-BE49-F238E27FC236}">
                <a16:creationId xmlns:a16="http://schemas.microsoft.com/office/drawing/2014/main" id="{00000000-0008-0000-1100-00000A000000}"/>
              </a:ext>
            </a:extLst>
          </xdr:cNvPr>
          <xdr:cNvSpPr/>
        </xdr:nvSpPr>
        <xdr:spPr>
          <a:xfrm>
            <a:off x="8715747" y="1397677"/>
            <a:ext cx="45719" cy="45719"/>
          </a:xfrm>
          <a:prstGeom prst="ellipse">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clientData/>
  </xdr:twoCellAnchor>
  <xdr:twoCellAnchor>
    <xdr:from>
      <xdr:col>8</xdr:col>
      <xdr:colOff>518567</xdr:colOff>
      <xdr:row>13</xdr:row>
      <xdr:rowOff>10101</xdr:rowOff>
    </xdr:from>
    <xdr:to>
      <xdr:col>8</xdr:col>
      <xdr:colOff>1092699</xdr:colOff>
      <xdr:row>15</xdr:row>
      <xdr:rowOff>25155</xdr:rowOff>
    </xdr:to>
    <xdr:sp macro="" textlink="">
      <xdr:nvSpPr>
        <xdr:cNvPr id="11" name="Rectangle 10">
          <a:extLst>
            <a:ext uri="{FF2B5EF4-FFF2-40B4-BE49-F238E27FC236}">
              <a16:creationId xmlns:a16="http://schemas.microsoft.com/office/drawing/2014/main" id="{00000000-0008-0000-1100-00000B000000}"/>
            </a:ext>
          </a:extLst>
        </xdr:cNvPr>
        <xdr:cNvSpPr/>
      </xdr:nvSpPr>
      <xdr:spPr>
        <a:xfrm>
          <a:off x="6797447" y="2387541"/>
          <a:ext cx="269332" cy="380814"/>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clientData/>
  </xdr:twoCellAnchor>
  <xdr:twoCellAnchor>
    <xdr:from>
      <xdr:col>8</xdr:col>
      <xdr:colOff>1171485</xdr:colOff>
      <xdr:row>5</xdr:row>
      <xdr:rowOff>114446</xdr:rowOff>
    </xdr:from>
    <xdr:to>
      <xdr:col>10</xdr:col>
      <xdr:colOff>347382</xdr:colOff>
      <xdr:row>7</xdr:row>
      <xdr:rowOff>19196</xdr:rowOff>
    </xdr:to>
    <xdr:sp macro="" textlink="">
      <xdr:nvSpPr>
        <xdr:cNvPr id="12" name="ZoneTexte 11">
          <a:extLst>
            <a:ext uri="{FF2B5EF4-FFF2-40B4-BE49-F238E27FC236}">
              <a16:creationId xmlns:a16="http://schemas.microsoft.com/office/drawing/2014/main" id="{00000000-0008-0000-1100-00000C000000}"/>
            </a:ext>
          </a:extLst>
        </xdr:cNvPr>
        <xdr:cNvSpPr txBox="1"/>
      </xdr:nvSpPr>
      <xdr:spPr>
        <a:xfrm>
          <a:off x="7061745" y="1028846"/>
          <a:ext cx="1134237" cy="270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100"/>
            <a:t>Electrical Welder</a:t>
          </a:r>
        </a:p>
      </xdr:txBody>
    </xdr:sp>
    <xdr:clientData/>
  </xdr:twoCellAnchor>
  <xdr:twoCellAnchor>
    <xdr:from>
      <xdr:col>8</xdr:col>
      <xdr:colOff>1221308</xdr:colOff>
      <xdr:row>8</xdr:row>
      <xdr:rowOff>6741</xdr:rowOff>
    </xdr:from>
    <xdr:to>
      <xdr:col>10</xdr:col>
      <xdr:colOff>347382</xdr:colOff>
      <xdr:row>9</xdr:row>
      <xdr:rowOff>101991</xdr:rowOff>
    </xdr:to>
    <xdr:sp macro="" textlink="">
      <xdr:nvSpPr>
        <xdr:cNvPr id="13" name="ZoneTexte 12">
          <a:extLst>
            <a:ext uri="{FF2B5EF4-FFF2-40B4-BE49-F238E27FC236}">
              <a16:creationId xmlns:a16="http://schemas.microsoft.com/office/drawing/2014/main" id="{00000000-0008-0000-1100-00000D000000}"/>
            </a:ext>
          </a:extLst>
        </xdr:cNvPr>
        <xdr:cNvSpPr txBox="1"/>
      </xdr:nvSpPr>
      <xdr:spPr>
        <a:xfrm>
          <a:off x="7065848" y="1469781"/>
          <a:ext cx="1130134" cy="2781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100"/>
            <a:t>Press</a:t>
          </a:r>
        </a:p>
      </xdr:txBody>
    </xdr:sp>
    <xdr:clientData/>
  </xdr:twoCellAnchor>
  <xdr:twoCellAnchor>
    <xdr:from>
      <xdr:col>8</xdr:col>
      <xdr:colOff>1234496</xdr:colOff>
      <xdr:row>10</xdr:row>
      <xdr:rowOff>77630</xdr:rowOff>
    </xdr:from>
    <xdr:to>
      <xdr:col>10</xdr:col>
      <xdr:colOff>347382</xdr:colOff>
      <xdr:row>11</xdr:row>
      <xdr:rowOff>172880</xdr:rowOff>
    </xdr:to>
    <xdr:sp macro="" textlink="">
      <xdr:nvSpPr>
        <xdr:cNvPr id="14" name="ZoneTexte 13">
          <a:extLst>
            <a:ext uri="{FF2B5EF4-FFF2-40B4-BE49-F238E27FC236}">
              <a16:creationId xmlns:a16="http://schemas.microsoft.com/office/drawing/2014/main" id="{00000000-0008-0000-1100-00000E000000}"/>
            </a:ext>
          </a:extLst>
        </xdr:cNvPr>
        <xdr:cNvSpPr txBox="1"/>
      </xdr:nvSpPr>
      <xdr:spPr>
        <a:xfrm>
          <a:off x="7063796" y="1906430"/>
          <a:ext cx="1132186" cy="2781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100"/>
            <a:t>Tester</a:t>
          </a:r>
        </a:p>
      </xdr:txBody>
    </xdr:sp>
    <xdr:clientData/>
  </xdr:twoCellAnchor>
  <xdr:twoCellAnchor>
    <xdr:from>
      <xdr:col>8</xdr:col>
      <xdr:colOff>1255012</xdr:colOff>
      <xdr:row>12</xdr:row>
      <xdr:rowOff>186985</xdr:rowOff>
    </xdr:from>
    <xdr:to>
      <xdr:col>10</xdr:col>
      <xdr:colOff>347382</xdr:colOff>
      <xdr:row>14</xdr:row>
      <xdr:rowOff>91735</xdr:rowOff>
    </xdr:to>
    <xdr:sp macro="" textlink="">
      <xdr:nvSpPr>
        <xdr:cNvPr id="15" name="ZoneTexte 14">
          <a:extLst>
            <a:ext uri="{FF2B5EF4-FFF2-40B4-BE49-F238E27FC236}">
              <a16:creationId xmlns:a16="http://schemas.microsoft.com/office/drawing/2014/main" id="{00000000-0008-0000-1100-00000F000000}"/>
            </a:ext>
          </a:extLst>
        </xdr:cNvPr>
        <xdr:cNvSpPr txBox="1"/>
      </xdr:nvSpPr>
      <xdr:spPr>
        <a:xfrm>
          <a:off x="7061452" y="2373925"/>
          <a:ext cx="1134530" cy="2781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100"/>
            <a:t>Manual Operation</a:t>
          </a:r>
        </a:p>
      </xdr:txBody>
    </xdr:sp>
    <xdr:clientData/>
  </xdr:twoCellAnchor>
  <xdr:twoCellAnchor>
    <xdr:from>
      <xdr:col>8</xdr:col>
      <xdr:colOff>550561</xdr:colOff>
      <xdr:row>26</xdr:row>
      <xdr:rowOff>106702</xdr:rowOff>
    </xdr:from>
    <xdr:to>
      <xdr:col>8</xdr:col>
      <xdr:colOff>936089</xdr:colOff>
      <xdr:row>28</xdr:row>
      <xdr:rowOff>121261</xdr:rowOff>
    </xdr:to>
    <xdr:grpSp>
      <xdr:nvGrpSpPr>
        <xdr:cNvPr id="16" name="Groupe 15">
          <a:extLst>
            <a:ext uri="{FF2B5EF4-FFF2-40B4-BE49-F238E27FC236}">
              <a16:creationId xmlns:a16="http://schemas.microsoft.com/office/drawing/2014/main" id="{00000000-0008-0000-1100-000010000000}"/>
            </a:ext>
          </a:extLst>
        </xdr:cNvPr>
        <xdr:cNvGrpSpPr/>
      </xdr:nvGrpSpPr>
      <xdr:grpSpPr>
        <a:xfrm>
          <a:off x="12623907" y="5003368"/>
          <a:ext cx="377908" cy="372155"/>
          <a:chOff x="7998851" y="1668301"/>
          <a:chExt cx="385528" cy="400820"/>
        </a:xfrm>
      </xdr:grpSpPr>
      <xdr:sp macro="" textlink="">
        <xdr:nvSpPr>
          <xdr:cNvPr id="17" name="Parenthèse fermante 16">
            <a:extLst>
              <a:ext uri="{FF2B5EF4-FFF2-40B4-BE49-F238E27FC236}">
                <a16:creationId xmlns:a16="http://schemas.microsoft.com/office/drawing/2014/main" id="{00000000-0008-0000-1100-000011000000}"/>
              </a:ext>
            </a:extLst>
          </xdr:cNvPr>
          <xdr:cNvSpPr/>
        </xdr:nvSpPr>
        <xdr:spPr>
          <a:xfrm rot="5400000">
            <a:off x="8116617" y="1731056"/>
            <a:ext cx="147462" cy="345890"/>
          </a:xfrm>
          <a:prstGeom prst="rightBracket">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fr-FR" sz="1100">
              <a:solidFill>
                <a:srgbClr val="FF0000"/>
              </a:solidFill>
            </a:endParaRPr>
          </a:p>
        </xdr:txBody>
      </xdr:sp>
      <xdr:sp macro="" textlink="">
        <xdr:nvSpPr>
          <xdr:cNvPr id="18" name="Secteurs 615">
            <a:extLst>
              <a:ext uri="{FF2B5EF4-FFF2-40B4-BE49-F238E27FC236}">
                <a16:creationId xmlns:a16="http://schemas.microsoft.com/office/drawing/2014/main" id="{00000000-0008-0000-1100-000012000000}"/>
              </a:ext>
            </a:extLst>
          </xdr:cNvPr>
          <xdr:cNvSpPr/>
        </xdr:nvSpPr>
        <xdr:spPr>
          <a:xfrm>
            <a:off x="7998851" y="1668301"/>
            <a:ext cx="45719" cy="189932"/>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19" name="Secteurs 616">
            <a:extLst>
              <a:ext uri="{FF2B5EF4-FFF2-40B4-BE49-F238E27FC236}">
                <a16:creationId xmlns:a16="http://schemas.microsoft.com/office/drawing/2014/main" id="{00000000-0008-0000-1100-000013000000}"/>
              </a:ext>
            </a:extLst>
          </xdr:cNvPr>
          <xdr:cNvSpPr/>
        </xdr:nvSpPr>
        <xdr:spPr>
          <a:xfrm flipH="1">
            <a:off x="8338660" y="1676760"/>
            <a:ext cx="45719" cy="176658"/>
          </a:xfrm>
          <a:prstGeom prst="pie">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solidFill>
                <a:schemeClr val="tx1"/>
              </a:solidFill>
            </a:endParaRPr>
          </a:p>
        </xdr:txBody>
      </xdr:sp>
      <xdr:sp macro="" textlink="">
        <xdr:nvSpPr>
          <xdr:cNvPr id="20" name="Ellipse 19">
            <a:extLst>
              <a:ext uri="{FF2B5EF4-FFF2-40B4-BE49-F238E27FC236}">
                <a16:creationId xmlns:a16="http://schemas.microsoft.com/office/drawing/2014/main" id="{00000000-0008-0000-1100-000014000000}"/>
              </a:ext>
            </a:extLst>
          </xdr:cNvPr>
          <xdr:cNvSpPr/>
        </xdr:nvSpPr>
        <xdr:spPr>
          <a:xfrm>
            <a:off x="8069874" y="1854187"/>
            <a:ext cx="252619" cy="21493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clientData/>
  </xdr:twoCellAnchor>
  <xdr:twoCellAnchor>
    <xdr:from>
      <xdr:col>8</xdr:col>
      <xdr:colOff>1213423</xdr:colOff>
      <xdr:row>26</xdr:row>
      <xdr:rowOff>129432</xdr:rowOff>
    </xdr:from>
    <xdr:to>
      <xdr:col>10</xdr:col>
      <xdr:colOff>362857</xdr:colOff>
      <xdr:row>28</xdr:row>
      <xdr:rowOff>19848</xdr:rowOff>
    </xdr:to>
    <xdr:sp macro="" textlink="">
      <xdr:nvSpPr>
        <xdr:cNvPr id="21" name="ZoneTexte 20">
          <a:extLst>
            <a:ext uri="{FF2B5EF4-FFF2-40B4-BE49-F238E27FC236}">
              <a16:creationId xmlns:a16="http://schemas.microsoft.com/office/drawing/2014/main" id="{00000000-0008-0000-1100-000015000000}"/>
            </a:ext>
          </a:extLst>
        </xdr:cNvPr>
        <xdr:cNvSpPr txBox="1"/>
      </xdr:nvSpPr>
      <xdr:spPr>
        <a:xfrm>
          <a:off x="7065583" y="4884312"/>
          <a:ext cx="1145874" cy="256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100"/>
            <a:t>Operator</a:t>
          </a:r>
        </a:p>
      </xdr:txBody>
    </xdr:sp>
    <xdr:clientData/>
  </xdr:twoCellAnchor>
  <xdr:twoCellAnchor>
    <xdr:from>
      <xdr:col>8</xdr:col>
      <xdr:colOff>1264664</xdr:colOff>
      <xdr:row>30</xdr:row>
      <xdr:rowOff>40162</xdr:rowOff>
    </xdr:from>
    <xdr:to>
      <xdr:col>10</xdr:col>
      <xdr:colOff>380480</xdr:colOff>
      <xdr:row>31</xdr:row>
      <xdr:rowOff>135410</xdr:rowOff>
    </xdr:to>
    <xdr:sp macro="" textlink="">
      <xdr:nvSpPr>
        <xdr:cNvPr id="22" name="ZoneTexte 21">
          <a:extLst>
            <a:ext uri="{FF2B5EF4-FFF2-40B4-BE49-F238E27FC236}">
              <a16:creationId xmlns:a16="http://schemas.microsoft.com/office/drawing/2014/main" id="{00000000-0008-0000-1100-000016000000}"/>
            </a:ext>
          </a:extLst>
        </xdr:cNvPr>
        <xdr:cNvSpPr txBox="1"/>
      </xdr:nvSpPr>
      <xdr:spPr>
        <a:xfrm>
          <a:off x="7063484" y="5526562"/>
          <a:ext cx="1165596" cy="2781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100"/>
            <a:t>Flow</a:t>
          </a:r>
        </a:p>
      </xdr:txBody>
    </xdr:sp>
    <xdr:clientData/>
  </xdr:twoCellAnchor>
  <xdr:twoCellAnchor>
    <xdr:from>
      <xdr:col>8</xdr:col>
      <xdr:colOff>444500</xdr:colOff>
      <xdr:row>29</xdr:row>
      <xdr:rowOff>155687</xdr:rowOff>
    </xdr:from>
    <xdr:to>
      <xdr:col>8</xdr:col>
      <xdr:colOff>1105646</xdr:colOff>
      <xdr:row>31</xdr:row>
      <xdr:rowOff>99657</xdr:rowOff>
    </xdr:to>
    <xdr:cxnSp macro="">
      <xdr:nvCxnSpPr>
        <xdr:cNvPr id="23" name="Connecteur en angle 631">
          <a:extLst>
            <a:ext uri="{FF2B5EF4-FFF2-40B4-BE49-F238E27FC236}">
              <a16:creationId xmlns:a16="http://schemas.microsoft.com/office/drawing/2014/main" id="{00000000-0008-0000-1100-000017000000}"/>
            </a:ext>
          </a:extLst>
        </xdr:cNvPr>
        <xdr:cNvCxnSpPr/>
      </xdr:nvCxnSpPr>
      <xdr:spPr>
        <a:xfrm>
          <a:off x="6723380" y="5459207"/>
          <a:ext cx="341106" cy="309730"/>
        </a:xfrm>
        <a:prstGeom prst="bentConnector3">
          <a:avLst>
            <a:gd name="adj1" fmla="val 50000"/>
          </a:avLst>
        </a:prstGeom>
        <a:ln w="38100">
          <a:solidFill>
            <a:srgbClr val="00B05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330968</xdr:colOff>
      <xdr:row>33</xdr:row>
      <xdr:rowOff>33297</xdr:rowOff>
    </xdr:from>
    <xdr:to>
      <xdr:col>8</xdr:col>
      <xdr:colOff>1118261</xdr:colOff>
      <xdr:row>34</xdr:row>
      <xdr:rowOff>172880</xdr:rowOff>
    </xdr:to>
    <xdr:sp macro="" textlink="">
      <xdr:nvSpPr>
        <xdr:cNvPr id="24" name="ZoneTexte 23">
          <a:extLst>
            <a:ext uri="{FF2B5EF4-FFF2-40B4-BE49-F238E27FC236}">
              <a16:creationId xmlns:a16="http://schemas.microsoft.com/office/drawing/2014/main" id="{00000000-0008-0000-1100-000018000000}"/>
            </a:ext>
          </a:extLst>
        </xdr:cNvPr>
        <xdr:cNvSpPr txBox="1"/>
      </xdr:nvSpPr>
      <xdr:spPr>
        <a:xfrm>
          <a:off x="6609848" y="6068337"/>
          <a:ext cx="452013" cy="322463"/>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800" b="1"/>
            <a:t>OP-10</a:t>
          </a:r>
        </a:p>
      </xdr:txBody>
    </xdr:sp>
    <xdr:clientData/>
  </xdr:twoCellAnchor>
  <xdr:twoCellAnchor>
    <xdr:from>
      <xdr:col>8</xdr:col>
      <xdr:colOff>1231099</xdr:colOff>
      <xdr:row>33</xdr:row>
      <xdr:rowOff>102980</xdr:rowOff>
    </xdr:from>
    <xdr:to>
      <xdr:col>10</xdr:col>
      <xdr:colOff>640670</xdr:colOff>
      <xdr:row>34</xdr:row>
      <xdr:rowOff>134377</xdr:rowOff>
    </xdr:to>
    <xdr:sp macro="" textlink="">
      <xdr:nvSpPr>
        <xdr:cNvPr id="25" name="ZoneTexte 24">
          <a:extLst>
            <a:ext uri="{FF2B5EF4-FFF2-40B4-BE49-F238E27FC236}">
              <a16:creationId xmlns:a16="http://schemas.microsoft.com/office/drawing/2014/main" id="{00000000-0008-0000-1100-000019000000}"/>
            </a:ext>
          </a:extLst>
        </xdr:cNvPr>
        <xdr:cNvSpPr txBox="1"/>
      </xdr:nvSpPr>
      <xdr:spPr>
        <a:xfrm>
          <a:off x="7060399" y="6138020"/>
          <a:ext cx="1428871" cy="214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100"/>
            <a:t>Station</a:t>
          </a:r>
          <a:r>
            <a:rPr lang="fr-FR" sz="1100" baseline="0"/>
            <a:t> Name</a:t>
          </a:r>
          <a:endParaRPr lang="fr-FR" sz="1100"/>
        </a:p>
      </xdr:txBody>
    </xdr:sp>
    <xdr:clientData/>
  </xdr:twoCellAnchor>
  <xdr:twoCellAnchor>
    <xdr:from>
      <xdr:col>8</xdr:col>
      <xdr:colOff>194236</xdr:colOff>
      <xdr:row>15</xdr:row>
      <xdr:rowOff>112059</xdr:rowOff>
    </xdr:from>
    <xdr:to>
      <xdr:col>8</xdr:col>
      <xdr:colOff>1218080</xdr:colOff>
      <xdr:row>18</xdr:row>
      <xdr:rowOff>102310</xdr:rowOff>
    </xdr:to>
    <xdr:grpSp>
      <xdr:nvGrpSpPr>
        <xdr:cNvPr id="26" name="Groupe 25">
          <a:extLst>
            <a:ext uri="{FF2B5EF4-FFF2-40B4-BE49-F238E27FC236}">
              <a16:creationId xmlns:a16="http://schemas.microsoft.com/office/drawing/2014/main" id="{00000000-0008-0000-1100-00001A000000}"/>
            </a:ext>
          </a:extLst>
        </xdr:cNvPr>
        <xdr:cNvGrpSpPr/>
      </xdr:nvGrpSpPr>
      <xdr:grpSpPr>
        <a:xfrm>
          <a:off x="12263772" y="3064809"/>
          <a:ext cx="1023844" cy="517120"/>
          <a:chOff x="7112752" y="8013732"/>
          <a:chExt cx="4583948" cy="2641568"/>
        </a:xfrm>
      </xdr:grpSpPr>
      <xdr:grpSp>
        <xdr:nvGrpSpPr>
          <xdr:cNvPr id="27" name="Groupe 26">
            <a:extLst>
              <a:ext uri="{FF2B5EF4-FFF2-40B4-BE49-F238E27FC236}">
                <a16:creationId xmlns:a16="http://schemas.microsoft.com/office/drawing/2014/main" id="{00000000-0008-0000-1100-00001B000000}"/>
              </a:ext>
            </a:extLst>
          </xdr:cNvPr>
          <xdr:cNvGrpSpPr/>
        </xdr:nvGrpSpPr>
        <xdr:grpSpPr>
          <a:xfrm>
            <a:off x="7137506" y="8015539"/>
            <a:ext cx="4542097" cy="2639761"/>
            <a:chOff x="7130143" y="7937500"/>
            <a:chExt cx="3855357" cy="1260929"/>
          </a:xfrm>
        </xdr:grpSpPr>
        <xdr:sp macro="" textlink="">
          <xdr:nvSpPr>
            <xdr:cNvPr id="72" name="Rectangle à coins arrondis 717">
              <a:extLst>
                <a:ext uri="{FF2B5EF4-FFF2-40B4-BE49-F238E27FC236}">
                  <a16:creationId xmlns:a16="http://schemas.microsoft.com/office/drawing/2014/main" id="{00000000-0008-0000-1100-000048000000}"/>
                </a:ext>
              </a:extLst>
            </xdr:cNvPr>
            <xdr:cNvSpPr/>
          </xdr:nvSpPr>
          <xdr:spPr>
            <a:xfrm>
              <a:off x="7130143" y="7937500"/>
              <a:ext cx="3855357" cy="12609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73" name="Rectangle à coins arrondis 718">
              <a:extLst>
                <a:ext uri="{FF2B5EF4-FFF2-40B4-BE49-F238E27FC236}">
                  <a16:creationId xmlns:a16="http://schemas.microsoft.com/office/drawing/2014/main" id="{00000000-0008-0000-1100-000049000000}"/>
                </a:ext>
              </a:extLst>
            </xdr:cNvPr>
            <xdr:cNvSpPr/>
          </xdr:nvSpPr>
          <xdr:spPr>
            <a:xfrm>
              <a:off x="7474854" y="8155215"/>
              <a:ext cx="3147787" cy="798286"/>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8" name="Rectangle à coins arrondis 673">
            <a:extLst>
              <a:ext uri="{FF2B5EF4-FFF2-40B4-BE49-F238E27FC236}">
                <a16:creationId xmlns:a16="http://schemas.microsoft.com/office/drawing/2014/main" id="{00000000-0008-0000-1100-00001C000000}"/>
              </a:ext>
            </a:extLst>
          </xdr:cNvPr>
          <xdr:cNvSpPr/>
        </xdr:nvSpPr>
        <xdr:spPr>
          <a:xfrm>
            <a:off x="7992143" y="801554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9" name="Rectangle à coins arrondis 674">
            <a:extLst>
              <a:ext uri="{FF2B5EF4-FFF2-40B4-BE49-F238E27FC236}">
                <a16:creationId xmlns:a16="http://schemas.microsoft.com/office/drawing/2014/main" id="{00000000-0008-0000-1100-00001D000000}"/>
              </a:ext>
            </a:extLst>
          </xdr:cNvPr>
          <xdr:cNvSpPr/>
        </xdr:nvSpPr>
        <xdr:spPr>
          <a:xfrm>
            <a:off x="8187089" y="80137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0" name="Rectangle à coins arrondis 675">
            <a:extLst>
              <a:ext uri="{FF2B5EF4-FFF2-40B4-BE49-F238E27FC236}">
                <a16:creationId xmlns:a16="http://schemas.microsoft.com/office/drawing/2014/main" id="{00000000-0008-0000-1100-00001E000000}"/>
              </a:ext>
            </a:extLst>
          </xdr:cNvPr>
          <xdr:cNvSpPr/>
        </xdr:nvSpPr>
        <xdr:spPr>
          <a:xfrm>
            <a:off x="8392349" y="8020967"/>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 name="Rectangle à coins arrondis 676">
            <a:extLst>
              <a:ext uri="{FF2B5EF4-FFF2-40B4-BE49-F238E27FC236}">
                <a16:creationId xmlns:a16="http://schemas.microsoft.com/office/drawing/2014/main" id="{00000000-0008-0000-1100-00001F000000}"/>
              </a:ext>
            </a:extLst>
          </xdr:cNvPr>
          <xdr:cNvSpPr/>
        </xdr:nvSpPr>
        <xdr:spPr>
          <a:xfrm>
            <a:off x="8599671" y="80137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2" name="Rectangle à coins arrondis 677">
            <a:extLst>
              <a:ext uri="{FF2B5EF4-FFF2-40B4-BE49-F238E27FC236}">
                <a16:creationId xmlns:a16="http://schemas.microsoft.com/office/drawing/2014/main" id="{00000000-0008-0000-1100-000020000000}"/>
              </a:ext>
            </a:extLst>
          </xdr:cNvPr>
          <xdr:cNvSpPr/>
        </xdr:nvSpPr>
        <xdr:spPr>
          <a:xfrm>
            <a:off x="8794617" y="802096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3" name="Rectangle à coins arrondis 678">
            <a:extLst>
              <a:ext uri="{FF2B5EF4-FFF2-40B4-BE49-F238E27FC236}">
                <a16:creationId xmlns:a16="http://schemas.microsoft.com/office/drawing/2014/main" id="{00000000-0008-0000-1100-000021000000}"/>
              </a:ext>
            </a:extLst>
          </xdr:cNvPr>
          <xdr:cNvSpPr/>
        </xdr:nvSpPr>
        <xdr:spPr>
          <a:xfrm>
            <a:off x="8999876" y="801915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4" name="Rectangle à coins arrondis 679">
            <a:extLst>
              <a:ext uri="{FF2B5EF4-FFF2-40B4-BE49-F238E27FC236}">
                <a16:creationId xmlns:a16="http://schemas.microsoft.com/office/drawing/2014/main" id="{00000000-0008-0000-1100-000022000000}"/>
              </a:ext>
            </a:extLst>
          </xdr:cNvPr>
          <xdr:cNvSpPr/>
        </xdr:nvSpPr>
        <xdr:spPr>
          <a:xfrm>
            <a:off x="9228861" y="80137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5" name="Rectangle à coins arrondis 680">
            <a:extLst>
              <a:ext uri="{FF2B5EF4-FFF2-40B4-BE49-F238E27FC236}">
                <a16:creationId xmlns:a16="http://schemas.microsoft.com/office/drawing/2014/main" id="{00000000-0008-0000-1100-000023000000}"/>
              </a:ext>
            </a:extLst>
          </xdr:cNvPr>
          <xdr:cNvSpPr/>
        </xdr:nvSpPr>
        <xdr:spPr>
          <a:xfrm>
            <a:off x="9423806" y="802096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6" name="Rectangle à coins arrondis 681">
            <a:extLst>
              <a:ext uri="{FF2B5EF4-FFF2-40B4-BE49-F238E27FC236}">
                <a16:creationId xmlns:a16="http://schemas.microsoft.com/office/drawing/2014/main" id="{00000000-0008-0000-1100-000024000000}"/>
              </a:ext>
            </a:extLst>
          </xdr:cNvPr>
          <xdr:cNvSpPr/>
        </xdr:nvSpPr>
        <xdr:spPr>
          <a:xfrm>
            <a:off x="9629066" y="801915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7" name="Rectangle à coins arrondis 682">
            <a:extLst>
              <a:ext uri="{FF2B5EF4-FFF2-40B4-BE49-F238E27FC236}">
                <a16:creationId xmlns:a16="http://schemas.microsoft.com/office/drawing/2014/main" id="{00000000-0008-0000-1100-000025000000}"/>
              </a:ext>
            </a:extLst>
          </xdr:cNvPr>
          <xdr:cNvSpPr/>
        </xdr:nvSpPr>
        <xdr:spPr>
          <a:xfrm>
            <a:off x="9836388" y="802096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8" name="Rectangle à coins arrondis 683">
            <a:extLst>
              <a:ext uri="{FF2B5EF4-FFF2-40B4-BE49-F238E27FC236}">
                <a16:creationId xmlns:a16="http://schemas.microsoft.com/office/drawing/2014/main" id="{00000000-0008-0000-1100-000026000000}"/>
              </a:ext>
            </a:extLst>
          </xdr:cNvPr>
          <xdr:cNvSpPr/>
        </xdr:nvSpPr>
        <xdr:spPr>
          <a:xfrm>
            <a:off x="10031334" y="8019156"/>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9" name="Rectangle à coins arrondis 684">
            <a:extLst>
              <a:ext uri="{FF2B5EF4-FFF2-40B4-BE49-F238E27FC236}">
                <a16:creationId xmlns:a16="http://schemas.microsoft.com/office/drawing/2014/main" id="{00000000-0008-0000-1100-000027000000}"/>
              </a:ext>
            </a:extLst>
          </xdr:cNvPr>
          <xdr:cNvSpPr/>
        </xdr:nvSpPr>
        <xdr:spPr>
          <a:xfrm>
            <a:off x="10236593" y="801735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0" name="Rectangle à coins arrondis 685">
            <a:extLst>
              <a:ext uri="{FF2B5EF4-FFF2-40B4-BE49-F238E27FC236}">
                <a16:creationId xmlns:a16="http://schemas.microsoft.com/office/drawing/2014/main" id="{00000000-0008-0000-1100-000028000000}"/>
              </a:ext>
            </a:extLst>
          </xdr:cNvPr>
          <xdr:cNvSpPr/>
        </xdr:nvSpPr>
        <xdr:spPr>
          <a:xfrm>
            <a:off x="10473830" y="802639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1" name="Rectangle à coins arrondis 686">
            <a:extLst>
              <a:ext uri="{FF2B5EF4-FFF2-40B4-BE49-F238E27FC236}">
                <a16:creationId xmlns:a16="http://schemas.microsoft.com/office/drawing/2014/main" id="{00000000-0008-0000-1100-000029000000}"/>
              </a:ext>
            </a:extLst>
          </xdr:cNvPr>
          <xdr:cNvSpPr/>
        </xdr:nvSpPr>
        <xdr:spPr>
          <a:xfrm>
            <a:off x="10681152" y="802819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2" name="Rectangle à coins arrondis 687">
            <a:extLst>
              <a:ext uri="{FF2B5EF4-FFF2-40B4-BE49-F238E27FC236}">
                <a16:creationId xmlns:a16="http://schemas.microsoft.com/office/drawing/2014/main" id="{00000000-0008-0000-1100-00002A000000}"/>
              </a:ext>
            </a:extLst>
          </xdr:cNvPr>
          <xdr:cNvSpPr/>
        </xdr:nvSpPr>
        <xdr:spPr>
          <a:xfrm>
            <a:off x="10876098" y="8026389"/>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3" name="Rectangle à coins arrondis 688">
            <a:extLst>
              <a:ext uri="{FF2B5EF4-FFF2-40B4-BE49-F238E27FC236}">
                <a16:creationId xmlns:a16="http://schemas.microsoft.com/office/drawing/2014/main" id="{00000000-0008-0000-1100-00002B000000}"/>
              </a:ext>
            </a:extLst>
          </xdr:cNvPr>
          <xdr:cNvSpPr/>
        </xdr:nvSpPr>
        <xdr:spPr>
          <a:xfrm>
            <a:off x="11081357" y="802458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à coins arrondis 689">
            <a:extLst>
              <a:ext uri="{FF2B5EF4-FFF2-40B4-BE49-F238E27FC236}">
                <a16:creationId xmlns:a16="http://schemas.microsoft.com/office/drawing/2014/main" id="{00000000-0008-0000-1100-00002C000000}"/>
              </a:ext>
            </a:extLst>
          </xdr:cNvPr>
          <xdr:cNvSpPr/>
        </xdr:nvSpPr>
        <xdr:spPr>
          <a:xfrm>
            <a:off x="7918909" y="10156799"/>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5" name="Rectangle à coins arrondis 690">
            <a:extLst>
              <a:ext uri="{FF2B5EF4-FFF2-40B4-BE49-F238E27FC236}">
                <a16:creationId xmlns:a16="http://schemas.microsoft.com/office/drawing/2014/main" id="{00000000-0008-0000-1100-00002D000000}"/>
              </a:ext>
            </a:extLst>
          </xdr:cNvPr>
          <xdr:cNvSpPr/>
        </xdr:nvSpPr>
        <xdr:spPr>
          <a:xfrm>
            <a:off x="8113855" y="1015499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6" name="Rectangle à coins arrondis 691">
            <a:extLst>
              <a:ext uri="{FF2B5EF4-FFF2-40B4-BE49-F238E27FC236}">
                <a16:creationId xmlns:a16="http://schemas.microsoft.com/office/drawing/2014/main" id="{00000000-0008-0000-1100-00002E000000}"/>
              </a:ext>
            </a:extLst>
          </xdr:cNvPr>
          <xdr:cNvSpPr/>
        </xdr:nvSpPr>
        <xdr:spPr>
          <a:xfrm>
            <a:off x="8319114" y="1016222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7" name="Rectangle à coins arrondis 692">
            <a:extLst>
              <a:ext uri="{FF2B5EF4-FFF2-40B4-BE49-F238E27FC236}">
                <a16:creationId xmlns:a16="http://schemas.microsoft.com/office/drawing/2014/main" id="{00000000-0008-0000-1100-00002F000000}"/>
              </a:ext>
            </a:extLst>
          </xdr:cNvPr>
          <xdr:cNvSpPr/>
        </xdr:nvSpPr>
        <xdr:spPr>
          <a:xfrm>
            <a:off x="8526437" y="1015499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8" name="Rectangle à coins arrondis 693">
            <a:extLst>
              <a:ext uri="{FF2B5EF4-FFF2-40B4-BE49-F238E27FC236}">
                <a16:creationId xmlns:a16="http://schemas.microsoft.com/office/drawing/2014/main" id="{00000000-0008-0000-1100-000030000000}"/>
              </a:ext>
            </a:extLst>
          </xdr:cNvPr>
          <xdr:cNvSpPr/>
        </xdr:nvSpPr>
        <xdr:spPr>
          <a:xfrm>
            <a:off x="8721382"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9" name="Rectangle à coins arrondis 694">
            <a:extLst>
              <a:ext uri="{FF2B5EF4-FFF2-40B4-BE49-F238E27FC236}">
                <a16:creationId xmlns:a16="http://schemas.microsoft.com/office/drawing/2014/main" id="{00000000-0008-0000-1100-000031000000}"/>
              </a:ext>
            </a:extLst>
          </xdr:cNvPr>
          <xdr:cNvSpPr/>
        </xdr:nvSpPr>
        <xdr:spPr>
          <a:xfrm>
            <a:off x="8926642" y="10160417"/>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0" name="Rectangle à coins arrondis 695">
            <a:extLst>
              <a:ext uri="{FF2B5EF4-FFF2-40B4-BE49-F238E27FC236}">
                <a16:creationId xmlns:a16="http://schemas.microsoft.com/office/drawing/2014/main" id="{00000000-0008-0000-1100-000032000000}"/>
              </a:ext>
            </a:extLst>
          </xdr:cNvPr>
          <xdr:cNvSpPr/>
        </xdr:nvSpPr>
        <xdr:spPr>
          <a:xfrm>
            <a:off x="9155626" y="1015499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1" name="Rectangle à coins arrondis 696">
            <a:extLst>
              <a:ext uri="{FF2B5EF4-FFF2-40B4-BE49-F238E27FC236}">
                <a16:creationId xmlns:a16="http://schemas.microsoft.com/office/drawing/2014/main" id="{00000000-0008-0000-1100-000033000000}"/>
              </a:ext>
            </a:extLst>
          </xdr:cNvPr>
          <xdr:cNvSpPr/>
        </xdr:nvSpPr>
        <xdr:spPr>
          <a:xfrm>
            <a:off x="9350572"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2" name="Rectangle à coins arrondis 697">
            <a:extLst>
              <a:ext uri="{FF2B5EF4-FFF2-40B4-BE49-F238E27FC236}">
                <a16:creationId xmlns:a16="http://schemas.microsoft.com/office/drawing/2014/main" id="{00000000-0008-0000-1100-000034000000}"/>
              </a:ext>
            </a:extLst>
          </xdr:cNvPr>
          <xdr:cNvSpPr/>
        </xdr:nvSpPr>
        <xdr:spPr>
          <a:xfrm>
            <a:off x="9555831" y="10160417"/>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3" name="Rectangle à coins arrondis 698">
            <a:extLst>
              <a:ext uri="{FF2B5EF4-FFF2-40B4-BE49-F238E27FC236}">
                <a16:creationId xmlns:a16="http://schemas.microsoft.com/office/drawing/2014/main" id="{00000000-0008-0000-1100-000035000000}"/>
              </a:ext>
            </a:extLst>
          </xdr:cNvPr>
          <xdr:cNvSpPr/>
        </xdr:nvSpPr>
        <xdr:spPr>
          <a:xfrm>
            <a:off x="9763154"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4" name="Rectangle à coins arrondis 699">
            <a:extLst>
              <a:ext uri="{FF2B5EF4-FFF2-40B4-BE49-F238E27FC236}">
                <a16:creationId xmlns:a16="http://schemas.microsoft.com/office/drawing/2014/main" id="{00000000-0008-0000-1100-000036000000}"/>
              </a:ext>
            </a:extLst>
          </xdr:cNvPr>
          <xdr:cNvSpPr/>
        </xdr:nvSpPr>
        <xdr:spPr>
          <a:xfrm>
            <a:off x="9958100" y="10160415"/>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5" name="Rectangle à coins arrondis 700">
            <a:extLst>
              <a:ext uri="{FF2B5EF4-FFF2-40B4-BE49-F238E27FC236}">
                <a16:creationId xmlns:a16="http://schemas.microsoft.com/office/drawing/2014/main" id="{00000000-0008-0000-1100-000037000000}"/>
              </a:ext>
            </a:extLst>
          </xdr:cNvPr>
          <xdr:cNvSpPr/>
        </xdr:nvSpPr>
        <xdr:spPr>
          <a:xfrm>
            <a:off x="10163359" y="1015860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6" name="Rectangle à coins arrondis 701">
            <a:extLst>
              <a:ext uri="{FF2B5EF4-FFF2-40B4-BE49-F238E27FC236}">
                <a16:creationId xmlns:a16="http://schemas.microsoft.com/office/drawing/2014/main" id="{00000000-0008-0000-1100-000038000000}"/>
              </a:ext>
            </a:extLst>
          </xdr:cNvPr>
          <xdr:cNvSpPr/>
        </xdr:nvSpPr>
        <xdr:spPr>
          <a:xfrm>
            <a:off x="10400595" y="1016765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7" name="Rectangle à coins arrondis 702">
            <a:extLst>
              <a:ext uri="{FF2B5EF4-FFF2-40B4-BE49-F238E27FC236}">
                <a16:creationId xmlns:a16="http://schemas.microsoft.com/office/drawing/2014/main" id="{00000000-0008-0000-1100-000039000000}"/>
              </a:ext>
            </a:extLst>
          </xdr:cNvPr>
          <xdr:cNvSpPr/>
        </xdr:nvSpPr>
        <xdr:spPr>
          <a:xfrm>
            <a:off x="10607918" y="10169456"/>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8" name="Rectangle à coins arrondis 703">
            <a:extLst>
              <a:ext uri="{FF2B5EF4-FFF2-40B4-BE49-F238E27FC236}">
                <a16:creationId xmlns:a16="http://schemas.microsoft.com/office/drawing/2014/main" id="{00000000-0008-0000-1100-00003A000000}"/>
              </a:ext>
            </a:extLst>
          </xdr:cNvPr>
          <xdr:cNvSpPr/>
        </xdr:nvSpPr>
        <xdr:spPr>
          <a:xfrm>
            <a:off x="10802863" y="10167648"/>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9" name="Rectangle à coins arrondis 704">
            <a:extLst>
              <a:ext uri="{FF2B5EF4-FFF2-40B4-BE49-F238E27FC236}">
                <a16:creationId xmlns:a16="http://schemas.microsoft.com/office/drawing/2014/main" id="{00000000-0008-0000-1100-00003B000000}"/>
              </a:ext>
            </a:extLst>
          </xdr:cNvPr>
          <xdr:cNvSpPr/>
        </xdr:nvSpPr>
        <xdr:spPr>
          <a:xfrm>
            <a:off x="11008123" y="1016584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0" name="Rectangle à coins arrondis 705">
            <a:extLst>
              <a:ext uri="{FF2B5EF4-FFF2-40B4-BE49-F238E27FC236}">
                <a16:creationId xmlns:a16="http://schemas.microsoft.com/office/drawing/2014/main" id="{00000000-0008-0000-1100-00003C000000}"/>
              </a:ext>
            </a:extLst>
          </xdr:cNvPr>
          <xdr:cNvSpPr/>
        </xdr:nvSpPr>
        <xdr:spPr>
          <a:xfrm rot="16200000">
            <a:off x="11403967" y="8719254"/>
            <a:ext cx="116002" cy="432331"/>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1" name="Rectangle à coins arrondis 706">
            <a:extLst>
              <a:ext uri="{FF2B5EF4-FFF2-40B4-BE49-F238E27FC236}">
                <a16:creationId xmlns:a16="http://schemas.microsoft.com/office/drawing/2014/main" id="{00000000-0008-0000-1100-00003D000000}"/>
              </a:ext>
            </a:extLst>
          </xdr:cNvPr>
          <xdr:cNvSpPr/>
        </xdr:nvSpPr>
        <xdr:spPr>
          <a:xfrm rot="16200000">
            <a:off x="11418407" y="8997763"/>
            <a:ext cx="116002" cy="432331"/>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2" name="Rectangle à coins arrondis 707">
            <a:extLst>
              <a:ext uri="{FF2B5EF4-FFF2-40B4-BE49-F238E27FC236}">
                <a16:creationId xmlns:a16="http://schemas.microsoft.com/office/drawing/2014/main" id="{00000000-0008-0000-1100-00003E000000}"/>
              </a:ext>
            </a:extLst>
          </xdr:cNvPr>
          <xdr:cNvSpPr/>
        </xdr:nvSpPr>
        <xdr:spPr>
          <a:xfrm rot="16200000">
            <a:off x="11408093" y="9287122"/>
            <a:ext cx="116002" cy="432331"/>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3" name="Rectangle à coins arrondis 708">
            <a:extLst>
              <a:ext uri="{FF2B5EF4-FFF2-40B4-BE49-F238E27FC236}">
                <a16:creationId xmlns:a16="http://schemas.microsoft.com/office/drawing/2014/main" id="{00000000-0008-0000-1100-00003F000000}"/>
              </a:ext>
            </a:extLst>
          </xdr:cNvPr>
          <xdr:cNvSpPr/>
        </xdr:nvSpPr>
        <xdr:spPr>
          <a:xfrm rot="16200000">
            <a:off x="11422534" y="9565631"/>
            <a:ext cx="116002" cy="432331"/>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4" name="Rectangle à coins arrondis 709">
            <a:extLst>
              <a:ext uri="{FF2B5EF4-FFF2-40B4-BE49-F238E27FC236}">
                <a16:creationId xmlns:a16="http://schemas.microsoft.com/office/drawing/2014/main" id="{00000000-0008-0000-1100-000040000000}"/>
              </a:ext>
            </a:extLst>
          </xdr:cNvPr>
          <xdr:cNvSpPr/>
        </xdr:nvSpPr>
        <xdr:spPr>
          <a:xfrm rot="16200000">
            <a:off x="7277104" y="8654156"/>
            <a:ext cx="116002" cy="432331"/>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5" name="Rectangle à coins arrondis 710">
            <a:extLst>
              <a:ext uri="{FF2B5EF4-FFF2-40B4-BE49-F238E27FC236}">
                <a16:creationId xmlns:a16="http://schemas.microsoft.com/office/drawing/2014/main" id="{00000000-0008-0000-1100-000041000000}"/>
              </a:ext>
            </a:extLst>
          </xdr:cNvPr>
          <xdr:cNvSpPr/>
        </xdr:nvSpPr>
        <xdr:spPr>
          <a:xfrm rot="16200000">
            <a:off x="7281231" y="8959791"/>
            <a:ext cx="116002" cy="432331"/>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6" name="Rectangle à coins arrondis 711">
            <a:extLst>
              <a:ext uri="{FF2B5EF4-FFF2-40B4-BE49-F238E27FC236}">
                <a16:creationId xmlns:a16="http://schemas.microsoft.com/office/drawing/2014/main" id="{00000000-0008-0000-1100-000042000000}"/>
              </a:ext>
            </a:extLst>
          </xdr:cNvPr>
          <xdr:cNvSpPr/>
        </xdr:nvSpPr>
        <xdr:spPr>
          <a:xfrm rot="16200000">
            <a:off x="7270917" y="9312443"/>
            <a:ext cx="116002" cy="432331"/>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7" name="Rectangle à coins arrondis 712">
            <a:extLst>
              <a:ext uri="{FF2B5EF4-FFF2-40B4-BE49-F238E27FC236}">
                <a16:creationId xmlns:a16="http://schemas.microsoft.com/office/drawing/2014/main" id="{00000000-0008-0000-1100-000043000000}"/>
              </a:ext>
            </a:extLst>
          </xdr:cNvPr>
          <xdr:cNvSpPr/>
        </xdr:nvSpPr>
        <xdr:spPr>
          <a:xfrm rot="16200000">
            <a:off x="7275043" y="9627120"/>
            <a:ext cx="116002" cy="432331"/>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8" name="Rectangle à coins arrondis 713">
            <a:extLst>
              <a:ext uri="{FF2B5EF4-FFF2-40B4-BE49-F238E27FC236}">
                <a16:creationId xmlns:a16="http://schemas.microsoft.com/office/drawing/2014/main" id="{00000000-0008-0000-1100-000044000000}"/>
              </a:ext>
            </a:extLst>
          </xdr:cNvPr>
          <xdr:cNvSpPr/>
        </xdr:nvSpPr>
        <xdr:spPr>
          <a:xfrm>
            <a:off x="7551710" y="10164032"/>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9" name="Rectangle à coins arrondis 714">
            <a:extLst>
              <a:ext uri="{FF2B5EF4-FFF2-40B4-BE49-F238E27FC236}">
                <a16:creationId xmlns:a16="http://schemas.microsoft.com/office/drawing/2014/main" id="{00000000-0008-0000-1100-000045000000}"/>
              </a:ext>
            </a:extLst>
          </xdr:cNvPr>
          <xdr:cNvSpPr/>
        </xdr:nvSpPr>
        <xdr:spPr>
          <a:xfrm>
            <a:off x="7746656" y="10162223"/>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70" name="Rectangle à coins arrondis 715">
            <a:extLst>
              <a:ext uri="{FF2B5EF4-FFF2-40B4-BE49-F238E27FC236}">
                <a16:creationId xmlns:a16="http://schemas.microsoft.com/office/drawing/2014/main" id="{00000000-0008-0000-1100-000046000000}"/>
              </a:ext>
            </a:extLst>
          </xdr:cNvPr>
          <xdr:cNvSpPr/>
        </xdr:nvSpPr>
        <xdr:spPr>
          <a:xfrm>
            <a:off x="7614631" y="8040860"/>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71" name="Rectangle à coins arrondis 716">
            <a:extLst>
              <a:ext uri="{FF2B5EF4-FFF2-40B4-BE49-F238E27FC236}">
                <a16:creationId xmlns:a16="http://schemas.microsoft.com/office/drawing/2014/main" id="{00000000-0008-0000-1100-000047000000}"/>
              </a:ext>
            </a:extLst>
          </xdr:cNvPr>
          <xdr:cNvSpPr/>
        </xdr:nvSpPr>
        <xdr:spPr>
          <a:xfrm>
            <a:off x="7809576" y="8039051"/>
            <a:ext cx="70726" cy="444374"/>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8</xdr:col>
      <xdr:colOff>1295492</xdr:colOff>
      <xdr:row>15</xdr:row>
      <xdr:rowOff>173490</xdr:rowOff>
    </xdr:from>
    <xdr:to>
      <xdr:col>10</xdr:col>
      <xdr:colOff>971549</xdr:colOff>
      <xdr:row>17</xdr:row>
      <xdr:rowOff>126999</xdr:rowOff>
    </xdr:to>
    <xdr:sp macro="" textlink="">
      <xdr:nvSpPr>
        <xdr:cNvPr id="74" name="ZoneTexte 73">
          <a:extLst>
            <a:ext uri="{FF2B5EF4-FFF2-40B4-BE49-F238E27FC236}">
              <a16:creationId xmlns:a16="http://schemas.microsoft.com/office/drawing/2014/main" id="{00000000-0008-0000-1100-00004A000000}"/>
            </a:ext>
          </a:extLst>
        </xdr:cNvPr>
        <xdr:cNvSpPr txBox="1"/>
      </xdr:nvSpPr>
      <xdr:spPr>
        <a:xfrm>
          <a:off x="7063832" y="2916690"/>
          <a:ext cx="1573437" cy="319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050"/>
            <a:t>Automatic/Conveyor</a:t>
          </a:r>
        </a:p>
      </xdr:txBody>
    </xdr:sp>
    <xdr:clientData/>
  </xdr:twoCellAnchor>
  <xdr:twoCellAnchor>
    <xdr:from>
      <xdr:col>8</xdr:col>
      <xdr:colOff>1313496</xdr:colOff>
      <xdr:row>21</xdr:row>
      <xdr:rowOff>53810</xdr:rowOff>
    </xdr:from>
    <xdr:to>
      <xdr:col>10</xdr:col>
      <xdr:colOff>466848</xdr:colOff>
      <xdr:row>22</xdr:row>
      <xdr:rowOff>138023</xdr:rowOff>
    </xdr:to>
    <xdr:sp macro="" textlink="">
      <xdr:nvSpPr>
        <xdr:cNvPr id="75" name="ZoneTexte 74">
          <a:extLst>
            <a:ext uri="{FF2B5EF4-FFF2-40B4-BE49-F238E27FC236}">
              <a16:creationId xmlns:a16="http://schemas.microsoft.com/office/drawing/2014/main" id="{00000000-0008-0000-1100-00004B000000}"/>
            </a:ext>
          </a:extLst>
        </xdr:cNvPr>
        <xdr:cNvSpPr txBox="1"/>
      </xdr:nvSpPr>
      <xdr:spPr>
        <a:xfrm>
          <a:off x="7066596" y="3894290"/>
          <a:ext cx="1248852" cy="2670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100"/>
            <a:t>Vision</a:t>
          </a:r>
          <a:r>
            <a:rPr lang="fr-FR" sz="1100" baseline="0"/>
            <a:t> Test</a:t>
          </a:r>
          <a:endParaRPr lang="fr-FR" sz="1100"/>
        </a:p>
      </xdr:txBody>
    </xdr:sp>
    <xdr:clientData/>
  </xdr:twoCellAnchor>
  <xdr:twoCellAnchor>
    <xdr:from>
      <xdr:col>8</xdr:col>
      <xdr:colOff>540048</xdr:colOff>
      <xdr:row>19</xdr:row>
      <xdr:rowOff>170642</xdr:rowOff>
    </xdr:from>
    <xdr:to>
      <xdr:col>8</xdr:col>
      <xdr:colOff>940573</xdr:colOff>
      <xdr:row>24</xdr:row>
      <xdr:rowOff>170217</xdr:rowOff>
    </xdr:to>
    <xdr:grpSp>
      <xdr:nvGrpSpPr>
        <xdr:cNvPr id="76" name="Groupe 75">
          <a:extLst>
            <a:ext uri="{FF2B5EF4-FFF2-40B4-BE49-F238E27FC236}">
              <a16:creationId xmlns:a16="http://schemas.microsoft.com/office/drawing/2014/main" id="{00000000-0008-0000-1100-00004C000000}"/>
            </a:ext>
          </a:extLst>
        </xdr:cNvPr>
        <xdr:cNvGrpSpPr/>
      </xdr:nvGrpSpPr>
      <xdr:grpSpPr>
        <a:xfrm>
          <a:off x="12611489" y="3834773"/>
          <a:ext cx="394810" cy="884040"/>
          <a:chOff x="7284501" y="2315886"/>
          <a:chExt cx="1558637" cy="3108019"/>
        </a:xfrm>
      </xdr:grpSpPr>
      <xdr:sp macro="" textlink="">
        <xdr:nvSpPr>
          <xdr:cNvPr id="77" name="Rectangle 76">
            <a:extLst>
              <a:ext uri="{FF2B5EF4-FFF2-40B4-BE49-F238E27FC236}">
                <a16:creationId xmlns:a16="http://schemas.microsoft.com/office/drawing/2014/main" id="{00000000-0008-0000-1100-00004D000000}"/>
              </a:ext>
            </a:extLst>
          </xdr:cNvPr>
          <xdr:cNvSpPr/>
        </xdr:nvSpPr>
        <xdr:spPr>
          <a:xfrm>
            <a:off x="8195235" y="2315886"/>
            <a:ext cx="186765" cy="2988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78" name="Rectangle 77">
            <a:extLst>
              <a:ext uri="{FF2B5EF4-FFF2-40B4-BE49-F238E27FC236}">
                <a16:creationId xmlns:a16="http://schemas.microsoft.com/office/drawing/2014/main" id="{00000000-0008-0000-1100-00004E000000}"/>
              </a:ext>
            </a:extLst>
          </xdr:cNvPr>
          <xdr:cNvSpPr/>
        </xdr:nvSpPr>
        <xdr:spPr>
          <a:xfrm>
            <a:off x="8452222" y="2326345"/>
            <a:ext cx="186765" cy="2988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79" name="Rectangle à coins arrondis 772">
            <a:extLst>
              <a:ext uri="{FF2B5EF4-FFF2-40B4-BE49-F238E27FC236}">
                <a16:creationId xmlns:a16="http://schemas.microsoft.com/office/drawing/2014/main" id="{00000000-0008-0000-1100-00004F000000}"/>
              </a:ext>
            </a:extLst>
          </xdr:cNvPr>
          <xdr:cNvSpPr/>
        </xdr:nvSpPr>
        <xdr:spPr>
          <a:xfrm>
            <a:off x="7284501" y="2573957"/>
            <a:ext cx="1558637" cy="2137268"/>
          </a:xfrm>
          <a:prstGeom prst="roundRect">
            <a:avLst/>
          </a:prstGeom>
          <a:solidFill>
            <a:schemeClr val="tx1">
              <a:lumMod val="85000"/>
              <a:lumOff val="1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0" name="Rectangle 79">
            <a:extLst>
              <a:ext uri="{FF2B5EF4-FFF2-40B4-BE49-F238E27FC236}">
                <a16:creationId xmlns:a16="http://schemas.microsoft.com/office/drawing/2014/main" id="{00000000-0008-0000-1100-000050000000}"/>
              </a:ext>
            </a:extLst>
          </xdr:cNvPr>
          <xdr:cNvSpPr/>
        </xdr:nvSpPr>
        <xdr:spPr>
          <a:xfrm>
            <a:off x="7529676" y="4722769"/>
            <a:ext cx="1108364" cy="694765"/>
          </a:xfrm>
          <a:prstGeom prst="rect">
            <a:avLst/>
          </a:prstGeom>
          <a:solidFill>
            <a:schemeClr val="tx1">
              <a:lumMod val="65000"/>
              <a:lumOff val="3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marL="0" indent="0" algn="l"/>
            <a:endParaRPr lang="fr-FR" sz="1100">
              <a:solidFill>
                <a:schemeClr val="lt1"/>
              </a:solidFill>
              <a:latin typeface="+mn-lt"/>
              <a:ea typeface="+mn-ea"/>
              <a:cs typeface="+mn-cs"/>
            </a:endParaRPr>
          </a:p>
        </xdr:txBody>
      </xdr:sp>
      <xdr:sp macro="" textlink="">
        <xdr:nvSpPr>
          <xdr:cNvPr id="81" name="Rectangle 80">
            <a:extLst>
              <a:ext uri="{FF2B5EF4-FFF2-40B4-BE49-F238E27FC236}">
                <a16:creationId xmlns:a16="http://schemas.microsoft.com/office/drawing/2014/main" id="{00000000-0008-0000-1100-000051000000}"/>
              </a:ext>
            </a:extLst>
          </xdr:cNvPr>
          <xdr:cNvSpPr/>
        </xdr:nvSpPr>
        <xdr:spPr>
          <a:xfrm>
            <a:off x="7462857" y="4616824"/>
            <a:ext cx="1208691" cy="254000"/>
          </a:xfrm>
          <a:prstGeom prst="rect">
            <a:avLst/>
          </a:prstGeom>
          <a:solidFill>
            <a:srgbClr val="FF0000"/>
          </a:solidFill>
          <a:ln>
            <a:solidFill>
              <a:schemeClr val="accent2">
                <a:lumMod val="75000"/>
              </a:schemeClr>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fr-FR" sz="1100"/>
          </a:p>
        </xdr:txBody>
      </xdr:sp>
      <xdr:sp macro="" textlink="">
        <xdr:nvSpPr>
          <xdr:cNvPr id="82" name="Rectangle 81">
            <a:extLst>
              <a:ext uri="{FF2B5EF4-FFF2-40B4-BE49-F238E27FC236}">
                <a16:creationId xmlns:a16="http://schemas.microsoft.com/office/drawing/2014/main" id="{00000000-0008-0000-1100-000052000000}"/>
              </a:ext>
            </a:extLst>
          </xdr:cNvPr>
          <xdr:cNvSpPr/>
        </xdr:nvSpPr>
        <xdr:spPr>
          <a:xfrm>
            <a:off x="7544007" y="5265374"/>
            <a:ext cx="1078108" cy="158531"/>
          </a:xfrm>
          <a:prstGeom prst="rect">
            <a:avLst/>
          </a:prstGeom>
          <a:solidFill>
            <a:schemeClr val="tx1">
              <a:lumMod val="85000"/>
              <a:lumOff val="15000"/>
            </a:schemeClr>
          </a:solidFill>
          <a:ln>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585923</xdr:colOff>
      <xdr:row>12</xdr:row>
      <xdr:rowOff>162287</xdr:rowOff>
    </xdr:from>
    <xdr:to>
      <xdr:col>1</xdr:col>
      <xdr:colOff>1491708</xdr:colOff>
      <xdr:row>14</xdr:row>
      <xdr:rowOff>116304</xdr:rowOff>
    </xdr:to>
    <xdr:sp macro="" textlink="">
      <xdr:nvSpPr>
        <xdr:cNvPr id="83" name="ZoneTexte 82">
          <a:extLst>
            <a:ext uri="{FF2B5EF4-FFF2-40B4-BE49-F238E27FC236}">
              <a16:creationId xmlns:a16="http://schemas.microsoft.com/office/drawing/2014/main" id="{00000000-0008-0000-1100-000053000000}"/>
            </a:ext>
          </a:extLst>
        </xdr:cNvPr>
        <xdr:cNvSpPr txBox="1"/>
      </xdr:nvSpPr>
      <xdr:spPr>
        <a:xfrm>
          <a:off x="1370783" y="2356847"/>
          <a:ext cx="197125" cy="319777"/>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800" b="1"/>
            <a:t>OP 20</a:t>
          </a:r>
        </a:p>
      </xdr:txBody>
    </xdr:sp>
    <xdr:clientData/>
  </xdr:twoCellAnchor>
  <xdr:twoCellAnchor>
    <xdr:from>
      <xdr:col>9</xdr:col>
      <xdr:colOff>54874</xdr:colOff>
      <xdr:row>36</xdr:row>
      <xdr:rowOff>548638</xdr:rowOff>
    </xdr:from>
    <xdr:to>
      <xdr:col>10</xdr:col>
      <xdr:colOff>869208</xdr:colOff>
      <xdr:row>36</xdr:row>
      <xdr:rowOff>809419</xdr:rowOff>
    </xdr:to>
    <xdr:sp macro="" textlink="">
      <xdr:nvSpPr>
        <xdr:cNvPr id="84" name="ZoneTexte 83">
          <a:extLst>
            <a:ext uri="{FF2B5EF4-FFF2-40B4-BE49-F238E27FC236}">
              <a16:creationId xmlns:a16="http://schemas.microsoft.com/office/drawing/2014/main" id="{00000000-0008-0000-1100-000054000000}"/>
            </a:ext>
          </a:extLst>
        </xdr:cNvPr>
        <xdr:cNvSpPr txBox="1"/>
      </xdr:nvSpPr>
      <xdr:spPr>
        <a:xfrm>
          <a:off x="7118614" y="6766558"/>
          <a:ext cx="1515374" cy="17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100"/>
            <a:t>Rotary</a:t>
          </a:r>
          <a:r>
            <a:rPr lang="fr-FR" sz="1100" baseline="0"/>
            <a:t> Table</a:t>
          </a:r>
          <a:endParaRPr lang="fr-FR" sz="1100"/>
        </a:p>
      </xdr:txBody>
    </xdr:sp>
    <xdr:clientData/>
  </xdr:twoCellAnchor>
  <xdr:twoCellAnchor>
    <xdr:from>
      <xdr:col>9</xdr:col>
      <xdr:colOff>94815</xdr:colOff>
      <xdr:row>36</xdr:row>
      <xdr:rowOff>1720702</xdr:rowOff>
    </xdr:from>
    <xdr:to>
      <xdr:col>10</xdr:col>
      <xdr:colOff>973264</xdr:colOff>
      <xdr:row>36</xdr:row>
      <xdr:rowOff>2055211</xdr:rowOff>
    </xdr:to>
    <xdr:sp macro="" textlink="">
      <xdr:nvSpPr>
        <xdr:cNvPr id="85" name="ZoneTexte 84">
          <a:extLst>
            <a:ext uri="{FF2B5EF4-FFF2-40B4-BE49-F238E27FC236}">
              <a16:creationId xmlns:a16="http://schemas.microsoft.com/office/drawing/2014/main" id="{00000000-0008-0000-1100-000055000000}"/>
            </a:ext>
          </a:extLst>
        </xdr:cNvPr>
        <xdr:cNvSpPr txBox="1"/>
      </xdr:nvSpPr>
      <xdr:spPr>
        <a:xfrm>
          <a:off x="7158555" y="6765142"/>
          <a:ext cx="1472809"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050"/>
            <a:t>Wave Solder </a:t>
          </a:r>
        </a:p>
      </xdr:txBody>
    </xdr:sp>
    <xdr:clientData/>
  </xdr:twoCellAnchor>
  <xdr:twoCellAnchor>
    <xdr:from>
      <xdr:col>8</xdr:col>
      <xdr:colOff>241473</xdr:colOff>
      <xdr:row>36</xdr:row>
      <xdr:rowOff>183811</xdr:rowOff>
    </xdr:from>
    <xdr:to>
      <xdr:col>8</xdr:col>
      <xdr:colOff>1153564</xdr:colOff>
      <xdr:row>36</xdr:row>
      <xdr:rowOff>1162693</xdr:rowOff>
    </xdr:to>
    <xdr:grpSp>
      <xdr:nvGrpSpPr>
        <xdr:cNvPr id="86" name="Groupe 85">
          <a:extLst>
            <a:ext uri="{FF2B5EF4-FFF2-40B4-BE49-F238E27FC236}">
              <a16:creationId xmlns:a16="http://schemas.microsoft.com/office/drawing/2014/main" id="{00000000-0008-0000-1100-000056000000}"/>
            </a:ext>
          </a:extLst>
        </xdr:cNvPr>
        <xdr:cNvGrpSpPr/>
      </xdr:nvGrpSpPr>
      <xdr:grpSpPr>
        <a:xfrm>
          <a:off x="12314819" y="6849406"/>
          <a:ext cx="910186" cy="976977"/>
          <a:chOff x="4381500" y="4006850"/>
          <a:chExt cx="2032000" cy="1974850"/>
        </a:xfrm>
      </xdr:grpSpPr>
      <xdr:sp macro="" textlink="">
        <xdr:nvSpPr>
          <xdr:cNvPr id="87" name="Ellipse 86">
            <a:extLst>
              <a:ext uri="{FF2B5EF4-FFF2-40B4-BE49-F238E27FC236}">
                <a16:creationId xmlns:a16="http://schemas.microsoft.com/office/drawing/2014/main" id="{00000000-0008-0000-1100-000057000000}"/>
              </a:ext>
            </a:extLst>
          </xdr:cNvPr>
          <xdr:cNvSpPr/>
        </xdr:nvSpPr>
        <xdr:spPr>
          <a:xfrm>
            <a:off x="4381500" y="4006850"/>
            <a:ext cx="2032000" cy="19748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8" name="Ellipse 87">
            <a:extLst>
              <a:ext uri="{FF2B5EF4-FFF2-40B4-BE49-F238E27FC236}">
                <a16:creationId xmlns:a16="http://schemas.microsoft.com/office/drawing/2014/main" id="{00000000-0008-0000-1100-000058000000}"/>
              </a:ext>
            </a:extLst>
          </xdr:cNvPr>
          <xdr:cNvSpPr/>
        </xdr:nvSpPr>
        <xdr:spPr>
          <a:xfrm>
            <a:off x="4991100" y="4584700"/>
            <a:ext cx="812800" cy="806450"/>
          </a:xfrm>
          <a:prstGeom prst="ellipse">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fr-FR" sz="1100"/>
          </a:p>
        </xdr:txBody>
      </xdr:sp>
      <xdr:sp macro="" textlink="">
        <xdr:nvSpPr>
          <xdr:cNvPr id="89" name="Rectangle 88">
            <a:extLst>
              <a:ext uri="{FF2B5EF4-FFF2-40B4-BE49-F238E27FC236}">
                <a16:creationId xmlns:a16="http://schemas.microsoft.com/office/drawing/2014/main" id="{00000000-0008-0000-1100-000059000000}"/>
              </a:ext>
            </a:extLst>
          </xdr:cNvPr>
          <xdr:cNvSpPr/>
        </xdr:nvSpPr>
        <xdr:spPr>
          <a:xfrm rot="2884688">
            <a:off x="5759450" y="5353050"/>
            <a:ext cx="317500" cy="317500"/>
          </a:xfrm>
          <a:prstGeom prst="rect">
            <a:avLst/>
          </a:prstGeom>
          <a:solidFill>
            <a:srgbClr val="92D05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0" name="Rectangle 89">
            <a:extLst>
              <a:ext uri="{FF2B5EF4-FFF2-40B4-BE49-F238E27FC236}">
                <a16:creationId xmlns:a16="http://schemas.microsoft.com/office/drawing/2014/main" id="{00000000-0008-0000-1100-00005A000000}"/>
              </a:ext>
            </a:extLst>
          </xdr:cNvPr>
          <xdr:cNvSpPr/>
        </xdr:nvSpPr>
        <xdr:spPr>
          <a:xfrm rot="2752443">
            <a:off x="4699002" y="5264151"/>
            <a:ext cx="317500" cy="317500"/>
          </a:xfrm>
          <a:prstGeom prst="rect">
            <a:avLst/>
          </a:prstGeom>
          <a:solidFill>
            <a:srgbClr val="92D05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1" name="Rectangle 90">
            <a:extLst>
              <a:ext uri="{FF2B5EF4-FFF2-40B4-BE49-F238E27FC236}">
                <a16:creationId xmlns:a16="http://schemas.microsoft.com/office/drawing/2014/main" id="{00000000-0008-0000-1100-00005B000000}"/>
              </a:ext>
            </a:extLst>
          </xdr:cNvPr>
          <xdr:cNvSpPr/>
        </xdr:nvSpPr>
        <xdr:spPr>
          <a:xfrm rot="2752443">
            <a:off x="5816601" y="4305301"/>
            <a:ext cx="317500" cy="317500"/>
          </a:xfrm>
          <a:prstGeom prst="rect">
            <a:avLst/>
          </a:prstGeom>
          <a:solidFill>
            <a:srgbClr val="92D05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2" name="Rectangle 91">
            <a:extLst>
              <a:ext uri="{FF2B5EF4-FFF2-40B4-BE49-F238E27FC236}">
                <a16:creationId xmlns:a16="http://schemas.microsoft.com/office/drawing/2014/main" id="{00000000-0008-0000-1100-00005C000000}"/>
              </a:ext>
            </a:extLst>
          </xdr:cNvPr>
          <xdr:cNvSpPr/>
        </xdr:nvSpPr>
        <xdr:spPr>
          <a:xfrm rot="2884688">
            <a:off x="4737101" y="4273550"/>
            <a:ext cx="317500" cy="317500"/>
          </a:xfrm>
          <a:prstGeom prst="rect">
            <a:avLst/>
          </a:prstGeom>
          <a:solidFill>
            <a:srgbClr val="92D05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8</xdr:col>
      <xdr:colOff>152278</xdr:colOff>
      <xdr:row>36</xdr:row>
      <xdr:rowOff>1622656</xdr:rowOff>
    </xdr:from>
    <xdr:to>
      <xdr:col>8</xdr:col>
      <xdr:colOff>1331852</xdr:colOff>
      <xdr:row>36</xdr:row>
      <xdr:rowOff>2218014</xdr:rowOff>
    </xdr:to>
    <xdr:grpSp>
      <xdr:nvGrpSpPr>
        <xdr:cNvPr id="93" name="Groupe 92">
          <a:extLst>
            <a:ext uri="{FF2B5EF4-FFF2-40B4-BE49-F238E27FC236}">
              <a16:creationId xmlns:a16="http://schemas.microsoft.com/office/drawing/2014/main" id="{00000000-0008-0000-1100-00005D000000}"/>
            </a:ext>
          </a:extLst>
        </xdr:cNvPr>
        <xdr:cNvGrpSpPr/>
      </xdr:nvGrpSpPr>
      <xdr:grpSpPr>
        <a:xfrm>
          <a:off x="12221814" y="8286346"/>
          <a:ext cx="1179574" cy="601073"/>
          <a:chOff x="6035431" y="1872584"/>
          <a:chExt cx="4097482" cy="1484924"/>
        </a:xfrm>
      </xdr:grpSpPr>
      <xdr:sp macro="" textlink="">
        <xdr:nvSpPr>
          <xdr:cNvPr id="94" name="Rectangle à coins arrondis 828">
            <a:extLst>
              <a:ext uri="{FF2B5EF4-FFF2-40B4-BE49-F238E27FC236}">
                <a16:creationId xmlns:a16="http://schemas.microsoft.com/office/drawing/2014/main" id="{00000000-0008-0000-1100-00005E000000}"/>
              </a:ext>
            </a:extLst>
          </xdr:cNvPr>
          <xdr:cNvSpPr/>
        </xdr:nvSpPr>
        <xdr:spPr>
          <a:xfrm>
            <a:off x="6045822" y="1872584"/>
            <a:ext cx="4087091" cy="14849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5" name="Rectangle à coins arrondis 829">
            <a:extLst>
              <a:ext uri="{FF2B5EF4-FFF2-40B4-BE49-F238E27FC236}">
                <a16:creationId xmlns:a16="http://schemas.microsoft.com/office/drawing/2014/main" id="{00000000-0008-0000-1100-00005F000000}"/>
              </a:ext>
            </a:extLst>
          </xdr:cNvPr>
          <xdr:cNvSpPr/>
        </xdr:nvSpPr>
        <xdr:spPr>
          <a:xfrm>
            <a:off x="6048132" y="2127473"/>
            <a:ext cx="990599" cy="951167"/>
          </a:xfrm>
          <a:prstGeom prst="roundRect">
            <a:avLst/>
          </a:prstGeom>
          <a:solidFill>
            <a:schemeClr val="bg1">
              <a:lumMod val="85000"/>
            </a:schemeClr>
          </a:solidFill>
          <a:ln>
            <a:noFill/>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l"/>
            <a:endParaRPr lang="fr-FR" sz="1100"/>
          </a:p>
        </xdr:txBody>
      </xdr:sp>
      <xdr:sp macro="" textlink="">
        <xdr:nvSpPr>
          <xdr:cNvPr id="96" name="Rectangle à coins arrondis 830">
            <a:extLst>
              <a:ext uri="{FF2B5EF4-FFF2-40B4-BE49-F238E27FC236}">
                <a16:creationId xmlns:a16="http://schemas.microsoft.com/office/drawing/2014/main" id="{00000000-0008-0000-1100-000060000000}"/>
              </a:ext>
            </a:extLst>
          </xdr:cNvPr>
          <xdr:cNvSpPr/>
        </xdr:nvSpPr>
        <xdr:spPr>
          <a:xfrm>
            <a:off x="6048131" y="2124009"/>
            <a:ext cx="990600" cy="19716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7" name="Rectangle à coins arrondis 831">
            <a:extLst>
              <a:ext uri="{FF2B5EF4-FFF2-40B4-BE49-F238E27FC236}">
                <a16:creationId xmlns:a16="http://schemas.microsoft.com/office/drawing/2014/main" id="{00000000-0008-0000-1100-000061000000}"/>
              </a:ext>
            </a:extLst>
          </xdr:cNvPr>
          <xdr:cNvSpPr/>
        </xdr:nvSpPr>
        <xdr:spPr>
          <a:xfrm>
            <a:off x="6035431" y="2949020"/>
            <a:ext cx="990600" cy="197161"/>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8" name="Rectangle à coins arrondis 832">
            <a:extLst>
              <a:ext uri="{FF2B5EF4-FFF2-40B4-BE49-F238E27FC236}">
                <a16:creationId xmlns:a16="http://schemas.microsoft.com/office/drawing/2014/main" id="{00000000-0008-0000-1100-000062000000}"/>
              </a:ext>
            </a:extLst>
          </xdr:cNvPr>
          <xdr:cNvSpPr/>
        </xdr:nvSpPr>
        <xdr:spPr>
          <a:xfrm>
            <a:off x="9140582" y="2146523"/>
            <a:ext cx="990599" cy="951167"/>
          </a:xfrm>
          <a:prstGeom prst="roundRect">
            <a:avLst/>
          </a:prstGeom>
          <a:solidFill>
            <a:schemeClr val="bg1">
              <a:lumMod val="85000"/>
            </a:schemeClr>
          </a:solidFill>
          <a:ln>
            <a:noFill/>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l"/>
            <a:endParaRPr lang="fr-FR" sz="1100"/>
          </a:p>
        </xdr:txBody>
      </xdr:sp>
      <xdr:sp macro="" textlink="">
        <xdr:nvSpPr>
          <xdr:cNvPr id="99" name="Rectangle à coins arrondis 833">
            <a:extLst>
              <a:ext uri="{FF2B5EF4-FFF2-40B4-BE49-F238E27FC236}">
                <a16:creationId xmlns:a16="http://schemas.microsoft.com/office/drawing/2014/main" id="{00000000-0008-0000-1100-000063000000}"/>
              </a:ext>
            </a:extLst>
          </xdr:cNvPr>
          <xdr:cNvSpPr/>
        </xdr:nvSpPr>
        <xdr:spPr>
          <a:xfrm>
            <a:off x="9140581" y="2143059"/>
            <a:ext cx="990600" cy="19716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0" name="Rectangle à coins arrondis 834">
            <a:extLst>
              <a:ext uri="{FF2B5EF4-FFF2-40B4-BE49-F238E27FC236}">
                <a16:creationId xmlns:a16="http://schemas.microsoft.com/office/drawing/2014/main" id="{00000000-0008-0000-1100-000064000000}"/>
              </a:ext>
            </a:extLst>
          </xdr:cNvPr>
          <xdr:cNvSpPr/>
        </xdr:nvSpPr>
        <xdr:spPr>
          <a:xfrm>
            <a:off x="9127881" y="2968070"/>
            <a:ext cx="990600" cy="19862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1" name="Rectangle à coins arrondis 835">
            <a:extLst>
              <a:ext uri="{FF2B5EF4-FFF2-40B4-BE49-F238E27FC236}">
                <a16:creationId xmlns:a16="http://schemas.microsoft.com/office/drawing/2014/main" id="{00000000-0008-0000-1100-000065000000}"/>
              </a:ext>
            </a:extLst>
          </xdr:cNvPr>
          <xdr:cNvSpPr/>
        </xdr:nvSpPr>
        <xdr:spPr>
          <a:xfrm>
            <a:off x="7006981" y="1905488"/>
            <a:ext cx="2279650" cy="140725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2" name="Ellipse 101">
            <a:extLst>
              <a:ext uri="{FF2B5EF4-FFF2-40B4-BE49-F238E27FC236}">
                <a16:creationId xmlns:a16="http://schemas.microsoft.com/office/drawing/2014/main" id="{00000000-0008-0000-1100-000066000000}"/>
              </a:ext>
            </a:extLst>
          </xdr:cNvPr>
          <xdr:cNvSpPr/>
        </xdr:nvSpPr>
        <xdr:spPr>
          <a:xfrm>
            <a:off x="7292731" y="2224454"/>
            <a:ext cx="641350" cy="653561"/>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103" name="Connecteur droit 102">
            <a:extLst>
              <a:ext uri="{FF2B5EF4-FFF2-40B4-BE49-F238E27FC236}">
                <a16:creationId xmlns:a16="http://schemas.microsoft.com/office/drawing/2014/main" id="{00000000-0008-0000-1100-000067000000}"/>
              </a:ext>
            </a:extLst>
          </xdr:cNvPr>
          <xdr:cNvCxnSpPr>
            <a:stCxn id="102" idx="1"/>
            <a:endCxn id="102" idx="5"/>
          </xdr:cNvCxnSpPr>
        </xdr:nvCxnSpPr>
        <xdr:spPr>
          <a:xfrm>
            <a:off x="7386655" y="2320772"/>
            <a:ext cx="453502" cy="460925"/>
          </a:xfrm>
          <a:prstGeom prst="line">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4" name="Connecteur droit 103">
            <a:extLst>
              <a:ext uri="{FF2B5EF4-FFF2-40B4-BE49-F238E27FC236}">
                <a16:creationId xmlns:a16="http://schemas.microsoft.com/office/drawing/2014/main" id="{00000000-0008-0000-1100-000068000000}"/>
              </a:ext>
            </a:extLst>
          </xdr:cNvPr>
          <xdr:cNvCxnSpPr>
            <a:stCxn id="102" idx="7"/>
            <a:endCxn id="102" idx="3"/>
          </xdr:cNvCxnSpPr>
        </xdr:nvCxnSpPr>
        <xdr:spPr>
          <a:xfrm flipH="1">
            <a:off x="7386655" y="2320772"/>
            <a:ext cx="453502" cy="460925"/>
          </a:xfrm>
          <a:prstGeom prst="line">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5" name="Connecteur droit 104">
            <a:extLst>
              <a:ext uri="{FF2B5EF4-FFF2-40B4-BE49-F238E27FC236}">
                <a16:creationId xmlns:a16="http://schemas.microsoft.com/office/drawing/2014/main" id="{00000000-0008-0000-1100-000069000000}"/>
              </a:ext>
            </a:extLst>
          </xdr:cNvPr>
          <xdr:cNvCxnSpPr>
            <a:stCxn id="102" idx="0"/>
            <a:endCxn id="102" idx="4"/>
          </xdr:cNvCxnSpPr>
        </xdr:nvCxnSpPr>
        <xdr:spPr>
          <a:xfrm>
            <a:off x="7613406" y="2224454"/>
            <a:ext cx="0" cy="653561"/>
          </a:xfrm>
          <a:prstGeom prst="line">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6" name="Connecteur droit 105">
            <a:extLst>
              <a:ext uri="{FF2B5EF4-FFF2-40B4-BE49-F238E27FC236}">
                <a16:creationId xmlns:a16="http://schemas.microsoft.com/office/drawing/2014/main" id="{00000000-0008-0000-1100-00006A000000}"/>
              </a:ext>
            </a:extLst>
          </xdr:cNvPr>
          <xdr:cNvCxnSpPr>
            <a:stCxn id="102" idx="2"/>
            <a:endCxn id="102" idx="6"/>
          </xdr:cNvCxnSpPr>
        </xdr:nvCxnSpPr>
        <xdr:spPr>
          <a:xfrm>
            <a:off x="7292731" y="2551235"/>
            <a:ext cx="641350" cy="0"/>
          </a:xfrm>
          <a:prstGeom prst="line">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07" name="Ellipse 106">
            <a:extLst>
              <a:ext uri="{FF2B5EF4-FFF2-40B4-BE49-F238E27FC236}">
                <a16:creationId xmlns:a16="http://schemas.microsoft.com/office/drawing/2014/main" id="{00000000-0008-0000-1100-00006B000000}"/>
              </a:ext>
            </a:extLst>
          </xdr:cNvPr>
          <xdr:cNvSpPr/>
        </xdr:nvSpPr>
        <xdr:spPr>
          <a:xfrm>
            <a:off x="8379069" y="2254250"/>
            <a:ext cx="641350" cy="653561"/>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xnSp macro="">
        <xdr:nvCxnSpPr>
          <xdr:cNvPr id="108" name="Connecteur droit 107">
            <a:extLst>
              <a:ext uri="{FF2B5EF4-FFF2-40B4-BE49-F238E27FC236}">
                <a16:creationId xmlns:a16="http://schemas.microsoft.com/office/drawing/2014/main" id="{00000000-0008-0000-1100-00006C000000}"/>
              </a:ext>
            </a:extLst>
          </xdr:cNvPr>
          <xdr:cNvCxnSpPr>
            <a:stCxn id="107" idx="1"/>
            <a:endCxn id="107" idx="5"/>
          </xdr:cNvCxnSpPr>
        </xdr:nvCxnSpPr>
        <xdr:spPr>
          <a:xfrm>
            <a:off x="8472993" y="2350568"/>
            <a:ext cx="453502" cy="460925"/>
          </a:xfrm>
          <a:prstGeom prst="line">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9" name="Connecteur droit 108">
            <a:extLst>
              <a:ext uri="{FF2B5EF4-FFF2-40B4-BE49-F238E27FC236}">
                <a16:creationId xmlns:a16="http://schemas.microsoft.com/office/drawing/2014/main" id="{00000000-0008-0000-1100-00006D000000}"/>
              </a:ext>
            </a:extLst>
          </xdr:cNvPr>
          <xdr:cNvCxnSpPr>
            <a:stCxn id="107" idx="7"/>
            <a:endCxn id="107" idx="3"/>
          </xdr:cNvCxnSpPr>
        </xdr:nvCxnSpPr>
        <xdr:spPr>
          <a:xfrm flipH="1">
            <a:off x="8472993" y="2350568"/>
            <a:ext cx="453502" cy="460925"/>
          </a:xfrm>
          <a:prstGeom prst="line">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0" name="Connecteur droit 109">
            <a:extLst>
              <a:ext uri="{FF2B5EF4-FFF2-40B4-BE49-F238E27FC236}">
                <a16:creationId xmlns:a16="http://schemas.microsoft.com/office/drawing/2014/main" id="{00000000-0008-0000-1100-00006E000000}"/>
              </a:ext>
            </a:extLst>
          </xdr:cNvPr>
          <xdr:cNvCxnSpPr>
            <a:stCxn id="107" idx="0"/>
            <a:endCxn id="107" idx="4"/>
          </xdr:cNvCxnSpPr>
        </xdr:nvCxnSpPr>
        <xdr:spPr>
          <a:xfrm>
            <a:off x="8699744" y="2254250"/>
            <a:ext cx="0" cy="653561"/>
          </a:xfrm>
          <a:prstGeom prst="line">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1" name="Connecteur droit 110">
            <a:extLst>
              <a:ext uri="{FF2B5EF4-FFF2-40B4-BE49-F238E27FC236}">
                <a16:creationId xmlns:a16="http://schemas.microsoft.com/office/drawing/2014/main" id="{00000000-0008-0000-1100-00006F000000}"/>
              </a:ext>
            </a:extLst>
          </xdr:cNvPr>
          <xdr:cNvCxnSpPr>
            <a:stCxn id="107" idx="2"/>
            <a:endCxn id="107" idx="6"/>
          </xdr:cNvCxnSpPr>
        </xdr:nvCxnSpPr>
        <xdr:spPr>
          <a:xfrm>
            <a:off x="8379069" y="2581031"/>
            <a:ext cx="641350" cy="0"/>
          </a:xfrm>
          <a:prstGeom prst="line">
            <a:avLst/>
          </a:prstGeom>
          <a:ln w="5715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504811</xdr:colOff>
      <xdr:row>10</xdr:row>
      <xdr:rowOff>86255</xdr:rowOff>
    </xdr:from>
    <xdr:to>
      <xdr:col>8</xdr:col>
      <xdr:colOff>1078943</xdr:colOff>
      <xdr:row>12</xdr:row>
      <xdr:rowOff>101442</xdr:rowOff>
    </xdr:to>
    <xdr:grpSp>
      <xdr:nvGrpSpPr>
        <xdr:cNvPr id="112" name="Groupe 111">
          <a:extLst>
            <a:ext uri="{FF2B5EF4-FFF2-40B4-BE49-F238E27FC236}">
              <a16:creationId xmlns:a16="http://schemas.microsoft.com/office/drawing/2014/main" id="{00000000-0008-0000-1100-000070000000}"/>
            </a:ext>
          </a:extLst>
        </xdr:cNvPr>
        <xdr:cNvGrpSpPr/>
      </xdr:nvGrpSpPr>
      <xdr:grpSpPr>
        <a:xfrm>
          <a:off x="12576252" y="2129231"/>
          <a:ext cx="576037" cy="363258"/>
          <a:chOff x="13606482" y="1253327"/>
          <a:chExt cx="506896" cy="399997"/>
        </a:xfrm>
      </xdr:grpSpPr>
      <xdr:grpSp>
        <xdr:nvGrpSpPr>
          <xdr:cNvPr id="113" name="Groupe 35">
            <a:extLst>
              <a:ext uri="{FF2B5EF4-FFF2-40B4-BE49-F238E27FC236}">
                <a16:creationId xmlns:a16="http://schemas.microsoft.com/office/drawing/2014/main" id="{00000000-0008-0000-1100-000071000000}"/>
              </a:ext>
            </a:extLst>
          </xdr:cNvPr>
          <xdr:cNvGrpSpPr/>
        </xdr:nvGrpSpPr>
        <xdr:grpSpPr>
          <a:xfrm>
            <a:off x="13606482" y="1253327"/>
            <a:ext cx="506896" cy="399997"/>
            <a:chOff x="8498205" y="1223011"/>
            <a:chExt cx="506896" cy="400050"/>
          </a:xfrm>
        </xdr:grpSpPr>
        <xdr:sp macro="" textlink="">
          <xdr:nvSpPr>
            <xdr:cNvPr id="120" name="Rectangle 119">
              <a:extLst>
                <a:ext uri="{FF2B5EF4-FFF2-40B4-BE49-F238E27FC236}">
                  <a16:creationId xmlns:a16="http://schemas.microsoft.com/office/drawing/2014/main" id="{00000000-0008-0000-1100-000078000000}"/>
                </a:ext>
              </a:extLst>
            </xdr:cNvPr>
            <xdr:cNvSpPr/>
          </xdr:nvSpPr>
          <xdr:spPr>
            <a:xfrm>
              <a:off x="8498205" y="1223011"/>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21" name="Rectangle à coins arrondis 338">
              <a:extLst>
                <a:ext uri="{FF2B5EF4-FFF2-40B4-BE49-F238E27FC236}">
                  <a16:creationId xmlns:a16="http://schemas.microsoft.com/office/drawing/2014/main" id="{00000000-0008-0000-1100-000079000000}"/>
                </a:ext>
              </a:extLst>
            </xdr:cNvPr>
            <xdr:cNvSpPr/>
          </xdr:nvSpPr>
          <xdr:spPr>
            <a:xfrm>
              <a:off x="8517341" y="1537994"/>
              <a:ext cx="50757" cy="63171"/>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22" name="Ellipse 121">
              <a:extLst>
                <a:ext uri="{FF2B5EF4-FFF2-40B4-BE49-F238E27FC236}">
                  <a16:creationId xmlns:a16="http://schemas.microsoft.com/office/drawing/2014/main" id="{00000000-0008-0000-1100-00007A000000}"/>
                </a:ext>
              </a:extLst>
            </xdr:cNvPr>
            <xdr:cNvSpPr/>
          </xdr:nvSpPr>
          <xdr:spPr>
            <a:xfrm>
              <a:off x="8694282" y="1464326"/>
              <a:ext cx="96513" cy="54197"/>
            </a:xfrm>
            <a:prstGeom prst="ellipse">
              <a:avLst/>
            </a:prstGeom>
            <a:solidFill>
              <a:srgbClr val="7030A0"/>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grpSp>
      <xdr:sp macro="" textlink="">
        <xdr:nvSpPr>
          <xdr:cNvPr id="114" name="Rectangle à coins arrondis 331">
            <a:extLst>
              <a:ext uri="{FF2B5EF4-FFF2-40B4-BE49-F238E27FC236}">
                <a16:creationId xmlns:a16="http://schemas.microsoft.com/office/drawing/2014/main" id="{00000000-0008-0000-1100-000072000000}"/>
              </a:ext>
            </a:extLst>
          </xdr:cNvPr>
          <xdr:cNvSpPr/>
        </xdr:nvSpPr>
        <xdr:spPr>
          <a:xfrm>
            <a:off x="13606482" y="1253327"/>
            <a:ext cx="50757" cy="63163"/>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15" name="Rectangle à coins arrondis 332">
            <a:extLst>
              <a:ext uri="{FF2B5EF4-FFF2-40B4-BE49-F238E27FC236}">
                <a16:creationId xmlns:a16="http://schemas.microsoft.com/office/drawing/2014/main" id="{00000000-0008-0000-1100-000073000000}"/>
              </a:ext>
            </a:extLst>
          </xdr:cNvPr>
          <xdr:cNvSpPr/>
        </xdr:nvSpPr>
        <xdr:spPr>
          <a:xfrm>
            <a:off x="14054023" y="1263520"/>
            <a:ext cx="50757" cy="63163"/>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16" name="Rectangle à coins arrondis 333">
            <a:extLst>
              <a:ext uri="{FF2B5EF4-FFF2-40B4-BE49-F238E27FC236}">
                <a16:creationId xmlns:a16="http://schemas.microsoft.com/office/drawing/2014/main" id="{00000000-0008-0000-1100-000074000000}"/>
              </a:ext>
            </a:extLst>
          </xdr:cNvPr>
          <xdr:cNvSpPr/>
        </xdr:nvSpPr>
        <xdr:spPr>
          <a:xfrm>
            <a:off x="14056170" y="1576865"/>
            <a:ext cx="50757" cy="63163"/>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17" name="Rectangle à coins arrondis 334">
            <a:extLst>
              <a:ext uri="{FF2B5EF4-FFF2-40B4-BE49-F238E27FC236}">
                <a16:creationId xmlns:a16="http://schemas.microsoft.com/office/drawing/2014/main" id="{00000000-0008-0000-1100-000075000000}"/>
              </a:ext>
            </a:extLst>
          </xdr:cNvPr>
          <xdr:cNvSpPr/>
        </xdr:nvSpPr>
        <xdr:spPr>
          <a:xfrm>
            <a:off x="13898403" y="1325597"/>
            <a:ext cx="51648" cy="162940"/>
          </a:xfrm>
          <a:prstGeom prst="roundRect">
            <a:avLst/>
          </a:prstGeom>
          <a:solidFill>
            <a:srgbClr val="92D050"/>
          </a:solidFill>
          <a:ln>
            <a:solidFill>
              <a:schemeClr val="accent1"/>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18" name="Rectangle à coins arrondis 335">
            <a:extLst>
              <a:ext uri="{FF2B5EF4-FFF2-40B4-BE49-F238E27FC236}">
                <a16:creationId xmlns:a16="http://schemas.microsoft.com/office/drawing/2014/main" id="{00000000-0008-0000-1100-000076000000}"/>
              </a:ext>
            </a:extLst>
          </xdr:cNvPr>
          <xdr:cNvSpPr/>
        </xdr:nvSpPr>
        <xdr:spPr>
          <a:xfrm>
            <a:off x="13751369" y="1320231"/>
            <a:ext cx="45719" cy="166160"/>
          </a:xfrm>
          <a:prstGeom prst="roundRect">
            <a:avLst/>
          </a:prstGeom>
          <a:solidFill>
            <a:srgbClr val="92D050"/>
          </a:solidFill>
          <a:ln>
            <a:solidFill>
              <a:schemeClr val="accent1"/>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19" name="Rectangle à coins arrondis 336">
            <a:extLst>
              <a:ext uri="{FF2B5EF4-FFF2-40B4-BE49-F238E27FC236}">
                <a16:creationId xmlns:a16="http://schemas.microsoft.com/office/drawing/2014/main" id="{00000000-0008-0000-1100-000077000000}"/>
              </a:ext>
            </a:extLst>
          </xdr:cNvPr>
          <xdr:cNvSpPr/>
        </xdr:nvSpPr>
        <xdr:spPr>
          <a:xfrm>
            <a:off x="13744929" y="1389073"/>
            <a:ext cx="207805" cy="100171"/>
          </a:xfrm>
          <a:prstGeom prst="roundRect">
            <a:avLst/>
          </a:prstGeom>
          <a:solidFill>
            <a:srgbClr val="92D050"/>
          </a:solidFill>
          <a:ln>
            <a:solidFill>
              <a:schemeClr val="accent1"/>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grpSp>
    <xdr:clientData/>
  </xdr:twoCellAnchor>
  <xdr:twoCellAnchor>
    <xdr:from>
      <xdr:col>8</xdr:col>
      <xdr:colOff>578484</xdr:colOff>
      <xdr:row>5</xdr:row>
      <xdr:rowOff>78341</xdr:rowOff>
    </xdr:from>
    <xdr:to>
      <xdr:col>8</xdr:col>
      <xdr:colOff>1044839</xdr:colOff>
      <xdr:row>7</xdr:row>
      <xdr:rowOff>130064</xdr:rowOff>
    </xdr:to>
    <xdr:grpSp>
      <xdr:nvGrpSpPr>
        <xdr:cNvPr id="123" name="Groupe 122">
          <a:extLst>
            <a:ext uri="{FF2B5EF4-FFF2-40B4-BE49-F238E27FC236}">
              <a16:creationId xmlns:a16="http://schemas.microsoft.com/office/drawing/2014/main" id="{00000000-0008-0000-1100-00007B000000}"/>
            </a:ext>
          </a:extLst>
        </xdr:cNvPr>
        <xdr:cNvGrpSpPr/>
      </xdr:nvGrpSpPr>
      <xdr:grpSpPr>
        <a:xfrm>
          <a:off x="12649925" y="1221341"/>
          <a:ext cx="468260" cy="422926"/>
          <a:chOff x="7928749" y="1218882"/>
          <a:chExt cx="506896" cy="400050"/>
        </a:xfrm>
      </xdr:grpSpPr>
      <xdr:sp macro="" textlink="">
        <xdr:nvSpPr>
          <xdr:cNvPr id="124" name="Rectangle 123">
            <a:extLst>
              <a:ext uri="{FF2B5EF4-FFF2-40B4-BE49-F238E27FC236}">
                <a16:creationId xmlns:a16="http://schemas.microsoft.com/office/drawing/2014/main" id="{00000000-0008-0000-1100-00007C000000}"/>
              </a:ext>
            </a:extLst>
          </xdr:cNvPr>
          <xdr:cNvSpPr/>
        </xdr:nvSpPr>
        <xdr:spPr>
          <a:xfrm>
            <a:off x="7928749" y="1218882"/>
            <a:ext cx="506896" cy="4000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endParaRPr lang="fr-FR" sz="1100"/>
          </a:p>
        </xdr:txBody>
      </xdr:sp>
      <xdr:sp macro="" textlink="">
        <xdr:nvSpPr>
          <xdr:cNvPr id="125" name="Rectangle à coins arrondis 439">
            <a:extLst>
              <a:ext uri="{FF2B5EF4-FFF2-40B4-BE49-F238E27FC236}">
                <a16:creationId xmlns:a16="http://schemas.microsoft.com/office/drawing/2014/main" id="{00000000-0008-0000-1100-00007D000000}"/>
              </a:ext>
            </a:extLst>
          </xdr:cNvPr>
          <xdr:cNvSpPr/>
        </xdr:nvSpPr>
        <xdr:spPr>
          <a:xfrm>
            <a:off x="8074584" y="1227992"/>
            <a:ext cx="221116" cy="2143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fr-FR" sz="1100"/>
          </a:p>
        </xdr:txBody>
      </xdr:sp>
      <xdr:sp macro="" textlink="">
        <xdr:nvSpPr>
          <xdr:cNvPr id="126" name="Rectangle à coins arrondis 440">
            <a:extLst>
              <a:ext uri="{FF2B5EF4-FFF2-40B4-BE49-F238E27FC236}">
                <a16:creationId xmlns:a16="http://schemas.microsoft.com/office/drawing/2014/main" id="{00000000-0008-0000-1100-00007E000000}"/>
              </a:ext>
            </a:extLst>
          </xdr:cNvPr>
          <xdr:cNvSpPr/>
        </xdr:nvSpPr>
        <xdr:spPr>
          <a:xfrm>
            <a:off x="8162192" y="1450730"/>
            <a:ext cx="45719" cy="84992"/>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endParaRPr lang="fr-FR" sz="1100"/>
          </a:p>
        </xdr:txBody>
      </xdr:sp>
      <xdr:sp macro="" textlink="">
        <xdr:nvSpPr>
          <xdr:cNvPr id="127" name="Ellipse 126">
            <a:extLst>
              <a:ext uri="{FF2B5EF4-FFF2-40B4-BE49-F238E27FC236}">
                <a16:creationId xmlns:a16="http://schemas.microsoft.com/office/drawing/2014/main" id="{00000000-0008-0000-1100-00007F000000}"/>
              </a:ext>
            </a:extLst>
          </xdr:cNvPr>
          <xdr:cNvSpPr/>
        </xdr:nvSpPr>
        <xdr:spPr>
          <a:xfrm>
            <a:off x="8162193" y="1545688"/>
            <a:ext cx="45719" cy="45719"/>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marL="0" indent="0" algn="ctr"/>
            <a:endParaRPr lang="fr-FR" sz="1100">
              <a:solidFill>
                <a:schemeClr val="lt1"/>
              </a:solidFill>
              <a:latin typeface="+mn-lt"/>
              <a:ea typeface="+mn-ea"/>
              <a:cs typeface="+mn-cs"/>
            </a:endParaRPr>
          </a:p>
        </xdr:txBody>
      </xdr:sp>
    </xdr:grpSp>
    <xdr:clientData/>
  </xdr:twoCellAnchor>
  <xdr:twoCellAnchor>
    <xdr:from>
      <xdr:col>1</xdr:col>
      <xdr:colOff>1990980</xdr:colOff>
      <xdr:row>12</xdr:row>
      <xdr:rowOff>158451</xdr:rowOff>
    </xdr:from>
    <xdr:to>
      <xdr:col>2</xdr:col>
      <xdr:colOff>524626</xdr:colOff>
      <xdr:row>14</xdr:row>
      <xdr:rowOff>112468</xdr:rowOff>
    </xdr:to>
    <xdr:sp macro="" textlink="">
      <xdr:nvSpPr>
        <xdr:cNvPr id="149" name="ZoneTexte 148">
          <a:extLst>
            <a:ext uri="{FF2B5EF4-FFF2-40B4-BE49-F238E27FC236}">
              <a16:creationId xmlns:a16="http://schemas.microsoft.com/office/drawing/2014/main" id="{00000000-0008-0000-1100-000095000000}"/>
            </a:ext>
          </a:extLst>
        </xdr:cNvPr>
        <xdr:cNvSpPr txBox="1"/>
      </xdr:nvSpPr>
      <xdr:spPr>
        <a:xfrm>
          <a:off x="1571880" y="2353011"/>
          <a:ext cx="522466" cy="319777"/>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800" b="1"/>
            <a:t>OP 30</a:t>
          </a:r>
        </a:p>
      </xdr:txBody>
    </xdr:sp>
    <xdr:clientData/>
  </xdr:twoCellAnchor>
  <xdr:twoCellAnchor>
    <xdr:from>
      <xdr:col>1</xdr:col>
      <xdr:colOff>205693</xdr:colOff>
      <xdr:row>26</xdr:row>
      <xdr:rowOff>13638</xdr:rowOff>
    </xdr:from>
    <xdr:to>
      <xdr:col>1</xdr:col>
      <xdr:colOff>1111478</xdr:colOff>
      <xdr:row>27</xdr:row>
      <xdr:rowOff>152139</xdr:rowOff>
    </xdr:to>
    <xdr:sp macro="" textlink="">
      <xdr:nvSpPr>
        <xdr:cNvPr id="169" name="ZoneTexte 168">
          <a:extLst>
            <a:ext uri="{FF2B5EF4-FFF2-40B4-BE49-F238E27FC236}">
              <a16:creationId xmlns:a16="http://schemas.microsoft.com/office/drawing/2014/main" id="{00000000-0008-0000-1100-0000A9000000}"/>
            </a:ext>
          </a:extLst>
        </xdr:cNvPr>
        <xdr:cNvSpPr txBox="1"/>
      </xdr:nvSpPr>
      <xdr:spPr>
        <a:xfrm>
          <a:off x="990553" y="4768518"/>
          <a:ext cx="578125" cy="321381"/>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800" b="1"/>
            <a:t>OP40</a:t>
          </a:r>
        </a:p>
      </xdr:txBody>
    </xdr:sp>
    <xdr:clientData/>
  </xdr:twoCellAnchor>
  <xdr:twoCellAnchor>
    <xdr:from>
      <xdr:col>1</xdr:col>
      <xdr:colOff>1772686</xdr:colOff>
      <xdr:row>26</xdr:row>
      <xdr:rowOff>21057</xdr:rowOff>
    </xdr:from>
    <xdr:to>
      <xdr:col>2</xdr:col>
      <xdr:colOff>215740</xdr:colOff>
      <xdr:row>27</xdr:row>
      <xdr:rowOff>156881</xdr:rowOff>
    </xdr:to>
    <xdr:sp macro="" textlink="">
      <xdr:nvSpPr>
        <xdr:cNvPr id="181" name="ZoneTexte 180">
          <a:extLst>
            <a:ext uri="{FF2B5EF4-FFF2-40B4-BE49-F238E27FC236}">
              <a16:creationId xmlns:a16="http://schemas.microsoft.com/office/drawing/2014/main" id="{00000000-0008-0000-1100-0000B5000000}"/>
            </a:ext>
          </a:extLst>
        </xdr:cNvPr>
        <xdr:cNvSpPr txBox="1"/>
      </xdr:nvSpPr>
      <xdr:spPr>
        <a:xfrm>
          <a:off x="1566946" y="4775937"/>
          <a:ext cx="218514" cy="318704"/>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800" b="1"/>
            <a:t>OP</a:t>
          </a:r>
          <a:r>
            <a:rPr lang="fr-FR" sz="1800" b="1" baseline="0"/>
            <a:t> 5</a:t>
          </a:r>
          <a:r>
            <a:rPr lang="fr-FR" sz="1800" b="1"/>
            <a:t>0</a:t>
          </a:r>
        </a:p>
      </xdr:txBody>
    </xdr:sp>
    <xdr:clientData/>
  </xdr:twoCellAnchor>
  <xdr:twoCellAnchor>
    <xdr:from>
      <xdr:col>2</xdr:col>
      <xdr:colOff>656444</xdr:colOff>
      <xdr:row>26</xdr:row>
      <xdr:rowOff>18249</xdr:rowOff>
    </xdr:from>
    <xdr:to>
      <xdr:col>2</xdr:col>
      <xdr:colOff>1467560</xdr:colOff>
      <xdr:row>27</xdr:row>
      <xdr:rowOff>154073</xdr:rowOff>
    </xdr:to>
    <xdr:sp macro="" textlink="">
      <xdr:nvSpPr>
        <xdr:cNvPr id="202" name="ZoneTexte 201">
          <a:extLst>
            <a:ext uri="{FF2B5EF4-FFF2-40B4-BE49-F238E27FC236}">
              <a16:creationId xmlns:a16="http://schemas.microsoft.com/office/drawing/2014/main" id="{00000000-0008-0000-1100-0000CA000000}"/>
            </a:ext>
          </a:extLst>
        </xdr:cNvPr>
        <xdr:cNvSpPr txBox="1"/>
      </xdr:nvSpPr>
      <xdr:spPr>
        <a:xfrm>
          <a:off x="2226164" y="4773129"/>
          <a:ext cx="125316" cy="318704"/>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800" b="1"/>
            <a:t>OP</a:t>
          </a:r>
          <a:r>
            <a:rPr lang="fr-FR" sz="1800" b="1" baseline="0"/>
            <a:t> 6</a:t>
          </a:r>
          <a:r>
            <a:rPr lang="fr-FR" sz="1800" b="1"/>
            <a:t>0</a:t>
          </a:r>
        </a:p>
      </xdr:txBody>
    </xdr:sp>
    <xdr:clientData/>
  </xdr:twoCellAnchor>
  <xdr:twoCellAnchor>
    <xdr:from>
      <xdr:col>3</xdr:col>
      <xdr:colOff>386708</xdr:colOff>
      <xdr:row>26</xdr:row>
      <xdr:rowOff>15794</xdr:rowOff>
    </xdr:from>
    <xdr:to>
      <xdr:col>3</xdr:col>
      <xdr:colOff>1292493</xdr:colOff>
      <xdr:row>27</xdr:row>
      <xdr:rowOff>154295</xdr:rowOff>
    </xdr:to>
    <xdr:sp macro="" textlink="">
      <xdr:nvSpPr>
        <xdr:cNvPr id="223" name="ZoneTexte 222">
          <a:extLst>
            <a:ext uri="{FF2B5EF4-FFF2-40B4-BE49-F238E27FC236}">
              <a16:creationId xmlns:a16="http://schemas.microsoft.com/office/drawing/2014/main" id="{00000000-0008-0000-1100-0000DF000000}"/>
            </a:ext>
          </a:extLst>
        </xdr:cNvPr>
        <xdr:cNvSpPr txBox="1"/>
      </xdr:nvSpPr>
      <xdr:spPr>
        <a:xfrm>
          <a:off x="2741288" y="4770674"/>
          <a:ext cx="395245" cy="321381"/>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800" b="1"/>
            <a:t>OP</a:t>
          </a:r>
          <a:r>
            <a:rPr lang="fr-FR" sz="1800" b="1" baseline="0"/>
            <a:t> 7</a:t>
          </a:r>
          <a:r>
            <a:rPr lang="fr-FR" sz="1800" b="1"/>
            <a:t>0</a:t>
          </a:r>
        </a:p>
      </xdr:txBody>
    </xdr:sp>
    <xdr:clientData/>
  </xdr:twoCellAnchor>
  <xdr:twoCellAnchor>
    <xdr:from>
      <xdr:col>4</xdr:col>
      <xdr:colOff>646149</xdr:colOff>
      <xdr:row>26</xdr:row>
      <xdr:rowOff>14039</xdr:rowOff>
    </xdr:from>
    <xdr:to>
      <xdr:col>5</xdr:col>
      <xdr:colOff>416955</xdr:colOff>
      <xdr:row>27</xdr:row>
      <xdr:rowOff>152540</xdr:rowOff>
    </xdr:to>
    <xdr:sp macro="" textlink="">
      <xdr:nvSpPr>
        <xdr:cNvPr id="247" name="ZoneTexte 246">
          <a:extLst>
            <a:ext uri="{FF2B5EF4-FFF2-40B4-BE49-F238E27FC236}">
              <a16:creationId xmlns:a16="http://schemas.microsoft.com/office/drawing/2014/main" id="{00000000-0008-0000-1100-0000F7000000}"/>
            </a:ext>
          </a:extLst>
        </xdr:cNvPr>
        <xdr:cNvSpPr txBox="1"/>
      </xdr:nvSpPr>
      <xdr:spPr>
        <a:xfrm>
          <a:off x="3785589" y="4768919"/>
          <a:ext cx="555666" cy="321381"/>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800" b="1"/>
            <a:t>OP 80</a:t>
          </a:r>
        </a:p>
      </xdr:txBody>
    </xdr:sp>
    <xdr:clientData/>
  </xdr:twoCellAnchor>
  <xdr:twoCellAnchor>
    <xdr:from>
      <xdr:col>5</xdr:col>
      <xdr:colOff>1152286</xdr:colOff>
      <xdr:row>26</xdr:row>
      <xdr:rowOff>14039</xdr:rowOff>
    </xdr:from>
    <xdr:to>
      <xdr:col>6</xdr:col>
      <xdr:colOff>616387</xdr:colOff>
      <xdr:row>27</xdr:row>
      <xdr:rowOff>152540</xdr:rowOff>
    </xdr:to>
    <xdr:sp macro="" textlink="">
      <xdr:nvSpPr>
        <xdr:cNvPr id="253" name="ZoneTexte 252">
          <a:extLst>
            <a:ext uri="{FF2B5EF4-FFF2-40B4-BE49-F238E27FC236}">
              <a16:creationId xmlns:a16="http://schemas.microsoft.com/office/drawing/2014/main" id="{00000000-0008-0000-1100-0000FD000000}"/>
            </a:ext>
          </a:extLst>
        </xdr:cNvPr>
        <xdr:cNvSpPr txBox="1"/>
      </xdr:nvSpPr>
      <xdr:spPr>
        <a:xfrm>
          <a:off x="4710826" y="4768919"/>
          <a:ext cx="614721" cy="321381"/>
        </a:xfrm>
        <a:prstGeom prst="rect">
          <a:avLst/>
        </a:prstGeom>
        <a:solidFill>
          <a:schemeClr val="lt1"/>
        </a:solidFill>
        <a:ln w="381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800" b="1"/>
            <a:t>OP 90</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xcel Services" refreshedDate="46220.701546990742" createdVersion="8" refreshedVersion="8" minRefreshableVersion="3" recordCount="56" xr:uid="{8BF4DC31-4947-4FE9-9085-8FD1A7DD3831}">
  <cacheSource type="worksheet">
    <worksheetSource name="Compil_indexation"/>
  </cacheSource>
  <cacheFields count="4">
    <cacheField name="Material" numFmtId="0">
      <sharedItems count="2">
        <s v="Copper"/>
        <s v=""/>
      </sharedItems>
    </cacheField>
    <cacheField name="Total Weight (kg)" numFmtId="0">
      <sharedItems containsSemiMixedTypes="0" containsString="0" containsNumber="1" minValue="0" maxValue="3.9777327935222673E-3"/>
    </cacheField>
    <cacheField name="Value (Cur)" numFmtId="0">
      <sharedItems containsSemiMixedTypes="0" containsString="0" containsNumber="1" minValue="0" maxValue="0.28241902834008092"/>
    </cacheField>
    <cacheField name="Material rate pondéré" numFmtId="0" formula="'Value (Cur)'/'Total Weight (kg)'" databaseField="0"/>
  </cacheFields>
  <extLst>
    <ext xmlns:x14="http://schemas.microsoft.com/office/spreadsheetml/2009/9/main" uri="{725AE2AE-9491-48be-B2B4-4EB974FC3084}">
      <x14:pivotCacheDefinition pivotCacheId="1911342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xcel Services" refreshedDate="46220.701546990742" createdVersion="8" refreshedVersion="8" minRefreshableVersion="3" recordCount="29" xr:uid="{F862F22F-5835-4C91-BC48-239E474DA315}">
  <cacheSource type="worksheet">
    <worksheetSource ref="AL77:AN106" sheet="Material Cost "/>
  </cacheSource>
  <cacheFields count="3">
    <cacheField name="Purchasing --&gt; Invoice currency" numFmtId="0">
      <sharedItems count="3">
        <s v=""/>
        <s v="0 --&gt; RMB"/>
        <e v="#N/A" u="1"/>
      </sharedItems>
    </cacheField>
    <cacheField name="Total of BOM cost impacted RMB" numFmtId="0">
      <sharedItems containsMixedTypes="1" containsNumber="1" containsInteger="1" minValue="0" maxValue="0"/>
    </cacheField>
    <cacheField name="Exchange rate" numFmtId="0">
      <sharedItems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xcel Services" refreshedDate="46220.701546990742" createdVersion="8" refreshedVersion="8" minRefreshableVersion="3" recordCount="84" xr:uid="{18B411A9-BBF0-4D22-9A6D-D2ADF0061BE1}">
  <cacheSource type="worksheet">
    <worksheetSource ref="A29:H113" sheet="Capex "/>
  </cacheSource>
  <cacheFields count="8">
    <cacheField name="Category" numFmtId="0">
      <sharedItems count="3">
        <s v="Raw material tooling at AVO suppliers"/>
        <s v="Process equipment at AVO"/>
        <s v="Process tooling at AVO"/>
      </sharedItems>
    </cacheField>
    <cacheField name="Designation" numFmtId="0">
      <sharedItems containsMixedTypes="1" containsNumber="1" containsInteger="1" minValue="0" maxValue="0" count="7">
        <s v="Copper Wire φ1.25 Turns 14 tooling"/>
        <s v="Fuse Core φ5.2*20.5 B5 tooling"/>
        <s v="Solder paste SnAg3.5 tooling"/>
        <s v="Tin SnAg3.5 tooling"/>
        <s v=""/>
        <s v="Winding tool"/>
        <n v="0"/>
      </sharedItems>
    </cacheField>
    <cacheField name="Y1" numFmtId="1">
      <sharedItems containsSemiMixedTypes="0" containsString="0" containsNumber="1" minValue="0" maxValue="5.5555555555555554"/>
    </cacheField>
    <cacheField name="Y2" numFmtId="1">
      <sharedItems containsSemiMixedTypes="0" containsString="0" containsNumber="1" containsInteger="1" minValue="0" maxValue="0"/>
    </cacheField>
    <cacheField name="Y3" numFmtId="1">
      <sharedItems containsSemiMixedTypes="0" containsString="0" containsNumber="1" containsInteger="1" minValue="0" maxValue="0"/>
    </cacheField>
    <cacheField name="Y4" numFmtId="1">
      <sharedItems containsSemiMixedTypes="0" containsString="0" containsNumber="1" containsInteger="1" minValue="0" maxValue="0"/>
    </cacheField>
    <cacheField name="Y5" numFmtId="1">
      <sharedItems containsSemiMixedTypes="0" containsString="0" containsNumber="1" containsInteger="1" minValue="0" maxValue="0"/>
    </cacheField>
    <cacheField name="Y6" numFmtId="1">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x v="0"/>
    <n v="3.9777327935222673E-3"/>
    <n v="0.28241902834008092"/>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s v=""/>
    <s v=""/>
  </r>
  <r>
    <x v="0"/>
    <s v=""/>
    <s v=""/>
  </r>
  <r>
    <x v="0"/>
    <s v=""/>
    <s v=""/>
  </r>
  <r>
    <x v="0"/>
    <s v=""/>
    <s v=""/>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1"/>
    <n v="0"/>
    <n v="0"/>
  </r>
  <r>
    <x v="0"/>
    <s v=""/>
    <s v=""/>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x v="0"/>
    <x v="0"/>
    <n v="0"/>
    <n v="0"/>
    <n v="0"/>
    <n v="0"/>
    <n v="0"/>
    <n v="0"/>
  </r>
  <r>
    <x v="0"/>
    <x v="1"/>
    <n v="0"/>
    <n v="0"/>
    <n v="0"/>
    <n v="0"/>
    <n v="0"/>
    <n v="0"/>
  </r>
  <r>
    <x v="0"/>
    <x v="2"/>
    <n v="0"/>
    <n v="0"/>
    <n v="0"/>
    <n v="0"/>
    <n v="0"/>
    <n v="0"/>
  </r>
  <r>
    <x v="0"/>
    <x v="3"/>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0"/>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1"/>
    <x v="4"/>
    <n v="0"/>
    <n v="0"/>
    <n v="0"/>
    <n v="0"/>
    <n v="0"/>
    <n v="0"/>
  </r>
  <r>
    <x v="2"/>
    <x v="5"/>
    <n v="5.5555555555555554"/>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4"/>
    <n v="0"/>
    <n v="0"/>
    <n v="0"/>
    <n v="0"/>
    <n v="0"/>
    <n v="0"/>
  </r>
  <r>
    <x v="2"/>
    <x v="6"/>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824A2D-B233-4472-9EAD-4E134ACC3A8C}" name="Tableau croisé dynamique3" cacheId="8"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Purchasing --&gt; Invoice currency">
  <location ref="G7:H10" firstHeaderRow="1" firstDataRow="1" firstDataCol="1"/>
  <pivotFields count="3">
    <pivotField axis="axisRow" showAll="0">
      <items count="4">
        <item m="1" x="2"/>
        <item x="0"/>
        <item x="1"/>
        <item t="default"/>
      </items>
    </pivotField>
    <pivotField showAll="0"/>
    <pivotField dataField="1" showAll="0"/>
  </pivotFields>
  <rowFields count="1">
    <field x="0"/>
  </rowFields>
  <rowItems count="3">
    <i>
      <x v="1"/>
    </i>
    <i>
      <x v="2"/>
    </i>
    <i t="grand">
      <x/>
    </i>
  </rowItems>
  <colItems count="1">
    <i/>
  </colItems>
  <dataFields count="1">
    <dataField name="Max. de Exchange rate" fld="2" subtotal="max" baseField="0" baseItem="0"/>
  </dataFields>
  <formats count="3">
    <format dxfId="8">
      <pivotArea dataOnly="0" labelOnly="1" fieldPosition="0">
        <references count="1">
          <reference field="0" count="0"/>
        </references>
      </pivotArea>
    </format>
    <format dxfId="7">
      <pivotArea field="0" type="button" dataOnly="0" labelOnly="1" outline="0" axis="axisRow" fieldPosition="0"/>
    </format>
    <format dxfId="6">
      <pivotArea grandRow="1"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E3C801-CDA0-4963-BF22-FDFF4DBD24A7}" name="Tableau croisedynamique4" cacheId="5" applyNumberFormats="0" applyBorderFormats="0" applyFontFormats="0" applyPatternFormats="0" applyAlignmentFormats="0" applyWidthHeightFormats="1" dataCaption="Valeurs" errorCaption="-" showError="1" missingCaption="X" updatedVersion="8" minRefreshableVersion="3" itemPrintTitles="1" createdVersion="8" indent="0" outline="1" outlineData="1" multipleFieldFilters="0" chartFormat="1" rowHeaderCaption="Material">
  <location ref="B7:E10" firstHeaderRow="0" firstDataRow="1" firstDataCol="1"/>
  <pivotFields count="4">
    <pivotField axis="axisRow" showAll="0">
      <items count="3">
        <item x="1"/>
        <item x="0"/>
        <item t="default"/>
      </items>
    </pivotField>
    <pivotField dataField="1" showAll="0"/>
    <pivotField dataField="1" showAll="0"/>
    <pivotField dataField="1" dragToRow="0" dragToCol="0" dragToPage="0" showAll="0" defaultSubtotal="0"/>
  </pivotFields>
  <rowFields count="1">
    <field x="0"/>
  </rowFields>
  <rowItems count="3">
    <i>
      <x/>
    </i>
    <i>
      <x v="1"/>
    </i>
    <i t="grand">
      <x/>
    </i>
  </rowItems>
  <colFields count="1">
    <field x="-2"/>
  </colFields>
  <colItems count="3">
    <i>
      <x/>
    </i>
    <i i="1">
      <x v="1"/>
    </i>
    <i i="2">
      <x v="2"/>
    </i>
  </colItems>
  <dataFields count="3">
    <dataField name="Somme de Total Weight (kg)" fld="1" baseField="0" baseItem="0" numFmtId="166"/>
    <dataField name="Material rate (Cur/Kg)" fld="3" baseField="0" baseItem="0"/>
    <dataField name="Somme de Value (Cur)" fld="2" baseField="0" baseItem="0" numFmtId="166"/>
  </dataFields>
  <formats count="5">
    <format dxfId="19">
      <pivotArea field="0" type="button" dataOnly="0" labelOnly="1" outline="0" axis="axisRow" fieldPosition="0"/>
    </format>
    <format dxfId="18">
      <pivotArea dataOnly="0" labelOnly="1" outline="0" fieldPosition="0">
        <references count="1">
          <reference field="4294967294" count="1">
            <x v="0"/>
          </reference>
        </references>
      </pivotArea>
    </format>
    <format dxfId="17">
      <pivotArea dataOnly="0" outline="0" fieldPosition="0">
        <references count="1">
          <reference field="4294967294" count="2">
            <x v="1"/>
            <x v="2"/>
          </reference>
        </references>
      </pivotArea>
    </format>
    <format dxfId="16">
      <pivotArea outline="0" collapsedLevelsAreSubtotals="1" fieldPosition="0">
        <references count="1">
          <reference field="4294967294" count="1" selected="0">
            <x v="2"/>
          </reference>
        </references>
      </pivotArea>
    </format>
    <format dxfId="15">
      <pivotArea outline="0" collapsedLevelsAreSubtotals="1" fieldPosition="0">
        <references count="1">
          <reference field="4294967294" count="1" selected="0">
            <x v="0"/>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6FE8C0-AEC3-43BB-A224-098A9E9BB21A}" name="Tableau croisé dynamique1" cacheId="5" applyNumberFormats="0" applyBorderFormats="0" applyFontFormats="0" applyPatternFormats="0" applyAlignmentFormats="0" applyWidthHeightFormats="1" dataCaption="Valeurs" errorCaption="-" showError="1" missingCaption="0" updatedVersion="8" minRefreshableVersion="3" itemPrintTitles="1" createdVersion="8" indent="0" outline="1" outlineData="1" multipleFieldFilters="0" chartFormat="1" rowHeaderCaption="Raw material" customListSort="0">
  <location ref="B81:E84" firstHeaderRow="0" firstDataRow="1" firstDataCol="1"/>
  <pivotFields count="4">
    <pivotField axis="axisRow" showAll="0">
      <items count="3">
        <item x="1"/>
        <item x="0"/>
        <item t="default"/>
      </items>
    </pivotField>
    <pivotField dataField="1" showAll="0"/>
    <pivotField dataField="1" showAll="0"/>
    <pivotField dataField="1" dragToRow="0" dragToCol="0" dragToPage="0" showAll="0" defaultSubtotal="0"/>
  </pivotFields>
  <rowFields count="1">
    <field x="0"/>
  </rowFields>
  <rowItems count="3">
    <i>
      <x/>
    </i>
    <i>
      <x v="1"/>
    </i>
    <i t="grand">
      <x/>
    </i>
  </rowItems>
  <colFields count="1">
    <field x="-2"/>
  </colFields>
  <colItems count="3">
    <i>
      <x/>
    </i>
    <i i="1">
      <x v="1"/>
    </i>
    <i i="2">
      <x v="2"/>
    </i>
  </colItems>
  <dataFields count="3">
    <dataField name="Somme de Total Weight (kg)" fld="1" baseField="0" baseItem="0"/>
    <dataField name="Material rate (Cur/Kg)" fld="3" baseField="0" baseItem="0"/>
    <dataField name="Somme de Value (Cur)" fld="2" baseField="0" baseItem="0"/>
  </dataFields>
  <formats count="6">
    <format dxfId="14">
      <pivotArea field="0" type="button" dataOnly="0" labelOnly="1" outline="0" axis="axisRow" fieldPosition="0"/>
    </format>
    <format dxfId="13">
      <pivotArea collapsedLevelsAreSubtotals="1" fieldPosition="0">
        <references count="2">
          <reference field="4294967294" count="1" selected="0">
            <x v="0"/>
          </reference>
          <reference field="0" count="0"/>
        </references>
      </pivotArea>
    </format>
    <format dxfId="12">
      <pivotArea field="0" grandRow="1" outline="0" collapsedLevelsAreSubtotals="1" axis="axisRow" fieldPosition="0">
        <references count="1">
          <reference field="4294967294" count="1" selected="0">
            <x v="0"/>
          </reference>
        </references>
      </pivotArea>
    </format>
    <format dxfId="11">
      <pivotArea field="0" grandRow="1" outline="0" collapsedLevelsAreSubtotals="1" axis="axisRow" fieldPosition="0">
        <references count="1">
          <reference field="4294967294" count="1" selected="0">
            <x v="2"/>
          </reference>
        </references>
      </pivotArea>
    </format>
    <format dxfId="10">
      <pivotArea collapsedLevelsAreSubtotals="1" fieldPosition="0">
        <references count="2">
          <reference field="4294967294" count="1" selected="0">
            <x v="2"/>
          </reference>
          <reference field="0" count="0"/>
        </references>
      </pivotArea>
    </format>
    <format dxfId="9">
      <pivotArea dataOnly="0" labelOnly="1" outline="0" fieldPosition="0">
        <references count="1">
          <reference field="4294967294" count="1">
            <x v="0"/>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D16FEF-A18A-4620-A444-5675F0F0DB28}" name="Tableau croisé dynamique4" cacheId="8" applyNumberFormats="0" applyBorderFormats="0" applyFontFormats="0" applyPatternFormats="0" applyAlignmentFormats="0" applyWidthHeightFormats="1" dataCaption="Valeurs" errorCaption="-" showError="1" missingCaption="0" updatedVersion="8" minRefreshableVersion="3" itemPrintTitles="1" createdVersion="8" indent="0" outline="1" outlineData="1" multipleFieldFilters="0" rowHeaderCaption="Purchasing --&gt; Invoice currency">
  <location ref="B93:C96" firstHeaderRow="1" firstDataRow="1" firstDataCol="1"/>
  <pivotFields count="3">
    <pivotField axis="axisRow" showAll="0">
      <items count="4">
        <item m="1" x="2"/>
        <item x="0"/>
        <item x="1"/>
        <item t="default"/>
      </items>
    </pivotField>
    <pivotField showAll="0"/>
    <pivotField dataField="1" showAll="0"/>
  </pivotFields>
  <rowFields count="1">
    <field x="0"/>
  </rowFields>
  <rowItems count="3">
    <i>
      <x v="1"/>
    </i>
    <i>
      <x v="2"/>
    </i>
    <i t="grand">
      <x/>
    </i>
  </rowItems>
  <colItems count="1">
    <i/>
  </colItems>
  <dataFields count="1">
    <dataField name="Max. de Exchange rate" fld="2" subtotal="max" baseField="0" baseItem="0"/>
  </dataFields>
  <formats count="3">
    <format dxfId="5">
      <pivotArea dataOnly="0" labelOnly="1" fieldPosition="0">
        <references count="1">
          <reference field="0" count="0"/>
        </references>
      </pivotArea>
    </format>
    <format dxfId="4">
      <pivotArea field="0" type="button" dataOnly="0" labelOnly="1" outline="0" axis="axisRow" fieldPosition="0"/>
    </format>
    <format dxfId="3">
      <pivotArea grandRow="1"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E6769E-9D17-46C4-976A-4C3D41A4C8DD}" name="Tableau croisé dynamique1" cacheId="1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7:G20" firstHeaderRow="0" firstDataRow="1" firstDataCol="1"/>
  <pivotFields count="8">
    <pivotField axis="axisRow" showAll="0">
      <items count="4">
        <item x="1"/>
        <item x="2"/>
        <item x="0"/>
        <item t="default"/>
      </items>
    </pivotField>
    <pivotField axis="axisRow" showAll="0">
      <items count="8">
        <item x="6"/>
        <item x="4"/>
        <item x="5"/>
        <item x="2"/>
        <item x="3"/>
        <item x="0"/>
        <item x="1"/>
        <item t="default"/>
      </items>
    </pivotField>
    <pivotField dataField="1" numFmtId="1" showAll="0"/>
    <pivotField dataField="1" numFmtId="1" showAll="0"/>
    <pivotField dataField="1" numFmtId="1" showAll="0"/>
    <pivotField dataField="1" numFmtId="1" showAll="0"/>
    <pivotField dataField="1" numFmtId="1" showAll="0"/>
    <pivotField dataField="1" numFmtId="1" showAll="0"/>
  </pivotFields>
  <rowFields count="2">
    <field x="0"/>
    <field x="1"/>
  </rowFields>
  <rowItems count="13">
    <i>
      <x/>
    </i>
    <i r="1">
      <x v="1"/>
    </i>
    <i>
      <x v="1"/>
    </i>
    <i r="1">
      <x/>
    </i>
    <i r="1">
      <x v="1"/>
    </i>
    <i r="1">
      <x v="2"/>
    </i>
    <i>
      <x v="2"/>
    </i>
    <i r="1">
      <x v="1"/>
    </i>
    <i r="1">
      <x v="3"/>
    </i>
    <i r="1">
      <x v="4"/>
    </i>
    <i r="1">
      <x v="5"/>
    </i>
    <i r="1">
      <x v="6"/>
    </i>
    <i t="grand">
      <x/>
    </i>
  </rowItems>
  <colFields count="1">
    <field x="-2"/>
  </colFields>
  <colItems count="6">
    <i>
      <x/>
    </i>
    <i i="1">
      <x v="1"/>
    </i>
    <i i="2">
      <x v="2"/>
    </i>
    <i i="3">
      <x v="3"/>
    </i>
    <i i="4">
      <x v="4"/>
    </i>
    <i i="5">
      <x v="5"/>
    </i>
  </colItems>
  <dataFields count="6">
    <dataField name="Somme de Y1" fld="2" baseField="0" baseItem="0"/>
    <dataField name="Somme de Y2" fld="3" baseField="0" baseItem="0"/>
    <dataField name="Somme de Y3" fld="4" baseField="0" baseItem="0"/>
    <dataField name="Somme de Y4" fld="5" baseField="0" baseItem="0"/>
    <dataField name="Somme de Y5" fld="6" baseField="0" baseItem="0"/>
    <dataField name="Somme de Y6" fld="7" baseField="0" baseItem="0"/>
  </dataFields>
  <formats count="3">
    <format dxfId="2">
      <pivotArea outline="0" collapsedLevelsAreSubtotals="1" fieldPosition="0"/>
    </format>
    <format dxfId="1">
      <pivotArea outline="0" collapsedLevelsAreSubtotals="1" fieldPosition="0"/>
    </format>
    <format dxfId="0">
      <pivotArea collapsedLevelsAreSubtotals="1" fieldPosition="0">
        <references count="2">
          <reference field="0" count="1" selected="0">
            <x v="0"/>
          </reference>
          <reference field="1" count="1">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4" xr16:uid="{00000000-0016-0000-0B00-000000000000}" autoFormatId="16" applyNumberFormats="0" applyBorderFormats="0" applyFontFormats="0" applyPatternFormats="0" applyAlignmentFormats="0" applyWidthHeightFormats="0">
  <queryTableRefresh nextId="116">
    <queryTableFields count="115">
      <queryTableField id="1" name="Project duration" tableColumnId="1"/>
      <queryTableField id="2" name="Request Type" tableColumnId="2"/>
      <queryTableField id="3" name="Quote ID" tableColumnId="3"/>
      <queryTableField id="4" name="File index" tableColumnId="4"/>
      <queryTableField id="5" name="Project name" tableColumnId="5"/>
      <queryTableField id="6" name="Customer part number" tableColumnId="6"/>
      <queryTableField id="7" name="Quote Type" tableColumnId="7"/>
      <queryTableField id="8" name="Program Type" tableColumnId="8"/>
      <queryTableField id="9" name="Product line/product" tableColumnId="9"/>
      <queryTableField id="10" name="Application" tableColumnId="10"/>
      <queryTableField id="11" name="Sector of activity" tableColumnId="11"/>
      <queryTableField id="12" name="Assembly Level" tableColumnId="12"/>
      <queryTableField id="13" name="Customer" tableColumnId="13"/>
      <queryTableField id="14" name="Customer location" tableColumnId="14"/>
      <queryTableField id="15" name="AVO Production plant" tableColumnId="15"/>
      <queryTableField id="16" name="Costing currency" tableColumnId="16"/>
      <queryTableField id="17" name="Years " tableColumnId="17"/>
      <queryTableField id="18" name="Years" tableColumnId="18"/>
      <queryTableField id="19" name="Qtes" tableColumnId="19"/>
      <queryTableField id="20" name="Sales price" tableColumnId="20"/>
      <queryTableField id="21" name="Indexed material " tableColumnId="21"/>
      <queryTableField id="22" name="Packaging and transportation" tableColumnId="22"/>
      <queryTableField id="23" name="Part impacted by productivity" tableColumnId="23"/>
      <queryTableField id="24" name="Commercial Productivity " tableColumnId="24"/>
      <queryTableField id="25" name="Amortization on 3 years at  12%" tableColumnId="25"/>
      <queryTableField id="26" name="Sales (kEUR)" tableColumnId="26"/>
      <queryTableField id="27" name="Column11" tableColumnId="27"/>
      <queryTableField id="28" name="RM including supplier productivity " tableColumnId="28"/>
      <queryTableField id="29" name="Packaging" tableColumnId="29"/>
      <queryTableField id="30" name="Total Material " tableColumnId="30"/>
      <queryTableField id="31" name="Total material (%)" tableColumnId="31"/>
      <queryTableField id="32" name="Column16" tableColumnId="32"/>
      <queryTableField id="33" name="DL (direct labor)" tableColumnId="33"/>
      <queryTableField id="34" name="DL (%)" tableColumnId="34"/>
      <queryTableField id="35" name="VOH (variable overhead)" tableColumnId="35"/>
      <queryTableField id="36" name="VOH (%)" tableColumnId="36"/>
      <queryTableField id="37" name="Column21" tableColumnId="37"/>
      <queryTableField id="38" name="RM transportation cost (inbound)" tableColumnId="38"/>
      <queryTableField id="39" name="Transportation cost (outbound)" tableColumnId="39"/>
      <queryTableField id="40" name="Total transportation" tableColumnId="40"/>
      <queryTableField id="41" name="Total transportation (%)" tableColumnId="41"/>
      <queryTableField id="42" name="Column26" tableColumnId="42"/>
      <queryTableField id="43" name="GMDC" tableColumnId="43"/>
      <queryTableField id="44" name="GMDC (%)" tableColumnId="44"/>
      <queryTableField id="45" name="Column29" tableColumnId="45"/>
      <queryTableField id="46" name="FOH + Administration fees" tableColumnId="46"/>
      <queryTableField id="47" name="FOH+Admin (%)" tableColumnId="47"/>
      <queryTableField id="48" name="Management Fees" tableColumnId="48"/>
      <queryTableField id="49" name="Management Fees (%)" tableColumnId="49"/>
      <queryTableField id="50" name="Column34" tableColumnId="50"/>
      <queryTableField id="51" name="EBITDA" tableColumnId="51"/>
      <queryTableField id="52" name="EBITDA (%)" tableColumnId="52"/>
      <queryTableField id="53" name="Column37" tableColumnId="53"/>
      <queryTableField id="54" name="Depreciation" tableColumnId="54"/>
      <queryTableField id="55" name="Financial cost" tableColumnId="55"/>
      <queryTableField id="56" name="Column40" tableColumnId="56"/>
      <queryTableField id="57" name="Operating Income" tableColumnId="57"/>
      <queryTableField id="58" name="Operating income (%)" tableColumnId="58"/>
      <queryTableField id="59" name="Column43" tableColumnId="59"/>
      <queryTableField id="60" name="Taxes" tableColumnId="60"/>
      <queryTableField id="61" name="Column45" tableColumnId="61"/>
      <queryTableField id="62" name="Net result" tableColumnId="62"/>
      <queryTableField id="63" name="Net result (%)" tableColumnId="63"/>
      <queryTableField id="64" name="Column48" tableColumnId="64"/>
      <queryTableField id="65" name="EBITDA_1" tableColumnId="65"/>
      <queryTableField id="66" name="Company tax" tableColumnId="66"/>
      <queryTableField id="67" name="CAPEX" tableColumnId="67"/>
      <queryTableField id="68" name="DTWC" tableColumnId="68"/>
      <queryTableField id="69" name="Financial cost_2" tableColumnId="69"/>
      <queryTableField id="70" name="Tax on dividend" tableColumnId="70"/>
      <queryTableField id="71" name="Cash " tableColumnId="71"/>
      <queryTableField id="72" name="Cum cash " tableColumnId="72"/>
      <queryTableField id="73" name="ROCE" tableColumnId="73"/>
      <queryTableField id="74" name="Column61" tableColumnId="74"/>
      <queryTableField id="75" name="Column62" tableColumnId="75"/>
      <queryTableField id="76" name="AVOCAPEX +TOOL" tableColumnId="76"/>
      <queryTableField id="77" name="Depreciation Y1" tableColumnId="77"/>
      <queryTableField id="78" name="Depreciation Y2" tableColumnId="78"/>
      <queryTableField id="79" name="Depreciation Y3" tableColumnId="79"/>
      <queryTableField id="80" name="Depreciation Y4" tableColumnId="80"/>
      <queryTableField id="81" name="Depreciation Y5" tableColumnId="81"/>
      <queryTableField id="82" name="Depreciation_3" tableColumnId="82"/>
      <queryTableField id="83" name="Column70" tableColumnId="83"/>
      <queryTableField id="84" name="Capex paid by customer" tableColumnId="84"/>
      <queryTableField id="85" name="Components &quot;specific&quot; Tooling cost (at supplier or AVO)" tableColumnId="85"/>
      <queryTableField id="86" name="Margin (%)" tableColumnId="86"/>
      <queryTableField id="87" name="Components &quot;specific&quot; Tooling sold to customer " tableColumnId="87"/>
      <queryTableField id="88" name="Process &quot;specific&quot; tooling cost (assembly line,…)" tableColumnId="88"/>
      <queryTableField id="89" name="Margin (%)_4" tableColumnId="89"/>
      <queryTableField id="90" name="Process &quot;specific&quot; tooling sold to customer " tableColumnId="90"/>
      <queryTableField id="91" name="Components and process &quot;standard&quot; equipement cost" tableColumnId="91"/>
      <queryTableField id="92" name="Margin (%)_5" tableColumnId="92"/>
      <queryTableField id="93" name="Components and process &quot;standard&quot; equipement sold to customer" tableColumnId="93"/>
      <queryTableField id="94" name="Packaging tooling &amp; returnable package" tableColumnId="94"/>
      <queryTableField id="95" name="Margin (%)_6" tableColumnId="95"/>
      <queryTableField id="96" name="Packaging tooling &amp; returnable package sold to customer" tableColumnId="96"/>
      <queryTableField id="97" name="Development cost" tableColumnId="97"/>
      <queryTableField id="98" name="Margin (%)_7" tableColumnId="98"/>
      <queryTableField id="99" name="Development cost sold to customer" tableColumnId="99"/>
      <queryTableField id="100" name="Total CAPEX supported by Customer" tableColumnId="100"/>
      <queryTableField id="101" name="Column88" tableColumnId="101"/>
      <queryTableField id="102" name="Capex supported by AVO Carbon" tableColumnId="102"/>
      <queryTableField id="103" name="Process tooling at AVO charge (at supplier or AVO)" tableColumnId="103"/>
      <queryTableField id="104" name="Process equipment @AVO Charge" tableColumnId="104"/>
      <queryTableField id="105" name="Business link" tableColumnId="105"/>
      <queryTableField id="106" name="Total CAPEX supported by AVO Carbon" tableColumnId="106"/>
      <queryTableField id="107" name="Column94" tableColumnId="107"/>
      <queryTableField id="108" name="Trade working capital" tableColumnId="108"/>
      <queryTableField id="109" name="AP (account payable to suppliers)" tableColumnId="109"/>
      <queryTableField id="110" name="AR (account receivable from customer)" tableColumnId="110"/>
      <queryTableField id="111" name="FP (value of finished product inventory)" tableColumnId="111"/>
      <queryTableField id="112" name="WIP (Value of work in progress inventory)" tableColumnId="112"/>
      <queryTableField id="113" name="RM (Value of the Stock of raw material components)" tableColumnId="113"/>
      <queryTableField id="114" name="Total TWC (Trade working capital: cash needed to run the project)" tableColumnId="114"/>
      <queryTableField id="115" name="DTWC (variation of the cash needed to run the project)" tableColumnId="1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3" xr16:uid="{00000000-0016-0000-0F00-000001000000}" autoFormatId="16" applyNumberFormats="0" applyBorderFormats="0" applyFontFormats="0" applyPatternFormats="0" applyAlignmentFormats="0" applyWidthHeightFormats="0">
  <queryTableRefresh nextId="61">
    <queryTableFields count="60">
      <queryTableField id="1" name="Year" tableColumnId="1"/>
      <queryTableField id="2" name="Request Type" tableColumnId="2"/>
      <queryTableField id="3" name="Quote ID" tableColumnId="3"/>
      <queryTableField id="4" name="Quote revision" tableColumnId="4"/>
      <queryTableField id="5" name="File index" tableColumnId="5"/>
      <queryTableField id="6" name="Project name" tableColumnId="6"/>
      <queryTableField id="7" name="Customer part number" tableColumnId="7"/>
      <queryTableField id="8" name="Quote Type" tableColumnId="8"/>
      <queryTableField id="9" name="Program Type" tableColumnId="9"/>
      <queryTableField id="10" name="Product line/product" tableColumnId="10"/>
      <queryTableField id="11" name="Application" tableColumnId="11"/>
      <queryTableField id="12" name="Sector of activity" tableColumnId="12"/>
      <queryTableField id="13" name="Assembly Level" tableColumnId="13"/>
      <queryTableField id="14" name="Customer" tableColumnId="14"/>
      <queryTableField id="15" name="Customer location" tableColumnId="15"/>
      <queryTableField id="16" name="AVO Production plant" tableColumnId="16"/>
      <queryTableField id="17" name="Costing currency" tableColumnId="17"/>
      <queryTableField id="18" name="Incoterm" tableColumnId="18"/>
      <queryTableField id="19" name="ROCE" tableColumnId="19"/>
      <queryTableField id="20" name="Years" tableColumnId="20"/>
      <queryTableField id="21" name="Qtes" tableColumnId="21"/>
      <queryTableField id="22" name="Productivity" tableColumnId="22"/>
      <queryTableField id="23" name="Part impacted by productivity" tableColumnId="23"/>
      <queryTableField id="24" name="Packaging and transportation" tableColumnId="24"/>
      <queryTableField id="25" name="Indexed material" tableColumnId="25"/>
      <queryTableField id="26" name="Final price" tableColumnId="26"/>
      <queryTableField id="27" name="Amortization during 3 years at 12% interest rate" tableColumnId="27"/>
      <queryTableField id="28" name="Sales (kEUR)" tableColumnId="28"/>
      <queryTableField id="29" name="Total Material" tableColumnId="29"/>
      <queryTableField id="30" name="Material rate" tableColumnId="30"/>
      <queryTableField id="31" name="DL" tableColumnId="31"/>
      <queryTableField id="32" name="DL (%)" tableColumnId="32"/>
      <queryTableField id="33" name="VOH" tableColumnId="33"/>
      <queryTableField id="34" name="VOH (%)" tableColumnId="34"/>
      <queryTableField id="35" name="Total transportation" tableColumnId="35"/>
      <queryTableField id="36" name="Total transportation (%)" tableColumnId="36"/>
      <queryTableField id="37" name="GMDC" tableColumnId="37"/>
      <queryTableField id="38" name="GMDC (%)" tableColumnId="38"/>
      <queryTableField id="39" name="FOH + Admin" tableColumnId="39"/>
      <queryTableField id="40" name="FOH + Admin (%)" tableColumnId="40"/>
      <queryTableField id="41" name="Fees" tableColumnId="41"/>
      <queryTableField id="42" name="Fees (%)" tableColumnId="42"/>
      <queryTableField id="43" name="EBITDA" tableColumnId="43"/>
      <queryTableField id="44" name="EBITDA (%)" tableColumnId="44"/>
      <queryTableField id="45" name="Depreciation" tableColumnId="45"/>
      <queryTableField id="46" name="Financial cost" tableColumnId="46"/>
      <queryTableField id="47" name="Operating Income" tableColumnId="47"/>
      <queryTableField id="48" name="Operating Income (%)" tableColumnId="48"/>
      <queryTableField id="49" name="Taxes" tableColumnId="49"/>
      <queryTableField id="50" name="Net result" tableColumnId="50"/>
      <queryTableField id="51" name="Net result (%)" tableColumnId="51"/>
      <queryTableField id="52" name="EBITDA_1" tableColumnId="52"/>
      <queryTableField id="53" name="Company tax" tableColumnId="53"/>
      <queryTableField id="54" name="CAPEX" tableColumnId="54"/>
      <queryTableField id="55" name="DTWC" tableColumnId="55"/>
      <queryTableField id="56" name="Financial cost_2" tableColumnId="56"/>
      <queryTableField id="57" name="Tax on dividend" tableColumnId="57"/>
      <queryTableField id="58" name="Cash" tableColumnId="58"/>
      <queryTableField id="59" name="Cum cash" tableColumnId="59"/>
      <queryTableField id="60" name="DTWC (%)" tableColumnId="60"/>
    </queryTableFields>
  </queryTableRefresh>
  <extLst>
    <ext xmlns:x15="http://schemas.microsoft.com/office/spreadsheetml/2010/11/main" uri="{883FBD77-0823-4a55-B5E3-86C4891E6966}">
      <x15:queryTable sourceDataName="Requête - Export_database"/>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search?q=euro+usd&amp;cvid=20db6747e0064a5cb6cb26c851bf6169&amp;aqs=edge.0.0l9.2890j0j1&amp;pglt=43&amp;FORM=ANNAB1&amp;PC=DCTS" preserveFormatting="0" connectionId="1" xr16:uid="{00000000-0016-0000-1300-000002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2" xr16:uid="{00000000-0016-0000-1400-000003000000}" autoFormatId="16" applyNumberFormats="0" applyBorderFormats="0" applyFontFormats="0" applyPatternFormats="0" applyAlignmentFormats="0" applyWidthHeightFormats="0">
  <queryTableRefresh nextId="65">
    <queryTableFields count="64">
      <queryTableField id="1" name="Group" tableColumnId="1"/>
      <queryTableField id="2" name="Product line" tableColumnId="2"/>
      <queryTableField id="3" name="Sub-family" tableColumnId="3"/>
      <queryTableField id="4" name="Concatener" tableColumnId="4"/>
      <queryTableField id="5" name="China + South pacific" tableColumnId="5"/>
      <queryTableField id="6" name="Korea / Japan" tableColumnId="6"/>
      <queryTableField id="7" name="Europe" tableColumnId="7"/>
      <queryTableField id="8" name="India" tableColumnId="8"/>
      <queryTableField id="9" name="North America " tableColumnId="9"/>
      <queryTableField id="10" name="South America " tableColumnId="10"/>
      <queryTableField id="11" name="0" tableColumnId="11"/>
      <queryTableField id="12" name="Product line2" tableColumnId="12"/>
      <queryTableField id="13" name="Sub-family2" tableColumnId="13"/>
      <queryTableField id="14" name="(%) Ebit target" tableColumnId="14"/>
      <queryTableField id="15" name="ROCE Target" tableColumnId="15"/>
      <queryTableField id="16" name="In line loss of Productivity " tableColumnId="16"/>
      <queryTableField id="17" name="In line scrap " tableColumnId="17"/>
      <queryTableField id="18" name="WIP in the plant" tableColumnId="18"/>
      <queryTableField id="19" name="Colonne3" tableColumnId="19"/>
      <queryTableField id="20" name="Small Sales" tableColumnId="20"/>
      <queryTableField id="21" name="Big Sales" tableColumnId="21"/>
      <queryTableField id="22" name="Colonne4" tableColumnId="22"/>
      <queryTableField id="23" name="Colonne5" tableColumnId="23"/>
      <queryTableField id="24" name="Colonne6" tableColumnId="24"/>
      <queryTableField id="25" name="Colonne7" tableColumnId="25"/>
      <queryTableField id="26" name="Colonne8" tableColumnId="26"/>
      <queryTableField id="27" name="Colonne9" tableColumnId="27"/>
      <queryTableField id="28" name="Colonne10" tableColumnId="28"/>
      <queryTableField id="29" name="Colonne11" tableColumnId="29"/>
      <queryTableField id="30" name="Colonne12" tableColumnId="30"/>
      <queryTableField id="31" name="Colonne13" tableColumnId="31"/>
      <queryTableField id="32" name="Colonne14" tableColumnId="32"/>
      <queryTableField id="33" name="Colonne15" tableColumnId="33"/>
      <queryTableField id="34" name="Colonne16" tableColumnId="34"/>
      <queryTableField id="35" name="Colonne17" tableColumnId="35"/>
      <queryTableField id="36" name="Colonne18" tableColumnId="36"/>
      <queryTableField id="37" name="Colonne19" tableColumnId="37"/>
      <queryTableField id="38" name="Colonne20" tableColumnId="38"/>
      <queryTableField id="39" name="Colonne21" tableColumnId="39"/>
      <queryTableField id="40" name="Colonne22" tableColumnId="40"/>
      <queryTableField id="41" name="Colonne23" tableColumnId="41"/>
      <queryTableField id="42" name="Colonne24" tableColumnId="42"/>
      <queryTableField id="43" name="Colonne25" tableColumnId="43"/>
      <queryTableField id="44" name="Colonne26" tableColumnId="44"/>
      <queryTableField id="45" name="Colonne27" tableColumnId="45"/>
      <queryTableField id="46" name="Colonne28" tableColumnId="46"/>
      <queryTableField id="47" name="Colonne29" tableColumnId="47"/>
      <queryTableField id="48" name="% of material" tableColumnId="48"/>
      <queryTableField id="49" name="% non local mateial" tableColumnId="49"/>
      <queryTableField id="50" name="Colonne30" tableColumnId="50"/>
      <queryTableField id="51" name="&gt;TO (K€)" tableColumnId="51"/>
      <queryTableField id="52" name="&gt; AVO CAPEX (K€)" tableColumnId="52"/>
      <queryTableField id="53" name="&gt; TWC (K€)" tableColumnId="53"/>
      <queryTableField id="54" name="&gt; AR (K€)" tableColumnId="54"/>
      <queryTableField id="55" name="Strategy" tableColumnId="62"/>
      <queryTableField id="56" name="&gt;TO (K€)31" tableColumnId="55"/>
      <queryTableField id="57" name="&gt; AVO CAPEX (K€)32" tableColumnId="56"/>
      <queryTableField id="58" name="&gt; TWC (K€)33" tableColumnId="57"/>
      <queryTableField id="59" name="&gt; AR (K€)34" tableColumnId="58"/>
      <queryTableField id="60" name="Strategy2" tableColumnId="59"/>
      <queryTableField id="61" name="Colonne36" tableColumnId="60"/>
      <queryTableField id="62" name="Colonne37" tableColumnId="61"/>
      <queryTableField id="64" name="Item Type" tableColumnId="63"/>
      <queryTableField id="63" name="Path" tableColumnId="64"/>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CDB3F9A-16F8-483D-9337-3D41C47B73B5}" name="Compil_indexation" displayName="Compil_indexation" ref="AQ77:AS133" totalsRowShown="0" headerRowDxfId="190">
  <autoFilter ref="AQ77:AS133" xr:uid="{FCDB3F9A-16F8-483D-9337-3D41C47B73B5}"/>
  <tableColumns count="3">
    <tableColumn id="1" xr3:uid="{A30B8F8F-B780-43DB-A742-B6A32296BDBC}" name="Material"/>
    <tableColumn id="3" xr3:uid="{91FC2486-6437-4486-AF1D-B5C427394BEC}" name="Total Weight (kg)"/>
    <tableColumn id="9" xr3:uid="{D736B06A-3E93-4EAC-954D-5E9A7D336E86}" name="Value (Cur)"/>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3F22F56-130E-4432-A873-68BAA3539472}" name="Invest_retainer" displayName="Invest_retainer" ref="AM4:AP9" totalsRowShown="0">
  <autoFilter ref="AM4:AP9" xr:uid="{905393F3-18F8-4BDB-91F6-09E367B23DD4}"/>
  <tableColumns count="4">
    <tableColumn id="1" xr3:uid="{FF4B2566-F2AB-4CB0-A652-A955838C1143}" name="selection">
      <calculatedColumnFormula>IF(AND($G$5&lt;AN5,$G$5&gt;AN4),"VRAI","FAUX")</calculatedColumnFormula>
    </tableColumn>
    <tableColumn id="2" xr3:uid="{0CC52F55-573E-43F9-B007-10D549012132}" name="Volume (KP)"/>
    <tableColumn id="3" xr3:uid="{7592C8E4-C42B-411C-BCF7-14A3E1D5C079}" name="Invest (K€)"/>
    <tableColumn id="4" xr3:uid="{7C81148E-3D48-41E5-BEAF-FF56D7562727}" name="Warranty (Kpcs)"/>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9579B9E-D596-46CB-A765-57A7780D1FE4}" name="tran_conv_site_zone" displayName="tran_conv_site_zone" ref="AR83:AT95" totalsRowShown="0">
  <autoFilter ref="AR83:AT95" xr:uid="{69579B9E-D596-46CB-A765-57A7780D1FE4}"/>
  <tableColumns count="3">
    <tableColumn id="1" xr3:uid="{C47B4143-9D8E-4AF6-9E9D-97269EB9D031}" name="Colonne1" dataDxfId="174">
      <calculatedColumnFormula>'Financials Parameters'!I5</calculatedColumnFormula>
    </tableColumn>
    <tableColumn id="2" xr3:uid="{1E94A7BE-759D-4FC2-B7E5-0E8ED32778AF}" name="Colonne2"/>
    <tableColumn id="3" xr3:uid="{860203B0-C39C-4CB1-AB11-57C95721A99D}" name="Colonne3" dataDxfId="173"/>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AF4FD88-F825-49B0-85D4-A6512AB956B8}" name="Output_for_SALES_PM" displayName="Output_for_SALES_PM" ref="A22:H123" totalsRowShown="0" headerRowDxfId="172" dataDxfId="171" tableBorderDxfId="170">
  <autoFilter ref="A22:H123" xr:uid="{6EB02114-BDE9-443F-AA0D-FFF995BC57BE}"/>
  <tableColumns count="8">
    <tableColumn id="1" xr3:uid="{B0F900F9-2B1C-450E-89F7-83D88CF4009C}" name="Years " dataDxfId="169"/>
    <tableColumn id="2" xr3:uid="{34DD3E62-04D1-4FB2-862A-C19FC209A9C3}" name="Pre-launch"/>
    <tableColumn id="3" xr3:uid="{26F22E6E-436E-4B32-AA18-19AB8553318D}" name="SOP/Y1" dataDxfId="168"/>
    <tableColumn id="4" xr3:uid="{244E3FF5-CF89-4C78-880C-9A31EBAD8619}" name="Y2" dataDxfId="167"/>
    <tableColumn id="5" xr3:uid="{E008305B-66A9-4B40-83F0-7CCE8CC41BD9}" name="Y3" dataDxfId="166"/>
    <tableColumn id="6" xr3:uid="{946E74EF-14BE-43A1-9D89-EE0A3C84721A}" name="Y4" dataDxfId="165"/>
    <tableColumn id="7" xr3:uid="{CB7E6A80-A3D6-488E-A413-95221D1E022B}" name="Y5" dataDxfId="164"/>
    <tableColumn id="8" xr3:uid="{135AF889-2658-49DD-AD82-5F0F06090846}" name="EOL"/>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E280F89-3FBB-42E1-8E20-D0081D6B820B}" name="Tableau5" displayName="Tableau5" ref="A5:H20" totalsRowShown="0" headerRowDxfId="163" dataDxfId="162">
  <autoFilter ref="A5:H20" xr:uid="{AE280F89-3FBB-42E1-8E20-D0081D6B820B}"/>
  <tableColumns count="8">
    <tableColumn id="1" xr3:uid="{10638139-B7B0-495E-83F2-CB461101804E}" name="Project duration" dataDxfId="161"/>
    <tableColumn id="2" xr3:uid="{9024969C-96A0-4C84-AF5E-B53884C376AF}" name="Pre-launch" dataDxfId="160"/>
    <tableColumn id="3" xr3:uid="{0C9EAA68-6C0F-4537-AEFA-28D07B6D7CD6}" name="SOP/Y1" dataDxfId="159"/>
    <tableColumn id="4" xr3:uid="{CA47A6BB-0F97-457A-AE9E-A2400C49391F}" name="Y2" dataDxfId="158"/>
    <tableColumn id="5" xr3:uid="{80CFCB3F-2364-4735-AA22-A1D8C8C1311D}" name="Y3" dataDxfId="157"/>
    <tableColumn id="6" xr3:uid="{BCC48FB8-1EA6-4BFD-AC60-52F4C2B55A75}" name="Y4" dataDxfId="156"/>
    <tableColumn id="7" xr3:uid="{CA46F783-4F2C-4F33-BF03-646BA86C722A}" name="Y5" dataDxfId="155"/>
    <tableColumn id="8" xr3:uid="{7207C9E9-7A9D-43D3-A1CF-521937830E4D}" name="EOL" dataDxfId="15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A2F03CE-A423-49A7-8602-4EAE1AB269AF}" name="Category_output" displayName="Category_output" ref="A1:DK8" tableType="queryTable" totalsRowShown="0">
  <autoFilter ref="A1:DK8" xr:uid="{2A2F03CE-A423-49A7-8602-4EAE1AB269AF}"/>
  <tableColumns count="115">
    <tableColumn id="1" xr3:uid="{2C70F693-F75C-4731-8F06-D3CE4CCEFD36}" uniqueName="1" name="Project duration" queryTableFieldId="1" dataDxfId="153"/>
    <tableColumn id="2" xr3:uid="{AA8532F4-5996-471C-AB73-EBEC604D0B34}" uniqueName="2" name="Request Type" queryTableFieldId="2"/>
    <tableColumn id="3" xr3:uid="{D84619B6-C0B3-440C-AE83-FEE405F9ED0B}" uniqueName="3" name="Quote ID" queryTableFieldId="3" dataDxfId="152"/>
    <tableColumn id="4" xr3:uid="{551076A9-0529-4D31-8323-4F06EAA18C98}" uniqueName="4" name="File index" queryTableFieldId="4"/>
    <tableColumn id="5" xr3:uid="{32808678-0711-4F51-AB35-F9B1D1B1C55F}" uniqueName="5" name="Project name" queryTableFieldId="5" dataDxfId="151"/>
    <tableColumn id="6" xr3:uid="{C21E562C-722A-49D5-945E-37EA63B899A8}" uniqueName="6" name="Customer part number" queryTableFieldId="6"/>
    <tableColumn id="7" xr3:uid="{0389EBDE-6CBA-4BC3-B720-325DA71D87E6}" uniqueName="7" name="Quote Type" queryTableFieldId="7"/>
    <tableColumn id="8" xr3:uid="{AD9415B9-94BF-42F3-A0FD-A18705E63652}" uniqueName="8" name="Program Type" queryTableFieldId="8"/>
    <tableColumn id="9" xr3:uid="{FE693485-DCF3-4426-A532-64C45D013128}" uniqueName="9" name="Product line/product" queryTableFieldId="9"/>
    <tableColumn id="10" xr3:uid="{BFD16C0B-2A67-484E-8D6A-23E5A2A95DC1}" uniqueName="10" name="Application" queryTableFieldId="10"/>
    <tableColumn id="11" xr3:uid="{237A2EC2-99DA-4F54-8EB1-B29D47D9BD60}" uniqueName="11" name="Sector of activity" queryTableFieldId="11"/>
    <tableColumn id="12" xr3:uid="{A9F9E153-9ABE-45E2-963D-E538E8DDA848}" uniqueName="12" name="Assembly Level" queryTableFieldId="12"/>
    <tableColumn id="13" xr3:uid="{F1FB52EB-6D9B-4330-814A-BC37B8CA45AB}" uniqueName="13" name="Customer" queryTableFieldId="13" dataDxfId="150"/>
    <tableColumn id="14" xr3:uid="{918B43CB-FF70-4EC1-B6FA-22F8E1EC3386}" uniqueName="14" name="Customer location" queryTableFieldId="14" dataDxfId="149"/>
    <tableColumn id="15" xr3:uid="{D46C8EA5-AA0D-4378-8740-6CECBFD57E85}" uniqueName="15" name="AVO Production plant" queryTableFieldId="15" dataDxfId="148"/>
    <tableColumn id="16" xr3:uid="{C49A905B-58EB-4EA9-8DD5-898C696C3DC6}" uniqueName="16" name="Costing currency" queryTableFieldId="16" dataDxfId="147"/>
    <tableColumn id="17" xr3:uid="{AD95EC17-57EB-4612-92B9-F6BC514EEFFB}" uniqueName="17" name="Years " queryTableFieldId="17" dataDxfId="146"/>
    <tableColumn id="18" xr3:uid="{537D3BB3-2952-4EF2-98A9-DDAD0CC2B716}" uniqueName="18" name="Years" queryTableFieldId="18"/>
    <tableColumn id="19" xr3:uid="{E9258659-EBD5-4D37-BC9A-0E424E5DD341}" uniqueName="19" name="Qtes" queryTableFieldId="19"/>
    <tableColumn id="20" xr3:uid="{660F9456-BA79-4619-967D-0671AD50A07B}" uniqueName="20" name="Sales price" queryTableFieldId="20"/>
    <tableColumn id="21" xr3:uid="{67D05CDA-B6E8-488A-8E36-85E3B04B8F21}" uniqueName="21" name="Indexed material " queryTableFieldId="21"/>
    <tableColumn id="22" xr3:uid="{0BE60C17-4B3F-448B-92CB-04B27C3E6A00}" uniqueName="22" name="Packaging and transportation" queryTableFieldId="22"/>
    <tableColumn id="23" xr3:uid="{90270ECB-66CA-4B5D-A866-333ECBAE49EE}" uniqueName="23" name="Part impacted by productivity" queryTableFieldId="23"/>
    <tableColumn id="24" xr3:uid="{4EB792A9-89B0-4A0A-8198-0326411701A9}" uniqueName="24" name="Commercial Productivity " queryTableFieldId="24"/>
    <tableColumn id="25" xr3:uid="{901168AE-836D-4F88-A34D-DE291EB8F83A}" uniqueName="25" name="Amortization on 3 years at  12%" queryTableFieldId="25"/>
    <tableColumn id="26" xr3:uid="{EBF1A4EA-0EFC-4CAA-974F-07E2400C0951}" uniqueName="26" name="Sales (kEUR)" queryTableFieldId="26"/>
    <tableColumn id="27" xr3:uid="{8A8A9E76-23B5-49B0-8336-7ED7D8BA8BD8}" uniqueName="27" name="Column11" queryTableFieldId="27"/>
    <tableColumn id="28" xr3:uid="{8300813B-95A2-41C1-8695-2AE0FE312E29}" uniqueName="28" name="RM including supplier productivity " queryTableFieldId="28"/>
    <tableColumn id="29" xr3:uid="{B99B33BB-1EB5-478D-80D9-3C7EF1E4ECF9}" uniqueName="29" name="Packaging" queryTableFieldId="29"/>
    <tableColumn id="30" xr3:uid="{C4F59527-008E-49D9-A75A-AC1E815A9572}" uniqueName="30" name="Total Material " queryTableFieldId="30"/>
    <tableColumn id="31" xr3:uid="{9AB4FEB1-1595-4284-B792-214AF474A1D0}" uniqueName="31" name="Total material (%)" queryTableFieldId="31"/>
    <tableColumn id="32" xr3:uid="{F1644CBC-6653-441B-855B-CAEDF12BB28A}" uniqueName="32" name="Column16" queryTableFieldId="32"/>
    <tableColumn id="33" xr3:uid="{D1E485D2-FAF8-4833-BF96-6D2A2C64C77F}" uniqueName="33" name="DL (direct labor)" queryTableFieldId="33"/>
    <tableColumn id="34" xr3:uid="{22935D6C-E34A-4C2A-A426-341FADDC7255}" uniqueName="34" name="DL (%)" queryTableFieldId="34"/>
    <tableColumn id="35" xr3:uid="{2F3EB714-8F7D-44D5-8E78-4351839B89B1}" uniqueName="35" name="VOH (variable overhead)" queryTableFieldId="35"/>
    <tableColumn id="36" xr3:uid="{F27F58F4-C6CE-49B2-A2A2-F95F4FF59FB5}" uniqueName="36" name="VOH (%)" queryTableFieldId="36"/>
    <tableColumn id="37" xr3:uid="{50F112A9-2BFF-404C-A496-757968CE4E94}" uniqueName="37" name="Column21" queryTableFieldId="37"/>
    <tableColumn id="38" xr3:uid="{D7B303FC-2996-4E21-8478-52880F64BC1A}" uniqueName="38" name="RM transportation cost (inbound)" queryTableFieldId="38"/>
    <tableColumn id="39" xr3:uid="{A70FF15C-527C-4AA4-A6B6-9217F5F313E4}" uniqueName="39" name="Transportation cost (outbound)" queryTableFieldId="39"/>
    <tableColumn id="40" xr3:uid="{9F7AE6B4-6A0E-4EF1-A9ED-37BDA657A3DA}" uniqueName="40" name="Total transportation" queryTableFieldId="40"/>
    <tableColumn id="41" xr3:uid="{797727DB-9422-490D-9B63-A77A2BFF2F7F}" uniqueName="41" name="Total transportation (%)" queryTableFieldId="41"/>
    <tableColumn id="42" xr3:uid="{91B2D7AD-A1D2-47C9-B91F-EA5A6CB70C2D}" uniqueName="42" name="Column26" queryTableFieldId="42"/>
    <tableColumn id="43" xr3:uid="{E8B5B83F-9802-4EE8-9377-D84C86B91C2C}" uniqueName="43" name="GMDC" queryTableFieldId="43"/>
    <tableColumn id="44" xr3:uid="{BE653690-CBE5-4BA9-AF8C-57D582A92A5A}" uniqueName="44" name="GMDC (%)" queryTableFieldId="44"/>
    <tableColumn id="45" xr3:uid="{BAD58C73-9C18-40B4-A648-48D00E483FA9}" uniqueName="45" name="Column29" queryTableFieldId="45"/>
    <tableColumn id="46" xr3:uid="{1AF07971-34A3-45A0-8480-DA49236FE7AE}" uniqueName="46" name="FOH + Administration fees" queryTableFieldId="46"/>
    <tableColumn id="47" xr3:uid="{85636DC9-C778-4423-A57E-5C8BCC6D62C2}" uniqueName="47" name="FOH+Admin (%)" queryTableFieldId="47"/>
    <tableColumn id="48" xr3:uid="{0C6BED87-2CA2-4749-AAC0-C55D97DA9CA6}" uniqueName="48" name="Management Fees" queryTableFieldId="48"/>
    <tableColumn id="49" xr3:uid="{BCF64810-B322-460D-B764-97476FA19512}" uniqueName="49" name="Management Fees (%)" queryTableFieldId="49"/>
    <tableColumn id="50" xr3:uid="{E8F4215C-750C-48C1-83E9-DB390CE4514D}" uniqueName="50" name="Column34" queryTableFieldId="50"/>
    <tableColumn id="51" xr3:uid="{688B6693-36A2-4C6E-A5CC-FDA513E86788}" uniqueName="51" name="EBITDA" queryTableFieldId="51"/>
    <tableColumn id="52" xr3:uid="{A7A5C703-70FB-40D3-A3DC-BEA3A3D8E3FE}" uniqueName="52" name="EBITDA (%)" queryTableFieldId="52"/>
    <tableColumn id="53" xr3:uid="{CC23B860-588A-4A34-89B8-1534053DDC08}" uniqueName="53" name="Column37" queryTableFieldId="53"/>
    <tableColumn id="54" xr3:uid="{9A11F93D-CFB7-44BA-B06A-649C509A3E0F}" uniqueName="54" name="Depreciation" queryTableFieldId="54"/>
    <tableColumn id="55" xr3:uid="{1F09288A-32F8-4C70-8181-CE1460B934E4}" uniqueName="55" name="Financial cost" queryTableFieldId="55"/>
    <tableColumn id="56" xr3:uid="{AD48F014-E186-4743-9261-AA21B66E19AD}" uniqueName="56" name="Column40" queryTableFieldId="56"/>
    <tableColumn id="57" xr3:uid="{FF4DB3FB-2A74-42B1-9A71-9799900A36E1}" uniqueName="57" name="Operating Income" queryTableFieldId="57"/>
    <tableColumn id="58" xr3:uid="{93569900-D212-4BA1-B09E-54CE79F54B73}" uniqueName="58" name="Operating income (%)" queryTableFieldId="58"/>
    <tableColumn id="59" xr3:uid="{511EED6E-D1C4-4AAA-A383-2528DE7BE969}" uniqueName="59" name="Column43" queryTableFieldId="59"/>
    <tableColumn id="60" xr3:uid="{3B843403-49AB-418E-A89F-FAEA0807C636}" uniqueName="60" name="Taxes" queryTableFieldId="60"/>
    <tableColumn id="61" xr3:uid="{9853DFA6-B074-49FD-B065-1776A2D50353}" uniqueName="61" name="Column45" queryTableFieldId="61"/>
    <tableColumn id="62" xr3:uid="{9185A446-B426-4689-978E-5C0D9C281FF5}" uniqueName="62" name="Net result" queryTableFieldId="62"/>
    <tableColumn id="63" xr3:uid="{4FE5F729-807C-46B0-A9F8-86AA202FC164}" uniqueName="63" name="Net result (%)" queryTableFieldId="63"/>
    <tableColumn id="64" xr3:uid="{2D206A1D-8540-4C78-834D-4045129FC980}" uniqueName="64" name="Column48" queryTableFieldId="64"/>
    <tableColumn id="65" xr3:uid="{E3097DC4-DD40-4356-A3E5-9A6BB6D8E0F2}" uniqueName="65" name="EBITDA_1" queryTableFieldId="65"/>
    <tableColumn id="66" xr3:uid="{06B9BA40-66EF-4AC0-B829-DE1E39E73EE2}" uniqueName="66" name="Company tax" queryTableFieldId="66"/>
    <tableColumn id="67" xr3:uid="{39E5E7A4-F967-4ACF-B891-B30B95388D7C}" uniqueName="67" name="CAPEX" queryTableFieldId="67"/>
    <tableColumn id="68" xr3:uid="{50BD0EED-6C80-464D-BDE4-AC07A0006F85}" uniqueName="68" name="DTWC" queryTableFieldId="68"/>
    <tableColumn id="69" xr3:uid="{ADD3EF59-839D-40C2-88CC-AC9C80307B73}" uniqueName="69" name="Financial cost_2" queryTableFieldId="69"/>
    <tableColumn id="70" xr3:uid="{E79EF643-58C8-4768-A781-8116B1FDC6EC}" uniqueName="70" name="Tax on dividend" queryTableFieldId="70"/>
    <tableColumn id="71" xr3:uid="{E45E3C7C-8A9D-41CA-84F1-CCB6B3190ABE}" uniqueName="71" name="Cash " queryTableFieldId="71"/>
    <tableColumn id="72" xr3:uid="{C40FEFA9-F646-4A17-9B89-4659DC918FF1}" uniqueName="72" name="Cum cash " queryTableFieldId="72"/>
    <tableColumn id="73" xr3:uid="{71F44356-E9D0-4C7B-872F-853B286EBA77}" uniqueName="73" name="ROCE" queryTableFieldId="73"/>
    <tableColumn id="74" xr3:uid="{4CE171D1-70F3-4588-B4BD-621CBD0A08AD}" uniqueName="74" name="Column61" queryTableFieldId="74"/>
    <tableColumn id="75" xr3:uid="{3ADC24FA-914E-46CA-BE42-DB698FCB6564}" uniqueName="75" name="Column62" queryTableFieldId="75"/>
    <tableColumn id="76" xr3:uid="{6B174499-E704-4753-854A-6F7157191854}" uniqueName="76" name="AVOCAPEX +TOOL" queryTableFieldId="76"/>
    <tableColumn id="77" xr3:uid="{AF994B84-57A1-466D-9FAE-9FBE444D258C}" uniqueName="77" name="Depreciation Y1" queryTableFieldId="77"/>
    <tableColumn id="78" xr3:uid="{56DA5E8F-061B-4844-831B-58F9718D01D5}" uniqueName="78" name="Depreciation Y2" queryTableFieldId="78"/>
    <tableColumn id="79" xr3:uid="{F272A3A3-3F60-48B7-A60A-0AE6F7E097A9}" uniqueName="79" name="Depreciation Y3" queryTableFieldId="79"/>
    <tableColumn id="80" xr3:uid="{1B50C6E6-B1BB-4A96-92E6-F6B9AEB90640}" uniqueName="80" name="Depreciation Y4" queryTableFieldId="80"/>
    <tableColumn id="81" xr3:uid="{C9932ADC-9DBA-460B-AD3C-CAAA1EBE6A5B}" uniqueName="81" name="Depreciation Y5" queryTableFieldId="81"/>
    <tableColumn id="82" xr3:uid="{9EDD1113-0456-483C-A774-505676FC4B33}" uniqueName="82" name="Depreciation_3" queryTableFieldId="82"/>
    <tableColumn id="83" xr3:uid="{84D038B7-8A4B-4490-B5F6-C1903CC3637D}" uniqueName="83" name="Column70" queryTableFieldId="83"/>
    <tableColumn id="84" xr3:uid="{27A27950-C204-4C22-B48B-CFB57CAC0EAE}" uniqueName="84" name="Capex paid by customer" queryTableFieldId="84" dataDxfId="145"/>
    <tableColumn id="85" xr3:uid="{8D1561C0-8DE6-48B4-B6BF-C08351880279}" uniqueName="85" name="Components &quot;specific&quot; Tooling cost (at supplier or AVO)" queryTableFieldId="85"/>
    <tableColumn id="86" xr3:uid="{D3D7DDA9-40B9-4CE9-A376-E5653389A02B}" uniqueName="86" name="Margin (%)" queryTableFieldId="86"/>
    <tableColumn id="87" xr3:uid="{27B25084-954B-4FD5-81F8-7EABC0A33F8B}" uniqueName="87" name="Components &quot;specific&quot; Tooling sold to customer " queryTableFieldId="87"/>
    <tableColumn id="88" xr3:uid="{3DD4B098-6E55-4252-849D-E863BA67DFFD}" uniqueName="88" name="Process &quot;specific&quot; tooling cost (assembly line,…)" queryTableFieldId="88"/>
    <tableColumn id="89" xr3:uid="{CE7A1ACD-81FD-4A0A-B46D-EA1247C3BAD0}" uniqueName="89" name="Margin (%)_4" queryTableFieldId="89"/>
    <tableColumn id="90" xr3:uid="{F442F4E7-6266-4C8C-A377-6880D3B79F4D}" uniqueName="90" name="Process &quot;specific&quot; tooling sold to customer " queryTableFieldId="90"/>
    <tableColumn id="91" xr3:uid="{AFD3B7EF-BA9B-4819-96FC-6E19B73B59B2}" uniqueName="91" name="Components and process &quot;standard&quot; equipement cost" queryTableFieldId="91"/>
    <tableColumn id="92" xr3:uid="{1A6AA153-296A-48AC-83E1-6FC9E5DC3E3A}" uniqueName="92" name="Margin (%)_5" queryTableFieldId="92"/>
    <tableColumn id="93" xr3:uid="{F3609385-32D7-4566-AFDD-4D030097E2E9}" uniqueName="93" name="Components and process &quot;standard&quot; equipement sold to customer" queryTableFieldId="93"/>
    <tableColumn id="94" xr3:uid="{3EBD1A20-AF33-4DAB-96D6-C4D9792D3FC9}" uniqueName="94" name="Packaging tooling &amp; returnable package" queryTableFieldId="94"/>
    <tableColumn id="95" xr3:uid="{E200971E-A2FF-4350-AB0F-99C8FF5C2160}" uniqueName="95" name="Margin (%)_6" queryTableFieldId="95"/>
    <tableColumn id="96" xr3:uid="{0109A2F6-00B3-4687-A697-16E3E8135395}" uniqueName="96" name="Packaging tooling &amp; returnable package sold to customer" queryTableFieldId="96"/>
    <tableColumn id="97" xr3:uid="{EA286FEB-EFC2-4048-91FB-39CAE05E5337}" uniqueName="97" name="Development cost" queryTableFieldId="97"/>
    <tableColumn id="98" xr3:uid="{E773CB2F-7A55-4B9B-ADA5-8E0018E1C8DF}" uniqueName="98" name="Margin (%)_7" queryTableFieldId="98"/>
    <tableColumn id="99" xr3:uid="{735BCA27-927C-43D0-8D8D-D8A51508337F}" uniqueName="99" name="Development cost sold to customer" queryTableFieldId="99"/>
    <tableColumn id="100" xr3:uid="{668D2F92-6722-4F0B-AC79-5BB2A9B0236F}" uniqueName="100" name="Total CAPEX supported by Customer" queryTableFieldId="100"/>
    <tableColumn id="101" xr3:uid="{A5A76773-1C1D-449B-8AF6-31C9E09D47F1}" uniqueName="101" name="Column88" queryTableFieldId="101"/>
    <tableColumn id="102" xr3:uid="{93F6E1CD-49E2-430D-A60E-23C37442DAEC}" uniqueName="102" name="Capex supported by AVO Carbon" queryTableFieldId="102" dataDxfId="144"/>
    <tableColumn id="103" xr3:uid="{88CF9265-4BEC-41FC-A14E-8D9938ADDAD3}" uniqueName="103" name="Process tooling at AVO charge (at supplier or AVO)" queryTableFieldId="103"/>
    <tableColumn id="104" xr3:uid="{7C8742AA-530D-4733-A992-2A4D267B25BC}" uniqueName="104" name="Process equipment @AVO Charge" queryTableFieldId="104"/>
    <tableColumn id="105" xr3:uid="{5EF5D2EB-24FC-4B8B-ABFF-0C7DAE6B4C71}" uniqueName="105" name="Business link" queryTableFieldId="105"/>
    <tableColumn id="106" xr3:uid="{EC3AAF03-BBEF-4246-988E-84DB09642B89}" uniqueName="106" name="Total CAPEX supported by AVO Carbon" queryTableFieldId="106"/>
    <tableColumn id="107" xr3:uid="{2C3ACA31-4F36-46A2-979E-7CDD90539A8C}" uniqueName="107" name="Column94" queryTableFieldId="107"/>
    <tableColumn id="108" xr3:uid="{2EAE363B-D0F2-475A-BC35-8073969F3B7A}" uniqueName="108" name="Trade working capital" queryTableFieldId="108" dataDxfId="143"/>
    <tableColumn id="109" xr3:uid="{214889A1-AE27-4B33-8152-DA11EBBD6BE9}" uniqueName="109" name="AP (account payable to suppliers)" queryTableFieldId="109"/>
    <tableColumn id="110" xr3:uid="{2316B03B-CCDA-4144-BC58-D088EC32C3B5}" uniqueName="110" name="AR (account receivable from customer)" queryTableFieldId="110"/>
    <tableColumn id="111" xr3:uid="{FA8EC9DF-AD2F-4E98-9727-582D50EFEA7E}" uniqueName="111" name="FP (value of finished product inventory)" queryTableFieldId="111"/>
    <tableColumn id="112" xr3:uid="{502B5B1D-EB79-4E85-A965-785C299D3087}" uniqueName="112" name="WIP (Value of work in progress inventory)" queryTableFieldId="112"/>
    <tableColumn id="113" xr3:uid="{977798F4-7909-40C8-BD03-76EF8282C4C4}" uniqueName="113" name="RM (Value of the Stock of raw material components)" queryTableFieldId="113"/>
    <tableColumn id="114" xr3:uid="{9C6EA0A4-065E-4E5C-B1FC-44CB080C35FA}" uniqueName="114" name="Total TWC (Trade working capital: cash needed to run the project)" queryTableFieldId="114"/>
    <tableColumn id="115" xr3:uid="{CFD3EFB1-77D5-41D6-9A6D-9D81C3D93923}" uniqueName="115" name="DTWC (variation of the cash needed to run the project)" queryTableFieldId="1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01BC59C-AB84-43C3-8AEA-0DCE8DBF2663}" name="Preparation_export" displayName="Preparation_export" ref="B2:G75" totalsRowCount="1" headerRowDxfId="142" headerRowBorderDxfId="141" tableBorderDxfId="140">
  <autoFilter ref="B2:G74" xr:uid="{901BC59C-AB84-43C3-8AEA-0DCE8DBF2663}"/>
  <tableColumns count="6">
    <tableColumn id="1" xr3:uid="{AD204B1B-5567-4CB0-9040-1D7F5A6A3316}" name="Project duration" totalsRowLabel="DTWC (%)" dataDxfId="139" totalsRowDxfId="138"/>
    <tableColumn id="4" xr3:uid="{5192392B-A8A7-4186-9F19-03B8FC3E3EF3}" name="Y1" totalsRowFunction="custom" dataDxfId="137" totalsRowDxfId="136">
      <calculatedColumnFormula>PriceCalAVO!C2</calculatedColumnFormula>
      <totalsRowFormula>PriceCalAVO!C77</totalsRowFormula>
    </tableColumn>
    <tableColumn id="5" xr3:uid="{7A8C1EDA-2143-4C7D-A250-6DECA7ADF86C}" name="Y2" totalsRowFunction="custom" dataDxfId="135" totalsRowDxfId="134">
      <calculatedColumnFormula>PriceCalAVO!D2</calculatedColumnFormula>
      <totalsRowFormula>PriceCalAVO!D77</totalsRowFormula>
    </tableColumn>
    <tableColumn id="6" xr3:uid="{9FFBFB98-1D33-4F7E-B40D-4A5445AA272C}" name="Y3" totalsRowFunction="custom" dataDxfId="133" totalsRowDxfId="132">
      <calculatedColumnFormula>PriceCalAVO!E2</calculatedColumnFormula>
      <totalsRowFormula>PriceCalAVO!E77</totalsRowFormula>
    </tableColumn>
    <tableColumn id="7" xr3:uid="{FF7FC314-62EB-4AA5-B981-4F2B2EE881C5}" name="Y4" totalsRowFunction="custom" dataDxfId="131" totalsRowDxfId="130">
      <calculatedColumnFormula>PriceCalAVO!F2</calculatedColumnFormula>
      <totalsRowFormula>PriceCalAVO!F77</totalsRowFormula>
    </tableColumn>
    <tableColumn id="8" xr3:uid="{9C55B7B5-CC2E-4EDC-8189-368DE35DFA36}" name="Y5" totalsRowFunction="custom" dataDxfId="129" totalsRowDxfId="128">
      <calculatedColumnFormula>PriceCalAVO!G2</calculatedColumnFormula>
      <totalsRowFormula>PriceCalAVO!G77</totalsRowFormula>
    </tableColumn>
  </tableColumns>
  <tableStyleInfo name="TableStyleLight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03657B6-F6FC-4FAC-B2D1-8CC5396DB504}" name="Export_database" displayName="Export_database" ref="B2:BI7" tableType="queryTable" totalsRowShown="0">
  <autoFilter ref="B2:BI7" xr:uid="{D03657B6-F6FC-4FAC-B2D1-8CC5396DB504}"/>
  <tableColumns count="60">
    <tableColumn id="1" xr3:uid="{4404FDEB-750C-4558-BFB6-E7AB605695CD}" uniqueName="1" name="Year" queryTableFieldId="1"/>
    <tableColumn id="2" xr3:uid="{BE9E2EE1-B58C-47E1-87EE-74E6FB206C50}" uniqueName="2" name="Request Type" queryTableFieldId="2" dataDxfId="127"/>
    <tableColumn id="3" xr3:uid="{6BEF8E2C-7DFE-4D1C-8148-8579EDDB1FF7}" uniqueName="3" name="Quote ID" queryTableFieldId="3"/>
    <tableColumn id="4" xr3:uid="{69B19FD8-7E12-4EA2-B44A-4CFC5B0BA428}" uniqueName="4" name="Quote revision" queryTableFieldId="4"/>
    <tableColumn id="5" xr3:uid="{54B470A1-AFB6-46E9-9FAC-8D4DB16B12EA}" uniqueName="5" name="File index" queryTableFieldId="5"/>
    <tableColumn id="6" xr3:uid="{92535440-B021-4F2F-BF6A-AE48539B8ED3}" uniqueName="6" name="Project name" queryTableFieldId="6" dataDxfId="126"/>
    <tableColumn id="7" xr3:uid="{B9C23B41-169F-4871-8B85-D5FD4821DF94}" uniqueName="7" name="Customer part number" queryTableFieldId="7" dataDxfId="125"/>
    <tableColumn id="8" xr3:uid="{E2DCBB69-24AE-4A66-82C3-7608411FA6A3}" uniqueName="8" name="Quote Type" queryTableFieldId="8" dataDxfId="124"/>
    <tableColumn id="9" xr3:uid="{5249E955-BD08-4075-BADC-96A266EB96A7}" uniqueName="9" name="Program Type" queryTableFieldId="9" dataDxfId="123"/>
    <tableColumn id="10" xr3:uid="{A1D2E815-4D1A-493A-90C5-1FB1796F95EB}" uniqueName="10" name="Product line/product" queryTableFieldId="10" dataDxfId="122"/>
    <tableColumn id="11" xr3:uid="{62C02F6A-A923-4363-85E6-BD4FE92F8CC6}" uniqueName="11" name="Application" queryTableFieldId="11" dataDxfId="121"/>
    <tableColumn id="12" xr3:uid="{2F7A098D-4B63-4738-AA0B-4AAB281DA4D8}" uniqueName="12" name="Sector of activity" queryTableFieldId="12" dataDxfId="120"/>
    <tableColumn id="13" xr3:uid="{1A520E64-8FD5-49BC-8CB9-787E70D91647}" uniqueName="13" name="Assembly Level" queryTableFieldId="13"/>
    <tableColumn id="14" xr3:uid="{C38E769A-1F79-47CE-9EDA-5503A670ED32}" uniqueName="14" name="Customer" queryTableFieldId="14" dataDxfId="119"/>
    <tableColumn id="15" xr3:uid="{463C8E0E-54C9-4D6F-ABD5-AB397A60F2D7}" uniqueName="15" name="Customer location" queryTableFieldId="15" dataDxfId="118"/>
    <tableColumn id="16" xr3:uid="{CD2AC34C-8842-46C2-BC45-898F1B6200D3}" uniqueName="16" name="AVO Production plant" queryTableFieldId="16" dataDxfId="117"/>
    <tableColumn id="17" xr3:uid="{52A559F2-28FA-405E-B9CE-2AD4D924A03D}" uniqueName="17" name="Costing currency" queryTableFieldId="17" dataDxfId="116"/>
    <tableColumn id="18" xr3:uid="{4F22BFD6-0F36-4EAC-BEA8-89A40A228CA4}" uniqueName="18" name="Incoterm" queryTableFieldId="18" dataDxfId="115"/>
    <tableColumn id="19" xr3:uid="{FEFDB01A-4753-4E05-BA3A-D8393CC249F3}" uniqueName="19" name="ROCE" queryTableFieldId="19"/>
    <tableColumn id="20" xr3:uid="{3372D842-C7C7-4496-BA7A-401B422E93B6}" uniqueName="20" name="Years" queryTableFieldId="20"/>
    <tableColumn id="21" xr3:uid="{0A9371B3-2CEF-4EBB-B25A-F50A55CA0940}" uniqueName="21" name="Qtes" queryTableFieldId="21"/>
    <tableColumn id="22" xr3:uid="{CE0E523C-857B-472D-8B01-B5E0303D731B}" uniqueName="22" name="Productivity" queryTableFieldId="22"/>
    <tableColumn id="23" xr3:uid="{F7504AB6-319C-49B9-8951-734AE77BF66B}" uniqueName="23" name="Part impacted by productivity" queryTableFieldId="23"/>
    <tableColumn id="24" xr3:uid="{6504C80F-6423-46CD-8CFE-4434912DD11C}" uniqueName="24" name="Packaging and transportation" queryTableFieldId="24"/>
    <tableColumn id="25" xr3:uid="{EEBB39BC-90AA-4491-9FA5-3CF13FBF249B}" uniqueName="25" name="Indexed material" queryTableFieldId="25"/>
    <tableColumn id="26" xr3:uid="{ACE7B14E-A6A3-442E-A5FB-3C051D2165E2}" uniqueName="26" name="Final price" queryTableFieldId="26"/>
    <tableColumn id="27" xr3:uid="{DD794751-6C4D-4A3B-A5AB-418CF6DCE86E}" uniqueName="27" name="Amortization during 3 years at 12% interest rate" queryTableFieldId="27"/>
    <tableColumn id="28" xr3:uid="{5CB63FB3-3F53-49F8-9E8F-845613F22220}" uniqueName="28" name="Sales (kEUR)" queryTableFieldId="28" dataDxfId="114"/>
    <tableColumn id="29" xr3:uid="{2E38E6F3-38A4-4245-B944-6899E17781E8}" uniqueName="29" name="Total Material" queryTableFieldId="29" dataDxfId="113"/>
    <tableColumn id="30" xr3:uid="{BBA4E98F-F0D8-4EB9-B0DB-F02511E819EC}" uniqueName="30" name="Material rate" queryTableFieldId="30" dataDxfId="112"/>
    <tableColumn id="31" xr3:uid="{7EC447D4-A32B-434E-88C6-98D95350685E}" uniqueName="31" name="DL" queryTableFieldId="31" dataDxfId="111"/>
    <tableColumn id="32" xr3:uid="{3AAC50BE-711C-443E-B4F2-9800BCE8DDC4}" uniqueName="32" name="DL (%)" queryTableFieldId="32" dataDxfId="110"/>
    <tableColumn id="33" xr3:uid="{F99DD9CF-20EC-4558-83EA-8602CB9DF150}" uniqueName="33" name="VOH" queryTableFieldId="33" dataDxfId="109"/>
    <tableColumn id="34" xr3:uid="{CDA21C0B-8F77-4F77-818F-C218D6625226}" uniqueName="34" name="VOH (%)" queryTableFieldId="34" dataDxfId="108"/>
    <tableColumn id="35" xr3:uid="{91A07F61-6602-463F-8F16-F6AB5592B393}" uniqueName="35" name="Total transportation" queryTableFieldId="35" dataDxfId="107"/>
    <tableColumn id="36" xr3:uid="{F0E6758A-7ED8-465F-9AC1-574421EF2C5F}" uniqueName="36" name="Total transportation (%)" queryTableFieldId="36" dataDxfId="106"/>
    <tableColumn id="37" xr3:uid="{AB21B1DB-3AFF-4557-B6F9-6DA3DA20AA0B}" uniqueName="37" name="GMDC" queryTableFieldId="37" dataDxfId="105"/>
    <tableColumn id="38" xr3:uid="{E347D6EF-9867-4DB1-A0F7-C9FC2C078117}" uniqueName="38" name="GMDC (%)" queryTableFieldId="38" dataDxfId="104"/>
    <tableColumn id="39" xr3:uid="{D893772E-90C3-4B29-A600-B7C706397797}" uniqueName="39" name="FOH + Admin" queryTableFieldId="39" dataDxfId="103"/>
    <tableColumn id="40" xr3:uid="{DD8D2C43-6C13-441A-A7A6-97B0B874C59B}" uniqueName="40" name="FOH + Admin (%)" queryTableFieldId="40" dataDxfId="102"/>
    <tableColumn id="41" xr3:uid="{972AE782-A6C0-44E3-B57C-D94CAA209342}" uniqueName="41" name="Fees" queryTableFieldId="41" dataDxfId="101"/>
    <tableColumn id="42" xr3:uid="{A16C1BD1-33A9-47A9-8E40-4650C651FFC2}" uniqueName="42" name="Fees (%)" queryTableFieldId="42" dataDxfId="100"/>
    <tableColumn id="43" xr3:uid="{5458747D-0A3C-4B1B-8862-46E63F721448}" uniqueName="43" name="EBITDA" queryTableFieldId="43" dataDxfId="99"/>
    <tableColumn id="44" xr3:uid="{631D9FFB-3187-4546-BCE0-2AA6CB7E8758}" uniqueName="44" name="EBITDA (%)" queryTableFieldId="44" dataDxfId="98"/>
    <tableColumn id="45" xr3:uid="{76E9A44E-320E-441C-B6E9-CEFD98001C0B}" uniqueName="45" name="Depreciation" queryTableFieldId="45" dataDxfId="97"/>
    <tableColumn id="46" xr3:uid="{D07A2FBF-7B5F-45D3-A984-BC88FFEFA7FD}" uniqueName="46" name="Financial cost" queryTableFieldId="46" dataDxfId="96"/>
    <tableColumn id="47" xr3:uid="{C225E8AC-4AE4-4360-A0F9-EC36CA55A80C}" uniqueName="47" name="Operating Income" queryTableFieldId="47" dataDxfId="95"/>
    <tableColumn id="48" xr3:uid="{978602FE-19C6-44BB-86E1-6EB0A4AA7355}" uniqueName="48" name="Operating Income (%)" queryTableFieldId="48" dataDxfId="94"/>
    <tableColumn id="49" xr3:uid="{FBA1F826-DD53-43E7-9577-A5915A7360F4}" uniqueName="49" name="Taxes" queryTableFieldId="49" dataDxfId="93"/>
    <tableColumn id="50" xr3:uid="{D07282F3-E726-4761-8158-868D126FD635}" uniqueName="50" name="Net result" queryTableFieldId="50" dataDxfId="92"/>
    <tableColumn id="51" xr3:uid="{D27860EB-AECD-43B5-ACA4-36CA122B4D19}" uniqueName="51" name="Net result (%)" queryTableFieldId="51" dataDxfId="91"/>
    <tableColumn id="52" xr3:uid="{46EFDAC2-8D01-49F3-A17F-B26D9FF6EA74}" uniqueName="52" name="EBITDA_1" queryTableFieldId="52" dataDxfId="90"/>
    <tableColumn id="53" xr3:uid="{76C48986-C715-44BD-981A-41881DA27DCD}" uniqueName="53" name="Company tax" queryTableFieldId="53" dataDxfId="89"/>
    <tableColumn id="54" xr3:uid="{C13176E3-4395-440F-BCAC-3CFC332766D8}" uniqueName="54" name="CAPEX" queryTableFieldId="54" dataDxfId="88"/>
    <tableColumn id="55" xr3:uid="{C1193A37-88B7-4F60-9AB1-6BB6C4FC9987}" uniqueName="55" name="DTWC" queryTableFieldId="55" dataDxfId="87"/>
    <tableColumn id="56" xr3:uid="{B50FB58B-C4DC-4C49-8A2A-DD228D83E907}" uniqueName="56" name="Financial cost_2" queryTableFieldId="56" dataDxfId="86"/>
    <tableColumn id="57" xr3:uid="{F17D3260-2AAB-41A2-AFD5-D0ED492835DE}" uniqueName="57" name="Tax on dividend" queryTableFieldId="57" dataDxfId="85"/>
    <tableColumn id="58" xr3:uid="{918F6DD4-776A-430C-8758-0D1A9FCBA56D}" uniqueName="58" name="Cash" queryTableFieldId="58" dataDxfId="84"/>
    <tableColumn id="59" xr3:uid="{6191FAFC-9143-46B4-8CE7-96B0633EF0B1}" uniqueName="59" name="Cum cash" queryTableFieldId="59" dataDxfId="83"/>
    <tableColumn id="60" xr3:uid="{0E083531-7792-42A9-A87E-225A10770D55}" uniqueName="60" name="DTWC (%)" queryTableFieldId="60" dataDxfId="8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9E7E6E6-D6F5-43A4-859B-D52E1AFE7F4B}" name="Tableau9" displayName="Tableau9" ref="A3:BL53" tableType="queryTable" totalsRowShown="0" headerRowDxfId="81">
  <autoFilter ref="A3:BL53" xr:uid="{69E7E6E6-D6F5-43A4-859B-D52E1AFE7F4B}"/>
  <tableColumns count="64">
    <tableColumn id="1" xr3:uid="{A75D8450-AE89-4AE2-BE4A-25467CCD1BAE}" uniqueName="Title" name="Group" queryTableFieldId="1" dataDxfId="80"/>
    <tableColumn id="2" xr3:uid="{B5157688-2462-4A92-A675-865E976B177A}" uniqueName="Product_x005f_x0020_line" name="Product line" queryTableFieldId="2" dataDxfId="79"/>
    <tableColumn id="3" xr3:uid="{1B8D17A0-CACE-437B-AFFD-DF22F9FF4744}" uniqueName="Sub_x005f_x002d_family" name="Sub-family" queryTableFieldId="3" dataDxfId="78"/>
    <tableColumn id="4" xr3:uid="{135F77CF-BCD7-4699-B70A-EB5A369DA4BC}" uniqueName="Concatener" name="Concatener" queryTableFieldId="4" dataDxfId="77"/>
    <tableColumn id="5" xr3:uid="{25A9C85C-9CE7-4110-8173-194848E4A217}" uniqueName="China_x005f_x0020__x005f_x002b__x005f_x0020_South_" name="China + South pacific" queryTableFieldId="5" dataDxfId="76"/>
    <tableColumn id="6" xr3:uid="{FE1A53C1-3061-4107-9952-85D595F5AB30}" uniqueName="Korea_x005f_x0020__x005f_x002f__x005f_x0020_Japan" name="Korea / Japan" queryTableFieldId="6" dataDxfId="75"/>
    <tableColumn id="7" xr3:uid="{13412200-AC7E-4B85-A601-1CECD2B1AA70}" uniqueName="Europe" name="Europe" queryTableFieldId="7" dataDxfId="74"/>
    <tableColumn id="8" xr3:uid="{C7E754B1-89B3-4687-B02F-F113701F5AA1}" uniqueName="India" name="India" queryTableFieldId="8" dataDxfId="73"/>
    <tableColumn id="9" xr3:uid="{38504F62-488B-40C9-ADE6-374A03FECFB3}" uniqueName="North_x005f_x0020_America_x005f_x0020_" name="North America " queryTableFieldId="9" dataDxfId="72"/>
    <tableColumn id="10" xr3:uid="{77624EFA-0CB9-4021-8355-E7F7E58B833C}" uniqueName="South_x005f_x0020_America_x005f_x0020_" name="South America " queryTableFieldId="10" dataDxfId="71"/>
    <tableColumn id="11" xr3:uid="{A116E22A-19A3-4CDA-BAD7-F7A44A2A8D28}" uniqueName="_x005f_x0030_" name="0" queryTableFieldId="11"/>
    <tableColumn id="12" xr3:uid="{F599870E-7741-4089-9D84-72B89C11C4DE}" uniqueName="Product_x005f_x0020_line2" name="Product line2" queryTableFieldId="12" dataDxfId="70"/>
    <tableColumn id="13" xr3:uid="{1AF94D0C-0A3C-4A95-9B31-D69690677C04}" uniqueName="Sub_x005f_x002d_family2" name="Sub-family2" queryTableFieldId="13" dataDxfId="69"/>
    <tableColumn id="14" xr3:uid="{3866F1F5-3703-4FD1-AEF0-899A8811A712}" uniqueName="_x005f_x0028__x005f_x0025__x005f_x0029__x005f_x0020_Ebit" name="(%) Ebit target" queryTableFieldId="14" dataDxfId="68"/>
    <tableColumn id="15" xr3:uid="{A4E22DC6-E34F-4FDA-9696-AA0C0C92296B}" uniqueName="ROCE_x005f_x0020_Target" name="ROCE Target" queryTableFieldId="15" dataDxfId="67"/>
    <tableColumn id="16" xr3:uid="{DE9DA3A6-4743-4B28-BC2E-28ED7E6C089A}" uniqueName="In_x005f_x0020_line_x005f_x0020_loss_x005f_x0020_o" name="In line loss of Productivity " queryTableFieldId="16" dataDxfId="66"/>
    <tableColumn id="17" xr3:uid="{6C3AEBAE-C3E8-4A07-92C0-CED24F00201C}" uniqueName="In_x005f_x0020_line_x005f_x0020_scrap_x005f_x0020_" name="In line scrap " queryTableFieldId="17" dataDxfId="65"/>
    <tableColumn id="18" xr3:uid="{2C046148-68E9-444D-B77F-60DDAF415494}" uniqueName="WIP_x005f_x0020_in_x005f_x0020_the_x005f_x0020_pla" name="WIP in the plant" queryTableFieldId="18" dataDxfId="64"/>
    <tableColumn id="19" xr3:uid="{29728634-418C-4808-B92F-48E20A1EF435}" uniqueName="Colonne3" name="Colonne3" queryTableFieldId="19" dataDxfId="63"/>
    <tableColumn id="20" xr3:uid="{9DC3708C-0524-465F-9C5E-AB539592B400}" uniqueName="Small_x005f_x0020_Sales" name="Small Sales" queryTableFieldId="20" dataDxfId="62"/>
    <tableColumn id="21" xr3:uid="{455C23E2-A9B4-4B85-B042-4AECA3520DA7}" uniqueName="Big_x005f_x0020_Sales" name="Big Sales" queryTableFieldId="21" dataDxfId="61"/>
    <tableColumn id="22" xr3:uid="{EC8A50BD-BF4C-4956-B93B-ECE4CFECBD3C}" uniqueName="Colonne4" name="Colonne4" queryTableFieldId="22" dataDxfId="60"/>
    <tableColumn id="23" xr3:uid="{8B5577BF-87B5-439A-AB01-361A312112C4}" uniqueName="Colonne5" name="Colonne5" queryTableFieldId="23" dataDxfId="59"/>
    <tableColumn id="24" xr3:uid="{689C519A-20F3-4A1A-A6BA-B4597C14EE29}" uniqueName="Colonne6" name="Colonne6" queryTableFieldId="24" dataDxfId="58"/>
    <tableColumn id="25" xr3:uid="{BE6949E3-AAD4-4DA0-9ECC-4496B3F05829}" uniqueName="Colonne7" name="Colonne7" queryTableFieldId="25" dataDxfId="57"/>
    <tableColumn id="26" xr3:uid="{7C9AD98E-2C59-4CED-8AE3-81E64688B328}" uniqueName="Colonne8" name="Colonne8" queryTableFieldId="26" dataDxfId="56"/>
    <tableColumn id="27" xr3:uid="{9C863961-3803-4DD0-9337-EB7B9EB5ED85}" uniqueName="Colonne9" name="Colonne9" queryTableFieldId="27" dataDxfId="55"/>
    <tableColumn id="28" xr3:uid="{8D224DED-F49E-42A2-B5DF-E7941E8BFDFE}" uniqueName="Colonne10" name="Colonne10" queryTableFieldId="28" dataDxfId="54"/>
    <tableColumn id="29" xr3:uid="{6C7CECEB-2E17-431D-B65A-8FE2F8AA5036}" uniqueName="Colonne11" name="Colonne11" queryTableFieldId="29" dataDxfId="53"/>
    <tableColumn id="30" xr3:uid="{AE1E8AE0-9548-486F-9BA9-A77B50D07DA0}" uniqueName="Colonne12" name="Colonne12" queryTableFieldId="30" dataDxfId="52"/>
    <tableColumn id="31" xr3:uid="{54EAE8BD-5C62-4721-B261-215B0CE19033}" uniqueName="Colonne13" name="Colonne13" queryTableFieldId="31" dataDxfId="51"/>
    <tableColumn id="32" xr3:uid="{1C3DB507-AEAD-4920-B64E-B756BC231849}" uniqueName="Colonne14" name="Colonne14" queryTableFieldId="32" dataDxfId="50"/>
    <tableColumn id="33" xr3:uid="{0BFC455D-6F83-4315-BBFD-89BDF92C8E01}" uniqueName="Colonne15" name="Colonne15" queryTableFieldId="33" dataDxfId="49"/>
    <tableColumn id="34" xr3:uid="{B9472986-95B2-4654-AA43-ADC0EE0A951A}" uniqueName="Colonne16" name="Colonne16" queryTableFieldId="34" dataDxfId="48"/>
    <tableColumn id="35" xr3:uid="{519D4BAA-1F16-4FFC-863B-ECE4280F24C5}" uniqueName="Colonne17" name="Colonne17" queryTableFieldId="35" dataDxfId="47"/>
    <tableColumn id="36" xr3:uid="{AD2094E8-D42A-4E61-B31C-D80D70D68585}" uniqueName="Colonne18" name="Colonne18" queryTableFieldId="36" dataDxfId="46"/>
    <tableColumn id="37" xr3:uid="{8584E5F2-8ED1-4895-9BC3-20F813121DCC}" uniqueName="Colonne19" name="Colonne19" queryTableFieldId="37" dataDxfId="45"/>
    <tableColumn id="38" xr3:uid="{E19B9098-CB90-4235-AE10-88734A88F65F}" uniqueName="Colonne20" name="Colonne20" queryTableFieldId="38" dataDxfId="44"/>
    <tableColumn id="39" xr3:uid="{AE74945D-3233-4C70-87A8-14A02CDAF485}" uniqueName="Colonne21" name="Colonne21" queryTableFieldId="39" dataDxfId="43"/>
    <tableColumn id="40" xr3:uid="{2BC96C5F-CC46-4330-8540-1B66597FD843}" uniqueName="Colonne22" name="Colonne22" queryTableFieldId="40" dataDxfId="42"/>
    <tableColumn id="41" xr3:uid="{089A2258-CEE9-40A2-AED2-933DE6253F62}" uniqueName="Colonne23" name="Colonne23" queryTableFieldId="41" dataDxfId="41"/>
    <tableColumn id="42" xr3:uid="{C38BF85A-E145-4B8B-9FEC-076E42FDAA57}" uniqueName="Colonne24" name="Colonne24" queryTableFieldId="42" dataDxfId="40"/>
    <tableColumn id="43" xr3:uid="{935810C1-2EB4-4F27-9B6A-24DF4A78B69D}" uniqueName="Colonne25" name="Colonne25" queryTableFieldId="43" dataDxfId="39"/>
    <tableColumn id="44" xr3:uid="{84C8B97F-D2A4-4683-AD43-309C2BBE4D36}" uniqueName="Colonne26" name="Colonne26" queryTableFieldId="44" dataDxfId="38"/>
    <tableColumn id="45" xr3:uid="{97BF26C8-301D-4084-A820-C53C8A818A9A}" uniqueName="Colonne27" name="Colonne27" queryTableFieldId="45" dataDxfId="37"/>
    <tableColumn id="46" xr3:uid="{AAA47530-D120-4A00-A5DF-156853294D2C}" uniqueName="Colonne28" name="Colonne28" queryTableFieldId="46" dataDxfId="36"/>
    <tableColumn id="47" xr3:uid="{7D0354B6-07C9-4227-B528-02FC02958256}" uniqueName="Colonne29" name="Colonne29" queryTableFieldId="47" dataDxfId="35"/>
    <tableColumn id="48" xr3:uid="{4E6C6E15-ECFD-4EA9-B06E-0462D2686B9A}" uniqueName="_x005f_x0025__x005f_x0020_of_x005f_x0020_material" name="% of material" queryTableFieldId="48" dataDxfId="34"/>
    <tableColumn id="49" xr3:uid="{76FAADA8-31BD-4428-A047-6FC37691325A}" uniqueName="_x005f_x0025__x005f_x0020_non_x005f_x0020_local_x0" name="% non local mateial" queryTableFieldId="49" dataDxfId="33"/>
    <tableColumn id="50" xr3:uid="{57574EF4-6D3B-4362-83EA-8A298B37F485}" uniqueName="Colonne30" name="Colonne30" queryTableFieldId="50" dataDxfId="32"/>
    <tableColumn id="51" xr3:uid="{F1ACBDC5-4589-4FBC-93A4-B74C6843C2C5}" uniqueName="_x005f_x003e_TO_x005f_x0020__x005f_x0028_K_x005f_x20ac__" name="&gt;TO (K€)" queryTableFieldId="51" dataDxfId="31"/>
    <tableColumn id="52" xr3:uid="{678DB5F6-2DDF-47C5-A460-0638EA850AF5}" uniqueName="_x005f_x003e__x005f_x0020_AVO_x005f_x0020_CAPEX_x0" name="&gt; AVO CAPEX (K€)" queryTableFieldId="52" dataDxfId="30"/>
    <tableColumn id="53" xr3:uid="{98ED38E2-5113-47F5-9CFF-3C73B79183E6}" uniqueName="_x005f_x003e__x005f_x0020_TWC_x005f_x0020__x005f_x0028_K" name="&gt; TWC (K€)" queryTableFieldId="53" dataDxfId="29"/>
    <tableColumn id="54" xr3:uid="{DE3492B1-0D3B-44CC-A9F4-3B4E81D78F69}" uniqueName="_x005f_x003e__x005f_x0020_AR_x005f_x0020__x005f_x0028_K_" name="&gt; AR (K€)" queryTableFieldId="54" dataDxfId="28"/>
    <tableColumn id="62" xr3:uid="{2A0E11C4-6CCB-4F9A-9C4E-07E49CB5ACA8}" uniqueName="Strategy" name="Strategy" queryTableFieldId="55" dataDxfId="27"/>
    <tableColumn id="55" xr3:uid="{B5762AB3-5AD8-42EF-B34C-47AE3BCA1D11}" uniqueName="_x005f_x003e_TO_x005f_x0020__x005f_x0028_K_x005f_x20ac__0" name="&gt;TO (K€)31" queryTableFieldId="56" dataDxfId="26"/>
    <tableColumn id="56" xr3:uid="{4B43FB01-6981-4E68-9DCB-FB5868E10366}" uniqueName="_x005f_x003e__x005f_x0020_AVO_x005f_x0020_CAPEX_x00" name="&gt; AVO CAPEX (K€)32" queryTableFieldId="57" dataDxfId="25"/>
    <tableColumn id="57" xr3:uid="{09047FF0-0516-44C1-8BEC-8127CDE39FBA}" uniqueName="_x005f_x003e__x005f_x0020_TWC_x005f_x0020__x005f_x0028_K0" name="&gt; TWC (K€)33" queryTableFieldId="58" dataDxfId="24"/>
    <tableColumn id="58" xr3:uid="{F5144F89-D584-47D7-8E39-699EC620CF9E}" uniqueName="_x005f_x003e__x005f_x0020_AR_x005f_x0020__x005f_x0028_K_0" name="&gt; AR (K€)34" queryTableFieldId="59" dataDxfId="23"/>
    <tableColumn id="59" xr3:uid="{8D0AB696-2604-48CE-9086-C5E98A56230E}" uniqueName="Strategy2" name="Strategy2" queryTableFieldId="60" dataDxfId="22"/>
    <tableColumn id="60" xr3:uid="{4F9897B4-3033-4DEF-A947-C6A6A8331D96}" uniqueName="Colonne36" name="Colonne36" queryTableFieldId="61" dataDxfId="21"/>
    <tableColumn id="61" xr3:uid="{A19396E7-28B4-4F87-8C35-2F8ABF138B3A}" uniqueName="Colonne37" name="Colonne37" queryTableFieldId="62" dataDxfId="20"/>
    <tableColumn id="63" xr3:uid="{279EA41B-7841-4C9C-8D2B-254C5CC7DD44}" uniqueName="FSObjType" name="Item Type" queryTableFieldId="64"/>
    <tableColumn id="64" xr3:uid="{81943719-6F89-4E24-8C38-1AB3D1A5EE8A}" uniqueName="FileDirRef" name="Path" queryTableFieldId="63"/>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hyperlink" Target="mailto:lionel.clodong@avocarbon.com" TargetMode="Externa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drawing" Target="../drawings/drawing3.xml"/><Relationship Id="rId4"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rinterSettings" Target="../printerSettings/printerSettings10.bin"/><Relationship Id="rId1" Type="http://schemas.openxmlformats.org/officeDocument/2006/relationships/hyperlink" Target="https://avocarbongroup.sharepoint.com/sites/pdc/RFQ_Costing%20Files/_vti_history/Costing"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hyperlink" Target="https://www.exchangerates.org.uk/EUR-USD-21_11_2021-exchange-rate-history.html" TargetMode="External"/><Relationship Id="rId7" Type="http://schemas.openxmlformats.org/officeDocument/2006/relationships/queryTable" Target="../queryTables/queryTable3.xml"/><Relationship Id="rId2" Type="http://schemas.openxmlformats.org/officeDocument/2006/relationships/hyperlink" Target="https://www.exchangerates.org.uk/EUR-USD-22_11_2021-exchange-rate-history.html" TargetMode="External"/><Relationship Id="rId1" Type="http://schemas.openxmlformats.org/officeDocument/2006/relationships/hyperlink" Target="https://www.exchangerates.org.uk/EUR-USD-23_11_2021-exchange-rate-history.html" TargetMode="External"/><Relationship Id="rId6" Type="http://schemas.openxmlformats.org/officeDocument/2006/relationships/vmlDrawing" Target="../drawings/vmlDrawing5.vml"/><Relationship Id="rId5" Type="http://schemas.openxmlformats.org/officeDocument/2006/relationships/printerSettings" Target="../printerSettings/printerSettings13.bin"/><Relationship Id="rId4" Type="http://schemas.openxmlformats.org/officeDocument/2006/relationships/hyperlink" Target="https://www.exchangerates.org.uk/EUR-USD-20_11_2021-exchange-rate-history.html" TargetMode="External"/></Relationships>
</file>

<file path=xl/worksheets/_rels/sheet2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EDCBF-9A11-4998-8D65-88B92D5A9C78}">
  <sheetPr codeName="Feuil12">
    <tabColor theme="9"/>
    <pageSetUpPr fitToPage="1"/>
  </sheetPr>
  <dimension ref="B1:AA89"/>
  <sheetViews>
    <sheetView topLeftCell="A7" zoomScale="85" zoomScaleNormal="85" zoomScaleSheetLayoutView="80" workbookViewId="0">
      <selection activeCell="H21" sqref="H21"/>
    </sheetView>
  </sheetViews>
  <sheetFormatPr baseColWidth="10" defaultColWidth="11.44140625" defaultRowHeight="14.4"/>
  <cols>
    <col min="1" max="1" width="1.6640625" customWidth="1"/>
    <col min="2" max="2" width="15.77734375" customWidth="1"/>
    <col min="3" max="4" width="15.21875" customWidth="1"/>
    <col min="5" max="5" width="14.77734375" customWidth="1"/>
    <col min="10" max="10" width="12.77734375" customWidth="1"/>
    <col min="11" max="11" width="15.6640625" customWidth="1"/>
    <col min="12" max="12" width="15.77734375" customWidth="1"/>
    <col min="13" max="13" width="12.44140625" bestFit="1" customWidth="1"/>
    <col min="14" max="14" width="18.109375" customWidth="1"/>
    <col min="15" max="15" width="18.6640625" customWidth="1"/>
  </cols>
  <sheetData>
    <row r="1" spans="2:16" ht="15" hidden="1" thickBot="1">
      <c r="B1" s="2292" t="s">
        <v>0</v>
      </c>
      <c r="C1" s="2293"/>
      <c r="D1" s="2293"/>
      <c r="E1" s="2293"/>
      <c r="F1" s="2293"/>
      <c r="G1" s="2293"/>
      <c r="H1" s="2293"/>
      <c r="I1" s="2293"/>
      <c r="J1" s="2293"/>
      <c r="K1" s="2293"/>
      <c r="L1" s="2293"/>
      <c r="M1" s="2293"/>
      <c r="N1" s="2294"/>
    </row>
    <row r="2" spans="2:16" ht="15" hidden="1" thickBot="1">
      <c r="B2" s="1575" t="s">
        <v>1</v>
      </c>
      <c r="C2" s="1576" t="s">
        <v>2</v>
      </c>
      <c r="D2" s="2295" t="s">
        <v>3</v>
      </c>
      <c r="E2" s="2295"/>
      <c r="F2" s="2295"/>
      <c r="G2" s="2295"/>
      <c r="H2" s="2295"/>
      <c r="I2" s="2295"/>
      <c r="J2" s="2295"/>
      <c r="K2" s="2295"/>
      <c r="L2" s="2295"/>
      <c r="M2" s="2295"/>
      <c r="N2" s="2296"/>
    </row>
    <row r="3" spans="2:16" hidden="1">
      <c r="B3" s="1578" t="s">
        <v>4</v>
      </c>
      <c r="C3" s="1579">
        <v>44958</v>
      </c>
      <c r="D3" s="2297" t="s">
        <v>5</v>
      </c>
      <c r="E3" s="2297"/>
      <c r="F3" s="2297"/>
      <c r="G3" s="2297"/>
      <c r="H3" s="2297"/>
      <c r="I3" s="2297"/>
      <c r="J3" s="2297"/>
      <c r="K3" s="2297"/>
      <c r="L3" s="2297"/>
      <c r="M3" s="2297"/>
      <c r="N3" s="2298"/>
    </row>
    <row r="4" spans="2:16" hidden="1">
      <c r="B4" s="1566" t="s">
        <v>6</v>
      </c>
      <c r="C4" s="1567">
        <v>45076</v>
      </c>
      <c r="D4" s="2299" t="s">
        <v>7</v>
      </c>
      <c r="E4" s="2299"/>
      <c r="F4" s="2299"/>
      <c r="G4" s="2299"/>
      <c r="H4" s="2299"/>
      <c r="I4" s="2299"/>
      <c r="J4" s="2299"/>
      <c r="K4" s="2299"/>
      <c r="L4" s="2299"/>
      <c r="M4" s="2299"/>
      <c r="N4" s="2300"/>
    </row>
    <row r="5" spans="2:16" hidden="1">
      <c r="B5" s="1566"/>
      <c r="C5" s="1567"/>
      <c r="D5" s="2299"/>
      <c r="E5" s="2299"/>
      <c r="F5" s="2299"/>
      <c r="G5" s="2299"/>
      <c r="H5" s="2299"/>
      <c r="I5" s="2299"/>
      <c r="J5" s="2299"/>
      <c r="K5" s="2299"/>
      <c r="L5" s="2299"/>
      <c r="M5" s="2299"/>
      <c r="N5" s="2300"/>
    </row>
    <row r="6" spans="2:16" ht="15" hidden="1" thickBot="1">
      <c r="B6" s="1941"/>
      <c r="C6" s="1942"/>
      <c r="D6" s="2283"/>
      <c r="E6" s="2283"/>
      <c r="F6" s="2283"/>
      <c r="G6" s="2283"/>
      <c r="H6" s="2283"/>
      <c r="I6" s="2283"/>
      <c r="J6" s="2283"/>
      <c r="K6" s="2283"/>
      <c r="L6" s="2283"/>
      <c r="M6" s="2283"/>
      <c r="N6" s="2284"/>
    </row>
    <row r="7" spans="2:16" ht="18" customHeight="1">
      <c r="B7" s="1943" t="s">
        <v>8</v>
      </c>
      <c r="C7" s="288"/>
      <c r="D7" s="2189"/>
      <c r="E7" s="1945"/>
      <c r="F7" s="1946" t="s">
        <v>9</v>
      </c>
      <c r="G7" s="288"/>
      <c r="H7" s="2190" t="s">
        <v>10</v>
      </c>
      <c r="I7" s="1944"/>
      <c r="J7" s="1944"/>
      <c r="K7" s="1946" t="s">
        <v>11</v>
      </c>
      <c r="L7" s="1944"/>
      <c r="M7" s="2191" t="s">
        <v>12</v>
      </c>
      <c r="N7" s="1947"/>
    </row>
    <row r="8" spans="2:16" ht="18" customHeight="1" thickBot="1">
      <c r="B8" s="1577" t="s">
        <v>13</v>
      </c>
      <c r="C8" s="1948">
        <v>1</v>
      </c>
      <c r="D8" s="1949" t="s">
        <v>14</v>
      </c>
      <c r="E8" s="1569"/>
      <c r="F8" s="1570"/>
      <c r="G8" s="1571"/>
      <c r="H8" s="1572"/>
      <c r="I8" s="1568"/>
      <c r="J8" s="1568"/>
      <c r="K8" s="1570"/>
      <c r="L8" s="1568"/>
      <c r="M8" s="1573"/>
      <c r="N8" s="1574"/>
    </row>
    <row r="9" spans="2:16" ht="15" thickBot="1">
      <c r="B9" s="985" t="s">
        <v>15</v>
      </c>
      <c r="N9" s="7"/>
    </row>
    <row r="10" spans="2:16">
      <c r="B10" s="3" t="s">
        <v>16</v>
      </c>
      <c r="C10" s="4"/>
      <c r="D10" s="2196" t="s">
        <v>17</v>
      </c>
      <c r="E10" s="4"/>
      <c r="F10" s="4" t="s">
        <v>18</v>
      </c>
      <c r="G10" s="4"/>
      <c r="H10" s="2194"/>
      <c r="I10" s="4"/>
      <c r="J10" s="4" t="s">
        <v>19</v>
      </c>
      <c r="K10" s="2192" t="str">
        <f>M7</f>
        <v>24003-CHO-00</v>
      </c>
      <c r="L10" s="4" t="s">
        <v>20</v>
      </c>
      <c r="M10" s="2239"/>
      <c r="N10" s="2240"/>
    </row>
    <row r="11" spans="2:16" ht="15" thickBot="1">
      <c r="B11" s="6" t="s">
        <v>21</v>
      </c>
      <c r="D11" s="2197"/>
      <c r="F11" t="s">
        <v>22</v>
      </c>
      <c r="H11" s="2195"/>
      <c r="J11" t="s">
        <v>23</v>
      </c>
      <c r="K11" s="2193"/>
      <c r="L11" t="s">
        <v>23</v>
      </c>
      <c r="M11" s="2241"/>
      <c r="N11" s="2242"/>
    </row>
    <row r="12" spans="2:16" ht="15" thickBot="1">
      <c r="B12" s="45" t="s">
        <v>24</v>
      </c>
      <c r="C12" s="65"/>
      <c r="D12" s="2198" t="s">
        <v>25</v>
      </c>
      <c r="E12" s="45" t="s">
        <v>26</v>
      </c>
      <c r="F12" s="996">
        <f>+SUMIF('Financials Parameters'!C18:H18,'RFQ Data'!D12,'Financials Parameters'!C15:H15)</f>
        <v>1</v>
      </c>
      <c r="G12" s="45" t="s">
        <v>27</v>
      </c>
      <c r="H12" s="65"/>
      <c r="I12" s="2254" t="s">
        <v>28</v>
      </c>
      <c r="J12" s="2255"/>
      <c r="K12" s="45" t="s">
        <v>29</v>
      </c>
      <c r="L12" s="2259" t="s">
        <v>30</v>
      </c>
      <c r="M12" s="2260"/>
      <c r="N12" s="845"/>
    </row>
    <row r="13" spans="2:16">
      <c r="B13" s="3" t="s">
        <v>31</v>
      </c>
      <c r="C13" s="101" t="str">
        <f>+D12</f>
        <v>China + South pacific</v>
      </c>
      <c r="D13" s="4" t="s">
        <v>32</v>
      </c>
      <c r="E13" s="4"/>
      <c r="F13" s="101" t="str">
        <f>+I12</f>
        <v>Chokes - Fuse chokes</v>
      </c>
      <c r="G13" s="4"/>
      <c r="H13" s="4"/>
      <c r="I13" s="4" t="s">
        <v>33</v>
      </c>
      <c r="J13" s="4"/>
      <c r="K13" s="101" t="str">
        <f>IF(O14="",+VLOOKUP(I12,'PL Parameters'!D5:J53,'RFQ Data'!F12+1,FALSE),O14)</f>
        <v>Kunshan</v>
      </c>
      <c r="L13" s="4" t="s">
        <v>34</v>
      </c>
      <c r="M13" s="995">
        <f>+SUMIF('Financials Parameters'!I5:I15,'RFQ Data'!K13,'Financials Parameters'!L5:L15)</f>
        <v>1</v>
      </c>
      <c r="N13" s="4"/>
      <c r="O13" s="838" t="s">
        <v>35</v>
      </c>
      <c r="P13" t="s">
        <v>36</v>
      </c>
    </row>
    <row r="14" spans="2:16" ht="15" thickBot="1">
      <c r="B14" s="10" t="s">
        <v>37</v>
      </c>
      <c r="C14" s="11"/>
      <c r="D14" s="11"/>
      <c r="E14" s="102" t="str">
        <f>+IF(F12&lt;&gt;M13,"different","same")</f>
        <v>same</v>
      </c>
      <c r="F14" s="11" t="s">
        <v>38</v>
      </c>
      <c r="G14" s="11"/>
      <c r="H14" s="102" t="str">
        <f>+IF(F12&lt;&gt;M13,"FCA","DAP")</f>
        <v>DAP</v>
      </c>
      <c r="I14" s="102">
        <f>+IF(H14="DAP",D11,+VLOOKUP(K13,'Financials Parameters'!$I$5:$AM$15,6,FALSE))</f>
        <v>0</v>
      </c>
      <c r="J14" s="11"/>
      <c r="K14" s="11"/>
      <c r="L14" s="11"/>
      <c r="M14" s="11"/>
      <c r="N14" s="11"/>
      <c r="O14" s="1430"/>
      <c r="P14" s="77" t="s">
        <v>39</v>
      </c>
    </row>
    <row r="15" spans="2:16" ht="4.95" customHeight="1"/>
    <row r="16" spans="2:16">
      <c r="B16" t="s">
        <v>40</v>
      </c>
      <c r="E16" s="987">
        <f>+VLOOKUP(K13,'Financials Parameters'!$I$5:$AQ$15,5,FALSE)</f>
        <v>90</v>
      </c>
      <c r="F16" t="s">
        <v>41</v>
      </c>
      <c r="H16" s="987" t="str">
        <f>+VLOOKUP($K$13,'Financials Parameters'!$I$5:$AQ$15,2,FALSE)</f>
        <v>RMB</v>
      </c>
    </row>
    <row r="17" spans="2:27">
      <c r="B17" t="s">
        <v>42</v>
      </c>
      <c r="D17" s="987" t="str">
        <f>+H14</f>
        <v>DAP</v>
      </c>
      <c r="E17" t="str">
        <f>+IF(D17="DAP","we will deliver the customer every","we consider a customer pick up every"  )</f>
        <v>we will deliver the customer every</v>
      </c>
      <c r="H17" s="987">
        <f>+IF(D17="DAP",+VLOOKUP(K13,'Financials Parameters'!$I$5:$AQ$15,7,FALSE),+VLOOKUP(K13,'Financials Parameters'!$I$5:$AQ$15,8,FALSE))</f>
        <v>1</v>
      </c>
      <c r="I17" t="s">
        <v>43</v>
      </c>
      <c r="L17" s="987">
        <f>+VLOOKUP($K$13,'Financials Parameters'!$I$5:$AQ$15,9,FALSE)</f>
        <v>7</v>
      </c>
      <c r="M17" t="s">
        <v>44</v>
      </c>
    </row>
    <row r="18" spans="2:27">
      <c r="B18" t="s">
        <v>45</v>
      </c>
      <c r="D18" s="986"/>
      <c r="F18" s="987">
        <f>+VLOOKUP($K$13,'Financials Parameters'!$I$5:$AQ$15,11,FALSE)</f>
        <v>1</v>
      </c>
      <c r="G18" t="s">
        <v>46</v>
      </c>
      <c r="H18" s="986"/>
      <c r="L18" s="986"/>
    </row>
    <row r="19" spans="2:27">
      <c r="D19" s="986"/>
      <c r="H19" s="986"/>
    </row>
    <row r="20" spans="2:27">
      <c r="B20" t="s">
        <v>47</v>
      </c>
    </row>
    <row r="21" spans="2:27">
      <c r="C21" t="s">
        <v>48</v>
      </c>
      <c r="G21" s="987">
        <f>+IF(D17="DAP",0,L17)</f>
        <v>0</v>
      </c>
    </row>
    <row r="22" spans="2:27">
      <c r="B22" s="6"/>
      <c r="C22" t="s">
        <v>49</v>
      </c>
      <c r="G22" s="988">
        <f>ROUNDUP(H17*7*2/3,0)</f>
        <v>5</v>
      </c>
      <c r="N22" s="7"/>
    </row>
    <row r="23" spans="2:27">
      <c r="B23" s="6"/>
      <c r="C23" t="s">
        <v>50</v>
      </c>
      <c r="G23" s="988">
        <f>+F18*7</f>
        <v>7</v>
      </c>
      <c r="N23" s="7"/>
    </row>
    <row r="24" spans="2:27" ht="15" thickBot="1">
      <c r="B24" s="6"/>
      <c r="C24" t="s">
        <v>51</v>
      </c>
      <c r="G24" s="987">
        <f>+IF(D17="DAP",L17,0)</f>
        <v>7</v>
      </c>
      <c r="N24" s="7"/>
    </row>
    <row r="25" spans="2:27" ht="15" thickBot="1">
      <c r="B25" s="6"/>
      <c r="C25" s="98" t="s">
        <v>52</v>
      </c>
      <c r="D25" s="99"/>
      <c r="E25" s="99"/>
      <c r="F25" s="65"/>
      <c r="G25" s="989">
        <f>+SUM(G21:G24)</f>
        <v>19</v>
      </c>
      <c r="N25" s="7"/>
    </row>
    <row r="26" spans="2:27" ht="15" thickBot="1">
      <c r="B26" s="10"/>
      <c r="C26" s="11"/>
      <c r="D26" s="11"/>
      <c r="E26" s="11"/>
      <c r="F26" s="11"/>
      <c r="G26" s="11"/>
      <c r="H26" s="11"/>
      <c r="I26" s="11"/>
      <c r="J26" s="11"/>
      <c r="K26" s="11"/>
      <c r="L26" s="11"/>
      <c r="M26" s="11"/>
      <c r="N26" s="12"/>
    </row>
    <row r="27" spans="2:27" ht="4.95" customHeight="1" thickBot="1"/>
    <row r="28" spans="2:27">
      <c r="B28" s="105" t="s">
        <v>53</v>
      </c>
      <c r="C28" s="4"/>
      <c r="D28" s="4"/>
      <c r="E28" s="4"/>
      <c r="F28" s="4"/>
      <c r="G28" s="4"/>
      <c r="H28" s="4"/>
      <c r="I28" s="4"/>
      <c r="J28" s="4"/>
      <c r="K28" s="4"/>
      <c r="L28" s="4"/>
      <c r="M28" s="4"/>
      <c r="N28" s="4"/>
      <c r="O28" s="1428" t="s">
        <v>54</v>
      </c>
      <c r="P28" s="77" t="s">
        <v>55</v>
      </c>
    </row>
    <row r="29" spans="2:27" ht="15" thickBot="1">
      <c r="B29" s="6" t="s">
        <v>56</v>
      </c>
      <c r="K29" t="s">
        <v>57</v>
      </c>
      <c r="O29" s="314"/>
    </row>
    <row r="30" spans="2:27" ht="15" thickBot="1">
      <c r="B30" s="468" t="s">
        <v>58</v>
      </c>
      <c r="C30" s="2200">
        <v>2024</v>
      </c>
      <c r="D30" s="992">
        <f>+C30+1</f>
        <v>2025</v>
      </c>
      <c r="E30" s="992">
        <f t="shared" ref="E30:G30" si="0">+D30+1</f>
        <v>2026</v>
      </c>
      <c r="F30" s="992">
        <f t="shared" si="0"/>
        <v>2027</v>
      </c>
      <c r="G30" s="992">
        <f t="shared" si="0"/>
        <v>2028</v>
      </c>
      <c r="H30" s="993">
        <f t="shared" ref="H30" si="1">+G30+1</f>
        <v>2029</v>
      </c>
      <c r="I30" s="994">
        <f t="shared" ref="I30" si="2">+H30+1</f>
        <v>2030</v>
      </c>
      <c r="K30" t="str">
        <f>'Capex '!A14</f>
        <v>Specific components tooling at supplier</v>
      </c>
      <c r="N30" s="2201" t="s">
        <v>59</v>
      </c>
      <c r="O30" s="1429">
        <f>MAX(C31:H31)</f>
        <v>600</v>
      </c>
      <c r="Y30" s="2236" t="s">
        <v>60</v>
      </c>
      <c r="Z30" s="2237"/>
      <c r="AA30" s="2238"/>
    </row>
    <row r="31" spans="2:27" ht="15" thickBot="1">
      <c r="B31" s="314" t="s">
        <v>61</v>
      </c>
      <c r="C31" s="990">
        <v>0</v>
      </c>
      <c r="D31" s="2199">
        <v>600</v>
      </c>
      <c r="E31" s="2199">
        <v>600</v>
      </c>
      <c r="F31" s="2199">
        <v>600</v>
      </c>
      <c r="G31" s="2199">
        <v>600</v>
      </c>
      <c r="H31" s="2199">
        <v>600</v>
      </c>
      <c r="I31" s="991">
        <v>0</v>
      </c>
      <c r="K31" t="str">
        <f>'Capex '!A15</f>
        <v>Process tooling at AVO</v>
      </c>
      <c r="N31" s="2202" t="s">
        <v>59</v>
      </c>
      <c r="Y31" s="3" t="s">
        <v>59</v>
      </c>
      <c r="Z31" s="4" t="s">
        <v>62</v>
      </c>
      <c r="AA31" s="5">
        <v>1</v>
      </c>
    </row>
    <row r="32" spans="2:27">
      <c r="B32" s="314" t="s">
        <v>63</v>
      </c>
      <c r="C32" s="1034">
        <v>0</v>
      </c>
      <c r="D32" s="1035">
        <f>+IF(C31=0,0,'Financials Parameters'!$Q$24)</f>
        <v>0</v>
      </c>
      <c r="E32" s="1035">
        <v>0</v>
      </c>
      <c r="F32" s="1035">
        <v>0</v>
      </c>
      <c r="G32" s="1035">
        <v>0</v>
      </c>
      <c r="H32" s="1036">
        <v>0</v>
      </c>
      <c r="K32" t="str">
        <f>'Capex '!A16</f>
        <v>Process equipment at AVO</v>
      </c>
      <c r="N32" s="2202" t="s">
        <v>59</v>
      </c>
      <c r="Y32" s="6" t="s">
        <v>64</v>
      </c>
      <c r="Z32" t="s">
        <v>65</v>
      </c>
      <c r="AA32" s="7">
        <v>2</v>
      </c>
    </row>
    <row r="33" spans="2:27" ht="15" thickBot="1">
      <c r="B33" s="59" t="s">
        <v>66</v>
      </c>
      <c r="C33" s="467">
        <f>+C35*(1-C32)</f>
        <v>0</v>
      </c>
      <c r="D33" s="54">
        <f>+C33*(1-D32)</f>
        <v>0</v>
      </c>
      <c r="E33" s="54">
        <f t="shared" ref="E33:H33" si="3">+D33*(1-E32)</f>
        <v>0</v>
      </c>
      <c r="F33" s="54">
        <f t="shared" si="3"/>
        <v>0</v>
      </c>
      <c r="G33" s="54">
        <f t="shared" si="3"/>
        <v>0</v>
      </c>
      <c r="H33" s="133">
        <f t="shared" si="3"/>
        <v>0</v>
      </c>
      <c r="K33" t="str">
        <f>'Capex '!A17</f>
        <v>Packaging tooling &amp; returnable package</v>
      </c>
      <c r="N33" s="2202" t="s">
        <v>59</v>
      </c>
      <c r="Y33" s="6"/>
      <c r="AA33" s="7">
        <v>3</v>
      </c>
    </row>
    <row r="34" spans="2:27" ht="15" thickBot="1">
      <c r="B34" s="6"/>
      <c r="C34" s="55"/>
      <c r="D34" s="55"/>
      <c r="E34" s="55"/>
      <c r="F34" s="55"/>
      <c r="G34" s="55"/>
      <c r="H34" s="55"/>
      <c r="K34" t="str">
        <f>'Capex '!A18</f>
        <v>Development cost</v>
      </c>
      <c r="N34" s="2202" t="s">
        <v>59</v>
      </c>
      <c r="Y34" s="10"/>
      <c r="Z34" s="11"/>
      <c r="AA34" s="12">
        <v>4</v>
      </c>
    </row>
    <row r="35" spans="2:27" ht="15" thickBot="1">
      <c r="B35" s="45" t="s">
        <v>66</v>
      </c>
      <c r="C35" s="100">
        <v>0</v>
      </c>
      <c r="D35" s="100" t="str">
        <f>+HLOOKUP(F12,'Financials Parameters'!C15:H16,2,FALSE)</f>
        <v>RMB</v>
      </c>
      <c r="E35" s="47" t="s">
        <v>67</v>
      </c>
      <c r="M35" s="219" t="s">
        <v>68</v>
      </c>
      <c r="N35" s="1006">
        <v>3</v>
      </c>
    </row>
    <row r="36" spans="2:27" ht="15" thickBot="1">
      <c r="B36" s="6"/>
      <c r="M36" s="219" t="s">
        <v>69</v>
      </c>
      <c r="N36" s="1005">
        <v>0.12</v>
      </c>
      <c r="P36" s="1494"/>
      <c r="Q36" s="1494"/>
      <c r="R36" s="1494"/>
      <c r="S36" s="1494"/>
      <c r="T36" s="1494"/>
      <c r="U36" s="1494"/>
    </row>
    <row r="37" spans="2:27" ht="15" thickBot="1">
      <c r="B37" s="45" t="s">
        <v>70</v>
      </c>
      <c r="C37" s="272">
        <f>+'Financials Parameters'!Q25</f>
        <v>0.05</v>
      </c>
      <c r="D37" s="65" t="s">
        <v>71</v>
      </c>
      <c r="E37" s="65"/>
      <c r="F37" s="1003">
        <f>+(PriceCalAVO!AB10+PriceCalAVO!AB11+PriceCalAVO!AB12+PriceCalAVO!AB13+PriceCalAVO!AB14+PriceCalAVO!AB16+PriceCalAVO!AB17)*AVERAGE(C31:H31)*C37</f>
        <v>16.889247639849728</v>
      </c>
      <c r="G37" s="65" t="str">
        <f>+"k"&amp;D35</f>
        <v>kRMB</v>
      </c>
      <c r="H37" s="65" t="s">
        <v>72</v>
      </c>
      <c r="I37" s="47"/>
      <c r="M37" s="219" t="s">
        <v>73</v>
      </c>
      <c r="N37" s="1004">
        <f>IF(N35=1,D31,IF(N35=2,D31+E31,IF(N35=3,D31+E31+F31,IF(N35=4,D31+E31+F31+G31,0))))</f>
        <v>1800</v>
      </c>
      <c r="P37" s="1301"/>
      <c r="Q37" s="1302"/>
      <c r="R37" s="1302"/>
      <c r="S37" s="1302"/>
      <c r="T37" s="1302"/>
      <c r="U37" s="1302"/>
    </row>
    <row r="38" spans="2:27" ht="15" thickBot="1">
      <c r="B38" s="10"/>
      <c r="C38" s="11"/>
      <c r="D38" s="11"/>
      <c r="E38" s="11"/>
      <c r="F38" s="11"/>
      <c r="G38" s="11"/>
      <c r="H38" s="11"/>
      <c r="I38" s="11"/>
      <c r="J38" s="11"/>
      <c r="K38" s="11"/>
      <c r="L38" s="11"/>
      <c r="M38" s="11"/>
      <c r="N38" s="11"/>
      <c r="P38" s="1301"/>
      <c r="Q38" s="1302"/>
      <c r="R38" s="1302"/>
      <c r="S38" s="1302"/>
      <c r="T38" s="1302"/>
      <c r="U38" s="1302"/>
    </row>
    <row r="39" spans="2:27" ht="5.7" customHeight="1" thickBot="1"/>
    <row r="40" spans="2:27">
      <c r="B40" s="105" t="s">
        <v>74</v>
      </c>
      <c r="C40" s="4"/>
      <c r="D40" s="4"/>
      <c r="E40" s="4"/>
      <c r="F40" s="4"/>
      <c r="G40" s="4"/>
      <c r="H40" s="4"/>
      <c r="I40" s="4"/>
      <c r="J40" s="4"/>
      <c r="K40" s="4"/>
      <c r="L40" s="4"/>
      <c r="M40" s="4"/>
      <c r="N40" s="4"/>
    </row>
    <row r="41" spans="2:27">
      <c r="B41" s="6"/>
      <c r="N41" s="7"/>
    </row>
    <row r="42" spans="2:27">
      <c r="B42" s="6"/>
      <c r="C42" t="s">
        <v>75</v>
      </c>
      <c r="D42" s="1000" t="str">
        <f>+K13</f>
        <v>Kunshan</v>
      </c>
      <c r="E42" t="s">
        <v>76</v>
      </c>
      <c r="F42" s="987">
        <f>+VLOOKUP($K$13,'Financials Parameters'!$I$5:$BG$15,19,FALSE)</f>
        <v>3</v>
      </c>
      <c r="G42" t="s">
        <v>77</v>
      </c>
      <c r="K42" s="987">
        <f>+VLOOKUP($K$13,'Financials Parameters'!$I$5:$BG$15,20,FALSE)</f>
        <v>5500</v>
      </c>
      <c r="L42" t="s">
        <v>78</v>
      </c>
      <c r="N42" s="7"/>
    </row>
    <row r="43" spans="2:27">
      <c r="B43" s="6"/>
      <c r="C43" t="s">
        <v>79</v>
      </c>
      <c r="E43" s="998">
        <f>+VLOOKUP($K$13,'Financials Parameters'!$I$5:$BG$15,21,FALSE)</f>
        <v>0.2</v>
      </c>
      <c r="F43" t="s">
        <v>80</v>
      </c>
      <c r="K43" s="66"/>
      <c r="N43" s="7"/>
    </row>
    <row r="44" spans="2:27">
      <c r="B44" s="6"/>
      <c r="D44" s="77"/>
      <c r="E44" s="77"/>
      <c r="F44" s="493"/>
      <c r="J44" s="1001" t="s">
        <v>81</v>
      </c>
      <c r="K44" s="999">
        <f>+VLOOKUP($K$13,'Financials Parameters'!$I$5:$BG$15,22,FALSE)</f>
        <v>0.1</v>
      </c>
      <c r="L44" t="s">
        <v>82</v>
      </c>
      <c r="N44" s="7"/>
    </row>
    <row r="45" spans="2:27" ht="15" thickBot="1">
      <c r="B45" s="6"/>
      <c r="J45" s="1002" t="s">
        <v>81</v>
      </c>
      <c r="K45" s="999">
        <f>+VLOOKUP($K$13,'Financials Parameters'!$I$5:$BG$15,23,FALSE)</f>
        <v>0.1</v>
      </c>
      <c r="L45" t="s">
        <v>83</v>
      </c>
      <c r="N45" s="7"/>
    </row>
    <row r="46" spans="2:27" ht="15" thickBot="1">
      <c r="B46" s="10"/>
      <c r="C46" s="12"/>
      <c r="D46" s="252">
        <f t="shared" ref="D46:I46" si="4">+C30</f>
        <v>2024</v>
      </c>
      <c r="E46" s="74">
        <f t="shared" si="4"/>
        <v>2025</v>
      </c>
      <c r="F46" s="74">
        <f t="shared" si="4"/>
        <v>2026</v>
      </c>
      <c r="G46" s="74">
        <f t="shared" si="4"/>
        <v>2027</v>
      </c>
      <c r="H46" s="74">
        <f t="shared" si="4"/>
        <v>2028</v>
      </c>
      <c r="I46" s="803">
        <f t="shared" si="4"/>
        <v>2029</v>
      </c>
      <c r="J46" s="1631" t="s">
        <v>84</v>
      </c>
      <c r="N46" s="7"/>
    </row>
    <row r="47" spans="2:27" ht="15" thickBot="1">
      <c r="B47" s="41" t="s">
        <v>85</v>
      </c>
      <c r="C47" s="23"/>
      <c r="D47" s="850">
        <f>+C31/(1-$E$43)</f>
        <v>0</v>
      </c>
      <c r="E47" s="87">
        <f>+D31/(1-$K$44)</f>
        <v>666.66666666666663</v>
      </c>
      <c r="F47" s="87">
        <f>+E31/(1-$K$44)</f>
        <v>666.66666666666663</v>
      </c>
      <c r="G47" s="87">
        <f>+F31/(1-$K$44)</f>
        <v>666.66666666666663</v>
      </c>
      <c r="H47" s="87">
        <f>+G31/(1-$K$44)</f>
        <v>666.66666666666663</v>
      </c>
      <c r="I47" s="42">
        <f>IF(O29&lt;&gt;0,J47,+H31/(1-$K$44))</f>
        <v>666.66666666666663</v>
      </c>
      <c r="J47" s="1627">
        <f>IF(O29&lt;&gt;"",+O29/(1-$K$44),MAX(D47:I47))</f>
        <v>666.66666666666663</v>
      </c>
      <c r="N47" s="7"/>
    </row>
    <row r="48" spans="2:27" ht="15" thickBot="1">
      <c r="B48" s="2287" t="s">
        <v>86</v>
      </c>
      <c r="C48" s="2288"/>
      <c r="D48" s="1288">
        <f>+D47*1000/$K$42</f>
        <v>0</v>
      </c>
      <c r="E48" s="26">
        <f t="shared" ref="E48:H48" si="5">+E47*1000/$K$42</f>
        <v>121.2121212121212</v>
      </c>
      <c r="F48" s="26">
        <f t="shared" si="5"/>
        <v>121.2121212121212</v>
      </c>
      <c r="G48" s="26">
        <f t="shared" si="5"/>
        <v>121.2121212121212</v>
      </c>
      <c r="H48" s="26">
        <f t="shared" si="5"/>
        <v>121.2121212121212</v>
      </c>
      <c r="I48" s="29">
        <f>+I47*1000/$K$42</f>
        <v>121.2121212121212</v>
      </c>
      <c r="J48" s="1627">
        <f>+J47*1000/$K$42</f>
        <v>121.2121212121212</v>
      </c>
      <c r="K48" s="1295" t="s">
        <v>87</v>
      </c>
      <c r="L48" s="1295"/>
      <c r="M48" s="1296">
        <f>MAX(D48:J48)</f>
        <v>121.2121212121212</v>
      </c>
      <c r="N48" s="1297" t="s">
        <v>88</v>
      </c>
    </row>
    <row r="49" spans="2:14" ht="15" thickBot="1">
      <c r="B49" s="2285" t="s">
        <v>89</v>
      </c>
      <c r="C49" s="2286"/>
      <c r="D49" s="974">
        <f>+D48/MAX(D48:I48)</f>
        <v>0</v>
      </c>
      <c r="E49" s="38">
        <f>+E48/MAX($D$48:$I$48)</f>
        <v>1</v>
      </c>
      <c r="F49" s="38">
        <f>+F48/MAX($D$48:$I$48)</f>
        <v>1</v>
      </c>
      <c r="G49" s="38">
        <f>+G48/MAX($D$48:$I$48)</f>
        <v>1</v>
      </c>
      <c r="H49" s="38">
        <f>+H48/MAX($D$48:$I$48)</f>
        <v>1</v>
      </c>
      <c r="I49" s="40">
        <f>+I48/MAX($D$48:$I$48)</f>
        <v>1</v>
      </c>
      <c r="J49" s="1628"/>
      <c r="K49" s="3"/>
      <c r="L49" s="4"/>
      <c r="M49" s="4"/>
      <c r="N49" s="5"/>
    </row>
    <row r="50" spans="2:14">
      <c r="B50" s="19" t="s">
        <v>90</v>
      </c>
      <c r="C50" s="21"/>
      <c r="D50" s="1299">
        <f>+C31/(1-$E$43)</f>
        <v>0</v>
      </c>
      <c r="E50" s="50">
        <f t="shared" ref="E50:H50" si="6">+D31/(1-$E$43)</f>
        <v>750</v>
      </c>
      <c r="F50" s="50">
        <f t="shared" si="6"/>
        <v>750</v>
      </c>
      <c r="G50" s="50">
        <f t="shared" si="6"/>
        <v>750</v>
      </c>
      <c r="H50" s="50">
        <f t="shared" si="6"/>
        <v>750</v>
      </c>
      <c r="I50" s="51">
        <f>IF(O29&lt;&gt;0,J50,+H31/(1-$E$43))</f>
        <v>750</v>
      </c>
      <c r="J50" s="1629">
        <f>IF(+O29&lt;&gt;"",+O29/(1-$E$43),MAX(E50:I50))</f>
        <v>750</v>
      </c>
      <c r="K50" s="6"/>
      <c r="M50" s="2"/>
      <c r="N50" s="7"/>
    </row>
    <row r="51" spans="2:14" ht="15" thickBot="1">
      <c r="B51" s="2285" t="s">
        <v>89</v>
      </c>
      <c r="C51" s="2286"/>
      <c r="D51" s="974">
        <f t="shared" ref="D51" si="7">+D50/MAX($D$50:$I$50)</f>
        <v>0</v>
      </c>
      <c r="E51" s="38">
        <f>+E50/MAX($D$50:$I$50)</f>
        <v>1</v>
      </c>
      <c r="F51" s="38">
        <f t="shared" ref="F51:I51" si="8">+F50/MAX($D$50:$I$50)</f>
        <v>1</v>
      </c>
      <c r="G51" s="38">
        <f t="shared" si="8"/>
        <v>1</v>
      </c>
      <c r="H51" s="38">
        <f t="shared" si="8"/>
        <v>1</v>
      </c>
      <c r="I51" s="1294">
        <f t="shared" si="8"/>
        <v>1</v>
      </c>
      <c r="J51" s="1630"/>
      <c r="K51" s="10"/>
      <c r="L51" s="11"/>
      <c r="M51" s="250"/>
      <c r="N51" s="12"/>
    </row>
    <row r="52" spans="2:14" ht="15" thickBot="1">
      <c r="B52" s="10"/>
      <c r="C52" s="11"/>
      <c r="D52" s="11"/>
      <c r="E52" s="11"/>
      <c r="F52" s="11"/>
      <c r="G52" s="11"/>
      <c r="H52" s="11"/>
      <c r="I52" s="11"/>
      <c r="J52" s="11"/>
      <c r="K52" s="11"/>
      <c r="L52" s="11"/>
      <c r="M52" s="11"/>
      <c r="N52" s="12"/>
    </row>
    <row r="53" spans="2:14" ht="4.95" customHeight="1" thickBot="1"/>
    <row r="54" spans="2:14">
      <c r="B54" s="105" t="s">
        <v>91</v>
      </c>
      <c r="C54" s="4"/>
      <c r="D54" s="4"/>
      <c r="E54" s="4"/>
      <c r="F54" s="4"/>
      <c r="G54" s="4"/>
      <c r="H54" s="4"/>
      <c r="I54" s="4"/>
      <c r="J54" s="4"/>
      <c r="K54" s="4"/>
      <c r="L54" s="4"/>
      <c r="M54" s="4"/>
      <c r="N54" s="5"/>
    </row>
    <row r="55" spans="2:14">
      <c r="B55" s="6" t="s">
        <v>92</v>
      </c>
      <c r="C55" t="s">
        <v>93</v>
      </c>
      <c r="F55" s="1007" t="str">
        <f>+I12</f>
        <v>Chokes - Fuse chokes</v>
      </c>
      <c r="N55" s="7"/>
    </row>
    <row r="56" spans="2:14">
      <c r="B56" s="6"/>
      <c r="C56" t="s">
        <v>94</v>
      </c>
      <c r="F56" s="1007"/>
      <c r="H56" s="844">
        <f>+VLOOKUP($F$55,'PL Parameters'!$D$5:$AA$53,12,FALSE)</f>
        <v>0.5</v>
      </c>
      <c r="N56" s="7"/>
    </row>
    <row r="57" spans="2:14">
      <c r="B57" s="6"/>
      <c r="C57" t="s">
        <v>95</v>
      </c>
      <c r="F57" s="1007"/>
      <c r="N57" s="7"/>
    </row>
    <row r="58" spans="2:14">
      <c r="B58" s="6"/>
      <c r="F58" s="1007"/>
      <c r="N58" s="7"/>
    </row>
    <row r="59" spans="2:14">
      <c r="B59" s="6"/>
      <c r="F59" s="1007"/>
      <c r="N59" s="7"/>
    </row>
    <row r="60" spans="2:14">
      <c r="B60" s="6"/>
      <c r="C60" s="72" t="s">
        <v>96</v>
      </c>
      <c r="N60" s="7"/>
    </row>
    <row r="61" spans="2:14">
      <c r="B61" s="6"/>
      <c r="D61" t="s">
        <v>97</v>
      </c>
      <c r="J61" s="999">
        <f>+VLOOKUP($F$55,'PL Parameters'!$D$5:$AA$53,13,FALSE)</f>
        <v>0.1</v>
      </c>
      <c r="N61" s="7"/>
    </row>
    <row r="62" spans="2:14">
      <c r="B62" s="6"/>
      <c r="D62" t="s">
        <v>98</v>
      </c>
      <c r="J62" s="998">
        <f>+VLOOKUP($F$55,'PL Parameters'!$D$5:$AA$53,14,FALSE)</f>
        <v>1.2E-2</v>
      </c>
      <c r="N62" s="7"/>
    </row>
    <row r="63" spans="2:14">
      <c r="B63" s="6"/>
      <c r="D63" t="s">
        <v>99</v>
      </c>
      <c r="J63" s="997">
        <f>+VLOOKUP($K$13,'Financials Parameters'!$I$5:$BG$15,17,FALSE)</f>
        <v>34</v>
      </c>
      <c r="K63" t="str">
        <f>+H16&amp;"/h incuding shift premium"</f>
        <v>RMB/h incuding shift premium</v>
      </c>
      <c r="N63" s="7"/>
    </row>
    <row r="64" spans="2:14">
      <c r="B64" s="6"/>
      <c r="D64" t="s">
        <v>100</v>
      </c>
      <c r="J64" s="997">
        <f>+VLOOKUP($K$13,'Financials Parameters'!$I$5:$BG$15,18,FALSE)</f>
        <v>20</v>
      </c>
      <c r="K64" t="str">
        <f>+H16&amp;"/h"</f>
        <v>RMB/h</v>
      </c>
      <c r="N64" s="7"/>
    </row>
    <row r="65" spans="2:14">
      <c r="B65" s="6"/>
      <c r="D65" t="s">
        <v>101</v>
      </c>
      <c r="J65" s="1008">
        <f>+VLOOKUP($F$55,'PL Parameters'!$D$5:$BU$53,15,FALSE)</f>
        <v>7</v>
      </c>
      <c r="K65" t="s">
        <v>102</v>
      </c>
      <c r="N65" s="7"/>
    </row>
    <row r="66" spans="2:14">
      <c r="B66" s="6"/>
      <c r="C66" s="72" t="s">
        <v>103</v>
      </c>
      <c r="N66" s="7"/>
    </row>
    <row r="67" spans="2:14">
      <c r="B67" s="6"/>
      <c r="D67" t="s">
        <v>104</v>
      </c>
      <c r="G67" s="2179">
        <f>+VLOOKUP($K$13,'Financials Parameters'!$I$5:$BG$15,14,FALSE)</f>
        <v>5.0000000000000001E-3</v>
      </c>
      <c r="H67" t="s">
        <v>105</v>
      </c>
      <c r="N67" s="7"/>
    </row>
    <row r="68" spans="2:14">
      <c r="B68" s="6"/>
      <c r="N68" s="7"/>
    </row>
    <row r="69" spans="2:14">
      <c r="B69" s="6"/>
      <c r="N69" s="7"/>
    </row>
    <row r="70" spans="2:14">
      <c r="B70" s="6"/>
      <c r="N70" s="7"/>
    </row>
    <row r="71" spans="2:14">
      <c r="B71" s="6"/>
      <c r="C71" s="1009" t="s">
        <v>106</v>
      </c>
      <c r="D71" s="1010"/>
      <c r="E71" s="1010"/>
      <c r="F71" s="1010"/>
      <c r="G71" s="1010"/>
      <c r="H71" s="1010"/>
      <c r="I71" s="1010"/>
      <c r="J71" s="1010"/>
      <c r="K71" s="1010"/>
      <c r="L71" s="1010"/>
      <c r="M71" s="1010"/>
      <c r="N71" s="1011"/>
    </row>
    <row r="72" spans="2:14">
      <c r="B72" s="6"/>
      <c r="C72" s="1010"/>
      <c r="D72" s="1010" t="s">
        <v>107</v>
      </c>
      <c r="E72" s="1010"/>
      <c r="F72" s="1010"/>
      <c r="G72" s="1012">
        <f>+VLOOKUP($F$55,'PL Parameters'!$D$5:$AA$53,17,FALSE)</f>
        <v>100</v>
      </c>
      <c r="H72" s="1010" t="str">
        <f>+"k"&amp;$H$16&amp;" and"</f>
        <v>kRMB and</v>
      </c>
      <c r="I72" s="1010"/>
      <c r="J72" s="1012" t="str">
        <f>+VLOOKUP($F$55,'PL Parameters'!$D$5:$AA$53,18,FALSE)</f>
        <v>500</v>
      </c>
      <c r="K72" s="1010" t="str">
        <f>+"k"&amp;$H$16</f>
        <v>kRMB</v>
      </c>
      <c r="L72" s="1010"/>
      <c r="M72" s="1010"/>
      <c r="N72" s="1011"/>
    </row>
    <row r="73" spans="2:14">
      <c r="B73" s="6"/>
      <c r="C73" s="1010"/>
      <c r="D73" s="1010" t="s">
        <v>108</v>
      </c>
      <c r="E73" s="1010"/>
      <c r="F73" s="1010"/>
      <c r="G73" s="1010"/>
      <c r="H73" s="1013">
        <f>AVERAGEA(D31:H31)*PriceCalAVO!AB1</f>
        <v>578.66988819009407</v>
      </c>
      <c r="I73" s="1010" t="str">
        <f>+K72</f>
        <v>kRMB</v>
      </c>
      <c r="J73" s="1010"/>
      <c r="K73" s="1010"/>
      <c r="L73" s="1010"/>
      <c r="M73" s="1010"/>
      <c r="N73" s="1011"/>
    </row>
    <row r="74" spans="2:14">
      <c r="B74" s="6"/>
      <c r="C74" s="1010"/>
      <c r="D74" s="1010" t="s">
        <v>109</v>
      </c>
      <c r="E74" s="1010"/>
      <c r="F74" s="1010"/>
      <c r="G74" s="1010"/>
      <c r="H74" s="1010"/>
      <c r="I74" s="1010"/>
      <c r="J74" s="1010"/>
      <c r="K74" s="1010" t="s">
        <v>110</v>
      </c>
      <c r="L74" s="1014"/>
      <c r="M74" s="1010" t="s">
        <v>111</v>
      </c>
      <c r="N74" s="1011"/>
    </row>
    <row r="75" spans="2:14" ht="15" thickBot="1">
      <c r="B75" s="10"/>
      <c r="C75" s="1015"/>
      <c r="D75" s="1015"/>
      <c r="E75" s="1015"/>
      <c r="F75" s="1015"/>
      <c r="G75" s="1015"/>
      <c r="H75" s="1016" t="s">
        <v>92</v>
      </c>
      <c r="I75" s="1015"/>
      <c r="J75" s="1015"/>
      <c r="K75" s="1015" t="s">
        <v>112</v>
      </c>
      <c r="L75" s="1017"/>
      <c r="M75" s="1015" t="s">
        <v>111</v>
      </c>
      <c r="N75" s="1018"/>
    </row>
    <row r="76" spans="2:14" ht="15" thickBot="1"/>
    <row r="77" spans="2:14" ht="15" thickBot="1">
      <c r="B77" s="105" t="s">
        <v>113</v>
      </c>
      <c r="C77" s="4"/>
      <c r="D77" s="4"/>
      <c r="E77" s="4"/>
      <c r="F77" s="4"/>
      <c r="G77" s="4"/>
      <c r="H77" s="4"/>
      <c r="I77" s="4"/>
      <c r="J77" s="4"/>
      <c r="K77" s="4"/>
      <c r="L77" s="4"/>
      <c r="M77" s="4"/>
      <c r="N77" s="5"/>
    </row>
    <row r="78" spans="2:14" ht="15" thickBot="1">
      <c r="B78" s="6"/>
      <c r="C78" s="2269" t="s">
        <v>114</v>
      </c>
      <c r="D78" s="2270"/>
      <c r="E78" s="2263" t="s">
        <v>115</v>
      </c>
      <c r="F78" s="2264"/>
      <c r="G78" s="2248" t="s">
        <v>116</v>
      </c>
      <c r="H78" s="2249"/>
      <c r="I78" s="2249"/>
      <c r="J78" s="2249"/>
      <c r="K78" s="2250"/>
      <c r="N78" s="7"/>
    </row>
    <row r="79" spans="2:14" ht="15" thickBot="1">
      <c r="B79" s="6"/>
      <c r="C79" s="65"/>
      <c r="D79" s="65"/>
      <c r="E79" s="1056"/>
      <c r="F79" s="1056"/>
      <c r="G79" s="65"/>
      <c r="H79" s="65"/>
      <c r="I79" s="65"/>
      <c r="J79" s="65"/>
      <c r="K79" s="65"/>
      <c r="N79" s="7"/>
    </row>
    <row r="80" spans="2:14" ht="15" thickBot="1">
      <c r="B80" s="6"/>
      <c r="C80" s="2269" t="s">
        <v>117</v>
      </c>
      <c r="D80" s="2270"/>
      <c r="E80" s="2265"/>
      <c r="F80" s="2266"/>
      <c r="G80" s="2248" t="s">
        <v>118</v>
      </c>
      <c r="H80" s="2249"/>
      <c r="I80" s="2249"/>
      <c r="J80" s="2249"/>
      <c r="K80" s="2250"/>
      <c r="N80" s="7"/>
    </row>
    <row r="81" spans="2:14" ht="15" thickBot="1">
      <c r="B81" s="6"/>
      <c r="C81" s="2249"/>
      <c r="D81" s="2249"/>
      <c r="E81" s="2237"/>
      <c r="F81" s="2237"/>
      <c r="G81" s="2249"/>
      <c r="H81" s="2249"/>
      <c r="I81" s="2249"/>
      <c r="J81" s="2249"/>
      <c r="K81" s="2249"/>
      <c r="N81" s="7"/>
    </row>
    <row r="82" spans="2:14">
      <c r="B82" s="6"/>
      <c r="C82" s="2271" t="s">
        <v>119</v>
      </c>
      <c r="D82" s="2272"/>
      <c r="E82" s="2275"/>
      <c r="F82" s="2276"/>
      <c r="G82" s="2251" t="s">
        <v>120</v>
      </c>
      <c r="H82" s="2252"/>
      <c r="I82" s="2252"/>
      <c r="J82" s="2252"/>
      <c r="K82" s="2253"/>
      <c r="N82" s="7"/>
    </row>
    <row r="83" spans="2:14">
      <c r="B83" s="6"/>
      <c r="C83" s="2273" t="s">
        <v>121</v>
      </c>
      <c r="D83" s="2274"/>
      <c r="E83" s="2277"/>
      <c r="F83" s="2278"/>
      <c r="G83" s="2245" t="s">
        <v>122</v>
      </c>
      <c r="H83" s="2246"/>
      <c r="I83" s="2246"/>
      <c r="J83" s="2246"/>
      <c r="K83" s="2247"/>
      <c r="N83" s="7"/>
    </row>
    <row r="84" spans="2:14">
      <c r="B84" s="6"/>
      <c r="C84" s="2273" t="s">
        <v>123</v>
      </c>
      <c r="D84" s="2274"/>
      <c r="E84" s="2277"/>
      <c r="F84" s="2278"/>
      <c r="G84" s="2289" t="s">
        <v>124</v>
      </c>
      <c r="H84" s="2290"/>
      <c r="I84" s="2290"/>
      <c r="J84" s="2290"/>
      <c r="K84" s="2291"/>
      <c r="N84" s="7"/>
    </row>
    <row r="85" spans="2:14">
      <c r="B85" s="6"/>
      <c r="C85" s="2273" t="s">
        <v>125</v>
      </c>
      <c r="D85" s="2274"/>
      <c r="E85" s="2277"/>
      <c r="F85" s="2278"/>
      <c r="G85" s="2245" t="s">
        <v>124</v>
      </c>
      <c r="H85" s="2246"/>
      <c r="I85" s="2246"/>
      <c r="J85" s="2246"/>
      <c r="K85" s="2247"/>
      <c r="N85" s="7"/>
    </row>
    <row r="86" spans="2:14" ht="15" thickBot="1">
      <c r="B86" s="6"/>
      <c r="C86" s="2281" t="s">
        <v>126</v>
      </c>
      <c r="D86" s="2282"/>
      <c r="E86" s="2279"/>
      <c r="F86" s="2280"/>
      <c r="G86" s="2256" t="s">
        <v>127</v>
      </c>
      <c r="H86" s="2257"/>
      <c r="I86" s="2257"/>
      <c r="J86" s="2257"/>
      <c r="K86" s="2258"/>
      <c r="N86" s="7"/>
    </row>
    <row r="87" spans="2:14" ht="15" thickBot="1">
      <c r="B87" s="6"/>
      <c r="C87" s="2261" t="s">
        <v>128</v>
      </c>
      <c r="D87" s="2262"/>
      <c r="E87" s="2267">
        <f>E82+E83+MAX(E84,E85)+E86</f>
        <v>0</v>
      </c>
      <c r="F87" s="2268"/>
      <c r="G87" s="2243"/>
      <c r="H87" s="2244"/>
      <c r="I87" s="2244"/>
      <c r="J87" s="2244"/>
      <c r="K87" s="2244"/>
      <c r="N87" s="7"/>
    </row>
    <row r="88" spans="2:14">
      <c r="B88" s="6"/>
      <c r="C88" s="1187" t="s">
        <v>129</v>
      </c>
      <c r="D88" s="4"/>
      <c r="E88" s="222"/>
      <c r="F88" s="222"/>
      <c r="N88" s="7"/>
    </row>
    <row r="89" spans="2:14" ht="15" thickBot="1">
      <c r="B89" s="10"/>
      <c r="C89" s="11"/>
      <c r="D89" s="11"/>
      <c r="E89" s="11"/>
      <c r="F89" s="11"/>
      <c r="G89" s="11"/>
      <c r="H89" s="11"/>
      <c r="I89" s="11"/>
      <c r="J89" s="11"/>
      <c r="K89" s="11"/>
      <c r="L89" s="11"/>
      <c r="M89" s="11"/>
      <c r="N89" s="12"/>
    </row>
  </sheetData>
  <mergeCells count="41">
    <mergeCell ref="B1:N1"/>
    <mergeCell ref="D2:N2"/>
    <mergeCell ref="D3:N3"/>
    <mergeCell ref="D4:N4"/>
    <mergeCell ref="D5:N5"/>
    <mergeCell ref="C85:D85"/>
    <mergeCell ref="C86:D86"/>
    <mergeCell ref="D6:N6"/>
    <mergeCell ref="B51:C51"/>
    <mergeCell ref="B48:C48"/>
    <mergeCell ref="G84:K84"/>
    <mergeCell ref="G85:K85"/>
    <mergeCell ref="B49:C49"/>
    <mergeCell ref="C87:D87"/>
    <mergeCell ref="E78:F78"/>
    <mergeCell ref="E80:F80"/>
    <mergeCell ref="E81:F81"/>
    <mergeCell ref="E87:F87"/>
    <mergeCell ref="C80:D80"/>
    <mergeCell ref="C81:D81"/>
    <mergeCell ref="C78:D78"/>
    <mergeCell ref="C82:D82"/>
    <mergeCell ref="C83:D83"/>
    <mergeCell ref="C84:D84"/>
    <mergeCell ref="E82:F82"/>
    <mergeCell ref="E83:F83"/>
    <mergeCell ref="E84:F84"/>
    <mergeCell ref="E85:F85"/>
    <mergeCell ref="E86:F86"/>
    <mergeCell ref="Y30:AA30"/>
    <mergeCell ref="M10:N10"/>
    <mergeCell ref="M11:N11"/>
    <mergeCell ref="G87:K87"/>
    <mergeCell ref="G83:K83"/>
    <mergeCell ref="G78:K78"/>
    <mergeCell ref="G80:K80"/>
    <mergeCell ref="G81:K81"/>
    <mergeCell ref="G82:K82"/>
    <mergeCell ref="I12:J12"/>
    <mergeCell ref="G86:K86"/>
    <mergeCell ref="L12:M12"/>
  </mergeCells>
  <phoneticPr fontId="67" type="noConversion"/>
  <conditionalFormatting sqref="O14 K13">
    <cfRule type="duplicateValues" dxfId="196" priority="1"/>
  </conditionalFormatting>
  <dataValidations count="3">
    <dataValidation type="list" allowBlank="1" showInputMessage="1" showErrorMessage="1" sqref="N30:N34" xr:uid="{8CD761F6-D3AB-4525-9782-6A67E868580E}">
      <formula1>$Y$31:$Y$32</formula1>
    </dataValidation>
    <dataValidation type="list" allowBlank="1" showInputMessage="1" showErrorMessage="1" sqref="N35" xr:uid="{918DCA0D-E966-4959-B8E1-189BF3FFBF1D}">
      <formula1>$AA$31:$AA$34</formula1>
    </dataValidation>
    <dataValidation type="list" allowBlank="1" showInputMessage="1" showErrorMessage="1" sqref="C8" xr:uid="{36A0F05E-1DCA-4C22-9E3F-4FE86903C223}">
      <formula1>"1,2,3,4"</formula1>
    </dataValidation>
  </dataValidations>
  <pageMargins left="0.7" right="0.7" top="0.75" bottom="0.75" header="0.3" footer="0.3"/>
  <pageSetup paperSize="9" scale="48" fitToHeight="0"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32AC2DC3-D1D1-43CF-AA86-7D89BFC4EE13}">
          <x14:formula1>
            <xm:f>'PL Parameters'!$D$5:$D$53</xm:f>
          </x14:formula1>
          <xm:sqref>I12</xm:sqref>
        </x14:dataValidation>
        <x14:dataValidation type="list" allowBlank="1" showInputMessage="1" showErrorMessage="1" xr:uid="{7C250B68-891D-4AFD-91B1-D18986169C47}">
          <x14:formula1>
            <xm:f>'Financials Parameters'!$C$18:$H$18</xm:f>
          </x14:formula1>
          <xm:sqref>D12</xm:sqref>
        </x14:dataValidation>
        <x14:dataValidation type="list" allowBlank="1" showInputMessage="1" showErrorMessage="1" xr:uid="{95DAD8C3-FF8F-4A9A-9D17-C9BBE95A97C2}">
          <x14:formula1>
            <xm:f>'Financials Parameters'!$I$5:$I$15</xm:f>
          </x14:formula1>
          <xm:sqref>O14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4C129-0608-4562-9A20-7922996CCC65}">
  <sheetPr codeName="Feuil1">
    <tabColor rgb="FF00B0F0"/>
  </sheetPr>
  <dimension ref="A1:CA36"/>
  <sheetViews>
    <sheetView zoomScale="80" zoomScaleNormal="80" workbookViewId="0">
      <pane xSplit="2" ySplit="2" topLeftCell="G3" activePane="bottomRight" state="frozen"/>
      <selection pane="topRight" activeCell="C1" sqref="C1"/>
      <selection pane="bottomLeft" activeCell="A3" sqref="A3"/>
      <selection pane="bottomRight" activeCell="J11" sqref="J11"/>
    </sheetView>
  </sheetViews>
  <sheetFormatPr baseColWidth="10" defaultColWidth="11.44140625" defaultRowHeight="14.4" outlineLevelCol="1"/>
  <cols>
    <col min="1" max="1" width="32.109375" customWidth="1"/>
    <col min="2" max="2" width="27.6640625" bestFit="1" customWidth="1"/>
    <col min="3" max="3" width="11.6640625" customWidth="1"/>
    <col min="4" max="4" width="5.6640625" bestFit="1" customWidth="1"/>
    <col min="5" max="5" width="17.109375" bestFit="1" customWidth="1"/>
    <col min="6" max="6" width="8" bestFit="1" customWidth="1"/>
    <col min="7" max="7" width="9.77734375" customWidth="1"/>
    <col min="8" max="8" width="13.77734375" customWidth="1"/>
    <col min="9" max="9" width="7.109375" customWidth="1"/>
    <col min="10" max="10" width="14.44140625" bestFit="1" customWidth="1"/>
    <col min="11" max="11" width="10.33203125" customWidth="1"/>
    <col min="12" max="13" width="8.109375" bestFit="1" customWidth="1"/>
    <col min="14" max="14" width="5.77734375" customWidth="1"/>
    <col min="15" max="15" width="32.21875" bestFit="1" customWidth="1"/>
    <col min="16" max="16" width="12.77734375" customWidth="1"/>
    <col min="17" max="21" width="7.33203125" bestFit="1" customWidth="1"/>
    <col min="22" max="22" width="8.21875" customWidth="1"/>
    <col min="23" max="23" width="14.21875" bestFit="1" customWidth="1"/>
    <col min="24" max="24" width="7.33203125" customWidth="1" outlineLevel="1"/>
    <col min="25" max="25" width="6.77734375" customWidth="1"/>
    <col min="26" max="26" width="12.44140625" customWidth="1"/>
    <col min="27" max="27" width="14.21875" customWidth="1" outlineLevel="1"/>
    <col min="28" max="28" width="7.33203125" customWidth="1" outlineLevel="1"/>
    <col min="29" max="29" width="10.77734375" customWidth="1" outlineLevel="1"/>
    <col min="30" max="30" width="11" customWidth="1" outlineLevel="1"/>
    <col min="31" max="31" width="22.77734375" customWidth="1" outlineLevel="1"/>
    <col min="32" max="32" width="10.44140625" customWidth="1" outlineLevel="1"/>
    <col min="33" max="33" width="12.88671875" customWidth="1" outlineLevel="1"/>
    <col min="34" max="34" width="15.77734375" customWidth="1" outlineLevel="1"/>
    <col min="35" max="35" width="12.77734375" customWidth="1" outlineLevel="1"/>
    <col min="36" max="36" width="15" customWidth="1" outlineLevel="1"/>
    <col min="37" max="37" width="13.44140625" customWidth="1" outlineLevel="1"/>
    <col min="38" max="38" width="12.44140625" customWidth="1" outlineLevel="1"/>
    <col min="39" max="39" width="13.109375" customWidth="1" outlineLevel="1"/>
    <col min="40" max="40" width="10.77734375" customWidth="1"/>
    <col min="41" max="41" width="10.77734375" customWidth="1" outlineLevel="1"/>
    <col min="42" max="42" width="7.33203125" customWidth="1" outlineLevel="1"/>
    <col min="43" max="43" width="11" customWidth="1" outlineLevel="1"/>
    <col min="44" max="44" width="10.77734375" customWidth="1" outlineLevel="1"/>
    <col min="45" max="45" width="22.44140625" customWidth="1" outlineLevel="1"/>
    <col min="46" max="46" width="10.44140625" customWidth="1" outlineLevel="1"/>
    <col min="47" max="47" width="12.88671875" customWidth="1" outlineLevel="1"/>
    <col min="48" max="48" width="15.77734375" customWidth="1" outlineLevel="1"/>
    <col min="49" max="49" width="12.77734375" customWidth="1" outlineLevel="1"/>
    <col min="50" max="50" width="15" customWidth="1" outlineLevel="1"/>
    <col min="51" max="51" width="13.44140625" customWidth="1" outlineLevel="1"/>
    <col min="52" max="52" width="12.44140625" customWidth="1" outlineLevel="1"/>
    <col min="53" max="53" width="12.88671875" customWidth="1" outlineLevel="1"/>
    <col min="54" max="54" width="10.77734375" customWidth="1"/>
    <col min="55" max="55" width="10.77734375" customWidth="1" outlineLevel="1"/>
    <col min="56" max="56" width="7.33203125" customWidth="1" outlineLevel="1"/>
    <col min="57" max="57" width="11" customWidth="1" outlineLevel="1"/>
    <col min="58" max="58" width="10.77734375" customWidth="1" outlineLevel="1"/>
    <col min="59" max="59" width="22.88671875" customWidth="1" outlineLevel="1"/>
    <col min="60" max="60" width="10.44140625" customWidth="1" outlineLevel="1"/>
    <col min="61" max="61" width="12.88671875" customWidth="1" outlineLevel="1"/>
    <col min="62" max="62" width="15.77734375" customWidth="1" outlineLevel="1"/>
    <col min="63" max="63" width="12.77734375" customWidth="1" outlineLevel="1"/>
    <col min="64" max="64" width="15" customWidth="1" outlineLevel="1"/>
    <col min="65" max="65" width="13.44140625" customWidth="1" outlineLevel="1"/>
    <col min="66" max="66" width="12.44140625" customWidth="1" outlineLevel="1"/>
    <col min="67" max="67" width="14.44140625" customWidth="1" outlineLevel="1"/>
    <col min="68" max="68" width="10.77734375" customWidth="1"/>
    <col min="69" max="69" width="45.77734375" customWidth="1"/>
    <col min="73" max="73" width="15.44140625" customWidth="1"/>
    <col min="74" max="77" width="11.44140625" customWidth="1"/>
  </cols>
  <sheetData>
    <row r="1" spans="1:79" ht="15" thickBot="1">
      <c r="A1" s="1404" t="s">
        <v>130</v>
      </c>
      <c r="B1" s="2301" t="s">
        <v>131</v>
      </c>
      <c r="C1" s="2303" t="s">
        <v>132</v>
      </c>
      <c r="D1" s="2303"/>
      <c r="E1" s="2303"/>
      <c r="F1" s="2303"/>
      <c r="G1" s="2309" t="s">
        <v>133</v>
      </c>
      <c r="H1" s="2304" t="s">
        <v>134</v>
      </c>
      <c r="I1" s="2304" t="s">
        <v>135</v>
      </c>
      <c r="J1" s="2304" t="s">
        <v>136</v>
      </c>
      <c r="K1" s="2306" t="s">
        <v>137</v>
      </c>
      <c r="L1" s="2307"/>
      <c r="M1" s="2307"/>
      <c r="N1" s="2308"/>
      <c r="O1" s="2309" t="s">
        <v>138</v>
      </c>
      <c r="P1" s="2309" t="s">
        <v>139</v>
      </c>
      <c r="Q1" s="2310" t="s">
        <v>140</v>
      </c>
      <c r="R1" s="2310"/>
      <c r="S1" s="2310"/>
      <c r="T1" s="2310"/>
      <c r="U1" s="2310"/>
      <c r="V1" s="2311" t="s">
        <v>141</v>
      </c>
      <c r="W1" s="2304" t="s">
        <v>142</v>
      </c>
      <c r="X1" s="2304"/>
      <c r="Y1" s="2304" t="s">
        <v>143</v>
      </c>
      <c r="Z1" s="2313" t="s">
        <v>144</v>
      </c>
      <c r="AA1" s="2314"/>
      <c r="AB1" s="2314"/>
      <c r="AC1" s="2314"/>
      <c r="AD1" s="2314"/>
      <c r="AE1" s="2314"/>
      <c r="AF1" s="2314"/>
      <c r="AG1" s="2314"/>
      <c r="AH1" s="2314"/>
      <c r="AI1" s="2314"/>
      <c r="AJ1" s="2314"/>
      <c r="AK1" s="2314"/>
      <c r="AL1" s="2314"/>
      <c r="AM1" s="2315"/>
      <c r="AN1" s="2316" t="s">
        <v>145</v>
      </c>
      <c r="AO1" s="2317"/>
      <c r="AP1" s="2317"/>
      <c r="AQ1" s="2317"/>
      <c r="AR1" s="2317"/>
      <c r="AS1" s="2317"/>
      <c r="AT1" s="2317"/>
      <c r="AU1" s="2317"/>
      <c r="AV1" s="2317"/>
      <c r="AW1" s="2317"/>
      <c r="AX1" s="2317"/>
      <c r="AY1" s="2317"/>
      <c r="AZ1" s="2317"/>
      <c r="BA1" s="2318"/>
      <c r="BB1" s="2313" t="s">
        <v>146</v>
      </c>
      <c r="BC1" s="2314"/>
      <c r="BD1" s="2314"/>
      <c r="BE1" s="2314"/>
      <c r="BF1" s="2314"/>
      <c r="BG1" s="2314"/>
      <c r="BH1" s="2314"/>
      <c r="BI1" s="2314"/>
      <c r="BJ1" s="2314"/>
      <c r="BK1" s="2314"/>
      <c r="BL1" s="2314"/>
      <c r="BM1" s="2314"/>
      <c r="BN1" s="2314"/>
      <c r="BO1" s="2315"/>
      <c r="BP1" s="2304" t="s">
        <v>147</v>
      </c>
      <c r="BQ1" s="1405" t="s">
        <v>148</v>
      </c>
    </row>
    <row r="2" spans="1:79" ht="15" thickBot="1">
      <c r="A2" s="1406"/>
      <c r="B2" s="2302"/>
      <c r="C2" s="1407" t="s">
        <v>149</v>
      </c>
      <c r="D2" s="1407" t="s">
        <v>150</v>
      </c>
      <c r="E2" s="1408" t="s">
        <v>151</v>
      </c>
      <c r="F2" s="1408" t="s">
        <v>150</v>
      </c>
      <c r="G2" s="2302"/>
      <c r="H2" s="2305"/>
      <c r="I2" s="2305"/>
      <c r="J2" s="2305"/>
      <c r="K2" s="1427" t="s">
        <v>152</v>
      </c>
      <c r="L2" s="1427" t="s">
        <v>153</v>
      </c>
      <c r="M2" s="1427" t="s">
        <v>154</v>
      </c>
      <c r="N2" s="220" t="s">
        <v>155</v>
      </c>
      <c r="O2" s="2302"/>
      <c r="P2" s="2302"/>
      <c r="Q2" s="1409" t="s">
        <v>156</v>
      </c>
      <c r="R2" s="1409" t="s">
        <v>157</v>
      </c>
      <c r="S2" s="1409" t="s">
        <v>158</v>
      </c>
      <c r="T2" s="1409" t="s">
        <v>159</v>
      </c>
      <c r="U2" s="1409" t="s">
        <v>160</v>
      </c>
      <c r="V2" s="2312"/>
      <c r="W2" s="2305"/>
      <c r="X2" s="2305" t="s">
        <v>161</v>
      </c>
      <c r="Y2" s="2305"/>
      <c r="Z2" s="1410" t="s">
        <v>162</v>
      </c>
      <c r="AA2" s="1411" t="s">
        <v>163</v>
      </c>
      <c r="AB2" s="1411" t="s">
        <v>164</v>
      </c>
      <c r="AC2" s="1411" t="s">
        <v>161</v>
      </c>
      <c r="AD2" s="1411" t="s">
        <v>165</v>
      </c>
      <c r="AE2" s="1411" t="s">
        <v>166</v>
      </c>
      <c r="AF2" s="1411" t="s">
        <v>167</v>
      </c>
      <c r="AG2" s="1411" t="s">
        <v>168</v>
      </c>
      <c r="AH2" s="1411" t="s">
        <v>169</v>
      </c>
      <c r="AI2" s="1411" t="s">
        <v>170</v>
      </c>
      <c r="AJ2" s="1411" t="s">
        <v>171</v>
      </c>
      <c r="AK2" s="1411" t="s">
        <v>172</v>
      </c>
      <c r="AL2" s="1412" t="s">
        <v>173</v>
      </c>
      <c r="AM2" s="1411" t="s">
        <v>148</v>
      </c>
      <c r="AN2" s="1405" t="s">
        <v>162</v>
      </c>
      <c r="AO2" s="1413" t="s">
        <v>163</v>
      </c>
      <c r="AP2" s="1413" t="s">
        <v>164</v>
      </c>
      <c r="AQ2" s="1413" t="s">
        <v>165</v>
      </c>
      <c r="AR2" s="1413" t="s">
        <v>161</v>
      </c>
      <c r="AS2" s="1413" t="s">
        <v>166</v>
      </c>
      <c r="AT2" s="1413" t="s">
        <v>167</v>
      </c>
      <c r="AU2" s="1413" t="s">
        <v>168</v>
      </c>
      <c r="AV2" s="1413" t="s">
        <v>169</v>
      </c>
      <c r="AW2" s="1413" t="s">
        <v>170</v>
      </c>
      <c r="AX2" s="1413" t="s">
        <v>171</v>
      </c>
      <c r="AY2" s="1413" t="s">
        <v>172</v>
      </c>
      <c r="AZ2" s="1414" t="s">
        <v>174</v>
      </c>
      <c r="BA2" s="1413" t="s">
        <v>148</v>
      </c>
      <c r="BB2" s="1410" t="s">
        <v>162</v>
      </c>
      <c r="BC2" s="1411" t="s">
        <v>163</v>
      </c>
      <c r="BD2" s="1411" t="s">
        <v>164</v>
      </c>
      <c r="BE2" s="1411" t="s">
        <v>165</v>
      </c>
      <c r="BF2" s="1411" t="s">
        <v>161</v>
      </c>
      <c r="BG2" s="1411" t="s">
        <v>166</v>
      </c>
      <c r="BH2" s="1411" t="s">
        <v>167</v>
      </c>
      <c r="BI2" s="1411" t="s">
        <v>168</v>
      </c>
      <c r="BJ2" s="1411" t="s">
        <v>169</v>
      </c>
      <c r="BK2" s="1411" t="s">
        <v>170</v>
      </c>
      <c r="BL2" s="1411" t="s">
        <v>171</v>
      </c>
      <c r="BM2" s="1411" t="s">
        <v>172</v>
      </c>
      <c r="BN2" s="1412" t="s">
        <v>174</v>
      </c>
      <c r="BO2" s="1411" t="s">
        <v>148</v>
      </c>
      <c r="BP2" s="2305"/>
      <c r="BQ2" s="1405"/>
      <c r="CA2" t="s">
        <v>175</v>
      </c>
    </row>
    <row r="3" spans="1:79">
      <c r="A3" s="1415" t="s">
        <v>176</v>
      </c>
      <c r="B3" s="1415" t="s">
        <v>177</v>
      </c>
      <c r="C3" s="1415"/>
      <c r="D3" s="1415"/>
      <c r="E3" s="1415"/>
      <c r="F3" s="1415"/>
      <c r="G3" s="1415" t="s">
        <v>178</v>
      </c>
      <c r="H3" s="490" t="s">
        <v>179</v>
      </c>
      <c r="I3" s="490" t="s">
        <v>180</v>
      </c>
      <c r="J3" s="490" t="s">
        <v>181</v>
      </c>
      <c r="K3" s="66">
        <v>3.9300000000000003E-3</v>
      </c>
      <c r="L3" s="490"/>
      <c r="M3" s="490"/>
      <c r="N3" s="490" t="s">
        <v>182</v>
      </c>
      <c r="O3" s="1415" t="s">
        <v>183</v>
      </c>
      <c r="P3" s="1415">
        <f>K3</f>
        <v>3.9300000000000003E-3</v>
      </c>
      <c r="Q3" s="490">
        <f>SUM($K3:$M3)*'RFQ Data'!$D$31</f>
        <v>2.3580000000000001</v>
      </c>
      <c r="R3" s="490">
        <f>SUM($K3:$M3)*'RFQ Data'!$E$31</f>
        <v>2.3580000000000001</v>
      </c>
      <c r="S3" s="490">
        <f>SUM($K3:$M3)*'RFQ Data'!$F$31</f>
        <v>2.3580000000000001</v>
      </c>
      <c r="T3" s="490">
        <f>SUM($K3:$M3)*'RFQ Data'!$G$31</f>
        <v>2.3580000000000001</v>
      </c>
      <c r="U3" s="490">
        <f>SUM($K3:$M3)*'RFQ Data'!$H$31</f>
        <v>2.3580000000000001</v>
      </c>
      <c r="V3" s="490">
        <f t="shared" ref="V3:V26" si="0">SUM(Q3:U3)</f>
        <v>11.790000000000001</v>
      </c>
      <c r="W3" s="1847"/>
      <c r="Y3" s="490">
        <f>IF($W$31=0, "-",W3/$W$31%)</f>
        <v>0</v>
      </c>
      <c r="Z3" t="s">
        <v>184</v>
      </c>
      <c r="AA3" s="1416"/>
      <c r="AB3" s="2222">
        <f>8.01+'Material Cost '!AT6</f>
        <v>79.010000000000005</v>
      </c>
      <c r="AC3" t="s">
        <v>185</v>
      </c>
      <c r="AD3" t="s">
        <v>186</v>
      </c>
      <c r="AE3" t="s">
        <v>187</v>
      </c>
      <c r="AF3" t="s">
        <v>188</v>
      </c>
      <c r="AG3">
        <v>0</v>
      </c>
      <c r="AK3" t="s">
        <v>189</v>
      </c>
      <c r="AM3" s="76" t="s">
        <v>190</v>
      </c>
      <c r="AN3" t="s">
        <v>191</v>
      </c>
      <c r="AO3" s="1416"/>
      <c r="AP3" s="55">
        <f>6.3+'Material Cost '!AT6</f>
        <v>77.3</v>
      </c>
      <c r="AQ3" t="s">
        <v>186</v>
      </c>
      <c r="AR3" t="s">
        <v>185</v>
      </c>
      <c r="AS3" t="s">
        <v>187</v>
      </c>
      <c r="AT3" t="s">
        <v>192</v>
      </c>
      <c r="AU3">
        <v>0</v>
      </c>
      <c r="AY3" t="s">
        <v>193</v>
      </c>
      <c r="BA3" s="76" t="s">
        <v>190</v>
      </c>
      <c r="BB3" t="s">
        <v>194</v>
      </c>
      <c r="BC3" s="1416"/>
      <c r="BD3" s="55">
        <f>6.35+'Material Cost '!AT6</f>
        <v>77.349999999999994</v>
      </c>
      <c r="BE3" t="s">
        <v>186</v>
      </c>
      <c r="BF3" t="s">
        <v>185</v>
      </c>
      <c r="BG3" t="s">
        <v>187</v>
      </c>
      <c r="BH3" t="s">
        <v>192</v>
      </c>
      <c r="BI3">
        <v>0</v>
      </c>
      <c r="BM3" t="s">
        <v>189</v>
      </c>
      <c r="BO3" s="2219"/>
      <c r="BP3" t="s">
        <v>184</v>
      </c>
      <c r="BU3" t="s">
        <v>179</v>
      </c>
      <c r="BV3" t="str">
        <f>IF(Z3&lt;&gt;0,Z3,"")</f>
        <v>DATONG</v>
      </c>
      <c r="BW3" t="str">
        <f>IF(AN3&lt;&gt;0,AN3,"")</f>
        <v>PIONEER</v>
      </c>
      <c r="BX3" t="str">
        <f>IF(BB3&lt;&gt;0,BB3,"")</f>
        <v>JINGDA</v>
      </c>
      <c r="BY3" s="218" t="s">
        <v>81</v>
      </c>
      <c r="CA3" t="s">
        <v>195</v>
      </c>
    </row>
    <row r="4" spans="1:79" ht="14.7" customHeight="1">
      <c r="A4" s="1417" t="s">
        <v>196</v>
      </c>
      <c r="B4" s="1417" t="s">
        <v>177</v>
      </c>
      <c r="C4" s="1417"/>
      <c r="D4" s="1417"/>
      <c r="E4" s="1417"/>
      <c r="F4" s="1417"/>
      <c r="G4" s="1417" t="s">
        <v>197</v>
      </c>
      <c r="H4" s="1418" t="s">
        <v>198</v>
      </c>
      <c r="I4" s="1418" t="s">
        <v>180</v>
      </c>
      <c r="J4" s="1418" t="s">
        <v>181</v>
      </c>
      <c r="K4" s="1521">
        <v>1</v>
      </c>
      <c r="L4" s="1418"/>
      <c r="M4" s="1418"/>
      <c r="N4" s="1418" t="s">
        <v>199</v>
      </c>
      <c r="O4" s="1417" t="s">
        <v>200</v>
      </c>
      <c r="P4" s="1417"/>
      <c r="Q4" s="1418">
        <f>SUM($K4:$M4)*'RFQ Data'!$D$31</f>
        <v>600</v>
      </c>
      <c r="R4" s="1418">
        <f>SUM($K4:$M4)*'RFQ Data'!$E$31</f>
        <v>600</v>
      </c>
      <c r="S4" s="1418">
        <f>SUM($K4:$M4)*'RFQ Data'!$F$31</f>
        <v>600</v>
      </c>
      <c r="T4" s="1418">
        <f>SUM($K4:$M4)*'RFQ Data'!$G$31</f>
        <v>600</v>
      </c>
      <c r="U4" s="1418">
        <f>SUM($K4:$M4)*'RFQ Data'!$H$31</f>
        <v>600</v>
      </c>
      <c r="V4" s="1418">
        <f t="shared" si="0"/>
        <v>3000</v>
      </c>
      <c r="W4" s="2218"/>
      <c r="X4" s="1419"/>
      <c r="Y4" s="1418">
        <f t="shared" ref="Y4:Y30" si="1">IF($W$31=0, "-",W4/$W$31%)</f>
        <v>0</v>
      </c>
      <c r="Z4" s="1420" t="s">
        <v>201</v>
      </c>
      <c r="AA4" s="1421"/>
      <c r="AB4" s="1420">
        <v>0.125</v>
      </c>
      <c r="AC4" s="1420" t="s">
        <v>185</v>
      </c>
      <c r="AD4" s="1420" t="s">
        <v>202</v>
      </c>
      <c r="AE4" s="1420"/>
      <c r="AF4" s="1420" t="s">
        <v>203</v>
      </c>
      <c r="AG4" s="1420">
        <v>0</v>
      </c>
      <c r="AH4" s="1420"/>
      <c r="AI4" s="1420"/>
      <c r="AJ4" s="1420"/>
      <c r="AK4" s="1420" t="s">
        <v>204</v>
      </c>
      <c r="AL4" s="1420"/>
      <c r="AM4" s="1420"/>
      <c r="AN4" s="1419" t="s">
        <v>205</v>
      </c>
      <c r="AO4" s="1422"/>
      <c r="AP4" s="1806">
        <v>0.17649999999999999</v>
      </c>
      <c r="AQ4" s="1419" t="s">
        <v>186</v>
      </c>
      <c r="AR4" s="1419" t="s">
        <v>185</v>
      </c>
      <c r="AS4" s="1419"/>
      <c r="AT4" s="1419" t="s">
        <v>206</v>
      </c>
      <c r="AU4" s="1419">
        <v>0</v>
      </c>
      <c r="AV4" s="1419"/>
      <c r="AW4" s="1419"/>
      <c r="AX4" s="1419"/>
      <c r="AY4" s="1419" t="s">
        <v>207</v>
      </c>
      <c r="AZ4" s="1419"/>
      <c r="BA4" s="1419"/>
      <c r="BB4" s="1420"/>
      <c r="BC4" s="1421"/>
      <c r="BD4" s="1807">
        <v>0</v>
      </c>
      <c r="BE4" s="1420"/>
      <c r="BF4" s="1420"/>
      <c r="BG4" s="1420"/>
      <c r="BH4" s="1420"/>
      <c r="BI4" s="1420"/>
      <c r="BJ4" s="1420"/>
      <c r="BK4" s="1420"/>
      <c r="BL4" s="1420"/>
      <c r="BM4" s="1420"/>
      <c r="BN4" s="1420"/>
      <c r="BO4" s="1420"/>
      <c r="BP4" s="1419" t="s">
        <v>208</v>
      </c>
      <c r="BQ4" s="1419"/>
      <c r="BU4" t="s">
        <v>198</v>
      </c>
      <c r="BV4" t="str">
        <f t="shared" ref="BV4:BV30" si="2">IF(Z4&lt;&gt;0,Z4,"")</f>
        <v>TLD</v>
      </c>
      <c r="BW4" t="str">
        <f t="shared" ref="BW4:BW30" si="3">IF(AN4&lt;&gt;0,AN4,"")</f>
        <v>CYGE</v>
      </c>
      <c r="BX4" t="str">
        <f t="shared" ref="BX4:BX30" si="4">IF(BB4&lt;&gt;0,BB4,"")</f>
        <v/>
      </c>
      <c r="BY4" s="218" t="s">
        <v>81</v>
      </c>
      <c r="CA4" t="s">
        <v>209</v>
      </c>
    </row>
    <row r="5" spans="1:79">
      <c r="A5" s="1415" t="s">
        <v>210</v>
      </c>
      <c r="B5" s="1415" t="s">
        <v>211</v>
      </c>
      <c r="C5" s="1415"/>
      <c r="D5" s="1415"/>
      <c r="E5" s="1415"/>
      <c r="F5" s="1415"/>
      <c r="G5" s="1415" t="s">
        <v>178</v>
      </c>
      <c r="H5" s="490" t="s">
        <v>179</v>
      </c>
      <c r="I5" s="490" t="s">
        <v>180</v>
      </c>
      <c r="J5" s="490" t="s">
        <v>212</v>
      </c>
      <c r="K5" s="66">
        <f>0.02/1000</f>
        <v>2.0000000000000002E-5</v>
      </c>
      <c r="L5" s="490"/>
      <c r="M5" s="490"/>
      <c r="N5" s="490" t="s">
        <v>182</v>
      </c>
      <c r="O5" s="1415" t="s">
        <v>213</v>
      </c>
      <c r="P5" s="1415"/>
      <c r="Q5" s="490">
        <f>SUM($K5:$M5)*'RFQ Data'!$D$31</f>
        <v>1.2E-2</v>
      </c>
      <c r="R5" s="490">
        <f>SUM($K5:$M5)*'RFQ Data'!$E$31</f>
        <v>1.2E-2</v>
      </c>
      <c r="S5" s="490">
        <f>SUM($K5:$M5)*'RFQ Data'!$F$31</f>
        <v>1.2E-2</v>
      </c>
      <c r="T5" s="490">
        <f>SUM($K5:$M5)*'RFQ Data'!$G$31</f>
        <v>1.2E-2</v>
      </c>
      <c r="U5" s="490">
        <f>SUM($K5:$M5)*'RFQ Data'!$H$31</f>
        <v>1.2E-2</v>
      </c>
      <c r="V5" s="490">
        <f t="shared" si="0"/>
        <v>0.06</v>
      </c>
      <c r="W5" s="1847">
        <v>1065</v>
      </c>
      <c r="X5" s="490" t="s">
        <v>185</v>
      </c>
      <c r="Y5" s="2221">
        <f t="shared" si="1"/>
        <v>72.448979591836732</v>
      </c>
      <c r="AA5" s="1416"/>
      <c r="AC5" t="s">
        <v>214</v>
      </c>
      <c r="AD5" t="s">
        <v>202</v>
      </c>
      <c r="AF5" t="s">
        <v>215</v>
      </c>
      <c r="AO5" s="1416"/>
      <c r="AP5" s="55">
        <v>0</v>
      </c>
      <c r="BC5" s="1416"/>
      <c r="BD5" s="55">
        <v>0</v>
      </c>
      <c r="BP5" t="s">
        <v>81</v>
      </c>
      <c r="BR5" s="490"/>
      <c r="BS5" s="490"/>
      <c r="BT5" s="490"/>
      <c r="BU5" t="s">
        <v>171</v>
      </c>
      <c r="BV5" t="str">
        <f t="shared" si="2"/>
        <v/>
      </c>
      <c r="BW5" t="str">
        <f t="shared" si="3"/>
        <v/>
      </c>
      <c r="BX5" t="str">
        <f t="shared" si="4"/>
        <v/>
      </c>
      <c r="BY5" s="218" t="s">
        <v>81</v>
      </c>
      <c r="CA5" t="s">
        <v>216</v>
      </c>
    </row>
    <row r="6" spans="1:79">
      <c r="A6" s="1417" t="s">
        <v>217</v>
      </c>
      <c r="B6" s="1417" t="s">
        <v>211</v>
      </c>
      <c r="C6" s="1417"/>
      <c r="D6" s="1417"/>
      <c r="E6" s="1417"/>
      <c r="F6" s="1417"/>
      <c r="G6" s="1417" t="s">
        <v>178</v>
      </c>
      <c r="H6" s="1418" t="s">
        <v>179</v>
      </c>
      <c r="I6" s="1418" t="s">
        <v>180</v>
      </c>
      <c r="J6" s="1418" t="s">
        <v>212</v>
      </c>
      <c r="K6" s="1521">
        <f>0.02/1000</f>
        <v>2.0000000000000002E-5</v>
      </c>
      <c r="L6" s="1418"/>
      <c r="M6" s="1418"/>
      <c r="N6" s="1418" t="s">
        <v>182</v>
      </c>
      <c r="O6" s="1417" t="s">
        <v>218</v>
      </c>
      <c r="P6" s="1417"/>
      <c r="Q6" s="1418">
        <f>SUM($K6:$M6)*'RFQ Data'!$D$31</f>
        <v>1.2E-2</v>
      </c>
      <c r="R6" s="1418">
        <f>SUM($K6:$M6)*'RFQ Data'!$E$31</f>
        <v>1.2E-2</v>
      </c>
      <c r="S6" s="1418">
        <f>SUM($K6:$M6)*'RFQ Data'!$F$31</f>
        <v>1.2E-2</v>
      </c>
      <c r="T6" s="1418">
        <f>SUM($K6:$M6)*'RFQ Data'!$G$31</f>
        <v>1.2E-2</v>
      </c>
      <c r="U6" s="1418">
        <f>SUM($K6:$M6)*'RFQ Data'!$H$31</f>
        <v>1.2E-2</v>
      </c>
      <c r="V6" s="1418">
        <f t="shared" si="0"/>
        <v>0.06</v>
      </c>
      <c r="W6" s="1521">
        <v>405</v>
      </c>
      <c r="X6" s="1418" t="s">
        <v>185</v>
      </c>
      <c r="Y6" s="1418">
        <f t="shared" si="1"/>
        <v>27.551020408163268</v>
      </c>
      <c r="Z6" s="1420" t="s">
        <v>219</v>
      </c>
      <c r="AA6" s="1421"/>
      <c r="AB6" s="1420">
        <v>223.31</v>
      </c>
      <c r="AC6" s="1420" t="s">
        <v>185</v>
      </c>
      <c r="AD6" s="1420" t="s">
        <v>186</v>
      </c>
      <c r="AE6" s="1420"/>
      <c r="AF6" s="1420" t="s">
        <v>220</v>
      </c>
      <c r="AG6" s="1420">
        <v>0</v>
      </c>
      <c r="AH6" s="1420"/>
      <c r="AI6" s="1420"/>
      <c r="AJ6" s="1420"/>
      <c r="AK6" s="1420"/>
      <c r="AL6" s="1420"/>
      <c r="AM6" s="1420"/>
      <c r="AN6" s="1419"/>
      <c r="AO6" s="1422"/>
      <c r="AP6" s="1806">
        <v>0</v>
      </c>
      <c r="AQ6" s="1419"/>
      <c r="AR6" s="1419"/>
      <c r="AS6" s="1419"/>
      <c r="AT6" s="1419"/>
      <c r="AU6" s="1419"/>
      <c r="AV6" s="1419"/>
      <c r="AW6" s="1419"/>
      <c r="AX6" s="1419"/>
      <c r="AY6" s="1419"/>
      <c r="AZ6" s="1419"/>
      <c r="BA6" s="1419"/>
      <c r="BB6" s="1420"/>
      <c r="BC6" s="1421"/>
      <c r="BD6" s="1807">
        <v>0</v>
      </c>
      <c r="BE6" s="1420"/>
      <c r="BF6" s="1420"/>
      <c r="BG6" s="1420"/>
      <c r="BH6" s="1420"/>
      <c r="BI6" s="1420"/>
      <c r="BJ6" s="1420"/>
      <c r="BK6" s="1420"/>
      <c r="BL6" s="1420"/>
      <c r="BM6" s="1420"/>
      <c r="BN6" s="1420"/>
      <c r="BO6" s="1420"/>
      <c r="BP6" s="1419" t="s">
        <v>81</v>
      </c>
      <c r="BQ6" s="1419"/>
      <c r="BU6" t="s">
        <v>221</v>
      </c>
      <c r="BV6" t="str">
        <f t="shared" si="2"/>
        <v>ZHONGYIYUA</v>
      </c>
      <c r="BW6" t="str">
        <f t="shared" si="3"/>
        <v/>
      </c>
      <c r="BX6" t="str">
        <f t="shared" si="4"/>
        <v/>
      </c>
      <c r="BY6" s="218" t="s">
        <v>81</v>
      </c>
      <c r="CA6" t="s">
        <v>222</v>
      </c>
    </row>
    <row r="7" spans="1:79">
      <c r="A7" s="1415"/>
      <c r="B7" s="1415"/>
      <c r="C7" s="1415"/>
      <c r="D7" s="1415"/>
      <c r="E7" s="1415"/>
      <c r="F7" s="1415"/>
      <c r="G7" s="1415"/>
      <c r="H7" s="490"/>
      <c r="I7" s="490"/>
      <c r="J7" s="490"/>
      <c r="K7" s="66"/>
      <c r="L7" s="490"/>
      <c r="M7" s="490"/>
      <c r="N7" s="490"/>
      <c r="O7" s="1415"/>
      <c r="P7" s="1415"/>
      <c r="Q7" s="490">
        <f>SUM($K7:$M7)*'RFQ Data'!$D$31</f>
        <v>0</v>
      </c>
      <c r="R7" s="490">
        <f>SUM($K7:$M7)*'RFQ Data'!$E$31</f>
        <v>0</v>
      </c>
      <c r="S7" s="490">
        <f>SUM($K7:$M7)*'RFQ Data'!$F$31</f>
        <v>0</v>
      </c>
      <c r="T7" s="490">
        <f>SUM($K7:$M7)*'RFQ Data'!$G$31</f>
        <v>0</v>
      </c>
      <c r="U7" s="490">
        <f>SUM($K7:$M7)*'RFQ Data'!$H$31</f>
        <v>0</v>
      </c>
      <c r="V7" s="490">
        <f t="shared" si="0"/>
        <v>0</v>
      </c>
      <c r="W7" s="66"/>
      <c r="X7" s="490"/>
      <c r="Y7" s="2221">
        <f t="shared" si="1"/>
        <v>0</v>
      </c>
      <c r="AA7" s="1416"/>
      <c r="AB7">
        <v>0</v>
      </c>
      <c r="AO7" s="1416"/>
      <c r="AP7" s="55">
        <v>0</v>
      </c>
      <c r="BC7" s="1416"/>
      <c r="BD7" s="55">
        <v>0</v>
      </c>
      <c r="BP7" t="s">
        <v>81</v>
      </c>
      <c r="BU7" t="s">
        <v>223</v>
      </c>
      <c r="BV7" t="str">
        <f t="shared" si="2"/>
        <v/>
      </c>
      <c r="BW7" t="str">
        <f t="shared" si="3"/>
        <v/>
      </c>
      <c r="BX7" t="str">
        <f t="shared" si="4"/>
        <v/>
      </c>
      <c r="BY7" s="218" t="s">
        <v>81</v>
      </c>
      <c r="CA7" t="s">
        <v>224</v>
      </c>
    </row>
    <row r="8" spans="1:79">
      <c r="A8" s="1417"/>
      <c r="B8" s="1417"/>
      <c r="C8" s="1417"/>
      <c r="D8" s="1417"/>
      <c r="E8" s="1417"/>
      <c r="F8" s="1417"/>
      <c r="G8" s="1417"/>
      <c r="H8" s="1418"/>
      <c r="I8" s="1418"/>
      <c r="J8" s="1418"/>
      <c r="K8" s="1521"/>
      <c r="L8" s="1418"/>
      <c r="M8" s="1418"/>
      <c r="N8" s="1418"/>
      <c r="O8" s="1417"/>
      <c r="P8" s="1417"/>
      <c r="Q8" s="1418">
        <f>SUM($K8:$M8)*'RFQ Data'!$D$31</f>
        <v>0</v>
      </c>
      <c r="R8" s="1418">
        <f>SUM($K8:$M8)*'RFQ Data'!$E$31</f>
        <v>0</v>
      </c>
      <c r="S8" s="1418">
        <f>SUM($K8:$M8)*'RFQ Data'!$F$31</f>
        <v>0</v>
      </c>
      <c r="T8" s="1418">
        <f>SUM($K8:$M8)*'RFQ Data'!$G$31</f>
        <v>0</v>
      </c>
      <c r="U8" s="1418">
        <f>SUM($K8:$M8)*'RFQ Data'!$H$31</f>
        <v>0</v>
      </c>
      <c r="V8" s="1418">
        <f t="shared" si="0"/>
        <v>0</v>
      </c>
      <c r="W8" s="2218"/>
      <c r="X8" s="1418"/>
      <c r="Y8" s="1418">
        <f t="shared" si="1"/>
        <v>0</v>
      </c>
      <c r="Z8" s="1420"/>
      <c r="AA8" s="1421"/>
      <c r="AB8" s="1420">
        <v>0</v>
      </c>
      <c r="AC8" s="1420"/>
      <c r="AD8" s="1420"/>
      <c r="AE8" s="1420"/>
      <c r="AF8" s="1420"/>
      <c r="AG8" s="1420"/>
      <c r="AH8" s="1420"/>
      <c r="AI8" s="1420"/>
      <c r="AJ8" s="1420"/>
      <c r="AK8" s="1420"/>
      <c r="AL8" s="1420"/>
      <c r="AM8" s="1420"/>
      <c r="AN8" s="1419"/>
      <c r="AO8" s="1422"/>
      <c r="AP8" s="1806">
        <v>0</v>
      </c>
      <c r="AQ8" s="1419"/>
      <c r="AR8" s="1419"/>
      <c r="AS8" s="1419"/>
      <c r="AT8" s="1419"/>
      <c r="AU8" s="1419"/>
      <c r="AV8" s="1419"/>
      <c r="AW8" s="1419"/>
      <c r="AX8" s="1419"/>
      <c r="AY8" s="1419"/>
      <c r="AZ8" s="1419"/>
      <c r="BA8" s="1419"/>
      <c r="BB8" s="1420"/>
      <c r="BC8" s="1421"/>
      <c r="BD8" s="1807">
        <v>0</v>
      </c>
      <c r="BE8" s="1420"/>
      <c r="BF8" s="1420"/>
      <c r="BG8" s="1420"/>
      <c r="BH8" s="1420"/>
      <c r="BI8" s="1420"/>
      <c r="BJ8" s="1420"/>
      <c r="BK8" s="1420"/>
      <c r="BL8" s="1420"/>
      <c r="BM8" s="1420"/>
      <c r="BN8" s="1420"/>
      <c r="BO8" s="1420"/>
      <c r="BP8" s="1419" t="s">
        <v>81</v>
      </c>
      <c r="BQ8" s="1419"/>
      <c r="BU8" t="s">
        <v>225</v>
      </c>
      <c r="BV8" t="str">
        <f t="shared" si="2"/>
        <v/>
      </c>
      <c r="BW8" t="str">
        <f t="shared" si="3"/>
        <v/>
      </c>
      <c r="BX8" t="str">
        <f t="shared" si="4"/>
        <v/>
      </c>
      <c r="BY8" s="218" t="s">
        <v>81</v>
      </c>
      <c r="CA8" t="s">
        <v>226</v>
      </c>
    </row>
    <row r="9" spans="1:79">
      <c r="A9" s="1415"/>
      <c r="B9" s="1415"/>
      <c r="C9" s="1415"/>
      <c r="D9" s="1415"/>
      <c r="E9" s="1415"/>
      <c r="F9" s="1415"/>
      <c r="G9" s="1415"/>
      <c r="H9" s="490"/>
      <c r="I9" s="490"/>
      <c r="J9" s="490"/>
      <c r="K9" s="66"/>
      <c r="L9" s="490"/>
      <c r="M9" s="490"/>
      <c r="N9" s="490"/>
      <c r="O9" s="1415"/>
      <c r="P9" s="1415"/>
      <c r="Q9" s="490">
        <f>SUM($K9:$M9)*'RFQ Data'!$D$31</f>
        <v>0</v>
      </c>
      <c r="R9" s="490">
        <f>SUM($K9:$M9)*'RFQ Data'!$E$31</f>
        <v>0</v>
      </c>
      <c r="S9" s="490">
        <f>SUM($K9:$M9)*'RFQ Data'!$F$31</f>
        <v>0</v>
      </c>
      <c r="T9" s="490">
        <f>SUM($K9:$M9)*'RFQ Data'!$G$31</f>
        <v>0</v>
      </c>
      <c r="U9" s="490">
        <f>SUM($K9:$M9)*'RFQ Data'!$H$31</f>
        <v>0</v>
      </c>
      <c r="V9" s="490">
        <f t="shared" si="0"/>
        <v>0</v>
      </c>
      <c r="W9" s="490"/>
      <c r="X9" s="490"/>
      <c r="Y9" s="490">
        <f t="shared" si="1"/>
        <v>0</v>
      </c>
      <c r="AA9" s="1416"/>
      <c r="AB9">
        <v>0</v>
      </c>
      <c r="AO9" s="1416"/>
      <c r="AP9" s="55">
        <v>0</v>
      </c>
      <c r="BC9" s="1416"/>
      <c r="BD9" s="55">
        <v>0</v>
      </c>
      <c r="BP9" t="s">
        <v>81</v>
      </c>
      <c r="BU9" t="s">
        <v>227</v>
      </c>
      <c r="BV9" t="str">
        <f t="shared" si="2"/>
        <v/>
      </c>
      <c r="BW9" t="str">
        <f t="shared" si="3"/>
        <v/>
      </c>
      <c r="BX9" t="str">
        <f t="shared" si="4"/>
        <v/>
      </c>
      <c r="BY9" s="218" t="s">
        <v>81</v>
      </c>
      <c r="CA9" t="s">
        <v>228</v>
      </c>
    </row>
    <row r="10" spans="1:79">
      <c r="A10" s="1417"/>
      <c r="B10" s="1417"/>
      <c r="C10" s="1417"/>
      <c r="D10" s="1417"/>
      <c r="E10" s="1417"/>
      <c r="F10" s="1417"/>
      <c r="G10" s="1417"/>
      <c r="H10" s="1418"/>
      <c r="I10" s="1418"/>
      <c r="J10" s="1418"/>
      <c r="K10" s="1521"/>
      <c r="L10" s="1418"/>
      <c r="M10" s="1418"/>
      <c r="N10" s="1418"/>
      <c r="O10" s="1417"/>
      <c r="P10" s="1417"/>
      <c r="Q10" s="1418">
        <f>SUM($K10:$M10)*'RFQ Data'!$D$31</f>
        <v>0</v>
      </c>
      <c r="R10" s="1418">
        <f>SUM($K10:$M10)*'RFQ Data'!$E$31</f>
        <v>0</v>
      </c>
      <c r="S10" s="1418">
        <f>SUM($K10:$M10)*'RFQ Data'!$F$31</f>
        <v>0</v>
      </c>
      <c r="T10" s="1418">
        <f>SUM($K10:$M10)*'RFQ Data'!$G$31</f>
        <v>0</v>
      </c>
      <c r="U10" s="1418">
        <f>SUM($K10:$M10)*'RFQ Data'!$H$31</f>
        <v>0</v>
      </c>
      <c r="V10" s="1418">
        <f t="shared" si="0"/>
        <v>0</v>
      </c>
      <c r="W10" s="1418"/>
      <c r="X10" s="1418"/>
      <c r="Y10" s="1418">
        <f t="shared" si="1"/>
        <v>0</v>
      </c>
      <c r="Z10" s="1420"/>
      <c r="AA10" s="1421"/>
      <c r="AB10" s="1420">
        <v>0</v>
      </c>
      <c r="AC10" s="1420"/>
      <c r="AD10" s="1420"/>
      <c r="AE10" s="1420"/>
      <c r="AF10" s="1420"/>
      <c r="AG10" s="1420"/>
      <c r="AH10" s="1420"/>
      <c r="AI10" s="1420"/>
      <c r="AJ10" s="1420"/>
      <c r="AK10" s="1420"/>
      <c r="AL10" s="1420"/>
      <c r="AM10" s="1420"/>
      <c r="AN10" s="1419"/>
      <c r="AO10" s="1422"/>
      <c r="AP10" s="1806">
        <v>0</v>
      </c>
      <c r="AQ10" s="1419"/>
      <c r="AR10" s="1419"/>
      <c r="AS10" s="1419"/>
      <c r="AT10" s="1419"/>
      <c r="AU10" s="1419"/>
      <c r="AV10" s="1419"/>
      <c r="AW10" s="1419"/>
      <c r="AX10" s="1419"/>
      <c r="AY10" s="1419"/>
      <c r="AZ10" s="1419"/>
      <c r="BA10" s="1419"/>
      <c r="BB10" s="1420"/>
      <c r="BC10" s="1421"/>
      <c r="BD10" s="1807">
        <v>0</v>
      </c>
      <c r="BE10" s="1420"/>
      <c r="BF10" s="1420"/>
      <c r="BG10" s="1420"/>
      <c r="BH10" s="1420"/>
      <c r="BI10" s="1420"/>
      <c r="BJ10" s="1420"/>
      <c r="BK10" s="1420"/>
      <c r="BL10" s="1420"/>
      <c r="BM10" s="1420"/>
      <c r="BN10" s="1420"/>
      <c r="BO10" s="1420"/>
      <c r="BP10" s="1419" t="s">
        <v>81</v>
      </c>
      <c r="BQ10" s="1419"/>
      <c r="BU10">
        <v>1</v>
      </c>
      <c r="BV10" t="str">
        <f t="shared" si="2"/>
        <v/>
      </c>
      <c r="BW10" t="str">
        <f t="shared" si="3"/>
        <v/>
      </c>
      <c r="BX10" t="str">
        <f t="shared" si="4"/>
        <v/>
      </c>
      <c r="BY10" s="218" t="s">
        <v>81</v>
      </c>
      <c r="CA10" t="s">
        <v>229</v>
      </c>
    </row>
    <row r="11" spans="1:79">
      <c r="A11" s="1415"/>
      <c r="B11" s="1415"/>
      <c r="C11" s="1415"/>
      <c r="D11" s="1415"/>
      <c r="E11" s="1415"/>
      <c r="F11" s="1415"/>
      <c r="G11" s="1415"/>
      <c r="H11" s="490"/>
      <c r="I11" s="490"/>
      <c r="J11" s="490"/>
      <c r="K11" s="66"/>
      <c r="L11" s="490"/>
      <c r="M11" s="490"/>
      <c r="N11" s="490"/>
      <c r="O11" s="1415"/>
      <c r="P11" s="1415"/>
      <c r="Q11" s="490">
        <f>SUM($K11:$M11)*'RFQ Data'!$D$31</f>
        <v>0</v>
      </c>
      <c r="R11" s="490">
        <f>SUM($K11:$M11)*'RFQ Data'!$E$31</f>
        <v>0</v>
      </c>
      <c r="S11" s="490">
        <f>SUM($K11:$M11)*'RFQ Data'!$F$31</f>
        <v>0</v>
      </c>
      <c r="T11" s="490">
        <f>SUM($K11:$M11)*'RFQ Data'!$G$31</f>
        <v>0</v>
      </c>
      <c r="U11" s="490">
        <f>SUM($K11:$M11)*'RFQ Data'!$H$31</f>
        <v>0</v>
      </c>
      <c r="V11" s="490">
        <f t="shared" si="0"/>
        <v>0</v>
      </c>
      <c r="W11" s="490"/>
      <c r="X11" s="490"/>
      <c r="Y11" s="490">
        <f t="shared" si="1"/>
        <v>0</v>
      </c>
      <c r="AA11" s="1416"/>
      <c r="AB11">
        <v>0</v>
      </c>
      <c r="AO11" s="1416"/>
      <c r="AP11" s="55">
        <v>0</v>
      </c>
      <c r="BC11" s="1416"/>
      <c r="BD11" s="55">
        <v>0</v>
      </c>
      <c r="BP11" t="s">
        <v>81</v>
      </c>
      <c r="BU11">
        <v>2</v>
      </c>
      <c r="BV11" t="str">
        <f t="shared" si="2"/>
        <v/>
      </c>
      <c r="BW11" t="str">
        <f t="shared" si="3"/>
        <v/>
      </c>
      <c r="BX11" t="str">
        <f t="shared" si="4"/>
        <v/>
      </c>
      <c r="BY11" s="218" t="s">
        <v>81</v>
      </c>
      <c r="CA11" t="s">
        <v>212</v>
      </c>
    </row>
    <row r="12" spans="1:79">
      <c r="A12" s="1417"/>
      <c r="B12" s="1417"/>
      <c r="C12" s="1417"/>
      <c r="D12" s="1417"/>
      <c r="E12" s="1417"/>
      <c r="F12" s="1417"/>
      <c r="G12" s="1417"/>
      <c r="H12" s="1418"/>
      <c r="I12" s="1418"/>
      <c r="J12" s="1418"/>
      <c r="K12" s="1521"/>
      <c r="L12" s="1418"/>
      <c r="M12" s="1418"/>
      <c r="N12" s="1418"/>
      <c r="O12" s="1417"/>
      <c r="P12" s="1417"/>
      <c r="Q12" s="1418">
        <f>SUM($K12:$M12)*'RFQ Data'!$D$31</f>
        <v>0</v>
      </c>
      <c r="R12" s="1418">
        <f>SUM($K12:$M12)*'RFQ Data'!$E$31</f>
        <v>0</v>
      </c>
      <c r="S12" s="1418">
        <f>SUM($K12:$M12)*'RFQ Data'!$F$31</f>
        <v>0</v>
      </c>
      <c r="T12" s="1418">
        <f>SUM($K12:$M12)*'RFQ Data'!$G$31</f>
        <v>0</v>
      </c>
      <c r="U12" s="1418">
        <f>SUM($K12:$M12)*'RFQ Data'!$H$31</f>
        <v>0</v>
      </c>
      <c r="V12" s="1418">
        <f t="shared" si="0"/>
        <v>0</v>
      </c>
      <c r="W12" s="1418"/>
      <c r="X12" s="1418"/>
      <c r="Y12" s="1418">
        <f t="shared" si="1"/>
        <v>0</v>
      </c>
      <c r="Z12" s="1420"/>
      <c r="AA12" s="1421"/>
      <c r="AB12" s="1420">
        <v>0</v>
      </c>
      <c r="AC12" s="1420"/>
      <c r="AD12" s="1420"/>
      <c r="AE12" s="1420"/>
      <c r="AF12" s="1420"/>
      <c r="AG12" s="1420"/>
      <c r="AH12" s="1420"/>
      <c r="AI12" s="1420"/>
      <c r="AJ12" s="1420"/>
      <c r="AK12" s="1420"/>
      <c r="AL12" s="1420"/>
      <c r="AM12" s="1420"/>
      <c r="AN12" s="1419"/>
      <c r="AO12" s="1422"/>
      <c r="AP12" s="1806">
        <v>0</v>
      </c>
      <c r="AQ12" s="1419"/>
      <c r="AR12" s="1419"/>
      <c r="AS12" s="1419"/>
      <c r="AT12" s="1419"/>
      <c r="AU12" s="1419"/>
      <c r="AV12" s="1419"/>
      <c r="AW12" s="1419"/>
      <c r="AX12" s="1419"/>
      <c r="AY12" s="1419"/>
      <c r="AZ12" s="1419"/>
      <c r="BA12" s="1419"/>
      <c r="BB12" s="1420"/>
      <c r="BC12" s="1421"/>
      <c r="BD12" s="1807">
        <v>0</v>
      </c>
      <c r="BE12" s="1420"/>
      <c r="BF12" s="1420"/>
      <c r="BG12" s="1420"/>
      <c r="BH12" s="1420"/>
      <c r="BI12" s="1420"/>
      <c r="BJ12" s="1420"/>
      <c r="BK12" s="1420"/>
      <c r="BL12" s="1420"/>
      <c r="BM12" s="1420"/>
      <c r="BN12" s="1420"/>
      <c r="BO12" s="1420"/>
      <c r="BP12" s="1419" t="s">
        <v>81</v>
      </c>
      <c r="BQ12" s="1419"/>
      <c r="BU12">
        <v>3</v>
      </c>
      <c r="BV12" t="str">
        <f t="shared" si="2"/>
        <v/>
      </c>
      <c r="BW12" t="str">
        <f t="shared" si="3"/>
        <v/>
      </c>
      <c r="BX12" t="str">
        <f t="shared" si="4"/>
        <v/>
      </c>
      <c r="BY12" s="218" t="s">
        <v>81</v>
      </c>
    </row>
    <row r="13" spans="1:79">
      <c r="A13" s="1415"/>
      <c r="B13" s="1415"/>
      <c r="C13" s="1415"/>
      <c r="D13" s="1415"/>
      <c r="E13" s="1415"/>
      <c r="F13" s="1415"/>
      <c r="G13" s="1415"/>
      <c r="H13" s="490"/>
      <c r="I13" s="490"/>
      <c r="J13" s="490"/>
      <c r="K13" s="66"/>
      <c r="L13" s="490"/>
      <c r="M13" s="490"/>
      <c r="N13" s="490"/>
      <c r="O13" s="1415"/>
      <c r="P13" s="1415"/>
      <c r="Q13" s="490">
        <f>SUM($K13:$M13)*'RFQ Data'!$D$31</f>
        <v>0</v>
      </c>
      <c r="R13" s="490">
        <f>SUM($K13:$M13)*'RFQ Data'!$E$31</f>
        <v>0</v>
      </c>
      <c r="S13" s="490">
        <f>SUM($K13:$M13)*'RFQ Data'!$F$31</f>
        <v>0</v>
      </c>
      <c r="T13" s="490">
        <f>SUM($K13:$M13)*'RFQ Data'!$G$31</f>
        <v>0</v>
      </c>
      <c r="U13" s="490">
        <f>SUM($K13:$M13)*'RFQ Data'!$H$31</f>
        <v>0</v>
      </c>
      <c r="V13" s="490">
        <f t="shared" si="0"/>
        <v>0</v>
      </c>
      <c r="W13" s="490"/>
      <c r="X13" s="490"/>
      <c r="Y13" s="490">
        <f t="shared" si="1"/>
        <v>0</v>
      </c>
      <c r="AA13" s="1416"/>
      <c r="AB13">
        <v>0</v>
      </c>
      <c r="AO13" s="1416"/>
      <c r="AP13" s="55">
        <v>0</v>
      </c>
      <c r="BC13" s="1416"/>
      <c r="BD13" s="55">
        <v>0</v>
      </c>
      <c r="BP13" t="s">
        <v>81</v>
      </c>
      <c r="BU13">
        <v>4</v>
      </c>
      <c r="BV13" t="str">
        <f t="shared" si="2"/>
        <v/>
      </c>
      <c r="BW13" t="str">
        <f t="shared" si="3"/>
        <v/>
      </c>
      <c r="BX13" t="str">
        <f t="shared" si="4"/>
        <v/>
      </c>
      <c r="BY13" s="218" t="s">
        <v>81</v>
      </c>
    </row>
    <row r="14" spans="1:79">
      <c r="A14" s="1417"/>
      <c r="B14" s="1417"/>
      <c r="C14" s="1417"/>
      <c r="D14" s="1417"/>
      <c r="E14" s="1417"/>
      <c r="F14" s="1417"/>
      <c r="G14" s="1417"/>
      <c r="H14" s="1418"/>
      <c r="I14" s="1418"/>
      <c r="J14" s="1418"/>
      <c r="K14" s="1521"/>
      <c r="L14" s="1418"/>
      <c r="M14" s="1418"/>
      <c r="N14" s="1418"/>
      <c r="O14" s="1417"/>
      <c r="P14" s="1417"/>
      <c r="Q14" s="1418">
        <f>SUM($K14:$M14)*'RFQ Data'!$D$31</f>
        <v>0</v>
      </c>
      <c r="R14" s="1418">
        <f>SUM($K14:$M14)*'RFQ Data'!$E$31</f>
        <v>0</v>
      </c>
      <c r="S14" s="1418">
        <f>SUM($K14:$M14)*'RFQ Data'!$F$31</f>
        <v>0</v>
      </c>
      <c r="T14" s="1418">
        <f>SUM($K14:$M14)*'RFQ Data'!$G$31</f>
        <v>0</v>
      </c>
      <c r="U14" s="1418">
        <f>SUM($K14:$M14)*'RFQ Data'!$H$31</f>
        <v>0</v>
      </c>
      <c r="V14" s="1418">
        <f t="shared" si="0"/>
        <v>0</v>
      </c>
      <c r="W14" s="1418"/>
      <c r="X14" s="1418"/>
      <c r="Y14" s="1418">
        <f t="shared" si="1"/>
        <v>0</v>
      </c>
      <c r="Z14" s="1420"/>
      <c r="AA14" s="1421"/>
      <c r="AB14" s="1420">
        <v>0</v>
      </c>
      <c r="AC14" s="1420"/>
      <c r="AD14" s="1420"/>
      <c r="AE14" s="1420"/>
      <c r="AF14" s="1420"/>
      <c r="AG14" s="1420"/>
      <c r="AH14" s="1420"/>
      <c r="AI14" s="1420"/>
      <c r="AJ14" s="1420"/>
      <c r="AK14" s="1420"/>
      <c r="AL14" s="1420"/>
      <c r="AM14" s="1420"/>
      <c r="AN14" s="1419"/>
      <c r="AO14" s="1422"/>
      <c r="AP14" s="1806">
        <v>0</v>
      </c>
      <c r="AQ14" s="1419"/>
      <c r="AR14" s="1419"/>
      <c r="AS14" s="1419"/>
      <c r="AT14" s="1419"/>
      <c r="AU14" s="1419"/>
      <c r="AV14" s="1419"/>
      <c r="AW14" s="1419"/>
      <c r="AX14" s="1419"/>
      <c r="AY14" s="1419"/>
      <c r="AZ14" s="1419"/>
      <c r="BA14" s="1419"/>
      <c r="BB14" s="1420"/>
      <c r="BC14" s="1421"/>
      <c r="BD14" s="1807">
        <v>0</v>
      </c>
      <c r="BE14" s="1420"/>
      <c r="BF14" s="1420"/>
      <c r="BG14" s="1420"/>
      <c r="BH14" s="1420"/>
      <c r="BI14" s="1420"/>
      <c r="BJ14" s="1420"/>
      <c r="BK14" s="1420"/>
      <c r="BL14" s="1420"/>
      <c r="BM14" s="1420"/>
      <c r="BN14" s="1420"/>
      <c r="BO14" s="1420"/>
      <c r="BP14" s="1419" t="s">
        <v>81</v>
      </c>
      <c r="BQ14" s="1419"/>
      <c r="BV14" t="str">
        <f t="shared" si="2"/>
        <v/>
      </c>
      <c r="BW14" t="str">
        <f t="shared" si="3"/>
        <v/>
      </c>
      <c r="BX14" t="str">
        <f t="shared" si="4"/>
        <v/>
      </c>
      <c r="BY14" s="218" t="s">
        <v>81</v>
      </c>
    </row>
    <row r="15" spans="1:79">
      <c r="A15" s="1415"/>
      <c r="B15" s="1415"/>
      <c r="C15" s="1415"/>
      <c r="D15" s="1415"/>
      <c r="E15" s="1415"/>
      <c r="F15" s="1415"/>
      <c r="G15" s="1415"/>
      <c r="H15" s="490"/>
      <c r="I15" s="490"/>
      <c r="J15" s="490"/>
      <c r="K15" s="66"/>
      <c r="L15" s="490"/>
      <c r="M15" s="490"/>
      <c r="N15" s="490"/>
      <c r="O15" s="1415"/>
      <c r="P15" s="1415"/>
      <c r="Q15" s="490">
        <f>SUM($K15:$M15)*'RFQ Data'!$D$31</f>
        <v>0</v>
      </c>
      <c r="R15" s="490">
        <f>SUM($K15:$M15)*'RFQ Data'!$E$31</f>
        <v>0</v>
      </c>
      <c r="S15" s="490">
        <f>SUM($K15:$M15)*'RFQ Data'!$F$31</f>
        <v>0</v>
      </c>
      <c r="T15" s="490">
        <f>SUM($K15:$M15)*'RFQ Data'!$G$31</f>
        <v>0</v>
      </c>
      <c r="U15" s="490">
        <f>SUM($K15:$M15)*'RFQ Data'!$H$31</f>
        <v>0</v>
      </c>
      <c r="V15" s="490">
        <f t="shared" si="0"/>
        <v>0</v>
      </c>
      <c r="W15" s="490"/>
      <c r="X15" s="490"/>
      <c r="Y15" s="490">
        <f t="shared" si="1"/>
        <v>0</v>
      </c>
      <c r="AA15" s="1416"/>
      <c r="AB15">
        <v>0</v>
      </c>
      <c r="AO15" s="1416"/>
      <c r="AP15" s="55">
        <v>0</v>
      </c>
      <c r="BC15" s="1416"/>
      <c r="BD15" s="55">
        <v>0</v>
      </c>
      <c r="BP15" t="s">
        <v>81</v>
      </c>
      <c r="BV15" t="str">
        <f t="shared" si="2"/>
        <v/>
      </c>
      <c r="BW15" t="str">
        <f t="shared" si="3"/>
        <v/>
      </c>
      <c r="BX15" t="str">
        <f t="shared" si="4"/>
        <v/>
      </c>
      <c r="BY15" s="218" t="s">
        <v>81</v>
      </c>
    </row>
    <row r="16" spans="1:79">
      <c r="A16" s="1417"/>
      <c r="B16" s="1417"/>
      <c r="C16" s="1417"/>
      <c r="D16" s="1417"/>
      <c r="E16" s="1417"/>
      <c r="F16" s="1417"/>
      <c r="G16" s="1417"/>
      <c r="H16" s="1418"/>
      <c r="I16" s="1418"/>
      <c r="J16" s="1418"/>
      <c r="K16" s="1521"/>
      <c r="L16" s="1418"/>
      <c r="M16" s="1418"/>
      <c r="N16" s="1418"/>
      <c r="O16" s="1417"/>
      <c r="P16" s="1417"/>
      <c r="Q16" s="1418">
        <f>SUM($K16:$M16)*'RFQ Data'!$D$31</f>
        <v>0</v>
      </c>
      <c r="R16" s="1418">
        <f>SUM($K16:$M16)*'RFQ Data'!$E$31</f>
        <v>0</v>
      </c>
      <c r="S16" s="1418">
        <f>SUM($K16:$M16)*'RFQ Data'!$F$31</f>
        <v>0</v>
      </c>
      <c r="T16" s="1418">
        <f>SUM($K16:$M16)*'RFQ Data'!$G$31</f>
        <v>0</v>
      </c>
      <c r="U16" s="1418">
        <f>SUM($K16:$M16)*'RFQ Data'!$H$31</f>
        <v>0</v>
      </c>
      <c r="V16" s="1418">
        <f t="shared" si="0"/>
        <v>0</v>
      </c>
      <c r="W16" s="1418"/>
      <c r="X16" s="1418"/>
      <c r="Y16" s="1418">
        <f t="shared" si="1"/>
        <v>0</v>
      </c>
      <c r="Z16" s="1420"/>
      <c r="AA16" s="1421"/>
      <c r="AB16" s="1420">
        <v>0</v>
      </c>
      <c r="AC16" s="1420"/>
      <c r="AD16" s="1420"/>
      <c r="AE16" s="1420"/>
      <c r="AF16" s="1420"/>
      <c r="AG16" s="1420"/>
      <c r="AH16" s="1420"/>
      <c r="AI16" s="1420"/>
      <c r="AJ16" s="1420"/>
      <c r="AK16" s="1420"/>
      <c r="AL16" s="1420"/>
      <c r="AM16" s="1420"/>
      <c r="AN16" s="1419"/>
      <c r="AO16" s="1422"/>
      <c r="AP16" s="1806">
        <v>0</v>
      </c>
      <c r="AQ16" s="1419"/>
      <c r="AR16" s="1419"/>
      <c r="AS16" s="1419"/>
      <c r="AT16" s="1419"/>
      <c r="AU16" s="1419"/>
      <c r="AV16" s="1419"/>
      <c r="AW16" s="1419"/>
      <c r="AX16" s="1419"/>
      <c r="AY16" s="1419"/>
      <c r="AZ16" s="1419"/>
      <c r="BA16" s="1419"/>
      <c r="BB16" s="1420"/>
      <c r="BC16" s="1421"/>
      <c r="BD16" s="1807">
        <v>0</v>
      </c>
      <c r="BE16" s="1420"/>
      <c r="BF16" s="1420"/>
      <c r="BG16" s="1420"/>
      <c r="BH16" s="1420"/>
      <c r="BI16" s="1420"/>
      <c r="BJ16" s="1420"/>
      <c r="BK16" s="1420"/>
      <c r="BL16" s="1420"/>
      <c r="BM16" s="1420"/>
      <c r="BN16" s="1420"/>
      <c r="BO16" s="1420"/>
      <c r="BP16" s="1419" t="s">
        <v>81</v>
      </c>
      <c r="BQ16" s="1419"/>
      <c r="BV16" t="str">
        <f t="shared" si="2"/>
        <v/>
      </c>
      <c r="BW16" t="str">
        <f t="shared" si="3"/>
        <v/>
      </c>
      <c r="BX16" t="str">
        <f t="shared" si="4"/>
        <v/>
      </c>
      <c r="BY16" s="218" t="s">
        <v>81</v>
      </c>
    </row>
    <row r="17" spans="1:77">
      <c r="A17" s="1415"/>
      <c r="B17" s="1415"/>
      <c r="C17" s="1415"/>
      <c r="D17" s="1415"/>
      <c r="E17" s="1415"/>
      <c r="F17" s="1415"/>
      <c r="G17" s="1415"/>
      <c r="H17" s="490"/>
      <c r="I17" s="490"/>
      <c r="J17" s="490"/>
      <c r="K17" s="66"/>
      <c r="L17" s="490"/>
      <c r="M17" s="490"/>
      <c r="N17" s="490"/>
      <c r="O17" s="1415"/>
      <c r="P17" s="1415"/>
      <c r="Q17" s="490">
        <f>SUM($K17:$M17)*'RFQ Data'!$D$31</f>
        <v>0</v>
      </c>
      <c r="R17" s="490">
        <f>SUM($K17:$M17)*'RFQ Data'!$E$31</f>
        <v>0</v>
      </c>
      <c r="S17" s="490">
        <f>SUM($K17:$M17)*'RFQ Data'!$F$31</f>
        <v>0</v>
      </c>
      <c r="T17" s="490">
        <f>SUM($K17:$M17)*'RFQ Data'!$G$31</f>
        <v>0</v>
      </c>
      <c r="U17" s="490">
        <f>SUM($K17:$M17)*'RFQ Data'!$H$31</f>
        <v>0</v>
      </c>
      <c r="V17" s="490">
        <f t="shared" si="0"/>
        <v>0</v>
      </c>
      <c r="W17" s="490"/>
      <c r="X17" s="490"/>
      <c r="Y17" s="490">
        <f t="shared" si="1"/>
        <v>0</v>
      </c>
      <c r="AA17" s="1416"/>
      <c r="AB17">
        <v>0</v>
      </c>
      <c r="AO17" s="1416"/>
      <c r="AP17" s="55">
        <v>0</v>
      </c>
      <c r="BC17" s="1416"/>
      <c r="BD17" s="55">
        <v>0</v>
      </c>
      <c r="BP17" t="s">
        <v>81</v>
      </c>
      <c r="BV17" t="str">
        <f t="shared" si="2"/>
        <v/>
      </c>
      <c r="BW17" t="str">
        <f t="shared" si="3"/>
        <v/>
      </c>
      <c r="BX17" t="str">
        <f t="shared" si="4"/>
        <v/>
      </c>
      <c r="BY17" s="218" t="s">
        <v>81</v>
      </c>
    </row>
    <row r="18" spans="1:77">
      <c r="A18" s="1417"/>
      <c r="B18" s="1417"/>
      <c r="C18" s="1417"/>
      <c r="D18" s="1417"/>
      <c r="E18" s="1417"/>
      <c r="F18" s="1417"/>
      <c r="G18" s="1417"/>
      <c r="H18" s="1418"/>
      <c r="I18" s="1418"/>
      <c r="J18" s="1418"/>
      <c r="K18" s="1521"/>
      <c r="L18" s="1418"/>
      <c r="M18" s="1418"/>
      <c r="N18" s="1418"/>
      <c r="O18" s="1417"/>
      <c r="P18" s="1417"/>
      <c r="Q18" s="1418">
        <f>SUM($K18:$M18)*'RFQ Data'!$D$31</f>
        <v>0</v>
      </c>
      <c r="R18" s="1418">
        <f>SUM($K18:$M18)*'RFQ Data'!$E$31</f>
        <v>0</v>
      </c>
      <c r="S18" s="1418">
        <f>SUM($K18:$M18)*'RFQ Data'!$F$31</f>
        <v>0</v>
      </c>
      <c r="T18" s="1418">
        <f>SUM($K18:$M18)*'RFQ Data'!$G$31</f>
        <v>0</v>
      </c>
      <c r="U18" s="1418">
        <f>SUM($K18:$M18)*'RFQ Data'!$H$31</f>
        <v>0</v>
      </c>
      <c r="V18" s="1418">
        <f t="shared" si="0"/>
        <v>0</v>
      </c>
      <c r="W18" s="1418"/>
      <c r="X18" s="1418"/>
      <c r="Y18" s="1418">
        <f t="shared" si="1"/>
        <v>0</v>
      </c>
      <c r="Z18" s="1420"/>
      <c r="AA18" s="1421"/>
      <c r="AB18" s="1420">
        <v>0</v>
      </c>
      <c r="AC18" s="1420"/>
      <c r="AD18" s="1420"/>
      <c r="AE18" s="1420"/>
      <c r="AF18" s="1420"/>
      <c r="AG18" s="1420"/>
      <c r="AH18" s="1420"/>
      <c r="AI18" s="1420"/>
      <c r="AJ18" s="1420"/>
      <c r="AK18" s="1420"/>
      <c r="AL18" s="1420"/>
      <c r="AM18" s="1420"/>
      <c r="AN18" s="1419"/>
      <c r="AO18" s="1422"/>
      <c r="AP18" s="1806">
        <v>0</v>
      </c>
      <c r="AQ18" s="1419"/>
      <c r="AR18" s="1419"/>
      <c r="AS18" s="1419"/>
      <c r="AT18" s="1419"/>
      <c r="AU18" s="1419"/>
      <c r="AV18" s="1419"/>
      <c r="AW18" s="1419"/>
      <c r="AX18" s="1419"/>
      <c r="AY18" s="1419"/>
      <c r="AZ18" s="1419"/>
      <c r="BA18" s="1419"/>
      <c r="BB18" s="1420"/>
      <c r="BC18" s="1421"/>
      <c r="BD18" s="1807">
        <v>0</v>
      </c>
      <c r="BE18" s="1420"/>
      <c r="BF18" s="1420"/>
      <c r="BG18" s="1420"/>
      <c r="BH18" s="1420"/>
      <c r="BI18" s="1420"/>
      <c r="BJ18" s="1420"/>
      <c r="BK18" s="1420"/>
      <c r="BL18" s="1420"/>
      <c r="BM18" s="1420"/>
      <c r="BN18" s="1420"/>
      <c r="BO18" s="1420"/>
      <c r="BP18" s="1419" t="s">
        <v>81</v>
      </c>
      <c r="BQ18" s="1419"/>
      <c r="BV18" t="str">
        <f t="shared" si="2"/>
        <v/>
      </c>
      <c r="BW18" t="str">
        <f t="shared" si="3"/>
        <v/>
      </c>
      <c r="BX18" t="str">
        <f t="shared" si="4"/>
        <v/>
      </c>
      <c r="BY18" s="218" t="s">
        <v>81</v>
      </c>
    </row>
    <row r="19" spans="1:77">
      <c r="A19" s="1415"/>
      <c r="B19" s="1415"/>
      <c r="C19" s="1415"/>
      <c r="D19" s="1415"/>
      <c r="E19" s="1415"/>
      <c r="F19" s="1415"/>
      <c r="G19" s="1415"/>
      <c r="H19" s="490"/>
      <c r="I19" s="490"/>
      <c r="J19" s="490"/>
      <c r="K19" s="66"/>
      <c r="L19" s="490"/>
      <c r="M19" s="490"/>
      <c r="N19" s="490"/>
      <c r="O19" s="1415"/>
      <c r="P19" s="1415"/>
      <c r="Q19" s="490">
        <f>SUM($K19:$M19)*'RFQ Data'!$D$31</f>
        <v>0</v>
      </c>
      <c r="R19" s="490">
        <f>SUM($K19:$M19)*'RFQ Data'!$E$31</f>
        <v>0</v>
      </c>
      <c r="S19" s="490">
        <f>SUM($K19:$M19)*'RFQ Data'!$F$31</f>
        <v>0</v>
      </c>
      <c r="T19" s="490">
        <f>SUM($K19:$M19)*'RFQ Data'!$G$31</f>
        <v>0</v>
      </c>
      <c r="U19" s="490">
        <f>SUM($K19:$M19)*'RFQ Data'!$H$31</f>
        <v>0</v>
      </c>
      <c r="V19" s="490">
        <f t="shared" si="0"/>
        <v>0</v>
      </c>
      <c r="W19" s="490"/>
      <c r="X19" s="490"/>
      <c r="Y19" s="490">
        <f t="shared" si="1"/>
        <v>0</v>
      </c>
      <c r="AA19" s="1416"/>
      <c r="AB19">
        <v>0</v>
      </c>
      <c r="AO19" s="1416"/>
      <c r="AP19" s="55">
        <v>0</v>
      </c>
      <c r="BC19" s="1416"/>
      <c r="BD19" s="55">
        <v>0</v>
      </c>
      <c r="BP19" t="s">
        <v>81</v>
      </c>
      <c r="BV19" t="str">
        <f t="shared" si="2"/>
        <v/>
      </c>
      <c r="BW19" t="str">
        <f t="shared" si="3"/>
        <v/>
      </c>
      <c r="BX19" t="str">
        <f t="shared" si="4"/>
        <v/>
      </c>
      <c r="BY19" s="218" t="s">
        <v>81</v>
      </c>
    </row>
    <row r="20" spans="1:77">
      <c r="A20" s="1417"/>
      <c r="B20" s="1417"/>
      <c r="C20" s="1417"/>
      <c r="D20" s="1417"/>
      <c r="E20" s="1417"/>
      <c r="F20" s="1417"/>
      <c r="G20" s="1417"/>
      <c r="H20" s="1418"/>
      <c r="I20" s="1418"/>
      <c r="J20" s="1418"/>
      <c r="K20" s="1521"/>
      <c r="L20" s="1418"/>
      <c r="M20" s="1418"/>
      <c r="N20" s="1418"/>
      <c r="O20" s="1417"/>
      <c r="P20" s="1417"/>
      <c r="Q20" s="1418">
        <f>SUM($K20:$M20)*'RFQ Data'!$D$31</f>
        <v>0</v>
      </c>
      <c r="R20" s="1418">
        <f>SUM($K20:$M20)*'RFQ Data'!$E$31</f>
        <v>0</v>
      </c>
      <c r="S20" s="1418">
        <f>SUM($K20:$M20)*'RFQ Data'!$F$31</f>
        <v>0</v>
      </c>
      <c r="T20" s="1418">
        <f>SUM($K20:$M20)*'RFQ Data'!$G$31</f>
        <v>0</v>
      </c>
      <c r="U20" s="1418">
        <f>SUM($K20:$M20)*'RFQ Data'!$H$31</f>
        <v>0</v>
      </c>
      <c r="V20" s="1418">
        <f t="shared" si="0"/>
        <v>0</v>
      </c>
      <c r="W20" s="1418"/>
      <c r="X20" s="1418"/>
      <c r="Y20" s="1418">
        <f t="shared" si="1"/>
        <v>0</v>
      </c>
      <c r="Z20" s="1420"/>
      <c r="AA20" s="1421"/>
      <c r="AB20" s="1420">
        <v>0</v>
      </c>
      <c r="AC20" s="1420"/>
      <c r="AD20" s="1420"/>
      <c r="AE20" s="1420"/>
      <c r="AF20" s="1420"/>
      <c r="AG20" s="1420"/>
      <c r="AH20" s="1420"/>
      <c r="AI20" s="1420"/>
      <c r="AJ20" s="1420"/>
      <c r="AK20" s="1420"/>
      <c r="AL20" s="1420"/>
      <c r="AM20" s="1420"/>
      <c r="AN20" s="1419"/>
      <c r="AO20" s="1422"/>
      <c r="AP20" s="1806">
        <v>0</v>
      </c>
      <c r="AQ20" s="1419"/>
      <c r="AR20" s="1419"/>
      <c r="AS20" s="1419"/>
      <c r="AT20" s="1419"/>
      <c r="AU20" s="1419"/>
      <c r="AV20" s="1419"/>
      <c r="AW20" s="1419"/>
      <c r="AX20" s="1419"/>
      <c r="AY20" s="1419"/>
      <c r="AZ20" s="1419"/>
      <c r="BA20" s="1419"/>
      <c r="BB20" s="1420"/>
      <c r="BC20" s="1421"/>
      <c r="BD20" s="1807">
        <v>0</v>
      </c>
      <c r="BE20" s="1420"/>
      <c r="BF20" s="1420"/>
      <c r="BG20" s="1420"/>
      <c r="BH20" s="1420"/>
      <c r="BI20" s="1420"/>
      <c r="BJ20" s="1420"/>
      <c r="BK20" s="1420"/>
      <c r="BL20" s="1420"/>
      <c r="BM20" s="1420"/>
      <c r="BN20" s="1420"/>
      <c r="BO20" s="1420"/>
      <c r="BP20" s="1419" t="s">
        <v>81</v>
      </c>
      <c r="BQ20" s="1419"/>
      <c r="BV20" t="str">
        <f t="shared" si="2"/>
        <v/>
      </c>
      <c r="BW20" t="str">
        <f t="shared" si="3"/>
        <v/>
      </c>
      <c r="BX20" t="str">
        <f t="shared" si="4"/>
        <v/>
      </c>
      <c r="BY20" s="218" t="s">
        <v>81</v>
      </c>
    </row>
    <row r="21" spans="1:77">
      <c r="A21" s="1415"/>
      <c r="B21" s="1415"/>
      <c r="C21" s="1415"/>
      <c r="D21" s="1415"/>
      <c r="E21" s="1415"/>
      <c r="F21" s="1415"/>
      <c r="G21" s="1415"/>
      <c r="H21" s="490"/>
      <c r="I21" s="490"/>
      <c r="J21" s="490"/>
      <c r="K21" s="66"/>
      <c r="L21" s="490"/>
      <c r="M21" s="490"/>
      <c r="N21" s="490"/>
      <c r="O21" s="1415"/>
      <c r="P21" s="1415"/>
      <c r="Q21" s="490">
        <f>SUM($K21:$M21)*'RFQ Data'!$D$31</f>
        <v>0</v>
      </c>
      <c r="R21" s="490">
        <f>SUM($K21:$M21)*'RFQ Data'!$E$31</f>
        <v>0</v>
      </c>
      <c r="S21" s="490">
        <f>SUM($K21:$M21)*'RFQ Data'!$F$31</f>
        <v>0</v>
      </c>
      <c r="T21" s="490">
        <f>SUM($K21:$M21)*'RFQ Data'!$G$31</f>
        <v>0</v>
      </c>
      <c r="U21" s="490">
        <f>SUM($K21:$M21)*'RFQ Data'!$H$31</f>
        <v>0</v>
      </c>
      <c r="V21" s="490">
        <f t="shared" si="0"/>
        <v>0</v>
      </c>
      <c r="W21" s="490"/>
      <c r="X21" s="490"/>
      <c r="Y21" s="490">
        <f t="shared" si="1"/>
        <v>0</v>
      </c>
      <c r="AA21" s="1416"/>
      <c r="AB21">
        <v>0</v>
      </c>
      <c r="AO21" s="1416"/>
      <c r="AP21" s="55">
        <v>0</v>
      </c>
      <c r="BC21" s="1416"/>
      <c r="BD21" s="55">
        <v>0</v>
      </c>
      <c r="BP21" t="s">
        <v>81</v>
      </c>
      <c r="BV21" t="str">
        <f t="shared" si="2"/>
        <v/>
      </c>
      <c r="BW21" t="str">
        <f t="shared" si="3"/>
        <v/>
      </c>
      <c r="BX21" t="str">
        <f t="shared" si="4"/>
        <v/>
      </c>
      <c r="BY21" s="218" t="s">
        <v>81</v>
      </c>
    </row>
    <row r="22" spans="1:77">
      <c r="A22" s="1417"/>
      <c r="B22" s="1417"/>
      <c r="C22" s="1417"/>
      <c r="D22" s="1417"/>
      <c r="E22" s="1417"/>
      <c r="F22" s="1417"/>
      <c r="G22" s="1417"/>
      <c r="H22" s="1418"/>
      <c r="I22" s="1418"/>
      <c r="J22" s="1418"/>
      <c r="K22" s="1521"/>
      <c r="L22" s="1418"/>
      <c r="M22" s="1418"/>
      <c r="N22" s="1418"/>
      <c r="O22" s="1417"/>
      <c r="P22" s="1417"/>
      <c r="Q22" s="1418">
        <f>SUM($K22:$M22)*'RFQ Data'!$D$31</f>
        <v>0</v>
      </c>
      <c r="R22" s="1418">
        <f>SUM($K22:$M22)*'RFQ Data'!$E$31</f>
        <v>0</v>
      </c>
      <c r="S22" s="1418">
        <f>SUM($K22:$M22)*'RFQ Data'!$F$31</f>
        <v>0</v>
      </c>
      <c r="T22" s="1418">
        <f>SUM($K22:$M22)*'RFQ Data'!$G$31</f>
        <v>0</v>
      </c>
      <c r="U22" s="1418">
        <f>SUM($K22:$M22)*'RFQ Data'!$H$31</f>
        <v>0</v>
      </c>
      <c r="V22" s="1418">
        <f t="shared" si="0"/>
        <v>0</v>
      </c>
      <c r="W22" s="1418"/>
      <c r="X22" s="1418"/>
      <c r="Y22" s="1418">
        <f t="shared" si="1"/>
        <v>0</v>
      </c>
      <c r="Z22" s="1420"/>
      <c r="AA22" s="1421"/>
      <c r="AB22" s="1420">
        <v>0</v>
      </c>
      <c r="AC22" s="1420"/>
      <c r="AD22" s="1420"/>
      <c r="AE22" s="1420"/>
      <c r="AF22" s="1420"/>
      <c r="AG22" s="1420"/>
      <c r="AH22" s="1420"/>
      <c r="AI22" s="1420"/>
      <c r="AJ22" s="1420"/>
      <c r="AK22" s="1420"/>
      <c r="AL22" s="1420"/>
      <c r="AM22" s="1420"/>
      <c r="AN22" s="1419"/>
      <c r="AO22" s="1422"/>
      <c r="AP22" s="1806">
        <v>0</v>
      </c>
      <c r="AQ22" s="1419"/>
      <c r="AR22" s="1419"/>
      <c r="AS22" s="1419"/>
      <c r="AT22" s="1419"/>
      <c r="AU22" s="1419"/>
      <c r="AV22" s="1419"/>
      <c r="AW22" s="1419"/>
      <c r="AX22" s="1419"/>
      <c r="AY22" s="1419"/>
      <c r="AZ22" s="1419"/>
      <c r="BA22" s="1419"/>
      <c r="BB22" s="1420"/>
      <c r="BC22" s="1421"/>
      <c r="BD22" s="1807">
        <v>0</v>
      </c>
      <c r="BE22" s="1420"/>
      <c r="BF22" s="1420"/>
      <c r="BG22" s="1420"/>
      <c r="BH22" s="1420"/>
      <c r="BI22" s="1420"/>
      <c r="BJ22" s="1420"/>
      <c r="BK22" s="1420"/>
      <c r="BL22" s="1420"/>
      <c r="BM22" s="1420"/>
      <c r="BN22" s="1420"/>
      <c r="BO22" s="1420"/>
      <c r="BP22" s="1419" t="s">
        <v>81</v>
      </c>
      <c r="BQ22" s="1419"/>
      <c r="BV22" t="str">
        <f t="shared" si="2"/>
        <v/>
      </c>
      <c r="BW22" t="str">
        <f t="shared" si="3"/>
        <v/>
      </c>
      <c r="BX22" t="str">
        <f t="shared" si="4"/>
        <v/>
      </c>
      <c r="BY22" s="218" t="s">
        <v>81</v>
      </c>
    </row>
    <row r="23" spans="1:77">
      <c r="A23" s="1415"/>
      <c r="B23" s="1415"/>
      <c r="C23" s="1415"/>
      <c r="D23" s="1415"/>
      <c r="E23" s="1415"/>
      <c r="F23" s="1415"/>
      <c r="G23" s="1415"/>
      <c r="H23" s="490"/>
      <c r="I23" s="490"/>
      <c r="J23" s="490"/>
      <c r="K23" s="66"/>
      <c r="L23" s="490"/>
      <c r="M23" s="490"/>
      <c r="N23" s="490"/>
      <c r="O23" s="1415"/>
      <c r="P23" s="1415"/>
      <c r="Q23" s="490">
        <f>SUM($K23:$M23)*'RFQ Data'!$D$31</f>
        <v>0</v>
      </c>
      <c r="R23" s="490">
        <f>SUM($K23:$M23)*'RFQ Data'!$E$31</f>
        <v>0</v>
      </c>
      <c r="S23" s="490">
        <f>SUM($K23:$M23)*'RFQ Data'!$F$31</f>
        <v>0</v>
      </c>
      <c r="T23" s="490">
        <f>SUM($K23:$M23)*'RFQ Data'!$G$31</f>
        <v>0</v>
      </c>
      <c r="U23" s="490">
        <f>SUM($K23:$M23)*'RFQ Data'!$H$31</f>
        <v>0</v>
      </c>
      <c r="V23" s="490">
        <f t="shared" si="0"/>
        <v>0</v>
      </c>
      <c r="W23" s="490"/>
      <c r="X23" s="490"/>
      <c r="Y23" s="490">
        <f t="shared" si="1"/>
        <v>0</v>
      </c>
      <c r="AA23" s="1416"/>
      <c r="AB23">
        <v>0</v>
      </c>
      <c r="AO23" s="1416"/>
      <c r="AP23" s="55">
        <v>0</v>
      </c>
      <c r="BC23" s="1416"/>
      <c r="BD23" s="55">
        <v>0</v>
      </c>
      <c r="BP23" t="s">
        <v>81</v>
      </c>
      <c r="BV23" t="str">
        <f t="shared" si="2"/>
        <v/>
      </c>
      <c r="BW23" t="str">
        <f t="shared" si="3"/>
        <v/>
      </c>
      <c r="BX23" t="str">
        <f t="shared" si="4"/>
        <v/>
      </c>
      <c r="BY23" s="218" t="s">
        <v>81</v>
      </c>
    </row>
    <row r="24" spans="1:77">
      <c r="A24" s="1417"/>
      <c r="B24" s="1417"/>
      <c r="C24" s="1417"/>
      <c r="D24" s="1417"/>
      <c r="E24" s="1417"/>
      <c r="F24" s="1417"/>
      <c r="G24" s="1417"/>
      <c r="H24" s="1418"/>
      <c r="I24" s="1418"/>
      <c r="J24" s="1418"/>
      <c r="K24" s="1521"/>
      <c r="L24" s="1418"/>
      <c r="M24" s="1418"/>
      <c r="N24" s="1418"/>
      <c r="O24" s="1417"/>
      <c r="P24" s="1417"/>
      <c r="Q24" s="1418">
        <f>SUM($K24:$M24)*'RFQ Data'!$D$31</f>
        <v>0</v>
      </c>
      <c r="R24" s="1418">
        <f>SUM($K24:$M24)*'RFQ Data'!$E$31</f>
        <v>0</v>
      </c>
      <c r="S24" s="1418">
        <f>SUM($K24:$M24)*'RFQ Data'!$F$31</f>
        <v>0</v>
      </c>
      <c r="T24" s="1418">
        <f>SUM($K24:$M24)*'RFQ Data'!$G$31</f>
        <v>0</v>
      </c>
      <c r="U24" s="1418">
        <f>SUM($K24:$M24)*'RFQ Data'!$H$31</f>
        <v>0</v>
      </c>
      <c r="V24" s="1418">
        <f t="shared" si="0"/>
        <v>0</v>
      </c>
      <c r="W24" s="1418"/>
      <c r="X24" s="1418"/>
      <c r="Y24" s="1418">
        <f t="shared" si="1"/>
        <v>0</v>
      </c>
      <c r="Z24" s="1420"/>
      <c r="AA24" s="1421"/>
      <c r="AB24" s="1420">
        <v>0</v>
      </c>
      <c r="AC24" s="1420"/>
      <c r="AD24" s="1420"/>
      <c r="AE24" s="1420"/>
      <c r="AF24" s="1420"/>
      <c r="AG24" s="1420"/>
      <c r="AH24" s="1420"/>
      <c r="AI24" s="1420"/>
      <c r="AJ24" s="1420"/>
      <c r="AK24" s="1420"/>
      <c r="AL24" s="1420"/>
      <c r="AM24" s="1420"/>
      <c r="AN24" s="1419"/>
      <c r="AO24" s="1422"/>
      <c r="AP24" s="1806">
        <v>0</v>
      </c>
      <c r="AQ24" s="1419"/>
      <c r="AR24" s="1419"/>
      <c r="AS24" s="1419"/>
      <c r="AT24" s="1419"/>
      <c r="AU24" s="1419"/>
      <c r="AV24" s="1419"/>
      <c r="AW24" s="1419"/>
      <c r="AX24" s="1419"/>
      <c r="AY24" s="1419"/>
      <c r="AZ24" s="1419"/>
      <c r="BA24" s="1419"/>
      <c r="BB24" s="1420"/>
      <c r="BC24" s="1421"/>
      <c r="BD24" s="1807">
        <v>0</v>
      </c>
      <c r="BE24" s="1420"/>
      <c r="BF24" s="1420"/>
      <c r="BG24" s="1420"/>
      <c r="BH24" s="1420"/>
      <c r="BI24" s="1420"/>
      <c r="BJ24" s="1420"/>
      <c r="BK24" s="1420"/>
      <c r="BL24" s="1420"/>
      <c r="BM24" s="1420"/>
      <c r="BN24" s="1420"/>
      <c r="BO24" s="1420"/>
      <c r="BP24" s="1419" t="s">
        <v>81</v>
      </c>
      <c r="BQ24" s="1419"/>
      <c r="BV24" t="str">
        <f t="shared" si="2"/>
        <v/>
      </c>
      <c r="BW24" t="str">
        <f t="shared" si="3"/>
        <v/>
      </c>
      <c r="BX24" t="str">
        <f t="shared" si="4"/>
        <v/>
      </c>
      <c r="BY24" s="218" t="s">
        <v>81</v>
      </c>
    </row>
    <row r="25" spans="1:77">
      <c r="A25" s="1415"/>
      <c r="B25" s="1415"/>
      <c r="C25" s="1415"/>
      <c r="D25" s="1415"/>
      <c r="E25" s="1415"/>
      <c r="F25" s="1415"/>
      <c r="G25" s="1415"/>
      <c r="H25" s="490"/>
      <c r="I25" s="490"/>
      <c r="J25" s="490"/>
      <c r="K25" s="66"/>
      <c r="L25" s="490"/>
      <c r="M25" s="490"/>
      <c r="N25" s="490"/>
      <c r="O25" s="1415"/>
      <c r="P25" s="1415"/>
      <c r="Q25" s="490">
        <f>SUM($K25:$M25)*'RFQ Data'!$D$31</f>
        <v>0</v>
      </c>
      <c r="R25" s="490">
        <f>SUM($K25:$M25)*'RFQ Data'!$E$31</f>
        <v>0</v>
      </c>
      <c r="S25" s="490">
        <f>SUM($K25:$M25)*'RFQ Data'!$F$31</f>
        <v>0</v>
      </c>
      <c r="T25" s="490">
        <f>SUM($K25:$M25)*'RFQ Data'!$G$31</f>
        <v>0</v>
      </c>
      <c r="U25" s="490">
        <f>SUM($K25:$M25)*'RFQ Data'!$H$31</f>
        <v>0</v>
      </c>
      <c r="V25" s="490">
        <f t="shared" si="0"/>
        <v>0</v>
      </c>
      <c r="W25" s="490"/>
      <c r="X25" s="490"/>
      <c r="Y25" s="490">
        <f t="shared" si="1"/>
        <v>0</v>
      </c>
      <c r="AA25" s="1416"/>
      <c r="AB25">
        <v>0</v>
      </c>
      <c r="AO25" s="1416"/>
      <c r="AP25" s="55">
        <v>0</v>
      </c>
      <c r="BC25" s="1416"/>
      <c r="BD25" s="55">
        <v>0</v>
      </c>
      <c r="BP25" t="s">
        <v>81</v>
      </c>
      <c r="BV25" t="str">
        <f t="shared" si="2"/>
        <v/>
      </c>
      <c r="BW25" t="str">
        <f t="shared" si="3"/>
        <v/>
      </c>
      <c r="BX25" t="str">
        <f t="shared" si="4"/>
        <v/>
      </c>
      <c r="BY25" s="218" t="s">
        <v>81</v>
      </c>
    </row>
    <row r="26" spans="1:77">
      <c r="A26" s="1417"/>
      <c r="B26" s="1417"/>
      <c r="C26" s="1417"/>
      <c r="D26" s="1417"/>
      <c r="E26" s="1417"/>
      <c r="F26" s="1417"/>
      <c r="G26" s="1417"/>
      <c r="H26" s="1418"/>
      <c r="I26" s="1418"/>
      <c r="J26" s="1418"/>
      <c r="K26" s="1521"/>
      <c r="L26" s="1418"/>
      <c r="M26" s="1418"/>
      <c r="N26" s="1418"/>
      <c r="O26" s="1417"/>
      <c r="P26" s="1417"/>
      <c r="Q26" s="1418">
        <f>SUM($K26:$M26)*'RFQ Data'!$D$31</f>
        <v>0</v>
      </c>
      <c r="R26" s="1418">
        <f>SUM($K26:$M26)*'RFQ Data'!$E$31</f>
        <v>0</v>
      </c>
      <c r="S26" s="1418">
        <f>SUM($K26:$M26)*'RFQ Data'!$F$31</f>
        <v>0</v>
      </c>
      <c r="T26" s="1418">
        <f>SUM($K26:$M26)*'RFQ Data'!$G$31</f>
        <v>0</v>
      </c>
      <c r="U26" s="1418">
        <f>SUM($K26:$M26)*'RFQ Data'!$H$31</f>
        <v>0</v>
      </c>
      <c r="V26" s="1418">
        <f t="shared" si="0"/>
        <v>0</v>
      </c>
      <c r="W26" s="1418"/>
      <c r="X26" s="1418"/>
      <c r="Y26" s="1418">
        <f t="shared" si="1"/>
        <v>0</v>
      </c>
      <c r="Z26" s="1420"/>
      <c r="AA26" s="1421"/>
      <c r="AB26" s="1420">
        <v>0</v>
      </c>
      <c r="AC26" s="1420"/>
      <c r="AD26" s="1420"/>
      <c r="AE26" s="1420"/>
      <c r="AF26" s="1420"/>
      <c r="AG26" s="1420"/>
      <c r="AH26" s="1420"/>
      <c r="AI26" s="1420"/>
      <c r="AJ26" s="1420"/>
      <c r="AK26" s="1420"/>
      <c r="AL26" s="1420"/>
      <c r="AM26" s="1420"/>
      <c r="AN26" s="1419"/>
      <c r="AO26" s="1422"/>
      <c r="AP26" s="1806">
        <v>0</v>
      </c>
      <c r="AQ26" s="1419"/>
      <c r="AR26" s="1419"/>
      <c r="AS26" s="1419"/>
      <c r="AT26" s="1419"/>
      <c r="AU26" s="1419"/>
      <c r="AV26" s="1419"/>
      <c r="AW26" s="1419"/>
      <c r="AX26" s="1419"/>
      <c r="AY26" s="1419"/>
      <c r="AZ26" s="1419"/>
      <c r="BA26" s="1419"/>
      <c r="BB26" s="1420"/>
      <c r="BC26" s="1421"/>
      <c r="BD26" s="1807">
        <v>0</v>
      </c>
      <c r="BE26" s="1420"/>
      <c r="BF26" s="1420"/>
      <c r="BG26" s="1420"/>
      <c r="BH26" s="1420"/>
      <c r="BI26" s="1420"/>
      <c r="BJ26" s="1420"/>
      <c r="BK26" s="1420"/>
      <c r="BL26" s="1420"/>
      <c r="BM26" s="1420"/>
      <c r="BN26" s="1420"/>
      <c r="BO26" s="1420"/>
      <c r="BP26" s="1419" t="s">
        <v>81</v>
      </c>
      <c r="BQ26" s="1419"/>
      <c r="BV26" t="str">
        <f t="shared" si="2"/>
        <v/>
      </c>
      <c r="BW26" t="str">
        <f t="shared" si="3"/>
        <v/>
      </c>
      <c r="BX26" t="str">
        <f t="shared" si="4"/>
        <v/>
      </c>
      <c r="BY26" s="218" t="s">
        <v>81</v>
      </c>
    </row>
    <row r="27" spans="1:77">
      <c r="A27" s="1415"/>
      <c r="B27" s="1415"/>
      <c r="C27" s="1415"/>
      <c r="D27" s="1415"/>
      <c r="E27" s="1415"/>
      <c r="F27" s="1415"/>
      <c r="G27" s="1415"/>
      <c r="H27" s="490"/>
      <c r="I27" s="490"/>
      <c r="J27" s="490"/>
      <c r="K27" s="66"/>
      <c r="L27" s="490"/>
      <c r="M27" s="490"/>
      <c r="N27" s="490"/>
      <c r="O27" s="1415"/>
      <c r="P27" s="1415"/>
      <c r="Q27" s="490">
        <f>SUM($K27:$M27)*'RFQ Data'!$D$31</f>
        <v>0</v>
      </c>
      <c r="R27" s="490">
        <f>SUM($K27:$M27)*'RFQ Data'!$E$31</f>
        <v>0</v>
      </c>
      <c r="S27" s="490">
        <f>SUM($K27:$M27)*'RFQ Data'!$F$31</f>
        <v>0</v>
      </c>
      <c r="T27" s="490">
        <f>SUM($K27:$M27)*'RFQ Data'!$G$31</f>
        <v>0</v>
      </c>
      <c r="U27" s="490">
        <f>SUM($K27:$M27)*'RFQ Data'!$H$31</f>
        <v>0</v>
      </c>
      <c r="V27" s="490">
        <f t="shared" ref="V27:V28" si="5">SUM(Q27:U27)</f>
        <v>0</v>
      </c>
      <c r="W27" s="490"/>
      <c r="X27" s="490"/>
      <c r="Y27" s="490">
        <f t="shared" si="1"/>
        <v>0</v>
      </c>
      <c r="AA27" s="1416"/>
      <c r="AB27">
        <v>0</v>
      </c>
      <c r="AO27" s="1416"/>
      <c r="AP27" s="55">
        <v>0</v>
      </c>
      <c r="BC27" s="1416"/>
      <c r="BD27" s="55">
        <v>0</v>
      </c>
      <c r="BP27" t="s">
        <v>81</v>
      </c>
      <c r="BV27" t="str">
        <f t="shared" si="2"/>
        <v/>
      </c>
      <c r="BW27" t="str">
        <f t="shared" si="3"/>
        <v/>
      </c>
      <c r="BX27" t="str">
        <f t="shared" si="4"/>
        <v/>
      </c>
      <c r="BY27" s="218" t="s">
        <v>81</v>
      </c>
    </row>
    <row r="28" spans="1:77">
      <c r="A28" s="1417"/>
      <c r="B28" s="1417"/>
      <c r="C28" s="1417"/>
      <c r="D28" s="1417"/>
      <c r="E28" s="1417"/>
      <c r="F28" s="1417"/>
      <c r="G28" s="1417"/>
      <c r="H28" s="1418"/>
      <c r="I28" s="1418"/>
      <c r="J28" s="1418"/>
      <c r="K28" s="1521"/>
      <c r="L28" s="1418"/>
      <c r="M28" s="1418"/>
      <c r="N28" s="1418"/>
      <c r="O28" s="1417"/>
      <c r="P28" s="1417"/>
      <c r="Q28" s="1418">
        <f>SUM($K28:$M28)*'RFQ Data'!$D$31</f>
        <v>0</v>
      </c>
      <c r="R28" s="1418">
        <f>SUM($K28:$M28)*'RFQ Data'!$E$31</f>
        <v>0</v>
      </c>
      <c r="S28" s="1418">
        <f>SUM($K28:$M28)*'RFQ Data'!$F$31</f>
        <v>0</v>
      </c>
      <c r="T28" s="1418">
        <f>SUM($K28:$M28)*'RFQ Data'!$G$31</f>
        <v>0</v>
      </c>
      <c r="U28" s="1418">
        <f>SUM($K28:$M28)*'RFQ Data'!$H$31</f>
        <v>0</v>
      </c>
      <c r="V28" s="1418">
        <f t="shared" si="5"/>
        <v>0</v>
      </c>
      <c r="W28" s="1418"/>
      <c r="X28" s="1418"/>
      <c r="Y28" s="1418">
        <f t="shared" si="1"/>
        <v>0</v>
      </c>
      <c r="Z28" s="1420"/>
      <c r="AA28" s="1421"/>
      <c r="AB28" s="1420">
        <v>0</v>
      </c>
      <c r="AC28" s="1420"/>
      <c r="AD28" s="1420"/>
      <c r="AE28" s="1420"/>
      <c r="AF28" s="1420"/>
      <c r="AG28" s="1420"/>
      <c r="AH28" s="1420"/>
      <c r="AI28" s="1420"/>
      <c r="AJ28" s="1420"/>
      <c r="AK28" s="1420"/>
      <c r="AL28" s="1420"/>
      <c r="AM28" s="1420"/>
      <c r="AN28" s="1419"/>
      <c r="AO28" s="1422"/>
      <c r="AP28" s="1806">
        <v>0</v>
      </c>
      <c r="AQ28" s="1419"/>
      <c r="AR28" s="1419"/>
      <c r="AS28" s="1419"/>
      <c r="AT28" s="1419"/>
      <c r="AU28" s="1419"/>
      <c r="AV28" s="1419"/>
      <c r="AW28" s="1419"/>
      <c r="AX28" s="1419"/>
      <c r="AY28" s="1419"/>
      <c r="AZ28" s="1419"/>
      <c r="BA28" s="1419"/>
      <c r="BB28" s="1420"/>
      <c r="BC28" s="1421"/>
      <c r="BD28" s="1807">
        <v>0</v>
      </c>
      <c r="BE28" s="1420"/>
      <c r="BF28" s="1420"/>
      <c r="BG28" s="1420"/>
      <c r="BH28" s="1420"/>
      <c r="BI28" s="1420"/>
      <c r="BJ28" s="1420"/>
      <c r="BK28" s="1420"/>
      <c r="BL28" s="1420"/>
      <c r="BM28" s="1420"/>
      <c r="BN28" s="1420"/>
      <c r="BO28" s="1420"/>
      <c r="BP28" s="1419" t="s">
        <v>81</v>
      </c>
      <c r="BQ28" s="1419"/>
      <c r="BV28" t="str">
        <f t="shared" si="2"/>
        <v/>
      </c>
      <c r="BW28" t="str">
        <f t="shared" si="3"/>
        <v/>
      </c>
      <c r="BX28" t="str">
        <f t="shared" si="4"/>
        <v/>
      </c>
      <c r="BY28" s="218" t="s">
        <v>81</v>
      </c>
    </row>
    <row r="29" spans="1:77">
      <c r="A29" s="1415"/>
      <c r="B29" s="1415"/>
      <c r="C29" s="1415"/>
      <c r="D29" s="1415"/>
      <c r="E29" s="1415"/>
      <c r="F29" s="1415"/>
      <c r="G29" s="1415"/>
      <c r="H29" s="490"/>
      <c r="I29" s="490"/>
      <c r="J29" s="490"/>
      <c r="K29" s="66"/>
      <c r="L29" s="490"/>
      <c r="M29" s="490"/>
      <c r="N29" s="490"/>
      <c r="O29" s="1415"/>
      <c r="P29" s="1415"/>
      <c r="Q29" s="490">
        <f>SUM($K29:$M29)*'RFQ Data'!$D$31</f>
        <v>0</v>
      </c>
      <c r="R29" s="490">
        <f>SUM($K29:$M29)*'RFQ Data'!$E$31</f>
        <v>0</v>
      </c>
      <c r="S29" s="490">
        <f>SUM($K29:$M29)*'RFQ Data'!$F$31</f>
        <v>0</v>
      </c>
      <c r="T29" s="490">
        <f>SUM($K29:$M29)*'RFQ Data'!$G$31</f>
        <v>0</v>
      </c>
      <c r="U29" s="490">
        <f>SUM($K29:$M29)*'RFQ Data'!$H$31</f>
        <v>0</v>
      </c>
      <c r="V29" s="490">
        <f t="shared" ref="V29:V30" si="6">SUM(Q29:U29)</f>
        <v>0</v>
      </c>
      <c r="W29" s="490"/>
      <c r="X29" s="490"/>
      <c r="Y29" s="490">
        <f t="shared" si="1"/>
        <v>0</v>
      </c>
      <c r="AA29" s="1416"/>
      <c r="AB29">
        <v>0</v>
      </c>
      <c r="AO29" s="1416"/>
      <c r="AP29" s="55">
        <v>0</v>
      </c>
      <c r="BC29" s="1416"/>
      <c r="BD29" s="55">
        <v>0</v>
      </c>
      <c r="BP29" t="s">
        <v>81</v>
      </c>
      <c r="BV29" t="str">
        <f t="shared" si="2"/>
        <v/>
      </c>
      <c r="BW29" t="str">
        <f t="shared" si="3"/>
        <v/>
      </c>
      <c r="BX29" t="str">
        <f t="shared" si="4"/>
        <v/>
      </c>
      <c r="BY29" s="218" t="s">
        <v>81</v>
      </c>
    </row>
    <row r="30" spans="1:77" ht="15" thickBot="1">
      <c r="A30" s="1417"/>
      <c r="B30" s="1417"/>
      <c r="C30" s="1417"/>
      <c r="D30" s="1417"/>
      <c r="E30" s="1417"/>
      <c r="F30" s="1417"/>
      <c r="G30" s="1417"/>
      <c r="H30" s="1418"/>
      <c r="I30" s="1418"/>
      <c r="J30" s="1418"/>
      <c r="K30" s="1521"/>
      <c r="L30" s="1418"/>
      <c r="M30" s="1418"/>
      <c r="N30" s="1418"/>
      <c r="O30" s="1417"/>
      <c r="P30" s="1417"/>
      <c r="Q30" s="1418">
        <f>SUM($K30:$M30)*'RFQ Data'!$D$31</f>
        <v>0</v>
      </c>
      <c r="R30" s="1418">
        <f>SUM($K30:$M30)*'RFQ Data'!$E$31</f>
        <v>0</v>
      </c>
      <c r="S30" s="1418">
        <f>SUM($K30:$M30)*'RFQ Data'!$F$31</f>
        <v>0</v>
      </c>
      <c r="T30" s="1418">
        <f>SUM($K30:$M30)*'RFQ Data'!$G$31</f>
        <v>0</v>
      </c>
      <c r="U30" s="1418">
        <f>SUM($K30:$M30)*'RFQ Data'!$H$31</f>
        <v>0</v>
      </c>
      <c r="V30" s="1418">
        <f t="shared" si="6"/>
        <v>0</v>
      </c>
      <c r="W30" s="1418"/>
      <c r="X30" s="1418"/>
      <c r="Y30" s="1418">
        <f t="shared" si="1"/>
        <v>0</v>
      </c>
      <c r="Z30" s="1420"/>
      <c r="AA30" s="1421"/>
      <c r="AB30" s="1420">
        <v>0</v>
      </c>
      <c r="AC30" s="1420"/>
      <c r="AD30" s="1420"/>
      <c r="AE30" s="1420"/>
      <c r="AF30" s="1420"/>
      <c r="AG30" s="1420"/>
      <c r="AH30" s="1420"/>
      <c r="AI30" s="1420"/>
      <c r="AJ30" s="1420"/>
      <c r="AK30" s="1420"/>
      <c r="AL30" s="1420"/>
      <c r="AM30" s="1420"/>
      <c r="AN30" s="1419"/>
      <c r="AO30" s="1422"/>
      <c r="AP30" s="1806">
        <v>0</v>
      </c>
      <c r="AQ30" s="1419"/>
      <c r="AR30" s="1419"/>
      <c r="AS30" s="1419"/>
      <c r="AT30" s="1419"/>
      <c r="AU30" s="1419"/>
      <c r="AV30" s="1419"/>
      <c r="AW30" s="1419"/>
      <c r="AX30" s="1419"/>
      <c r="AY30" s="1419"/>
      <c r="AZ30" s="1419"/>
      <c r="BA30" s="1419"/>
      <c r="BB30" s="1420"/>
      <c r="BC30" s="1421"/>
      <c r="BD30" s="1807">
        <v>0</v>
      </c>
      <c r="BE30" s="1420"/>
      <c r="BF30" s="1420"/>
      <c r="BG30" s="1420"/>
      <c r="BH30" s="1420"/>
      <c r="BI30" s="1420"/>
      <c r="BJ30" s="1420"/>
      <c r="BK30" s="1420"/>
      <c r="BL30" s="1420"/>
      <c r="BM30" s="1420"/>
      <c r="BN30" s="1420"/>
      <c r="BO30" s="1420"/>
      <c r="BP30" s="1419" t="s">
        <v>81</v>
      </c>
      <c r="BQ30" s="1419"/>
      <c r="BV30" t="str">
        <f t="shared" si="2"/>
        <v/>
      </c>
      <c r="BW30" t="str">
        <f t="shared" si="3"/>
        <v/>
      </c>
      <c r="BX30" t="str">
        <f t="shared" si="4"/>
        <v/>
      </c>
      <c r="BY30" s="218" t="s">
        <v>81</v>
      </c>
    </row>
    <row r="31" spans="1:77" ht="15" thickBot="1">
      <c r="K31" s="1073"/>
      <c r="L31" s="1073"/>
      <c r="M31" s="1073"/>
      <c r="N31" s="1073"/>
      <c r="Q31" s="490"/>
      <c r="R31" s="490"/>
      <c r="S31" s="490"/>
      <c r="T31" s="490"/>
      <c r="U31" s="2319" t="s">
        <v>230</v>
      </c>
      <c r="V31" s="2320"/>
      <c r="W31" s="1423">
        <f>SUM(W3:W30)</f>
        <v>1470</v>
      </c>
    </row>
    <row r="32" spans="1:77">
      <c r="K32" s="1073"/>
      <c r="L32" s="1073"/>
      <c r="M32" s="1073"/>
      <c r="N32" s="1073"/>
    </row>
    <row r="35" spans="2:14">
      <c r="B35" s="1424"/>
    </row>
    <row r="36" spans="2:14">
      <c r="K36" s="1425"/>
      <c r="L36" s="1426"/>
      <c r="M36" s="1426"/>
      <c r="N36" s="1426"/>
    </row>
  </sheetData>
  <protectedRanges>
    <protectedRange algorithmName="SHA-512" hashValue="nrvoJbzLLmBlrNJFNzdCV+oYYzDFjfC/9lpIgsABEcdk+7qvu0Qzif9W3t80X/UPvHjV9CaBjzOpAbnw8vUuDg==" saltValue="pkwTUqncKkDF7SlOw7Z+Gw==" spinCount="100000" sqref="BP3:BP30" name="Plage1"/>
  </protectedRanges>
  <autoFilter ref="A2:BU30" xr:uid="{0C6435CC-7394-4D11-A998-7C4E0645FF52}"/>
  <mergeCells count="19">
    <mergeCell ref="Z1:AM1"/>
    <mergeCell ref="AN1:BA1"/>
    <mergeCell ref="BB1:BO1"/>
    <mergeCell ref="BP1:BP2"/>
    <mergeCell ref="U31:V31"/>
    <mergeCell ref="Y1:Y2"/>
    <mergeCell ref="X1:X2"/>
    <mergeCell ref="O1:O2"/>
    <mergeCell ref="P1:P2"/>
    <mergeCell ref="Q1:U1"/>
    <mergeCell ref="V1:V2"/>
    <mergeCell ref="W1:W2"/>
    <mergeCell ref="B1:B2"/>
    <mergeCell ref="C1:F1"/>
    <mergeCell ref="H1:H2"/>
    <mergeCell ref="J1:J2"/>
    <mergeCell ref="K1:N1"/>
    <mergeCell ref="G1:G2"/>
    <mergeCell ref="I1:I2"/>
  </mergeCells>
  <phoneticPr fontId="67" type="noConversion"/>
  <dataValidations count="33">
    <dataValidation type="list" allowBlank="1" showInputMessage="1" showErrorMessage="1" sqref="N3:N32" xr:uid="{00D23820-75FF-4A97-88B3-95F3D1C266FA}">
      <formula1>"U,m,Kg,l"</formula1>
    </dataValidation>
    <dataValidation type="list" allowBlank="1" showInputMessage="1" showErrorMessage="1" sqref="H3:H30" xr:uid="{8BAB3D72-CD4C-4F8B-B63A-B35213AB5BDC}">
      <formula1>$BU$3:$BU$5</formula1>
    </dataValidation>
    <dataValidation type="list" allowBlank="1" showInputMessage="1" showErrorMessage="1" sqref="G3:G30" xr:uid="{4AA3C2CA-7CF4-4377-841B-33FC1B8FF26F}">
      <formula1>"OK,NOK"</formula1>
    </dataValidation>
    <dataValidation type="list" allowBlank="1" showInputMessage="1" showErrorMessage="1" sqref="BP5" xr:uid="{DC1DA3D8-409F-4BF1-AB79-16954079F70D}">
      <formula1>$BV$5:$BY$5</formula1>
    </dataValidation>
    <dataValidation type="list" allowBlank="1" showInputMessage="1" showErrorMessage="1" sqref="BP4" xr:uid="{0D12F4FC-593E-4A48-A152-2EEEA8087B5D}">
      <formula1>$BV$4:$BY$4</formula1>
    </dataValidation>
    <dataValidation type="list" allowBlank="1" showInputMessage="1" showErrorMessage="1" sqref="BP6" xr:uid="{D4918444-9C25-4519-AA08-09EEEB53E1E3}">
      <formula1>$BV$6:$BY$6</formula1>
    </dataValidation>
    <dataValidation type="list" allowBlank="1" showInputMessage="1" showErrorMessage="1" sqref="BP7" xr:uid="{92645121-AC5B-4DFA-8271-C7D287D169B4}">
      <formula1>$BV$7:$BY$7</formula1>
    </dataValidation>
    <dataValidation type="list" allowBlank="1" showInputMessage="1" showErrorMessage="1" sqref="BP8" xr:uid="{400D170A-A2DE-4D4C-8485-AE37F8B2607A}">
      <formula1>$BV$8:$BY$8</formula1>
    </dataValidation>
    <dataValidation type="list" allowBlank="1" showInputMessage="1" showErrorMessage="1" sqref="BP9" xr:uid="{CE23C8E2-928C-4D62-8D3E-BEAD051801A5}">
      <formula1>$BV$9:$BY$9</formula1>
    </dataValidation>
    <dataValidation type="list" allowBlank="1" showInputMessage="1" showErrorMessage="1" sqref="BP10" xr:uid="{F464DD61-1029-48E5-98DD-6E686F5C2BA7}">
      <formula1>$BV$10:$BY$10</formula1>
    </dataValidation>
    <dataValidation type="list" allowBlank="1" showInputMessage="1" showErrorMessage="1" sqref="BP11" xr:uid="{3CF7D226-8445-4226-A0D2-5462758F103D}">
      <formula1>$BV$11:$BY$11</formula1>
    </dataValidation>
    <dataValidation type="list" allowBlank="1" showInputMessage="1" showErrorMessage="1" sqref="BP12" xr:uid="{EEA20B66-0555-4EE2-8E39-E2105AF2B234}">
      <formula1>$BV$12:$BY$12</formula1>
    </dataValidation>
    <dataValidation type="list" allowBlank="1" showInputMessage="1" showErrorMessage="1" sqref="BP13" xr:uid="{5AB0E92A-CE56-44AA-8DA7-7BB2E1DF8D6B}">
      <formula1>$BV$13:$BY$13</formula1>
    </dataValidation>
    <dataValidation type="list" allowBlank="1" showInputMessage="1" showErrorMessage="1" sqref="BP14" xr:uid="{81EE3B12-1774-4970-8188-1DD5F000A52C}">
      <formula1>$BV$14:$BY$14</formula1>
    </dataValidation>
    <dataValidation type="list" allowBlank="1" showInputMessage="1" showErrorMessage="1" sqref="BP15" xr:uid="{C09FB438-04C6-4F7C-86B9-39F843276F71}">
      <formula1>$BV$15:$BY$15</formula1>
    </dataValidation>
    <dataValidation type="list" allowBlank="1" showInputMessage="1" showErrorMessage="1" sqref="BP16" xr:uid="{28A513F0-2ADE-4BA5-8326-0C4CE943428F}">
      <formula1>$BV$16:$BY$16</formula1>
    </dataValidation>
    <dataValidation type="list" allowBlank="1" showInputMessage="1" showErrorMessage="1" sqref="BP17" xr:uid="{9B0B3D56-1C87-4031-A6F3-3E0593F89BC1}">
      <formula1>$BV$17:$BY$17</formula1>
    </dataValidation>
    <dataValidation type="list" allowBlank="1" showInputMessage="1" showErrorMessage="1" sqref="BP18" xr:uid="{31140D9A-1088-4714-BB0B-8D8290A51240}">
      <formula1>$BV$18:$BY$18</formula1>
    </dataValidation>
    <dataValidation type="list" allowBlank="1" showInputMessage="1" showErrorMessage="1" sqref="BP19" xr:uid="{0E09C104-58F1-4FC9-BBF6-0499701A2861}">
      <formula1>$BV$19:$BY$19</formula1>
    </dataValidation>
    <dataValidation type="list" allowBlank="1" showInputMessage="1" showErrorMessage="1" sqref="BP20" xr:uid="{CD2B2FC4-CA8F-47B5-AAE8-A0B30F30E7F9}">
      <formula1>$BV$20:$BY$20</formula1>
    </dataValidation>
    <dataValidation type="list" allowBlank="1" showInputMessage="1" showErrorMessage="1" sqref="BP21" xr:uid="{966A82FB-F9CE-4AA2-B782-251F9A07C542}">
      <formula1>$BV$21:$BY$21</formula1>
    </dataValidation>
    <dataValidation type="list" allowBlank="1" showInputMessage="1" showErrorMessage="1" sqref="BP22" xr:uid="{F8F03A3C-1F49-472F-8F2F-C01507B2569B}">
      <formula1>$BV$22:$BY$22</formula1>
    </dataValidation>
    <dataValidation type="list" allowBlank="1" showInputMessage="1" showErrorMessage="1" sqref="BP23" xr:uid="{F72114C0-9C1A-4B27-BF39-9D6D78AB86F3}">
      <formula1>$BV$23:$BY$23</formula1>
    </dataValidation>
    <dataValidation type="list" allowBlank="1" showInputMessage="1" showErrorMessage="1" sqref="BP24" xr:uid="{92AAD024-7EC3-43CF-8E3B-C96808FBCBDF}">
      <formula1>$BV$24:$BY$24</formula1>
    </dataValidation>
    <dataValidation type="list" allowBlank="1" showInputMessage="1" showErrorMessage="1" sqref="BP25" xr:uid="{37E6A904-32E5-48FC-B588-A29590EED184}">
      <formula1>$BV$25:$BY$25</formula1>
    </dataValidation>
    <dataValidation type="list" allowBlank="1" showInputMessage="1" showErrorMessage="1" sqref="BP26" xr:uid="{8B2B3564-E971-4E4E-B06E-BF050C2B4EF8}">
      <formula1>$BV$26:$BY$26</formula1>
    </dataValidation>
    <dataValidation type="list" allowBlank="1" showInputMessage="1" showErrorMessage="1" sqref="BP27" xr:uid="{32CADCE7-167C-4A2F-ADC1-35D71E4DB11A}">
      <formula1>$BV$27:$BY$27</formula1>
    </dataValidation>
    <dataValidation type="list" allowBlank="1" showInputMessage="1" showErrorMessage="1" sqref="BP28" xr:uid="{C7E3109E-A7A2-4C82-87A6-D08AF9F696BA}">
      <formula1>$BV$28:$BY$28</formula1>
    </dataValidation>
    <dataValidation type="list" allowBlank="1" showInputMessage="1" showErrorMessage="1" sqref="BP29" xr:uid="{248635B1-EA7A-4BAF-9C90-D04999D85397}">
      <formula1>$BV$29:$BY$29</formula1>
    </dataValidation>
    <dataValidation type="list" allowBlank="1" showInputMessage="1" showErrorMessage="1" sqref="BP30" xr:uid="{057A2D51-BF81-4879-954D-8DE37F98007B}">
      <formula1>$BV$30:$BY$30</formula1>
    </dataValidation>
    <dataValidation type="list" allowBlank="1" showInputMessage="1" showErrorMessage="1" sqref="BP3" xr:uid="{9A41BDF8-82B4-40BB-9342-BA77BD87B1EB}">
      <formula1>$BV$3:$BY$3</formula1>
    </dataValidation>
    <dataValidation type="list" allowBlank="1" showInputMessage="1" showErrorMessage="1" sqref="J3:J30" xr:uid="{1F104730-E8CF-4834-B49E-2AD969B32250}">
      <formula1>$CA$3:$CA$12</formula1>
    </dataValidation>
    <dataValidation type="list" allowBlank="1" showInputMessage="1" showErrorMessage="1" sqref="I3:I30" xr:uid="{5502F6E8-509B-4D3C-994A-E63D5B0BAD1E}">
      <formula1>"Int.,Ext."</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2B2B184-B906-43A6-A153-D654E52CEAE3}">
          <x14:formula1>
            <xm:f>'Financials Parameters'!$J$19:$J$23</xm:f>
          </x14:formula1>
          <xm:sqref>AC3:AC30 AR3:AR30 BF3:BF30 X3:X30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C834-62DC-4FD6-988C-857701441E0E}">
  <sheetPr codeName="Feuil5">
    <tabColor rgb="FF00B0F0"/>
    <pageSetUpPr fitToPage="1"/>
  </sheetPr>
  <dimension ref="A1:EM133"/>
  <sheetViews>
    <sheetView tabSelected="1" zoomScale="80" zoomScaleNormal="80" zoomScaleSheetLayoutView="70" workbookViewId="0">
      <pane xSplit="9" ySplit="5" topLeftCell="T6" activePane="bottomRight" state="frozen"/>
      <selection pane="topRight" activeCell="I1" sqref="I1"/>
      <selection pane="bottomLeft" activeCell="A6" sqref="A6"/>
      <selection pane="bottomRight" activeCell="D12" sqref="D12"/>
    </sheetView>
  </sheetViews>
  <sheetFormatPr baseColWidth="10" defaultColWidth="11.6640625" defaultRowHeight="14.4"/>
  <cols>
    <col min="1" max="1" width="6.109375" style="66" customWidth="1"/>
    <col min="2" max="2" width="11.6640625" customWidth="1"/>
    <col min="3" max="3" width="32" customWidth="1"/>
    <col min="4" max="4" width="34.6640625" customWidth="1"/>
    <col min="5" max="5" width="9.77734375" customWidth="1"/>
    <col min="6" max="6" width="10.77734375" customWidth="1"/>
    <col min="7" max="8" width="8.109375" bestFit="1" customWidth="1"/>
    <col min="9" max="9" width="5.77734375" customWidth="1"/>
    <col min="10" max="10" width="20.109375" style="66" customWidth="1"/>
    <col min="11" max="11" width="20.109375" customWidth="1"/>
    <col min="12" max="12" width="8.109375" style="66" customWidth="1"/>
    <col min="13" max="13" width="13.77734375" style="66" customWidth="1"/>
    <col min="14" max="14" width="9.6640625" style="66" customWidth="1"/>
    <col min="15" max="16" width="11.6640625" customWidth="1"/>
    <col min="17" max="18" width="10.21875" customWidth="1"/>
    <col min="19" max="19" width="8.21875" style="66" customWidth="1"/>
    <col min="20" max="20" width="10.44140625" style="66" customWidth="1"/>
    <col min="21" max="21" width="8.21875" customWidth="1"/>
    <col min="22" max="24" width="7" customWidth="1"/>
    <col min="25" max="25" width="10.21875" customWidth="1"/>
    <col min="26" max="26" width="11.77734375" customWidth="1"/>
    <col min="27" max="27" width="20.33203125" customWidth="1"/>
    <col min="28" max="28" width="32.77734375" hidden="1" customWidth="1"/>
    <col min="29" max="29" width="9.44140625" customWidth="1"/>
    <col min="30" max="30" width="7.88671875" customWidth="1"/>
    <col min="31" max="31" width="8.77734375" customWidth="1"/>
    <col min="32" max="32" width="10.21875" customWidth="1"/>
    <col min="33" max="33" width="10.77734375" customWidth="1"/>
    <col min="34" max="34" width="11.77734375" customWidth="1"/>
    <col min="35" max="37" width="11.77734375" hidden="1" customWidth="1"/>
    <col min="38" max="38" width="15.44140625" customWidth="1"/>
    <col min="39" max="39" width="15.109375" customWidth="1"/>
    <col min="40" max="40" width="16.77734375" customWidth="1"/>
    <col min="41" max="42" width="11.77734375" customWidth="1"/>
    <col min="43" max="43" width="14.21875" bestFit="1" customWidth="1"/>
    <col min="44" max="44" width="13.77734375" customWidth="1"/>
    <col min="45" max="45" width="12.21875" customWidth="1"/>
    <col min="46" max="46" width="11.88671875" customWidth="1"/>
    <col min="47" max="47" width="8.44140625" customWidth="1"/>
    <col min="48" max="49" width="8" hidden="1" customWidth="1"/>
    <col min="50" max="50" width="12" customWidth="1"/>
    <col min="51" max="51" width="14.44140625" customWidth="1"/>
    <col min="52" max="52" width="12.21875" customWidth="1"/>
    <col min="53" max="53" width="13.44140625" customWidth="1"/>
    <col min="54" max="54" width="13.109375" customWidth="1"/>
    <col min="55" max="55" width="15.6640625" customWidth="1"/>
    <col min="56" max="56" width="7.21875" customWidth="1"/>
    <col min="57" max="58" width="8" hidden="1" customWidth="1"/>
    <col min="59" max="59" width="12.77734375" customWidth="1"/>
    <col min="60" max="60" width="14.21875" customWidth="1"/>
    <col min="61" max="61" width="10.21875" customWidth="1"/>
    <col min="62" max="63" width="8.44140625" customWidth="1"/>
    <col min="64" max="65" width="9.109375" customWidth="1"/>
    <col min="66" max="67" width="11.6640625" customWidth="1"/>
    <col min="68" max="68" width="9.109375" customWidth="1"/>
    <col min="69" max="70" width="8.44140625" customWidth="1"/>
    <col min="71" max="71" width="9.6640625" bestFit="1" customWidth="1"/>
    <col min="72" max="72" width="19.6640625" customWidth="1"/>
    <col min="73" max="76" width="11.6640625" customWidth="1"/>
    <col min="77" max="82" width="6.21875" bestFit="1" customWidth="1"/>
    <col min="83" max="83" width="11.6640625" customWidth="1"/>
    <col min="84" max="89" width="6.21875" bestFit="1" customWidth="1"/>
    <col min="90" max="90" width="11.6640625" customWidth="1"/>
    <col min="91" max="96" width="6.21875" bestFit="1" customWidth="1"/>
    <col min="97" max="97" width="11.6640625" customWidth="1"/>
    <col min="98" max="98" width="5.88671875" bestFit="1" customWidth="1"/>
    <col min="99" max="101" width="6.21875" bestFit="1" customWidth="1"/>
    <col min="102" max="102" width="5.88671875" bestFit="1" customWidth="1"/>
    <col min="103" max="103" width="6.21875" bestFit="1" customWidth="1"/>
    <col min="104" max="105" width="7.21875" customWidth="1"/>
    <col min="106" max="110" width="8.21875" customWidth="1"/>
    <col min="111" max="111" width="24.77734375" customWidth="1"/>
    <col min="112" max="112" width="7.21875" customWidth="1"/>
    <col min="113" max="121" width="8.109375" customWidth="1"/>
    <col min="122" max="122" width="15.21875" customWidth="1"/>
    <col min="123" max="123" width="23.6640625" customWidth="1"/>
    <col min="124" max="146" width="11.6640625" customWidth="1"/>
  </cols>
  <sheetData>
    <row r="1" spans="1:143" ht="18.600000000000001" thickBot="1">
      <c r="B1" s="2203" t="s">
        <v>231</v>
      </c>
      <c r="C1" s="2204"/>
      <c r="D1" s="2205" t="str">
        <f>+'Product Added value'!A4</f>
        <v>Kunshan</v>
      </c>
      <c r="E1" s="2205"/>
      <c r="F1" s="2205"/>
      <c r="G1" s="2205" t="str">
        <f>"Zone "&amp;'RFQ Data'!M13</f>
        <v>Zone 1</v>
      </c>
      <c r="H1" s="2205"/>
      <c r="I1" s="2204"/>
      <c r="J1" s="2205" t="str">
        <f>+VLOOKUP('Material Cost '!D1,'Financials Parameters'!$I$5:$L$16,3,FALSE)</f>
        <v>China + South pacific</v>
      </c>
      <c r="K1" s="2206" t="str">
        <f>+QuotingCUR</f>
        <v>RMB</v>
      </c>
      <c r="L1" s="2361" t="s">
        <v>232</v>
      </c>
      <c r="M1" s="2362"/>
      <c r="N1" s="2362"/>
      <c r="O1" s="2207">
        <f>AVERAGEA('RFQ Data'!D31:H31)/48</f>
        <v>12.5</v>
      </c>
    </row>
    <row r="2" spans="1:143" ht="15" thickBot="1">
      <c r="J2"/>
      <c r="L2"/>
      <c r="M2"/>
      <c r="DA2" s="2236" t="s">
        <v>233</v>
      </c>
      <c r="DB2" s="2237"/>
      <c r="DC2" s="2237"/>
      <c r="DD2" s="2237"/>
      <c r="DE2" s="2237"/>
      <c r="DF2" s="2238"/>
      <c r="DH2" s="2236" t="s">
        <v>234</v>
      </c>
      <c r="DI2" s="2237"/>
      <c r="DJ2" s="2237"/>
      <c r="DK2" s="2237"/>
      <c r="DL2" s="2237"/>
      <c r="DM2" s="2238"/>
      <c r="DO2" t="s">
        <v>235</v>
      </c>
    </row>
    <row r="3" spans="1:143" ht="15" thickBot="1">
      <c r="B3" s="1083" t="s">
        <v>236</v>
      </c>
      <c r="C3" s="2333" t="s">
        <v>237</v>
      </c>
      <c r="D3" s="2334"/>
      <c r="E3" s="2334"/>
      <c r="F3" s="2334"/>
      <c r="G3" s="2334"/>
      <c r="H3" s="2334"/>
      <c r="I3" s="2334"/>
      <c r="J3" s="2334"/>
      <c r="K3" s="2334"/>
      <c r="L3" s="2334"/>
      <c r="M3" s="2334"/>
      <c r="N3" s="2334"/>
      <c r="O3" s="2335"/>
      <c r="P3" s="1901"/>
      <c r="Q3" s="2342" t="s">
        <v>238</v>
      </c>
      <c r="R3" s="2343"/>
      <c r="S3" s="2343"/>
      <c r="T3" s="2343"/>
      <c r="U3" s="2343"/>
      <c r="V3" s="2343"/>
      <c r="W3" s="2343"/>
      <c r="X3" s="2343"/>
      <c r="Y3" s="2343"/>
      <c r="Z3" s="2344"/>
      <c r="AA3" s="2336" t="s">
        <v>239</v>
      </c>
      <c r="AB3" s="2337"/>
      <c r="AC3" s="2338"/>
      <c r="AD3" s="2338"/>
      <c r="AE3" s="2338"/>
      <c r="AF3" s="2339"/>
      <c r="AG3" s="2340" t="s">
        <v>240</v>
      </c>
      <c r="AH3" s="2340"/>
      <c r="AI3" s="2340"/>
      <c r="AJ3" s="2340"/>
      <c r="AK3" s="2340"/>
      <c r="AL3" s="2340"/>
      <c r="AM3" s="2340"/>
      <c r="AN3" s="2340"/>
      <c r="AO3" s="2340"/>
      <c r="AP3" s="2341"/>
      <c r="AQ3" s="2349" t="s">
        <v>241</v>
      </c>
      <c r="AR3" s="2350"/>
      <c r="AS3" s="2350"/>
      <c r="AT3" s="2350"/>
      <c r="AU3" s="2350"/>
      <c r="AV3" s="2350"/>
      <c r="AW3" s="2350"/>
      <c r="AX3" s="2350"/>
      <c r="AY3" s="2350"/>
      <c r="AZ3" s="2350"/>
      <c r="BA3" s="2350"/>
      <c r="BB3" s="2350"/>
      <c r="BC3" s="2350"/>
      <c r="BD3" s="2350"/>
      <c r="BE3" s="2350"/>
      <c r="BF3" s="2350"/>
      <c r="BG3" s="2350"/>
      <c r="BH3" s="2351"/>
      <c r="DA3" s="66"/>
      <c r="DB3" s="66"/>
      <c r="DC3" s="66"/>
      <c r="DD3" s="66"/>
      <c r="DE3" s="66"/>
      <c r="DF3" s="66"/>
      <c r="DH3" s="66"/>
      <c r="DI3" s="66"/>
      <c r="DJ3" s="66"/>
      <c r="DK3" s="66"/>
      <c r="DL3" s="66"/>
      <c r="DM3" s="66"/>
    </row>
    <row r="4" spans="1:143" ht="43.95" customHeight="1" thickBot="1">
      <c r="B4" s="1084" t="e">
        <f>SUM(B6:B34)/'RFQ Data'!$C$35</f>
        <v>#DIV/0!</v>
      </c>
      <c r="C4" s="2354" t="s">
        <v>242</v>
      </c>
      <c r="D4" s="2347" t="s">
        <v>243</v>
      </c>
      <c r="E4" s="1889"/>
      <c r="F4" s="2358" t="s">
        <v>137</v>
      </c>
      <c r="G4" s="2359"/>
      <c r="H4" s="2359"/>
      <c r="I4" s="2360"/>
      <c r="J4" s="2329" t="s">
        <v>175</v>
      </c>
      <c r="K4" s="2329" t="s">
        <v>244</v>
      </c>
      <c r="L4" s="2329" t="s">
        <v>135</v>
      </c>
      <c r="M4" s="2329" t="s">
        <v>245</v>
      </c>
      <c r="N4" s="2329" t="s">
        <v>246</v>
      </c>
      <c r="O4" s="2345" t="s">
        <v>247</v>
      </c>
      <c r="P4" s="1888" t="s">
        <v>133</v>
      </c>
      <c r="Q4" s="2356" t="s">
        <v>248</v>
      </c>
      <c r="R4" s="2377" t="s">
        <v>249</v>
      </c>
      <c r="S4" s="1912"/>
      <c r="T4" s="221"/>
      <c r="U4" s="1066"/>
      <c r="V4" s="2381" t="s">
        <v>250</v>
      </c>
      <c r="W4" s="2382"/>
      <c r="X4" s="2383"/>
      <c r="Y4" s="2379" t="str">
        <f>+"Unit Price price ("&amp;$K$1&amp;")"</f>
        <v>Unit Price price (RMB)</v>
      </c>
      <c r="Z4" s="2327" t="str">
        <f>+"Business link (k"&amp;K1&amp;")"</f>
        <v>Business link (kRMB)</v>
      </c>
      <c r="AA4" s="2365" t="s">
        <v>251</v>
      </c>
      <c r="AB4" s="1914"/>
      <c r="AC4" s="2367" t="s">
        <v>252</v>
      </c>
      <c r="AD4" s="2367" t="s">
        <v>253</v>
      </c>
      <c r="AE4" s="2367" t="s">
        <v>254</v>
      </c>
      <c r="AF4" s="2369" t="s">
        <v>255</v>
      </c>
      <c r="AG4" s="2373" t="s">
        <v>240</v>
      </c>
      <c r="AH4" s="2363" t="s">
        <v>256</v>
      </c>
      <c r="AI4" s="2056"/>
      <c r="AJ4" s="2056"/>
      <c r="AK4" s="2375" t="str">
        <f>+"Tooling cost "&amp;"k"&amp;QuotingCUR</f>
        <v>Tooling cost kRMB</v>
      </c>
      <c r="AL4" s="2363" t="s">
        <v>257</v>
      </c>
      <c r="AM4" s="2363" t="s">
        <v>258</v>
      </c>
      <c r="AN4" s="2371" t="s">
        <v>259</v>
      </c>
      <c r="AO4" s="2363" t="s">
        <v>260</v>
      </c>
      <c r="AP4" s="2352" t="s">
        <v>261</v>
      </c>
      <c r="AQ4" s="2331" t="s">
        <v>262</v>
      </c>
      <c r="AR4" s="2321" t="s">
        <v>263</v>
      </c>
      <c r="AS4" s="2321" t="s">
        <v>264</v>
      </c>
      <c r="AT4" s="2321" t="s">
        <v>265</v>
      </c>
      <c r="AU4" s="2321" t="s">
        <v>266</v>
      </c>
      <c r="AV4" s="1025"/>
      <c r="AW4" s="1025"/>
      <c r="AX4" s="2321" t="str">
        <f>"Material index ("&amp;$K$1&amp;")"</f>
        <v>Material index (RMB)</v>
      </c>
      <c r="AY4" s="2323" t="str">
        <f>"Value inside Product ("&amp;$K$1&amp;")"</f>
        <v>Value inside Product (RMB)</v>
      </c>
      <c r="AZ4" s="2325" t="s">
        <v>262</v>
      </c>
      <c r="BA4" s="2321" t="s">
        <v>263</v>
      </c>
      <c r="BB4" s="2321" t="s">
        <v>264</v>
      </c>
      <c r="BC4" s="2321" t="s">
        <v>265</v>
      </c>
      <c r="BD4" s="2321" t="s">
        <v>266</v>
      </c>
      <c r="BE4" s="1025"/>
      <c r="BF4" s="1025"/>
      <c r="BG4" s="2321" t="str">
        <f>"Material index ("&amp;$K$1&amp;")"</f>
        <v>Material index (RMB)</v>
      </c>
      <c r="BH4" s="2323" t="str">
        <f>"Value inside Product ("&amp;$K$1&amp;")"</f>
        <v>Value inside Product (RMB)</v>
      </c>
      <c r="DB4" s="66"/>
      <c r="DC4" s="66"/>
      <c r="DD4" s="66"/>
      <c r="DE4" s="66"/>
      <c r="DF4" s="66"/>
      <c r="DG4" s="66"/>
      <c r="DI4" s="66"/>
      <c r="DJ4" s="66"/>
      <c r="DK4" s="66"/>
      <c r="DL4" s="66"/>
      <c r="DM4" s="66"/>
      <c r="DN4" s="66"/>
      <c r="DO4" s="66"/>
      <c r="DP4" s="66"/>
      <c r="DQ4" s="66"/>
    </row>
    <row r="5" spans="1:143" s="14" customFormat="1" ht="58.2" thickBot="1">
      <c r="A5" s="160" t="s">
        <v>267</v>
      </c>
      <c r="B5" s="169" t="s">
        <v>268</v>
      </c>
      <c r="C5" s="2355"/>
      <c r="D5" s="2348"/>
      <c r="E5" s="1890" t="s">
        <v>269</v>
      </c>
      <c r="F5" s="1891" t="s">
        <v>152</v>
      </c>
      <c r="G5" s="1892" t="s">
        <v>153</v>
      </c>
      <c r="H5" s="1892" t="s">
        <v>154</v>
      </c>
      <c r="I5" s="1892" t="s">
        <v>155</v>
      </c>
      <c r="J5" s="2330"/>
      <c r="K5" s="2330"/>
      <c r="L5" s="2330"/>
      <c r="M5" s="2330"/>
      <c r="N5" s="2330"/>
      <c r="O5" s="2346"/>
      <c r="P5" s="1902" t="s">
        <v>270</v>
      </c>
      <c r="Q5" s="2357"/>
      <c r="R5" s="2378"/>
      <c r="S5" s="1913" t="s">
        <v>271</v>
      </c>
      <c r="T5" s="220" t="s">
        <v>272</v>
      </c>
      <c r="U5" s="1067" t="s">
        <v>272</v>
      </c>
      <c r="V5" s="175" t="s">
        <v>156</v>
      </c>
      <c r="W5" s="173" t="s">
        <v>157</v>
      </c>
      <c r="X5" s="174" t="s">
        <v>158</v>
      </c>
      <c r="Y5" s="2380"/>
      <c r="Z5" s="2328"/>
      <c r="AA5" s="2366"/>
      <c r="AB5" s="1915"/>
      <c r="AC5" s="2368"/>
      <c r="AD5" s="2368"/>
      <c r="AE5" s="2368"/>
      <c r="AF5" s="2370"/>
      <c r="AG5" s="2374"/>
      <c r="AH5" s="2364"/>
      <c r="AI5" s="2057" t="s">
        <v>273</v>
      </c>
      <c r="AJ5" s="2057" t="s">
        <v>274</v>
      </c>
      <c r="AK5" s="2376"/>
      <c r="AL5" s="2364"/>
      <c r="AM5" s="2364"/>
      <c r="AN5" s="2372"/>
      <c r="AO5" s="2364"/>
      <c r="AP5" s="2353"/>
      <c r="AQ5" s="2332"/>
      <c r="AR5" s="2322"/>
      <c r="AS5" s="2322"/>
      <c r="AT5" s="2322"/>
      <c r="AU5" s="2322"/>
      <c r="AV5" s="1085" t="s">
        <v>275</v>
      </c>
      <c r="AW5" s="1085" t="s">
        <v>276</v>
      </c>
      <c r="AX5" s="2322"/>
      <c r="AY5" s="2324"/>
      <c r="AZ5" s="2326"/>
      <c r="BA5" s="2322"/>
      <c r="BB5" s="2322"/>
      <c r="BC5" s="2322"/>
      <c r="BD5" s="2322"/>
      <c r="BE5" s="1085" t="s">
        <v>275</v>
      </c>
      <c r="BF5" s="1085" t="s">
        <v>276</v>
      </c>
      <c r="BG5" s="2322"/>
      <c r="BH5" s="2324"/>
      <c r="BI5" s="160" t="s">
        <v>277</v>
      </c>
      <c r="BJ5" s="48" t="s">
        <v>278</v>
      </c>
      <c r="BK5" s="48" t="s">
        <v>279</v>
      </c>
      <c r="BL5" s="48" t="s">
        <v>280</v>
      </c>
      <c r="BM5" s="48" t="s">
        <v>281</v>
      </c>
      <c r="BN5" s="48" t="s">
        <v>282</v>
      </c>
      <c r="BO5" s="48" t="s">
        <v>156</v>
      </c>
      <c r="BP5" s="48" t="s">
        <v>157</v>
      </c>
      <c r="BQ5" s="48" t="s">
        <v>158</v>
      </c>
      <c r="BR5" s="48" t="s">
        <v>159</v>
      </c>
      <c r="BS5" s="48" t="s">
        <v>283</v>
      </c>
      <c r="BT5" s="49" t="s">
        <v>284</v>
      </c>
      <c r="BU5" s="14" t="s">
        <v>285</v>
      </c>
      <c r="BV5" s="14" t="s">
        <v>286</v>
      </c>
      <c r="BW5" s="14" t="s">
        <v>287</v>
      </c>
      <c r="BX5" s="14" t="s">
        <v>288</v>
      </c>
      <c r="BY5" s="14">
        <f>+'RFQ Data'!C30</f>
        <v>2024</v>
      </c>
      <c r="BZ5" s="14">
        <f>+'RFQ Data'!D30</f>
        <v>2025</v>
      </c>
      <c r="CA5" s="14">
        <f>+'RFQ Data'!E30</f>
        <v>2026</v>
      </c>
      <c r="CB5" s="14">
        <f>+'RFQ Data'!F30</f>
        <v>2027</v>
      </c>
      <c r="CC5" s="14">
        <f>+'RFQ Data'!G30</f>
        <v>2028</v>
      </c>
      <c r="CD5" s="14">
        <f>+'RFQ Data'!H30</f>
        <v>2029</v>
      </c>
      <c r="CF5" s="14">
        <f>+BY5</f>
        <v>2024</v>
      </c>
      <c r="CG5" s="14">
        <f t="shared" ref="CG5:CK5" si="0">+BZ5</f>
        <v>2025</v>
      </c>
      <c r="CH5" s="14">
        <f t="shared" si="0"/>
        <v>2026</v>
      </c>
      <c r="CI5" s="14">
        <f t="shared" si="0"/>
        <v>2027</v>
      </c>
      <c r="CJ5" s="14">
        <f t="shared" si="0"/>
        <v>2028</v>
      </c>
      <c r="CK5" s="14">
        <f t="shared" si="0"/>
        <v>2029</v>
      </c>
      <c r="CM5" s="14">
        <f>+CF5</f>
        <v>2024</v>
      </c>
      <c r="CN5" s="14">
        <f t="shared" ref="CN5:CR5" si="1">+CG5</f>
        <v>2025</v>
      </c>
      <c r="CO5" s="14">
        <f t="shared" si="1"/>
        <v>2026</v>
      </c>
      <c r="CP5" s="14">
        <f t="shared" si="1"/>
        <v>2027</v>
      </c>
      <c r="CQ5" s="14">
        <f t="shared" si="1"/>
        <v>2028</v>
      </c>
      <c r="CR5" s="14">
        <f t="shared" si="1"/>
        <v>2029</v>
      </c>
      <c r="CT5" s="14">
        <f>+CM5</f>
        <v>2024</v>
      </c>
      <c r="CU5" s="14">
        <f t="shared" ref="CU5:CY5" si="2">+CN5</f>
        <v>2025</v>
      </c>
      <c r="CV5" s="14">
        <f t="shared" si="2"/>
        <v>2026</v>
      </c>
      <c r="CW5" s="14">
        <f t="shared" si="2"/>
        <v>2027</v>
      </c>
      <c r="CX5" s="14">
        <f t="shared" si="2"/>
        <v>2028</v>
      </c>
      <c r="CY5" s="14">
        <f t="shared" si="2"/>
        <v>2029</v>
      </c>
      <c r="DA5" s="160">
        <f>+CT5</f>
        <v>2024</v>
      </c>
      <c r="DB5" s="48">
        <f t="shared" ref="DB5:DF5" si="3">+CU5</f>
        <v>2025</v>
      </c>
      <c r="DC5" s="48">
        <f t="shared" si="3"/>
        <v>2026</v>
      </c>
      <c r="DD5" s="48">
        <f t="shared" si="3"/>
        <v>2027</v>
      </c>
      <c r="DE5" s="48">
        <f t="shared" si="3"/>
        <v>2028</v>
      </c>
      <c r="DF5" s="49">
        <f t="shared" si="3"/>
        <v>2029</v>
      </c>
      <c r="DH5" s="160">
        <f>+DA5</f>
        <v>2024</v>
      </c>
      <c r="DI5" s="48">
        <f t="shared" ref="DI5:DM5" si="4">+DB5</f>
        <v>2025</v>
      </c>
      <c r="DJ5" s="48">
        <f t="shared" si="4"/>
        <v>2026</v>
      </c>
      <c r="DK5" s="48">
        <f t="shared" si="4"/>
        <v>2027</v>
      </c>
      <c r="DL5" s="48">
        <f t="shared" si="4"/>
        <v>2028</v>
      </c>
      <c r="DM5" s="49">
        <f t="shared" si="4"/>
        <v>2029</v>
      </c>
      <c r="DO5" s="14" t="s">
        <v>289</v>
      </c>
      <c r="DR5" s="14" t="str">
        <f>+C4</f>
        <v>Designation</v>
      </c>
      <c r="DS5" s="14" t="s">
        <v>290</v>
      </c>
      <c r="DT5" s="14" t="s">
        <v>291</v>
      </c>
      <c r="DV5" s="14" t="s">
        <v>175</v>
      </c>
      <c r="DW5" s="14" t="s">
        <v>292</v>
      </c>
      <c r="DX5" s="14" t="s">
        <v>281</v>
      </c>
      <c r="EA5" s="14" t="s">
        <v>293</v>
      </c>
      <c r="EB5" s="14" t="s">
        <v>294</v>
      </c>
      <c r="EC5" s="14" t="s">
        <v>295</v>
      </c>
      <c r="ED5" s="14" t="s">
        <v>296</v>
      </c>
      <c r="EF5" s="160" t="s">
        <v>297</v>
      </c>
      <c r="EG5" s="49" t="s">
        <v>298</v>
      </c>
      <c r="EH5" s="14">
        <f t="shared" ref="EH5:EM5" si="5">+DH5</f>
        <v>2024</v>
      </c>
      <c r="EI5" s="14">
        <f t="shared" si="5"/>
        <v>2025</v>
      </c>
      <c r="EJ5" s="14">
        <f t="shared" si="5"/>
        <v>2026</v>
      </c>
      <c r="EK5" s="14">
        <f t="shared" si="5"/>
        <v>2027</v>
      </c>
      <c r="EL5" s="14">
        <f t="shared" si="5"/>
        <v>2028</v>
      </c>
      <c r="EM5" s="14">
        <f t="shared" si="5"/>
        <v>2029</v>
      </c>
    </row>
    <row r="6" spans="1:143" ht="15" thickBot="1">
      <c r="A6" s="170">
        <v>1</v>
      </c>
      <c r="B6" s="168">
        <f t="shared" ref="B6:B34" si="6">+DT6</f>
        <v>0.31330884688065119</v>
      </c>
      <c r="C6" s="1893" t="str">
        <f>IF(Purchasing!A3="","",Purchasing!A3)</f>
        <v>Copper Wire φ1.25 Turns 14</v>
      </c>
      <c r="D6" s="1894" t="str">
        <f>IF(Purchasing!B3="","",Purchasing!B3)</f>
        <v>NA</v>
      </c>
      <c r="E6" s="1894">
        <f>IF(Purchasing!P3="","",Purchasing!P3)</f>
        <v>3.9300000000000003E-3</v>
      </c>
      <c r="F6" s="1895">
        <f>IF(Purchasing!K3&lt;&gt;"",IF(Purchasing!K3="","",Purchasing!K3),0)</f>
        <v>3.9300000000000003E-3</v>
      </c>
      <c r="G6" s="1895" t="str">
        <f>IF(Purchasing!L3="","",Purchasing!L3)</f>
        <v/>
      </c>
      <c r="H6" s="1895" t="str">
        <f>IF(Purchasing!M3="","",Purchasing!M3)</f>
        <v/>
      </c>
      <c r="I6" s="1895" t="str">
        <f>IF(Purchasing!N3="","",Purchasing!N3)</f>
        <v>Kg</v>
      </c>
      <c r="J6" s="1896" t="str">
        <f>IF(Purchasing!J3&lt;&gt;"",Purchasing!J3,"")</f>
        <v>Other</v>
      </c>
      <c r="K6" s="1896" t="str">
        <f>IF(Purchasing!BP3="-","",Purchasing!BP3)</f>
        <v>DATONG</v>
      </c>
      <c r="L6" s="1906" t="str">
        <f>Purchasing!I3</f>
        <v>Ext.</v>
      </c>
      <c r="M6" s="241" t="str">
        <f>Purchasing!H3</f>
        <v>Std supply</v>
      </c>
      <c r="N6" s="241"/>
      <c r="O6" s="1897" t="str">
        <f>IF(Q6&lt;&gt;0,IF(Q6=Purchasing!W3,"Estimated", "Offer"),"")</f>
        <v>Offer</v>
      </c>
      <c r="P6" s="1903" t="str">
        <f>IF(Purchasing!G3&lt;&gt;0,Purchasing!G3,"")</f>
        <v>OK</v>
      </c>
      <c r="Q6" s="1904">
        <f>IF(Purchasing!BP3=Purchasing!Z3,Purchasing!AB3,IF(Purchasing!BP3=Purchasing!AN3,Purchasing!AP3,IF(Purchasing!BP3=Purchasing!BB3,Purchasing!BD3,Purchasing!W3)))</f>
        <v>79.010000000000005</v>
      </c>
      <c r="R6" s="241" t="str">
        <f>IF(Purchasing!BP3=Purchasing!Z3,Purchasing!AC3,IF(Purchasing!BP3=Purchasing!AN3,Purchasing!AR3,IF(Purchasing!BP3=Purchasing!BB3,Purchasing!BF3,Purchasing!X3)))</f>
        <v>RMB</v>
      </c>
      <c r="S6" s="282" t="str">
        <f>+QuotingCUR</f>
        <v>RMB</v>
      </c>
      <c r="T6" s="283" t="str">
        <f>+R6&amp;S6</f>
        <v>RMBRMB</v>
      </c>
      <c r="U6" s="1068">
        <f>+SUMIF('Financials Parameters'!$D$29:$D$53,'Material Cost '!T6,'Financials Parameters'!$E$29:$E$53)</f>
        <v>0.99999999999999989</v>
      </c>
      <c r="V6" s="242">
        <v>4.0000000000000001E-3</v>
      </c>
      <c r="W6" s="242">
        <v>4.0000000000000001E-3</v>
      </c>
      <c r="X6" s="242">
        <v>4.0000000000000001E-3</v>
      </c>
      <c r="Y6" s="1810">
        <f t="shared" ref="Y6:Y33" si="7">+Q6*U6</f>
        <v>79.009999999999991</v>
      </c>
      <c r="Z6" s="1908"/>
      <c r="AA6" s="319" t="s">
        <v>25</v>
      </c>
      <c r="AB6" s="1916" t="str">
        <f t="shared" ref="AB6:AB33" si="8">AA6&amp;$J$1</f>
        <v>China + South pacificChina + South pacific</v>
      </c>
      <c r="AC6" s="276" t="s">
        <v>299</v>
      </c>
      <c r="AD6" s="1143">
        <f>IF(AA6&lt;&gt;"",IF(AND($J$1=AA6,$O$1&gt;VLOOKUP($J$1,'Financials Parameters'!$N$30:$P$35,3,FALSE)),'Financials Parameters'!$O$28,'Financials Parameters'!$Q$28),0)</f>
        <v>1</v>
      </c>
      <c r="AE6" s="1144">
        <f>IF(AA6&lt;&gt;"",VLOOKUP(AB6,'Financials Parameters'!$R$38:$S$73,2,FALSE),0)</f>
        <v>1</v>
      </c>
      <c r="AF6" s="2220">
        <v>30</v>
      </c>
      <c r="AG6" s="1814"/>
      <c r="AH6" s="1815"/>
      <c r="AI6" s="2058" t="str">
        <f t="shared" ref="AI6:AI7" si="9">AH6&amp;$K$1</f>
        <v>RMB</v>
      </c>
      <c r="AJ6" s="2058">
        <f>IF(AG6&lt;&gt;0,VLOOKUP(AI6,'Financials Parameters'!$D$29:$E$53,2,FALSE),0)</f>
        <v>0</v>
      </c>
      <c r="AK6" s="2058">
        <f>AG6*AJ6</f>
        <v>0</v>
      </c>
      <c r="AL6" s="1816" t="s">
        <v>300</v>
      </c>
      <c r="AM6" s="1817"/>
      <c r="AN6" s="1100">
        <f t="shared" ref="AN6:AN33" si="10">+IF(AL6="NO",1000000000000,IF(F6&lt;&gt;0,AM6/F6,0))</f>
        <v>1000000000000</v>
      </c>
      <c r="AO6" s="1817"/>
      <c r="AP6" s="1827" t="s">
        <v>149</v>
      </c>
      <c r="AQ6" s="277" t="s">
        <v>301</v>
      </c>
      <c r="AR6" s="1656">
        <f>F6</f>
        <v>3.9300000000000003E-3</v>
      </c>
      <c r="AS6" s="1021">
        <f t="shared" ref="AS6:AS32" si="11">IF(I6&lt;&gt;"U",AR6,AR6*F6)</f>
        <v>3.9300000000000003E-3</v>
      </c>
      <c r="AT6" s="278">
        <v>71</v>
      </c>
      <c r="AU6" s="278" t="s">
        <v>185</v>
      </c>
      <c r="AV6" s="1030" t="str">
        <f>'Material Cost '!$AU6&amp;$K$1</f>
        <v>RMBRMB</v>
      </c>
      <c r="AW6" s="1024">
        <f>+SUMIF('Financials Parameters'!$D$29:$D$53,'Material Cost '!AV6,'Financials Parameters'!$E$29:$E$53)</f>
        <v>0.99999999999999989</v>
      </c>
      <c r="AX6" s="279">
        <f>+AT6*AW6</f>
        <v>70.999999999999986</v>
      </c>
      <c r="AY6" s="1098">
        <f>+AS6/(1-$F$34)*AX6</f>
        <v>0.28241902834008092</v>
      </c>
      <c r="AZ6" s="1086"/>
      <c r="BA6" s="1087"/>
      <c r="BB6" s="1097">
        <f t="shared" ref="BB6:BB33" si="12">IF(I6&lt;&gt;"U",BA6,BA6*F6)</f>
        <v>0</v>
      </c>
      <c r="BC6" s="1088"/>
      <c r="BD6" s="1088"/>
      <c r="BE6" s="1089" t="str">
        <f>'Material Cost '!$BD6&amp;$K$1</f>
        <v>RMB</v>
      </c>
      <c r="BF6" s="1090">
        <f>+SUMIF('Financials Parameters'!$D$29:$D$53,'Material Cost '!BE6,'Financials Parameters'!$E$29:$E$53)</f>
        <v>0</v>
      </c>
      <c r="BG6" s="1095">
        <f>+BC6*BF6</f>
        <v>0</v>
      </c>
      <c r="BH6" s="1101">
        <f t="shared" ref="BH6:BH33" si="13">+BB6/(1-$F$34)*BG6</f>
        <v>0</v>
      </c>
      <c r="BI6" s="147">
        <f>+AF6/365*F6*Y6</f>
        <v>2.5521312328767122E-2</v>
      </c>
      <c r="BJ6" s="61">
        <f t="shared" ref="BJ6:BJ33" si="14">+AE6/52*Y6*F6</f>
        <v>5.9713326923076923E-3</v>
      </c>
      <c r="BK6" s="61">
        <f t="shared" ref="BK6:BK33" si="15">+AD6*2*Y6*F6/52</f>
        <v>1.1942665384615385E-2</v>
      </c>
      <c r="BL6" s="61">
        <f>+BJ6+BK6</f>
        <v>1.7913998076923076E-2</v>
      </c>
      <c r="BM6" s="211">
        <f t="shared" ref="BM6:BM33" si="16">+IF(AC6="DDP",1.5%,IF(AA6&lt;&gt;$J$1,15%,7%))</f>
        <v>1.4999999999999999E-2</v>
      </c>
      <c r="BN6" s="1105">
        <f t="shared" ref="BN6:BN34" si="17">+BM6*Y6*F6</f>
        <v>4.6576395000000005E-3</v>
      </c>
      <c r="BO6" s="61">
        <f t="shared" ref="BO6:BO34" si="18">+Y6</f>
        <v>79.009999999999991</v>
      </c>
      <c r="BP6" s="61">
        <f t="shared" ref="BP6:BP34" si="19">+BO6*(1-V6)</f>
        <v>78.69395999999999</v>
      </c>
      <c r="BQ6" s="61">
        <f t="shared" ref="BQ6:BQ34" si="20">+BP6*(1-W6)</f>
        <v>78.379184159999994</v>
      </c>
      <c r="BR6" s="61">
        <f t="shared" ref="BR6:BR34" si="21">+BQ6*(1-X6)</f>
        <v>78.065667423359997</v>
      </c>
      <c r="BS6" s="61">
        <f t="shared" ref="BS6:BS33" si="22">+AVERAGE(BO6:BR6)*F6</f>
        <v>0.30865120738065122</v>
      </c>
      <c r="BT6" s="23" t="str">
        <f t="shared" ref="BT6:BT34" si="23">+AA6</f>
        <v>China + South pacific</v>
      </c>
      <c r="BU6" t="str">
        <f t="shared" ref="BU6:BU34" si="24">+R6</f>
        <v>RMB</v>
      </c>
      <c r="BV6" t="str">
        <f t="shared" ref="BV6:BV34" si="25">+S6</f>
        <v>RMB</v>
      </c>
      <c r="BW6" s="17">
        <f t="shared" ref="BW6:BW34" si="26">+IF(BV6=BU6,B6,0)</f>
        <v>0.31330884688065119</v>
      </c>
      <c r="BX6">
        <f t="shared" ref="BX6:BX34" si="27">+IF(BU6&lt;&gt;BV6,B6,0)</f>
        <v>0</v>
      </c>
      <c r="BY6" s="16">
        <f>+IF('RFQ Data'!D$50&lt;&gt;0,INT('RFQ Data'!D$50/$AN6)+1,0)</f>
        <v>0</v>
      </c>
      <c r="BZ6" s="16">
        <f>+IF($AN6&lt;&gt;0,IF('RFQ Data'!E$50&lt;&gt;0,INT('RFQ Data'!E$50/$AN6)+1,0),0)</f>
        <v>1</v>
      </c>
      <c r="CA6" s="16">
        <f>+IF($AN6&lt;&gt;0,IF('RFQ Data'!F$50&lt;&gt;0,INT('RFQ Data'!F$50/$AN6)+1,0),0)</f>
        <v>1</v>
      </c>
      <c r="CB6" s="16">
        <f>+IF($AN6&lt;&gt;0,IF('RFQ Data'!G$50&lt;&gt;0,INT('RFQ Data'!G$50/$AN6)+1,0),0)</f>
        <v>1</v>
      </c>
      <c r="CC6" s="16">
        <f>+IF($AN6&lt;&gt;0,IF('RFQ Data'!H$50&lt;&gt;0,INT('RFQ Data'!H$50/$AN6)+1,0),0)</f>
        <v>1</v>
      </c>
      <c r="CD6" s="16">
        <f>+IF($AN6&lt;&gt;0,IF('RFQ Data'!I$50&lt;&gt;0,INT('RFQ Data'!I$50/$AN6)+1,0),0)</f>
        <v>1</v>
      </c>
      <c r="CE6" s="16"/>
      <c r="CF6" s="16">
        <f>+IF(BZ6&lt;BY6,BY6,BZ6)</f>
        <v>1</v>
      </c>
      <c r="CG6" s="16">
        <f>+IF(CA6&lt;BZ6,CF6,CA6)</f>
        <v>1</v>
      </c>
      <c r="CH6" s="16">
        <f t="shared" ref="CH6:CI6" si="28">+IF(CB6&lt;CA6,CG6,CB6)</f>
        <v>1</v>
      </c>
      <c r="CI6" s="16">
        <f t="shared" si="28"/>
        <v>1</v>
      </c>
      <c r="CJ6" s="16">
        <f>+IF(CD6&lt;CC6,CI6,CD6)</f>
        <v>1</v>
      </c>
      <c r="CK6" s="16">
        <f>+IF(CE6&lt;CD6,CJ6,CE6)</f>
        <v>1</v>
      </c>
      <c r="CL6" s="16"/>
      <c r="CM6" s="16">
        <f>+CG6</f>
        <v>1</v>
      </c>
      <c r="CN6" s="16">
        <f>+CG6-SUM($CM6:CM6)</f>
        <v>0</v>
      </c>
      <c r="CO6" s="16">
        <f>+CH6-SUM($CM6:CN6)</f>
        <v>0</v>
      </c>
      <c r="CP6" s="16">
        <f>+CI6-SUM($CM6:CO6)</f>
        <v>0</v>
      </c>
      <c r="CQ6" s="16">
        <f>+CJ6-SUM($CM6:CP6)</f>
        <v>0</v>
      </c>
      <c r="CR6" s="16">
        <f>+CK6-SUM($CM6:CQ6)</f>
        <v>0</v>
      </c>
      <c r="CS6" s="2"/>
      <c r="CT6" s="55">
        <f t="shared" ref="CT6:CT34" si="29">+CM6*$AK6</f>
        <v>0</v>
      </c>
      <c r="CU6" s="55">
        <f t="shared" ref="CU6:CU34" si="30">+CN6*$AK6</f>
        <v>0</v>
      </c>
      <c r="CV6" s="55">
        <f t="shared" ref="CV6:CV34" si="31">+CO6*$AK6</f>
        <v>0</v>
      </c>
      <c r="CW6" s="55">
        <f t="shared" ref="CW6:CW34" si="32">+CP6*$AK6</f>
        <v>0</v>
      </c>
      <c r="CX6" s="55">
        <f t="shared" ref="CX6:CX34" si="33">+CQ6*$AK6</f>
        <v>0</v>
      </c>
      <c r="CY6" s="55">
        <f t="shared" ref="CY6:CY34" si="34">+CR6*$AK6</f>
        <v>0</v>
      </c>
      <c r="CZ6" s="16"/>
      <c r="DA6" s="1717">
        <f t="shared" ref="DA6:DA34" si="35">+IF($AP6="AVOCarbon",CT6,0)</f>
        <v>0</v>
      </c>
      <c r="DB6" s="1718">
        <f t="shared" ref="DB6:DB34" si="36">+IF($AP6="AVOCarbon",CU6,0)</f>
        <v>0</v>
      </c>
      <c r="DC6" s="1718">
        <f t="shared" ref="DC6:DC34" si="37">+IF($AP6="AVOCarbon",CV6,0)</f>
        <v>0</v>
      </c>
      <c r="DD6" s="1718">
        <f t="shared" ref="DD6:DD34" si="38">+IF($AP6="AVOCarbon",CW6,0)</f>
        <v>0</v>
      </c>
      <c r="DE6" s="1718">
        <f t="shared" ref="DE6:DE34" si="39">+IF($AP6="AVOCarbon",CX6,0)</f>
        <v>0</v>
      </c>
      <c r="DF6" s="1727">
        <f t="shared" ref="DF6:DF34" si="40">+IF($AP6="AVOCarbon",CY6,0)</f>
        <v>0</v>
      </c>
      <c r="DG6" s="316" t="str">
        <f t="shared" ref="DG6:DG34" si="41">+C6</f>
        <v>Copper Wire φ1.25 Turns 14</v>
      </c>
      <c r="DH6" s="1717">
        <f>+CT6-DA6</f>
        <v>0</v>
      </c>
      <c r="DI6" s="1718">
        <f t="shared" ref="DI6:DM6" si="42">+CU6-DB6</f>
        <v>0</v>
      </c>
      <c r="DJ6" s="1718">
        <f t="shared" si="42"/>
        <v>0</v>
      </c>
      <c r="DK6" s="1718">
        <f>+CW6-DD6</f>
        <v>0</v>
      </c>
      <c r="DL6" s="1718">
        <f t="shared" si="42"/>
        <v>0</v>
      </c>
      <c r="DM6" s="1727">
        <f t="shared" si="42"/>
        <v>0</v>
      </c>
      <c r="DO6" s="2">
        <f t="shared" ref="DO6:DO35" si="43">+Z6</f>
        <v>0</v>
      </c>
      <c r="DR6" s="2" t="str">
        <f t="shared" ref="DR6:DR34" si="44">+"Material - "&amp;C6</f>
        <v>Material - Copper Wire φ1.25 Turns 14</v>
      </c>
      <c r="DS6" s="2" t="str">
        <f t="shared" ref="DS6:DS34" si="45">+K6</f>
        <v>DATONG</v>
      </c>
      <c r="DT6" s="16">
        <f t="shared" ref="DT6:DT18" si="46">+DW6+DX6</f>
        <v>0.31330884688065119</v>
      </c>
      <c r="DU6" s="16"/>
      <c r="DV6" s="2" t="str">
        <f t="shared" ref="DV6:DV34" si="47">+J6</f>
        <v>Other</v>
      </c>
      <c r="DW6" s="16">
        <f t="shared" ref="DW6:DW34" si="48">+BS6</f>
        <v>0.30865120738065122</v>
      </c>
      <c r="DX6" s="16">
        <f t="shared" ref="DX6:DX34" si="49">+BN6</f>
        <v>4.6576395000000005E-3</v>
      </c>
      <c r="DZ6" s="16"/>
      <c r="EA6" s="16">
        <f t="shared" ref="EA6:EA18" si="50">+SUM(DA6:DM6)</f>
        <v>0</v>
      </c>
      <c r="EB6" s="16">
        <f>+IF(AO6&lt;&gt;0,(INT(SUM('RFQ Data'!$C$31:$H$31)*F6/AO6)+1)*AK6,0)</f>
        <v>0</v>
      </c>
      <c r="EC6" s="16">
        <f>+(EB6+EA6)/SUM('RFQ Data'!$C$31:$H$31)</f>
        <v>0</v>
      </c>
      <c r="ED6" s="16">
        <f>+DW6+DX6+EC6</f>
        <v>0.31330884688065119</v>
      </c>
      <c r="EF6" s="19">
        <f t="shared" ref="EF6:EF34" si="51">+IF($J$1=AA6,DT6,0)</f>
        <v>0.31330884688065119</v>
      </c>
      <c r="EG6" s="162">
        <f>+DT6-EF6</f>
        <v>0</v>
      </c>
      <c r="EH6">
        <f>+'RFQ Data'!C$31*'Material Cost '!$F6</f>
        <v>0</v>
      </c>
      <c r="EI6">
        <f>+'RFQ Data'!D$31*'Material Cost '!$F6</f>
        <v>2.3580000000000001</v>
      </c>
      <c r="EJ6">
        <f>+'RFQ Data'!E$31*'Material Cost '!$F6</f>
        <v>2.3580000000000001</v>
      </c>
      <c r="EK6">
        <f>+'RFQ Data'!F$31*'Material Cost '!$F6</f>
        <v>2.3580000000000001</v>
      </c>
      <c r="EL6">
        <f>+'RFQ Data'!G$31*'Material Cost '!$F6</f>
        <v>2.3580000000000001</v>
      </c>
      <c r="EM6">
        <f>+'RFQ Data'!H$31*'Material Cost '!$F6</f>
        <v>2.3580000000000001</v>
      </c>
    </row>
    <row r="7" spans="1:143" ht="15" thickBot="1">
      <c r="A7" s="171">
        <f>+A6+1</f>
        <v>2</v>
      </c>
      <c r="B7" s="161">
        <f t="shared" si="6"/>
        <v>0.12136165624999999</v>
      </c>
      <c r="C7" s="1911" t="str">
        <f>IF(Purchasing!A4="","",Purchasing!A4)</f>
        <v>Fuse Core φ5.2*20.5 B5</v>
      </c>
      <c r="D7" s="1894" t="str">
        <f>IF(Purchasing!B4="","",Purchasing!B4)</f>
        <v>NA</v>
      </c>
      <c r="E7" s="1894" t="str">
        <f>IF(Purchasing!P4="","",Purchasing!P4)</f>
        <v/>
      </c>
      <c r="F7" s="1895">
        <f>IF(Purchasing!K4&lt;&gt;"",IF(Purchasing!K4="","",Purchasing!K4),0)</f>
        <v>1</v>
      </c>
      <c r="G7" s="1895" t="str">
        <f>IF(Purchasing!L4="","",Purchasing!L4)</f>
        <v/>
      </c>
      <c r="H7" s="1895" t="str">
        <f>IF(Purchasing!M4="","",Purchasing!M4)</f>
        <v/>
      </c>
      <c r="I7" s="1895" t="str">
        <f>IF(Purchasing!N4="","",Purchasing!N4)</f>
        <v>U</v>
      </c>
      <c r="J7" s="1898" t="str">
        <f>IF(Purchasing!J4&lt;&gt;"",Purchasing!J4,"")</f>
        <v>Other</v>
      </c>
      <c r="K7" s="1896" t="str">
        <f>IF(Purchasing!BP4="-","",Purchasing!BP4)</f>
        <v>TLD</v>
      </c>
      <c r="L7" s="1906" t="str">
        <f>Purchasing!I4</f>
        <v>Ext.</v>
      </c>
      <c r="M7" s="241" t="str">
        <f>Purchasing!H4</f>
        <v>Std AVO Carbon</v>
      </c>
      <c r="N7" s="241"/>
      <c r="O7" s="1897" t="str">
        <f>IF(Q7&lt;&gt;0,IF(Q7=Purchasing!W4,"Estimated", "Offer"),"")</f>
        <v>Offer</v>
      </c>
      <c r="P7" s="1903" t="str">
        <f>IF(Purchasing!G4&lt;&gt;0,Purchasing!G4,"")</f>
        <v>OK</v>
      </c>
      <c r="Q7" s="1904">
        <f>IF(Purchasing!BP4=Purchasing!Z4,Purchasing!AB4,IF(Purchasing!BP4=Purchasing!AN4,Purchasing!AP4,IF(Purchasing!BP4=Purchasing!BB4,Purchasing!BD4,Purchasing!W4)))</f>
        <v>0.125</v>
      </c>
      <c r="R7" s="241" t="str">
        <f>IF(Purchasing!BP4=Purchasing!Z4,Purchasing!AC4,IF(Purchasing!BP4=Purchasing!AN4,Purchasing!AR4,IF(Purchasing!BP4=Purchasing!BB4,Purchasing!BF4,Purchasing!X4)))</f>
        <v>RMB</v>
      </c>
      <c r="S7" s="284" t="str">
        <f>+S6</f>
        <v>RMB</v>
      </c>
      <c r="T7" s="285" t="str">
        <f t="shared" ref="T7:T34" si="52">+R7&amp;S7</f>
        <v>RMBRMB</v>
      </c>
      <c r="U7" s="1069">
        <f>+SUMIF('Financials Parameters'!$D$29:$D$53,'Material Cost '!T7,'Financials Parameters'!$E$29:$E$53)</f>
        <v>0.99999999999999989</v>
      </c>
      <c r="V7" s="244">
        <v>0.03</v>
      </c>
      <c r="W7" s="245">
        <v>0.03</v>
      </c>
      <c r="X7" s="246">
        <v>0.03</v>
      </c>
      <c r="Y7" s="1810">
        <f t="shared" si="7"/>
        <v>0.12499999999999999</v>
      </c>
      <c r="Z7" s="1909"/>
      <c r="AA7" s="319" t="s">
        <v>25</v>
      </c>
      <c r="AB7" s="1917" t="str">
        <f t="shared" si="8"/>
        <v>China + South pacificChina + South pacific</v>
      </c>
      <c r="AC7" s="276" t="s">
        <v>299</v>
      </c>
      <c r="AD7" s="1145">
        <f>IF(AA7&lt;&gt;"",IF(AND($J$1=AA7,$O$1&gt;VLOOKUP($J$1,'Financials Parameters'!$N$30:$P$35,3,FALSE)),'Financials Parameters'!$O$28,'Financials Parameters'!$Q$28),0)</f>
        <v>1</v>
      </c>
      <c r="AE7" s="1146">
        <f>IF(AA7&lt;&gt;"",VLOOKUP(AB7,'Financials Parameters'!$R$38:$S$73,2,FALSE),0)</f>
        <v>1</v>
      </c>
      <c r="AF7" s="1147">
        <f>IF(AA7&lt;&gt;"",VLOOKUP(AA7,'Financials Parameters'!$N$30:$S$35,6,FALSE),0)</f>
        <v>60</v>
      </c>
      <c r="AG7" s="1818"/>
      <c r="AH7" s="1819"/>
      <c r="AI7" s="2059" t="str">
        <f t="shared" si="9"/>
        <v>RMB</v>
      </c>
      <c r="AJ7" s="2059">
        <f>IF(AG7&lt;&gt;0,VLOOKUP(AI7,'Financials Parameters'!$D$29:$E$53,2,FALSE),0)</f>
        <v>0</v>
      </c>
      <c r="AK7" s="2059">
        <f t="shared" ref="AK7:AK34" si="53">AG7*AJ7</f>
        <v>0</v>
      </c>
      <c r="AL7" s="1820" t="s">
        <v>300</v>
      </c>
      <c r="AM7" s="1821"/>
      <c r="AN7" s="1028">
        <f t="shared" si="10"/>
        <v>1000000000000</v>
      </c>
      <c r="AO7" s="1821"/>
      <c r="AP7" s="1828" t="s">
        <v>149</v>
      </c>
      <c r="AQ7" s="280"/>
      <c r="AR7" s="1020"/>
      <c r="AS7" s="1022">
        <f t="shared" si="11"/>
        <v>0</v>
      </c>
      <c r="AT7" s="315"/>
      <c r="AU7" s="315"/>
      <c r="AV7" s="1030" t="str">
        <f>'Material Cost '!$AU7&amp;$K$1</f>
        <v>RMB</v>
      </c>
      <c r="AW7" s="176">
        <f>+SUMIF('Financials Parameters'!$D$29:$D$53,'Material Cost '!AV7,'Financials Parameters'!$E$29:$E$53)</f>
        <v>0</v>
      </c>
      <c r="AX7" s="279">
        <f t="shared" ref="AX7:AX33" si="54">+AT7*AW7</f>
        <v>0</v>
      </c>
      <c r="AY7" s="1099">
        <f t="shared" ref="AY7:AY32" si="55">+AS7/(1-$F$34)*AX7</f>
        <v>0</v>
      </c>
      <c r="AZ7" s="1091"/>
      <c r="BA7" s="1092"/>
      <c r="BB7" s="656">
        <f t="shared" si="12"/>
        <v>0</v>
      </c>
      <c r="BC7" s="1092"/>
      <c r="BD7" s="1092"/>
      <c r="BE7" s="1093" t="str">
        <f>'Material Cost '!$BD7&amp;$K$1</f>
        <v>RMB</v>
      </c>
      <c r="BF7" s="1090">
        <f>+SUMIF('Financials Parameters'!$D$29:$D$53,'Material Cost '!BE7,'Financials Parameters'!$E$29:$E$53)</f>
        <v>0</v>
      </c>
      <c r="BG7" s="1096">
        <f>+BC7*BF7</f>
        <v>0</v>
      </c>
      <c r="BH7" s="1102">
        <f t="shared" si="13"/>
        <v>0</v>
      </c>
      <c r="BI7" s="114">
        <f>+AF7/365*F7*Y7</f>
        <v>2.0547945205479447E-2</v>
      </c>
      <c r="BJ7" s="33">
        <f t="shared" si="14"/>
        <v>2.4038461538461535E-3</v>
      </c>
      <c r="BK7" s="33">
        <f t="shared" si="15"/>
        <v>4.8076923076923071E-3</v>
      </c>
      <c r="BL7" s="33">
        <f>+BJ7+BK7</f>
        <v>7.2115384615384602E-3</v>
      </c>
      <c r="BM7" s="1103">
        <f t="shared" si="16"/>
        <v>1.4999999999999999E-2</v>
      </c>
      <c r="BN7" s="1106">
        <f t="shared" si="17"/>
        <v>1.8749999999999997E-3</v>
      </c>
      <c r="BO7" s="33">
        <f t="shared" si="18"/>
        <v>0.12499999999999999</v>
      </c>
      <c r="BP7" s="33">
        <f t="shared" si="19"/>
        <v>0.12124999999999998</v>
      </c>
      <c r="BQ7" s="33">
        <f t="shared" si="20"/>
        <v>0.11761249999999998</v>
      </c>
      <c r="BR7" s="33">
        <f t="shared" si="21"/>
        <v>0.11408412499999998</v>
      </c>
      <c r="BS7" s="33">
        <f t="shared" si="22"/>
        <v>0.11948665624999999</v>
      </c>
      <c r="BT7" s="28" t="str">
        <f t="shared" si="23"/>
        <v>China + South pacific</v>
      </c>
      <c r="BU7" t="str">
        <f t="shared" si="24"/>
        <v>RMB</v>
      </c>
      <c r="BV7" t="str">
        <f t="shared" si="25"/>
        <v>RMB</v>
      </c>
      <c r="BW7" s="17">
        <f t="shared" si="26"/>
        <v>0.12136165624999999</v>
      </c>
      <c r="BX7">
        <f t="shared" si="27"/>
        <v>0</v>
      </c>
      <c r="BY7" s="16">
        <f>+IF('RFQ Data'!D$50&lt;&gt;0,INT('RFQ Data'!D$50/$AN7)+1,0)</f>
        <v>0</v>
      </c>
      <c r="BZ7" s="16">
        <f>+IF($AN7&lt;&gt;0,IF('RFQ Data'!E$50&lt;&gt;0,INT('RFQ Data'!E$50/$AN7)+1,0),0)</f>
        <v>1</v>
      </c>
      <c r="CA7" s="16">
        <f>+IF($AN7&lt;&gt;0,IF('RFQ Data'!F$50&lt;&gt;0,INT('RFQ Data'!F$50/$AN7)+1,0),0)</f>
        <v>1</v>
      </c>
      <c r="CB7" s="16">
        <f>+IF($AN7&lt;&gt;0,IF('RFQ Data'!G$50&lt;&gt;0,INT('RFQ Data'!G$50/$AN7)+1,0),0)</f>
        <v>1</v>
      </c>
      <c r="CC7" s="16">
        <f>+IF($AN7&lt;&gt;0,IF('RFQ Data'!H$50&lt;&gt;0,INT('RFQ Data'!H$50/$AN7)+1,0),0)</f>
        <v>1</v>
      </c>
      <c r="CD7" s="16">
        <f>+IF($AN7&lt;&gt;0,IF('RFQ Data'!I$50&lt;&gt;0,INT('RFQ Data'!I$50/$AN7)+1,0),0)</f>
        <v>1</v>
      </c>
      <c r="CF7" s="16">
        <f t="shared" ref="CF7:CF13" si="56">+IF(BZ7&lt;BY7,BY7,BZ7)</f>
        <v>1</v>
      </c>
      <c r="CG7" s="16">
        <f t="shared" ref="CG7:CG13" si="57">+IF(CA7&lt;BZ7,CF7,CA7)</f>
        <v>1</v>
      </c>
      <c r="CH7" s="16">
        <f>+IF(CB7&lt;CA7,CG7,CB7)</f>
        <v>1</v>
      </c>
      <c r="CI7" s="16">
        <f t="shared" ref="CI7:CI13" si="58">+IF(CC7&lt;CB7,CH7,CC7)</f>
        <v>1</v>
      </c>
      <c r="CJ7" s="16">
        <f t="shared" ref="CJ7:CK13" si="59">+IF(CD7&lt;CC7,CI7,CD7)</f>
        <v>1</v>
      </c>
      <c r="CK7" s="16">
        <f t="shared" si="59"/>
        <v>1</v>
      </c>
      <c r="CM7" s="16">
        <f t="shared" ref="CM7:CM13" si="60">+CG7</f>
        <v>1</v>
      </c>
      <c r="CN7" s="16">
        <f>+CG7-SUM($CM7:CM7)</f>
        <v>0</v>
      </c>
      <c r="CO7" s="16">
        <f>+CH7-SUM($CM7:CN7)</f>
        <v>0</v>
      </c>
      <c r="CP7" s="16">
        <f>+CI7-SUM($CM7:CO7)</f>
        <v>0</v>
      </c>
      <c r="CQ7" s="16">
        <f>+CJ7-SUM($CM7:CP7)</f>
        <v>0</v>
      </c>
      <c r="CR7" s="16">
        <f>+CK7-SUM($CM7:CQ7)</f>
        <v>0</v>
      </c>
      <c r="CT7" s="55">
        <f t="shared" si="29"/>
        <v>0</v>
      </c>
      <c r="CU7" s="55">
        <f t="shared" si="30"/>
        <v>0</v>
      </c>
      <c r="CV7" s="55">
        <f t="shared" si="31"/>
        <v>0</v>
      </c>
      <c r="CW7" s="55">
        <f t="shared" si="32"/>
        <v>0</v>
      </c>
      <c r="CX7" s="55">
        <f t="shared" si="33"/>
        <v>0</v>
      </c>
      <c r="CY7" s="55">
        <f t="shared" si="34"/>
        <v>0</v>
      </c>
      <c r="CZ7" s="16"/>
      <c r="DA7" s="1720">
        <f t="shared" si="35"/>
        <v>0</v>
      </c>
      <c r="DB7" s="260">
        <f t="shared" si="36"/>
        <v>0</v>
      </c>
      <c r="DC7" s="260">
        <f t="shared" si="37"/>
        <v>0</v>
      </c>
      <c r="DD7" s="260">
        <f t="shared" si="38"/>
        <v>0</v>
      </c>
      <c r="DE7" s="260">
        <f t="shared" si="39"/>
        <v>0</v>
      </c>
      <c r="DF7" s="439">
        <f t="shared" si="40"/>
        <v>0</v>
      </c>
      <c r="DG7" s="316" t="str">
        <f t="shared" si="41"/>
        <v>Fuse Core φ5.2*20.5 B5</v>
      </c>
      <c r="DH7" s="1720">
        <f t="shared" ref="DH7:DH13" si="61">+CT7-DA7</f>
        <v>0</v>
      </c>
      <c r="DI7" s="260">
        <f t="shared" ref="DI7:DI13" si="62">+CU7-DB7</f>
        <v>0</v>
      </c>
      <c r="DJ7" s="260">
        <f t="shared" ref="DJ7:DJ13" si="63">+CV7-DC7</f>
        <v>0</v>
      </c>
      <c r="DK7" s="260">
        <f t="shared" ref="DK7:DK13" si="64">+CW7-DD7</f>
        <v>0</v>
      </c>
      <c r="DL7" s="260">
        <f t="shared" ref="DL7:DL13" si="65">+CX7-DE7</f>
        <v>0</v>
      </c>
      <c r="DM7" s="439">
        <f t="shared" ref="DM7:DM13" si="66">+CY7-DF7</f>
        <v>0</v>
      </c>
      <c r="DO7" s="2">
        <f t="shared" si="43"/>
        <v>0</v>
      </c>
      <c r="DR7" s="2" t="str">
        <f t="shared" si="44"/>
        <v>Material - Fuse Core φ5.2*20.5 B5</v>
      </c>
      <c r="DS7" s="2" t="str">
        <f t="shared" si="45"/>
        <v>TLD</v>
      </c>
      <c r="DT7" s="16">
        <f t="shared" si="46"/>
        <v>0.12136165624999999</v>
      </c>
      <c r="DU7" s="16"/>
      <c r="DV7" s="2" t="str">
        <f t="shared" si="47"/>
        <v>Other</v>
      </c>
      <c r="DW7" s="16">
        <f t="shared" si="48"/>
        <v>0.11948665624999999</v>
      </c>
      <c r="DX7" s="16">
        <f t="shared" si="49"/>
        <v>1.8749999999999997E-3</v>
      </c>
      <c r="DZ7" s="16"/>
      <c r="EA7" s="16">
        <f t="shared" si="50"/>
        <v>0</v>
      </c>
      <c r="EB7" s="16">
        <f>+IF(AO7&lt;&gt;0,(INT(SUM('RFQ Data'!$C$31:$H$31)*F7/AO7)+1)*AK7,0)</f>
        <v>0</v>
      </c>
      <c r="EC7" s="16">
        <f>+(EB7+EA7)/SUM('RFQ Data'!$C$31:$H$31)</f>
        <v>0</v>
      </c>
      <c r="ED7" s="16">
        <f t="shared" ref="ED7:ED18" si="67">+DW7+DX7+EC7</f>
        <v>0.12136165624999999</v>
      </c>
      <c r="EF7" s="25">
        <f t="shared" si="51"/>
        <v>0.12136165624999999</v>
      </c>
      <c r="EG7" s="163">
        <f t="shared" ref="EG7:EG18" si="68">+DT7-EF7</f>
        <v>0</v>
      </c>
      <c r="EH7">
        <f>+'RFQ Data'!C$31*'Material Cost '!$F7</f>
        <v>0</v>
      </c>
      <c r="EI7">
        <f>+'RFQ Data'!D$31*'Material Cost '!$F7</f>
        <v>600</v>
      </c>
      <c r="EJ7">
        <f>+'RFQ Data'!E$31*'Material Cost '!$F7</f>
        <v>600</v>
      </c>
      <c r="EK7">
        <f>+'RFQ Data'!F$31*'Material Cost '!$F7</f>
        <v>600</v>
      </c>
      <c r="EL7">
        <f>+'RFQ Data'!G$31*'Material Cost '!$F7</f>
        <v>600</v>
      </c>
      <c r="EM7">
        <f>+'RFQ Data'!H$31*'Material Cost '!$F7</f>
        <v>600</v>
      </c>
    </row>
    <row r="8" spans="1:143" ht="15" thickBot="1">
      <c r="A8" s="171">
        <f t="shared" ref="A8:A33" si="69">+A7+1</f>
        <v>3</v>
      </c>
      <c r="B8" s="161">
        <f t="shared" si="6"/>
        <v>2.1619499999999996E-2</v>
      </c>
      <c r="C8" s="1893" t="str">
        <f>IF(Purchasing!A5="","",Purchasing!A5)</f>
        <v>Solder paste SnAg3.5</v>
      </c>
      <c r="D8" s="1894" t="str">
        <f>IF(Purchasing!B5="","",Purchasing!B5)</f>
        <v>NA</v>
      </c>
      <c r="E8" s="1894" t="str">
        <f>IF(Purchasing!P5="","",Purchasing!P5)</f>
        <v/>
      </c>
      <c r="F8" s="1895">
        <f>IF(Purchasing!K5&lt;&gt;"",IF(Purchasing!K5="","",Purchasing!K5),0)</f>
        <v>2.0000000000000002E-5</v>
      </c>
      <c r="G8" s="1895" t="str">
        <f>IF(Purchasing!L5="","",Purchasing!L5)</f>
        <v/>
      </c>
      <c r="H8" s="1895" t="str">
        <f>IF(Purchasing!M5="","",Purchasing!M5)</f>
        <v/>
      </c>
      <c r="I8" s="1895" t="str">
        <f>IF(Purchasing!N5="","",Purchasing!N5)</f>
        <v>Kg</v>
      </c>
      <c r="J8" s="1898" t="str">
        <f>IF(Purchasing!J5&lt;&gt;"",Purchasing!J5,"")</f>
        <v>Other</v>
      </c>
      <c r="K8" s="1896" t="str">
        <f>IF(Purchasing!BP5="-","",Purchasing!BP5)</f>
        <v/>
      </c>
      <c r="L8" s="1906" t="str">
        <f>Purchasing!I5</f>
        <v>Ext.</v>
      </c>
      <c r="M8" s="241" t="str">
        <f>Purchasing!H5</f>
        <v>Std supply</v>
      </c>
      <c r="N8" s="241"/>
      <c r="O8" s="1897" t="str">
        <f>IF(Q8&lt;&gt;0,IF(Q8=Purchasing!W5,"Estimated", "Offer"),"")</f>
        <v>Estimated</v>
      </c>
      <c r="P8" s="1907" t="str">
        <f>IF(Purchasing!G5&lt;&gt;0,Purchasing!G5,"")</f>
        <v>OK</v>
      </c>
      <c r="Q8" s="1904">
        <f>IF(Purchasing!BP5=Purchasing!Z5,Purchasing!AB5,IF(Purchasing!BP5=Purchasing!AN5,Purchasing!AP5,IF(Purchasing!BP5=Purchasing!BB5,Purchasing!BD5,Purchasing!W5)))</f>
        <v>1065</v>
      </c>
      <c r="R8" s="241" t="str">
        <f>IF(Purchasing!BP5=Purchasing!Z5,Purchasing!AC5,IF(Purchasing!BP5=Purchasing!AN5,Purchasing!AR5,IF(Purchasing!BP5=Purchasing!BB5,Purchasing!BF5,Purchasing!X5)))</f>
        <v>RMB</v>
      </c>
      <c r="S8" s="284" t="str">
        <f t="shared" ref="S8:S33" si="70">+S7</f>
        <v>RMB</v>
      </c>
      <c r="T8" s="285" t="str">
        <f t="shared" si="52"/>
        <v>RMBRMB</v>
      </c>
      <c r="U8" s="1069">
        <f>+SUMIF('Financials Parameters'!$D$29:$D$53,'Material Cost '!T8,'Financials Parameters'!$E$29:$E$53)</f>
        <v>0.99999999999999989</v>
      </c>
      <c r="V8" s="244">
        <v>0</v>
      </c>
      <c r="W8" s="245">
        <v>0</v>
      </c>
      <c r="X8" s="246">
        <v>0</v>
      </c>
      <c r="Y8" s="1810">
        <f t="shared" si="7"/>
        <v>1064.9999999999998</v>
      </c>
      <c r="Z8" s="1909"/>
      <c r="AA8" s="319" t="s">
        <v>25</v>
      </c>
      <c r="AB8" s="1917" t="str">
        <f t="shared" si="8"/>
        <v>China + South pacificChina + South pacific</v>
      </c>
      <c r="AC8" s="276" t="s">
        <v>299</v>
      </c>
      <c r="AD8" s="1145">
        <f>IF(AA8&lt;&gt;"",IF(AND($J$1=AA8,$O$1&gt;VLOOKUP($J$1,'Financials Parameters'!$N$30:$P$35,3,FALSE)),'Financials Parameters'!$O$28,'Financials Parameters'!$Q$28),0)</f>
        <v>1</v>
      </c>
      <c r="AE8" s="1146">
        <f>IF(AA8&lt;&gt;"",VLOOKUP(AB8,'Financials Parameters'!$R$38:$S$73,2,FALSE),0)</f>
        <v>1</v>
      </c>
      <c r="AF8" s="1147">
        <f>IF(AA8&lt;&gt;"",VLOOKUP(AA8,'Financials Parameters'!$N$30:$S$35,6,FALSE),0)</f>
        <v>60</v>
      </c>
      <c r="AG8" s="1818"/>
      <c r="AH8" s="1819"/>
      <c r="AI8" s="2059" t="str">
        <f>AH8&amp;$K$1</f>
        <v>RMB</v>
      </c>
      <c r="AJ8" s="2059">
        <f>IF(AG8&lt;&gt;0,VLOOKUP(AI8,'Financials Parameters'!$D$29:$E$53,2,FALSE),0)</f>
        <v>0</v>
      </c>
      <c r="AK8" s="2059">
        <f t="shared" si="53"/>
        <v>0</v>
      </c>
      <c r="AL8" s="1820" t="s">
        <v>300</v>
      </c>
      <c r="AM8" s="1821"/>
      <c r="AN8" s="1028">
        <f t="shared" si="10"/>
        <v>1000000000000</v>
      </c>
      <c r="AO8" s="1821"/>
      <c r="AP8" s="1828" t="s">
        <v>149</v>
      </c>
      <c r="AQ8" s="280"/>
      <c r="AR8" s="1020"/>
      <c r="AS8" s="1022">
        <f t="shared" si="11"/>
        <v>0</v>
      </c>
      <c r="AT8" s="315"/>
      <c r="AU8" s="315"/>
      <c r="AV8" s="1030" t="str">
        <f>'Material Cost '!$AU8&amp;$K$1</f>
        <v>RMB</v>
      </c>
      <c r="AW8" s="176">
        <f>+SUMIF('Financials Parameters'!$D$29:$D$53,'Material Cost '!AV8,'Financials Parameters'!$E$29:$E$53)</f>
        <v>0</v>
      </c>
      <c r="AX8" s="279">
        <f t="shared" si="54"/>
        <v>0</v>
      </c>
      <c r="AY8" s="1099">
        <f t="shared" si="55"/>
        <v>0</v>
      </c>
      <c r="AZ8" s="1091"/>
      <c r="BA8" s="1092"/>
      <c r="BB8" s="656">
        <f t="shared" si="12"/>
        <v>0</v>
      </c>
      <c r="BC8" s="1092"/>
      <c r="BD8" s="1092"/>
      <c r="BE8" s="1093" t="str">
        <f>'Material Cost '!$BD8&amp;$K$1</f>
        <v>RMB</v>
      </c>
      <c r="BF8" s="1090">
        <f>+SUMIF('Financials Parameters'!$D$29:$D$53,'Material Cost '!BE8,'Financials Parameters'!$E$29:$E$53)</f>
        <v>0</v>
      </c>
      <c r="BG8" s="1096">
        <f t="shared" ref="BG8:BG33" si="71">+BC8*BF8</f>
        <v>0</v>
      </c>
      <c r="BH8" s="1102">
        <f t="shared" si="13"/>
        <v>0</v>
      </c>
      <c r="BI8" s="114">
        <f>+AF8/365*F8*Y8</f>
        <v>3.5013698630136977E-3</v>
      </c>
      <c r="BJ8" s="33">
        <f t="shared" si="14"/>
        <v>4.0961538461538457E-4</v>
      </c>
      <c r="BK8" s="33">
        <f t="shared" si="15"/>
        <v>8.1923076923076904E-4</v>
      </c>
      <c r="BL8" s="33">
        <f t="shared" ref="BL8:BL12" si="72">+BJ8+BK8</f>
        <v>1.2288461538461537E-3</v>
      </c>
      <c r="BM8" s="1103">
        <f t="shared" si="16"/>
        <v>1.4999999999999999E-2</v>
      </c>
      <c r="BN8" s="1106">
        <f t="shared" si="17"/>
        <v>3.1949999999999996E-4</v>
      </c>
      <c r="BO8" s="33">
        <f t="shared" si="18"/>
        <v>1064.9999999999998</v>
      </c>
      <c r="BP8" s="33">
        <f t="shared" si="19"/>
        <v>1064.9999999999998</v>
      </c>
      <c r="BQ8" s="33">
        <f t="shared" si="20"/>
        <v>1064.9999999999998</v>
      </c>
      <c r="BR8" s="33">
        <f t="shared" si="21"/>
        <v>1064.9999999999998</v>
      </c>
      <c r="BS8" s="33">
        <f t="shared" si="22"/>
        <v>2.1299999999999996E-2</v>
      </c>
      <c r="BT8" s="28" t="str">
        <f t="shared" si="23"/>
        <v>China + South pacific</v>
      </c>
      <c r="BU8" t="str">
        <f t="shared" si="24"/>
        <v>RMB</v>
      </c>
      <c r="BV8" t="str">
        <f t="shared" si="25"/>
        <v>RMB</v>
      </c>
      <c r="BW8" s="17">
        <f t="shared" si="26"/>
        <v>2.1619499999999996E-2</v>
      </c>
      <c r="BX8">
        <f t="shared" si="27"/>
        <v>0</v>
      </c>
      <c r="BY8" s="16">
        <f>+IF('RFQ Data'!D$50&lt;&gt;0,INT('RFQ Data'!D$50/$AN8)+1,0)</f>
        <v>0</v>
      </c>
      <c r="BZ8" s="16">
        <f>+IF($AN8&lt;&gt;0,IF('RFQ Data'!E$50&lt;&gt;0,INT('RFQ Data'!E$50/$AN8)+1,0),0)</f>
        <v>1</v>
      </c>
      <c r="CA8" s="16">
        <f>+IF($AN8&lt;&gt;0,IF('RFQ Data'!F$50&lt;&gt;0,INT('RFQ Data'!F$50/$AN8)+1,0),0)</f>
        <v>1</v>
      </c>
      <c r="CB8" s="16">
        <f>+IF($AN8&lt;&gt;0,IF('RFQ Data'!G$50&lt;&gt;0,INT('RFQ Data'!G$50/$AN8)+1,0),0)</f>
        <v>1</v>
      </c>
      <c r="CC8" s="16">
        <f>+IF($AN8&lt;&gt;0,IF('RFQ Data'!H$50&lt;&gt;0,INT('RFQ Data'!H$50/$AN8)+1,0),0)</f>
        <v>1</v>
      </c>
      <c r="CD8" s="16">
        <f>+IF($AN8&lt;&gt;0,IF('RFQ Data'!I$50&lt;&gt;0,INT('RFQ Data'!I$50/$AN8)+1,0),0)</f>
        <v>1</v>
      </c>
      <c r="CF8" s="16">
        <f t="shared" si="56"/>
        <v>1</v>
      </c>
      <c r="CG8" s="16">
        <f t="shared" si="57"/>
        <v>1</v>
      </c>
      <c r="CH8" s="16">
        <f t="shared" ref="CH8:CH13" si="73">+IF(CB8&lt;CA8,CG8,CB8)</f>
        <v>1</v>
      </c>
      <c r="CI8" s="16">
        <f t="shared" si="58"/>
        <v>1</v>
      </c>
      <c r="CJ8" s="16">
        <f t="shared" si="59"/>
        <v>1</v>
      </c>
      <c r="CK8" s="16">
        <f t="shared" ref="CK8:CK13" si="74">+IF(CE8&lt;CD8,CJ8,CE8)</f>
        <v>1</v>
      </c>
      <c r="CM8" s="16">
        <f t="shared" si="60"/>
        <v>1</v>
      </c>
      <c r="CN8" s="16">
        <f>+CG8-SUM($CM8:CM8)</f>
        <v>0</v>
      </c>
      <c r="CO8" s="16">
        <f>+CH8-SUM($CM8:CN8)</f>
        <v>0</v>
      </c>
      <c r="CP8" s="16">
        <f>+CI8-SUM($CM8:CO8)</f>
        <v>0</v>
      </c>
      <c r="CQ8" s="16">
        <f>+CJ8-SUM($CM8:CP8)</f>
        <v>0</v>
      </c>
      <c r="CR8" s="16">
        <f>+CK8-SUM($CM8:CQ8)</f>
        <v>0</v>
      </c>
      <c r="CT8" s="55">
        <f>+CM8*$AK8</f>
        <v>0</v>
      </c>
      <c r="CU8" s="55">
        <f t="shared" si="30"/>
        <v>0</v>
      </c>
      <c r="CV8" s="55">
        <f t="shared" si="31"/>
        <v>0</v>
      </c>
      <c r="CW8" s="55">
        <f t="shared" si="32"/>
        <v>0</v>
      </c>
      <c r="CX8" s="55">
        <f t="shared" si="33"/>
        <v>0</v>
      </c>
      <c r="CY8" s="55">
        <f t="shared" si="34"/>
        <v>0</v>
      </c>
      <c r="CZ8" s="16"/>
      <c r="DA8" s="1720">
        <f t="shared" si="35"/>
        <v>0</v>
      </c>
      <c r="DB8" s="260">
        <f t="shared" si="36"/>
        <v>0</v>
      </c>
      <c r="DC8" s="260">
        <f t="shared" si="37"/>
        <v>0</v>
      </c>
      <c r="DD8" s="260">
        <f t="shared" si="38"/>
        <v>0</v>
      </c>
      <c r="DE8" s="260">
        <f t="shared" si="39"/>
        <v>0</v>
      </c>
      <c r="DF8" s="439">
        <f t="shared" si="40"/>
        <v>0</v>
      </c>
      <c r="DG8" s="316" t="str">
        <f t="shared" si="41"/>
        <v>Solder paste SnAg3.5</v>
      </c>
      <c r="DH8" s="1720">
        <f>+CT8-DA8</f>
        <v>0</v>
      </c>
      <c r="DI8" s="260">
        <f t="shared" si="62"/>
        <v>0</v>
      </c>
      <c r="DJ8" s="260">
        <f t="shared" si="63"/>
        <v>0</v>
      </c>
      <c r="DK8" s="260">
        <f t="shared" si="64"/>
        <v>0</v>
      </c>
      <c r="DL8" s="260">
        <f t="shared" si="65"/>
        <v>0</v>
      </c>
      <c r="DM8" s="439">
        <f t="shared" si="66"/>
        <v>0</v>
      </c>
      <c r="DO8" s="2">
        <f t="shared" si="43"/>
        <v>0</v>
      </c>
      <c r="DR8" s="2" t="str">
        <f t="shared" si="44"/>
        <v>Material - Solder paste SnAg3.5</v>
      </c>
      <c r="DS8" s="2" t="str">
        <f t="shared" si="45"/>
        <v/>
      </c>
      <c r="DT8" s="16">
        <f t="shared" si="46"/>
        <v>2.1619499999999996E-2</v>
      </c>
      <c r="DU8" s="16"/>
      <c r="DV8" s="2" t="str">
        <f t="shared" si="47"/>
        <v>Other</v>
      </c>
      <c r="DW8" s="16">
        <f t="shared" si="48"/>
        <v>2.1299999999999996E-2</v>
      </c>
      <c r="DX8" s="16">
        <f t="shared" si="49"/>
        <v>3.1949999999999996E-4</v>
      </c>
      <c r="DZ8" s="16"/>
      <c r="EA8" s="16">
        <f t="shared" si="50"/>
        <v>0</v>
      </c>
      <c r="EB8" s="16">
        <f>+IF(AO8&lt;&gt;0,(INT(SUM('RFQ Data'!$C$31:$H$31)*F8/AO8)+1)*AK8,0)</f>
        <v>0</v>
      </c>
      <c r="EC8" s="16">
        <f>+(EB8+EA8)/SUM('RFQ Data'!$C$31:$H$31)</f>
        <v>0</v>
      </c>
      <c r="ED8" s="16">
        <f t="shared" si="67"/>
        <v>2.1619499999999996E-2</v>
      </c>
      <c r="EF8" s="25">
        <f t="shared" si="51"/>
        <v>2.1619499999999996E-2</v>
      </c>
      <c r="EG8" s="163">
        <f t="shared" si="68"/>
        <v>0</v>
      </c>
      <c r="EH8">
        <f>+'RFQ Data'!C$31*'Material Cost '!$F8</f>
        <v>0</v>
      </c>
      <c r="EI8">
        <f>+'RFQ Data'!D$31*'Material Cost '!$F8</f>
        <v>1.2E-2</v>
      </c>
      <c r="EJ8">
        <f>+'RFQ Data'!E$31*'Material Cost '!$F8</f>
        <v>1.2E-2</v>
      </c>
      <c r="EK8">
        <f>+'RFQ Data'!F$31*'Material Cost '!$F8</f>
        <v>1.2E-2</v>
      </c>
      <c r="EL8">
        <f>+'RFQ Data'!G$31*'Material Cost '!$F8</f>
        <v>1.2E-2</v>
      </c>
      <c r="EM8">
        <f>+'RFQ Data'!H$31*'Material Cost '!$F8</f>
        <v>1.2E-2</v>
      </c>
    </row>
    <row r="9" spans="1:143" ht="15" thickBot="1">
      <c r="A9" s="171">
        <f t="shared" si="69"/>
        <v>4</v>
      </c>
      <c r="B9" s="161">
        <f t="shared" si="6"/>
        <v>8.2214999999999996E-3</v>
      </c>
      <c r="C9" s="1893" t="str">
        <f>IF(Purchasing!A6="","",Purchasing!A6)</f>
        <v>Tin SnAg3.5</v>
      </c>
      <c r="D9" s="1894" t="str">
        <f>IF(Purchasing!B6="","",Purchasing!B6)</f>
        <v>NA</v>
      </c>
      <c r="E9" s="1894" t="str">
        <f>IF(Purchasing!P6="","",Purchasing!P6)</f>
        <v/>
      </c>
      <c r="F9" s="1895">
        <f>IF(Purchasing!K6&lt;&gt;"",IF(Purchasing!K6="","",Purchasing!K6),0)</f>
        <v>2.0000000000000002E-5</v>
      </c>
      <c r="G9" s="1895" t="str">
        <f>IF(Purchasing!L6="","",Purchasing!L6)</f>
        <v/>
      </c>
      <c r="H9" s="1895" t="str">
        <f>IF(Purchasing!M6="","",Purchasing!M6)</f>
        <v/>
      </c>
      <c r="I9" s="1895" t="str">
        <f>IF(Purchasing!N6="","",Purchasing!N6)</f>
        <v>Kg</v>
      </c>
      <c r="J9" s="1898" t="str">
        <f>IF(Purchasing!J6&lt;&gt;"",Purchasing!J6,"")</f>
        <v>Other</v>
      </c>
      <c r="K9" s="1896" t="str">
        <f>IF(Purchasing!BP6="-","",Purchasing!BP6)</f>
        <v/>
      </c>
      <c r="L9" s="1906" t="str">
        <f>Purchasing!I6</f>
        <v>Ext.</v>
      </c>
      <c r="M9" s="241" t="str">
        <f>Purchasing!H6</f>
        <v>Std supply</v>
      </c>
      <c r="N9" s="241"/>
      <c r="O9" s="1897" t="str">
        <f>IF(Q9&lt;&gt;0,IF(Q9=Purchasing!W6,"Estimated", "Offer"),"")</f>
        <v>Estimated</v>
      </c>
      <c r="P9" s="1903" t="str">
        <f>IF(Purchasing!G6&lt;&gt;0,Purchasing!G6,"")</f>
        <v>OK</v>
      </c>
      <c r="Q9" s="1904">
        <f>IF(Purchasing!BP6=Purchasing!Z6,Purchasing!AB6,IF(Purchasing!BP6=Purchasing!AN6,Purchasing!AP6,IF(Purchasing!BP6=Purchasing!BB6,Purchasing!BD6,Purchasing!W6)))</f>
        <v>405</v>
      </c>
      <c r="R9" s="241" t="str">
        <f>IF(Purchasing!BP6=Purchasing!Z6,Purchasing!AC6,IF(Purchasing!BP6=Purchasing!AN6,Purchasing!AR6,IF(Purchasing!BP6=Purchasing!BB6,Purchasing!BF6,Purchasing!X6)))</f>
        <v>RMB</v>
      </c>
      <c r="S9" s="284" t="str">
        <f t="shared" si="70"/>
        <v>RMB</v>
      </c>
      <c r="T9" s="285" t="str">
        <f t="shared" si="52"/>
        <v>RMBRMB</v>
      </c>
      <c r="U9" s="1069">
        <f>+SUMIF('Financials Parameters'!$D$29:$D$53,'Material Cost '!T9,'Financials Parameters'!$E$29:$E$53)</f>
        <v>0.99999999999999989</v>
      </c>
      <c r="V9" s="244">
        <v>0</v>
      </c>
      <c r="W9" s="245">
        <v>0</v>
      </c>
      <c r="X9" s="246">
        <v>0</v>
      </c>
      <c r="Y9" s="1810">
        <f t="shared" si="7"/>
        <v>404.99999999999994</v>
      </c>
      <c r="Z9" s="1909"/>
      <c r="AA9" s="319" t="s">
        <v>25</v>
      </c>
      <c r="AB9" s="1917" t="str">
        <f t="shared" si="8"/>
        <v>China + South pacificChina + South pacific</v>
      </c>
      <c r="AC9" s="276" t="s">
        <v>299</v>
      </c>
      <c r="AD9" s="1145">
        <f>IF(AA9&lt;&gt;"",IF(AND($J$1=AA9,$O$1&gt;VLOOKUP($J$1,'Financials Parameters'!$N$30:$P$35,3,FALSE)),'Financials Parameters'!$O$28,'Financials Parameters'!$Q$28),0)</f>
        <v>1</v>
      </c>
      <c r="AE9" s="1146">
        <f>IF(AA9&lt;&gt;"",VLOOKUP(AB9,'Financials Parameters'!$R$38:$S$73,2,FALSE),0)</f>
        <v>1</v>
      </c>
      <c r="AF9" s="1147">
        <f>IF(AA9&lt;&gt;"",VLOOKUP(AA9,'Financials Parameters'!$N$30:$S$35,6,FALSE),0)</f>
        <v>60</v>
      </c>
      <c r="AG9" s="1818"/>
      <c r="AH9" s="1819"/>
      <c r="AI9" s="2059" t="str">
        <f t="shared" ref="AI9:AI34" si="75">AH9&amp;$K$1</f>
        <v>RMB</v>
      </c>
      <c r="AJ9" s="2059">
        <f>IF(AG9&lt;&gt;0,VLOOKUP(AI9,'Financials Parameters'!$D$29:$E$53,2,FALSE),0)</f>
        <v>0</v>
      </c>
      <c r="AK9" s="2059">
        <f t="shared" si="53"/>
        <v>0</v>
      </c>
      <c r="AL9" s="1820" t="s">
        <v>300</v>
      </c>
      <c r="AM9" s="1821"/>
      <c r="AN9" s="1028">
        <f t="shared" si="10"/>
        <v>1000000000000</v>
      </c>
      <c r="AO9" s="1821"/>
      <c r="AP9" s="1828" t="s">
        <v>149</v>
      </c>
      <c r="AQ9" s="280"/>
      <c r="AR9" s="280"/>
      <c r="AS9" s="1022">
        <f t="shared" si="11"/>
        <v>0</v>
      </c>
      <c r="AT9" s="315"/>
      <c r="AU9" s="315"/>
      <c r="AV9" s="1030" t="str">
        <f>'Material Cost '!$AU9&amp;$K$1</f>
        <v>RMB</v>
      </c>
      <c r="AW9" s="176">
        <f>+SUMIF('Financials Parameters'!$D$29:$D$53,'Material Cost '!AV9,'Financials Parameters'!$E$29:$E$53)</f>
        <v>0</v>
      </c>
      <c r="AX9" s="279">
        <f t="shared" si="54"/>
        <v>0</v>
      </c>
      <c r="AY9" s="1099">
        <f t="shared" si="55"/>
        <v>0</v>
      </c>
      <c r="AZ9" s="1091"/>
      <c r="BA9" s="1092"/>
      <c r="BB9" s="656">
        <f t="shared" si="12"/>
        <v>0</v>
      </c>
      <c r="BC9" s="1092"/>
      <c r="BD9" s="1092"/>
      <c r="BE9" s="1093" t="str">
        <f>'Material Cost '!$BD9&amp;$K$1</f>
        <v>RMB</v>
      </c>
      <c r="BF9" s="1090">
        <f>+SUMIF('Financials Parameters'!$D$29:$D$53,'Material Cost '!BE9,'Financials Parameters'!$E$29:$E$53)</f>
        <v>0</v>
      </c>
      <c r="BG9" s="1096">
        <f t="shared" si="71"/>
        <v>0</v>
      </c>
      <c r="BH9" s="1102">
        <f t="shared" si="13"/>
        <v>0</v>
      </c>
      <c r="BI9" s="114">
        <f>+AF9/365*F9*Y9</f>
        <v>1.3315068493150682E-3</v>
      </c>
      <c r="BJ9" s="33">
        <f t="shared" si="14"/>
        <v>1.5576923076923076E-4</v>
      </c>
      <c r="BK9" s="33">
        <f t="shared" si="15"/>
        <v>3.1153846153846151E-4</v>
      </c>
      <c r="BL9" s="33">
        <f t="shared" si="72"/>
        <v>4.6730769230769227E-4</v>
      </c>
      <c r="BM9" s="1103">
        <f t="shared" si="16"/>
        <v>1.4999999999999999E-2</v>
      </c>
      <c r="BN9" s="1106">
        <f t="shared" si="17"/>
        <v>1.215E-4</v>
      </c>
      <c r="BO9" s="33">
        <f t="shared" si="18"/>
        <v>404.99999999999994</v>
      </c>
      <c r="BP9" s="33">
        <f t="shared" si="19"/>
        <v>404.99999999999994</v>
      </c>
      <c r="BQ9" s="33">
        <f t="shared" si="20"/>
        <v>404.99999999999994</v>
      </c>
      <c r="BR9" s="33">
        <f t="shared" si="21"/>
        <v>404.99999999999994</v>
      </c>
      <c r="BS9" s="33">
        <f t="shared" si="22"/>
        <v>8.0999999999999996E-3</v>
      </c>
      <c r="BT9" s="28" t="str">
        <f t="shared" si="23"/>
        <v>China + South pacific</v>
      </c>
      <c r="BU9" t="str">
        <f t="shared" si="24"/>
        <v>RMB</v>
      </c>
      <c r="BV9" t="str">
        <f t="shared" si="25"/>
        <v>RMB</v>
      </c>
      <c r="BW9" s="17">
        <f t="shared" si="26"/>
        <v>8.2214999999999996E-3</v>
      </c>
      <c r="BX9">
        <f t="shared" si="27"/>
        <v>0</v>
      </c>
      <c r="BY9" s="16">
        <f>+IF('RFQ Data'!D$50&lt;&gt;0,INT('RFQ Data'!D$50/$AN9)+1,0)</f>
        <v>0</v>
      </c>
      <c r="BZ9" s="16">
        <f>+IF($AN9&lt;&gt;0,IF('RFQ Data'!E$50&lt;&gt;0,INT('RFQ Data'!E$50/$AN9)+1,0),0)</f>
        <v>1</v>
      </c>
      <c r="CA9" s="16">
        <f>+IF($AN9&lt;&gt;0,IF('RFQ Data'!F$50&lt;&gt;0,INT('RFQ Data'!F$50/$AN9)+1,0),0)</f>
        <v>1</v>
      </c>
      <c r="CB9" s="16">
        <f>+IF($AN9&lt;&gt;0,IF('RFQ Data'!G$50&lt;&gt;0,INT('RFQ Data'!G$50/$AN9)+1,0),0)</f>
        <v>1</v>
      </c>
      <c r="CC9" s="16">
        <f>+IF($AN9&lt;&gt;0,IF('RFQ Data'!H$50&lt;&gt;0,INT('RFQ Data'!H$50/$AN9)+1,0),0)</f>
        <v>1</v>
      </c>
      <c r="CD9" s="16">
        <f>+IF($AN9&lt;&gt;0,IF('RFQ Data'!I$50&lt;&gt;0,INT('RFQ Data'!I$50/$AN9)+1,0),0)</f>
        <v>1</v>
      </c>
      <c r="CF9" s="16">
        <f t="shared" si="56"/>
        <v>1</v>
      </c>
      <c r="CG9" s="16">
        <f t="shared" si="57"/>
        <v>1</v>
      </c>
      <c r="CH9" s="16">
        <f t="shared" si="73"/>
        <v>1</v>
      </c>
      <c r="CI9" s="16">
        <f t="shared" si="58"/>
        <v>1</v>
      </c>
      <c r="CJ9" s="16">
        <f t="shared" si="59"/>
        <v>1</v>
      </c>
      <c r="CK9" s="16">
        <f t="shared" si="74"/>
        <v>1</v>
      </c>
      <c r="CM9" s="16">
        <f t="shared" si="60"/>
        <v>1</v>
      </c>
      <c r="CN9" s="16">
        <f>+CG9-SUM($CM9:CM9)</f>
        <v>0</v>
      </c>
      <c r="CO9" s="16">
        <f>+CH9-SUM($CM9:CN9)</f>
        <v>0</v>
      </c>
      <c r="CP9" s="16">
        <f>+CI9-SUM($CM9:CO9)</f>
        <v>0</v>
      </c>
      <c r="CQ9" s="16">
        <f>+CJ9-SUM($CM9:CP9)</f>
        <v>0</v>
      </c>
      <c r="CR9" s="16">
        <f>+CK9-SUM($CM9:CQ9)</f>
        <v>0</v>
      </c>
      <c r="CT9" s="55">
        <f t="shared" si="29"/>
        <v>0</v>
      </c>
      <c r="CU9" s="55">
        <f t="shared" si="30"/>
        <v>0</v>
      </c>
      <c r="CV9" s="55">
        <f t="shared" si="31"/>
        <v>0</v>
      </c>
      <c r="CW9" s="55">
        <f t="shared" si="32"/>
        <v>0</v>
      </c>
      <c r="CX9" s="55">
        <f t="shared" si="33"/>
        <v>0</v>
      </c>
      <c r="CY9" s="55">
        <f t="shared" si="34"/>
        <v>0</v>
      </c>
      <c r="CZ9" s="16"/>
      <c r="DA9" s="1720">
        <f t="shared" si="35"/>
        <v>0</v>
      </c>
      <c r="DB9" s="260">
        <f t="shared" si="36"/>
        <v>0</v>
      </c>
      <c r="DC9" s="260">
        <f t="shared" si="37"/>
        <v>0</v>
      </c>
      <c r="DD9" s="260">
        <f t="shared" si="38"/>
        <v>0</v>
      </c>
      <c r="DE9" s="260">
        <f t="shared" si="39"/>
        <v>0</v>
      </c>
      <c r="DF9" s="439">
        <f t="shared" si="40"/>
        <v>0</v>
      </c>
      <c r="DG9" s="316" t="str">
        <f t="shared" si="41"/>
        <v>Tin SnAg3.5</v>
      </c>
      <c r="DH9" s="1720">
        <f t="shared" si="61"/>
        <v>0</v>
      </c>
      <c r="DI9" s="260">
        <f t="shared" si="62"/>
        <v>0</v>
      </c>
      <c r="DJ9" s="260">
        <f t="shared" si="63"/>
        <v>0</v>
      </c>
      <c r="DK9" s="260">
        <f t="shared" si="64"/>
        <v>0</v>
      </c>
      <c r="DL9" s="260">
        <f t="shared" si="65"/>
        <v>0</v>
      </c>
      <c r="DM9" s="439">
        <f t="shared" si="66"/>
        <v>0</v>
      </c>
      <c r="DO9" s="2">
        <f t="shared" si="43"/>
        <v>0</v>
      </c>
      <c r="DR9" s="2" t="str">
        <f t="shared" si="44"/>
        <v>Material - Tin SnAg3.5</v>
      </c>
      <c r="DS9" s="2" t="str">
        <f t="shared" si="45"/>
        <v/>
      </c>
      <c r="DT9" s="16">
        <f t="shared" si="46"/>
        <v>8.2214999999999996E-3</v>
      </c>
      <c r="DU9" s="16"/>
      <c r="DV9" s="2" t="str">
        <f t="shared" si="47"/>
        <v>Other</v>
      </c>
      <c r="DW9" s="16">
        <f t="shared" si="48"/>
        <v>8.0999999999999996E-3</v>
      </c>
      <c r="DX9" s="16">
        <f t="shared" si="49"/>
        <v>1.215E-4</v>
      </c>
      <c r="DZ9" s="16"/>
      <c r="EA9" s="16">
        <f t="shared" si="50"/>
        <v>0</v>
      </c>
      <c r="EB9" s="16">
        <f>+IF(AO9&lt;&gt;0,(INT(SUM('RFQ Data'!$C$31:$H$31)*F9/AO9)+1)*AK9,0)</f>
        <v>0</v>
      </c>
      <c r="EC9" s="16">
        <f>+(EB9+EA9)/SUM('RFQ Data'!$C$31:$H$31)</f>
        <v>0</v>
      </c>
      <c r="ED9" s="16">
        <f t="shared" si="67"/>
        <v>8.2214999999999996E-3</v>
      </c>
      <c r="EF9" s="25">
        <f t="shared" si="51"/>
        <v>8.2214999999999996E-3</v>
      </c>
      <c r="EG9" s="163">
        <f t="shared" si="68"/>
        <v>0</v>
      </c>
      <c r="EH9">
        <f>+'RFQ Data'!C$31*'Material Cost '!$F9</f>
        <v>0</v>
      </c>
      <c r="EI9">
        <f>+'RFQ Data'!D$31*'Material Cost '!$F9</f>
        <v>1.2E-2</v>
      </c>
      <c r="EJ9">
        <f>+'RFQ Data'!E$31*'Material Cost '!$F9</f>
        <v>1.2E-2</v>
      </c>
      <c r="EK9">
        <f>+'RFQ Data'!F$31*'Material Cost '!$F9</f>
        <v>1.2E-2</v>
      </c>
      <c r="EL9">
        <f>+'RFQ Data'!G$31*'Material Cost '!$F9</f>
        <v>1.2E-2</v>
      </c>
      <c r="EM9">
        <f>+'RFQ Data'!H$31*'Material Cost '!$F9</f>
        <v>1.2E-2</v>
      </c>
    </row>
    <row r="10" spans="1:143" ht="15" thickBot="1">
      <c r="A10" s="171">
        <f t="shared" si="69"/>
        <v>5</v>
      </c>
      <c r="B10" s="161">
        <f t="shared" si="6"/>
        <v>0</v>
      </c>
      <c r="C10" s="1893" t="str">
        <f>IF(Purchasing!A7="","",Purchasing!A7)</f>
        <v/>
      </c>
      <c r="D10" s="1894" t="str">
        <f>IF(Purchasing!B7="","",Purchasing!B7)</f>
        <v/>
      </c>
      <c r="E10" s="1894" t="str">
        <f>IF(Purchasing!P7="","",Purchasing!P7)</f>
        <v/>
      </c>
      <c r="F10" s="1895">
        <f>IF(Purchasing!K7&lt;&gt;"",IF(Purchasing!K7="","",Purchasing!K7),0)</f>
        <v>0</v>
      </c>
      <c r="G10" s="1895" t="str">
        <f>IF(Purchasing!L7="","",Purchasing!L7)</f>
        <v/>
      </c>
      <c r="H10" s="1895" t="str">
        <f>IF(Purchasing!M7="","",Purchasing!M7)</f>
        <v/>
      </c>
      <c r="I10" s="1895" t="str">
        <f>IF(Purchasing!N7="","",Purchasing!N7)</f>
        <v/>
      </c>
      <c r="J10" s="1898" t="str">
        <f>IF(Purchasing!J7&lt;&gt;"",Purchasing!J7,"")</f>
        <v/>
      </c>
      <c r="K10" s="1896" t="str">
        <f>IF(Purchasing!BP7="-","",Purchasing!BP7)</f>
        <v/>
      </c>
      <c r="L10" s="1906">
        <f>Purchasing!I7</f>
        <v>0</v>
      </c>
      <c r="M10" s="241">
        <f>Purchasing!H7</f>
        <v>0</v>
      </c>
      <c r="N10" s="241"/>
      <c r="O10" s="1897" t="str">
        <f>IF(Q10&lt;&gt;0,IF(Q10=Purchasing!W7,"Estimated", "Offer"),"")</f>
        <v/>
      </c>
      <c r="P10" s="1903" t="str">
        <f>IF(Purchasing!G7&lt;&gt;0,Purchasing!G7,"")</f>
        <v/>
      </c>
      <c r="Q10" s="1904">
        <f>IF(Purchasing!BP7=Purchasing!Z7,Purchasing!AB7,IF(Purchasing!BP7=Purchasing!AN7,Purchasing!AP7,IF(Purchasing!BP7=Purchasing!BB7,Purchasing!BD7,Purchasing!W7)))</f>
        <v>0</v>
      </c>
      <c r="R10" s="241">
        <f>IF(Purchasing!BP7=Purchasing!Z7,Purchasing!AC7,IF(Purchasing!BP7=Purchasing!AN7,Purchasing!AR7,IF(Purchasing!BP7=Purchasing!BB7,Purchasing!BF7,Purchasing!X7)))</f>
        <v>0</v>
      </c>
      <c r="S10" s="284" t="str">
        <f t="shared" si="70"/>
        <v>RMB</v>
      </c>
      <c r="T10" s="285" t="str">
        <f t="shared" si="52"/>
        <v>0RMB</v>
      </c>
      <c r="U10" s="1069">
        <f>+SUMIF('Financials Parameters'!$D$29:$D$53,'Material Cost '!T10,'Financials Parameters'!$E$29:$E$53)</f>
        <v>0</v>
      </c>
      <c r="V10" s="244">
        <v>0</v>
      </c>
      <c r="W10" s="245">
        <v>0</v>
      </c>
      <c r="X10" s="246">
        <v>0</v>
      </c>
      <c r="Y10" s="1810">
        <f t="shared" si="7"/>
        <v>0</v>
      </c>
      <c r="Z10" s="1909"/>
      <c r="AA10" s="319"/>
      <c r="AB10" s="1917"/>
      <c r="AC10" s="276"/>
      <c r="AD10" s="1145">
        <f>IF(AA10&lt;&gt;"",IF(AND($J$1=AA10,$O$1&gt;VLOOKUP($J$1,'Financials Parameters'!$N$30:$P$35,3,FALSE)),'Financials Parameters'!$O$28,'Financials Parameters'!$Q$28),0)</f>
        <v>0</v>
      </c>
      <c r="AE10" s="1146">
        <f>IF(AA10&lt;&gt;"",VLOOKUP(AB10,'Financials Parameters'!$R$38:$S$73,2,FALSE),0)</f>
        <v>0</v>
      </c>
      <c r="AF10" s="1147">
        <f>IF(AA10&lt;&gt;"",VLOOKUP(AA10,'Financials Parameters'!$N$30:$S$35,6,FALSE),0)</f>
        <v>0</v>
      </c>
      <c r="AG10" s="1818"/>
      <c r="AH10" s="1819"/>
      <c r="AI10" s="2059" t="str">
        <f t="shared" si="75"/>
        <v>RMB</v>
      </c>
      <c r="AJ10" s="2059">
        <f>IF(AG10&lt;&gt;0,VLOOKUP(AI10,'Financials Parameters'!$D$29:$E$53,2,FALSE),0)</f>
        <v>0</v>
      </c>
      <c r="AK10" s="2059">
        <f t="shared" si="53"/>
        <v>0</v>
      </c>
      <c r="AL10" s="1820" t="s">
        <v>300</v>
      </c>
      <c r="AM10" s="1822"/>
      <c r="AN10" s="1028">
        <f t="shared" si="10"/>
        <v>1000000000000</v>
      </c>
      <c r="AO10" s="1821"/>
      <c r="AP10" s="1828" t="s">
        <v>149</v>
      </c>
      <c r="AQ10" s="280"/>
      <c r="AR10" s="1059"/>
      <c r="AS10" s="1022">
        <f t="shared" si="11"/>
        <v>0</v>
      </c>
      <c r="AT10" s="315"/>
      <c r="AU10" s="315"/>
      <c r="AV10" s="1030" t="str">
        <f>'Material Cost '!$AU10&amp;$K$1</f>
        <v>RMB</v>
      </c>
      <c r="AW10" s="176">
        <f>+SUMIF('Financials Parameters'!$D$29:$D$53,'Material Cost '!AV10,'Financials Parameters'!$E$29:$E$53)</f>
        <v>0</v>
      </c>
      <c r="AX10" s="279">
        <f t="shared" si="54"/>
        <v>0</v>
      </c>
      <c r="AY10" s="1099">
        <f t="shared" si="55"/>
        <v>0</v>
      </c>
      <c r="AZ10" s="1091"/>
      <c r="BA10" s="1092"/>
      <c r="BB10" s="656">
        <f t="shared" si="12"/>
        <v>0</v>
      </c>
      <c r="BC10" s="1094"/>
      <c r="BD10" s="1092"/>
      <c r="BE10" s="1093" t="str">
        <f>'Material Cost '!$BD10&amp;$K$1</f>
        <v>RMB</v>
      </c>
      <c r="BF10" s="1090">
        <f>+SUMIF('Financials Parameters'!$D$29:$D$53,'Material Cost '!BE10,'Financials Parameters'!$E$29:$E$53)</f>
        <v>0</v>
      </c>
      <c r="BG10" s="1096">
        <f t="shared" si="71"/>
        <v>0</v>
      </c>
      <c r="BH10" s="1102">
        <f t="shared" si="13"/>
        <v>0</v>
      </c>
      <c r="BI10" s="114">
        <f>IF(F10&lt;&gt;"",+AF10/365*F10*Y10,0)</f>
        <v>0</v>
      </c>
      <c r="BJ10" s="33">
        <f t="shared" si="14"/>
        <v>0</v>
      </c>
      <c r="BK10" s="33">
        <f t="shared" si="15"/>
        <v>0</v>
      </c>
      <c r="BL10" s="33">
        <f t="shared" si="72"/>
        <v>0</v>
      </c>
      <c r="BM10" s="1103">
        <f t="shared" si="16"/>
        <v>0.15</v>
      </c>
      <c r="BN10" s="1106">
        <f t="shared" si="17"/>
        <v>0</v>
      </c>
      <c r="BO10" s="33">
        <f t="shared" si="18"/>
        <v>0</v>
      </c>
      <c r="BP10" s="33">
        <f t="shared" si="19"/>
        <v>0</v>
      </c>
      <c r="BQ10" s="33">
        <f t="shared" si="20"/>
        <v>0</v>
      </c>
      <c r="BR10" s="33">
        <f t="shared" si="21"/>
        <v>0</v>
      </c>
      <c r="BS10" s="33">
        <f t="shared" si="22"/>
        <v>0</v>
      </c>
      <c r="BT10" s="28">
        <f t="shared" si="23"/>
        <v>0</v>
      </c>
      <c r="BU10">
        <f t="shared" si="24"/>
        <v>0</v>
      </c>
      <c r="BV10" t="str">
        <f t="shared" si="25"/>
        <v>RMB</v>
      </c>
      <c r="BW10" s="17">
        <f t="shared" si="26"/>
        <v>0</v>
      </c>
      <c r="BX10">
        <f t="shared" si="27"/>
        <v>0</v>
      </c>
      <c r="BY10" s="16">
        <f>+IF('RFQ Data'!D$50&lt;&gt;0,INT('RFQ Data'!D$50/$AN10)+1,0)</f>
        <v>0</v>
      </c>
      <c r="BZ10" s="16">
        <f>+IF($AN10&lt;&gt;0,IF('RFQ Data'!E$50&lt;&gt;0,INT('RFQ Data'!E$50/$AN10)+1,0),0)</f>
        <v>1</v>
      </c>
      <c r="CA10" s="16">
        <f>+IF($AN10&lt;&gt;0,IF('RFQ Data'!F$50&lt;&gt;0,INT('RFQ Data'!F$50/$AN10)+1,0),0)</f>
        <v>1</v>
      </c>
      <c r="CB10" s="16">
        <f>+IF($AN10&lt;&gt;0,IF('RFQ Data'!G$50&lt;&gt;0,INT('RFQ Data'!G$50/$AN10)+1,0),0)</f>
        <v>1</v>
      </c>
      <c r="CC10" s="16">
        <f>+IF($AN10&lt;&gt;0,IF('RFQ Data'!H$50&lt;&gt;0,INT('RFQ Data'!H$50/$AN10)+1,0),0)</f>
        <v>1</v>
      </c>
      <c r="CD10" s="16">
        <f>+IF($AN10&lt;&gt;0,IF('RFQ Data'!I$50&lt;&gt;0,INT('RFQ Data'!I$50/$AN10)+1,0),0)</f>
        <v>1</v>
      </c>
      <c r="CF10" s="16">
        <f t="shared" si="56"/>
        <v>1</v>
      </c>
      <c r="CG10" s="16">
        <f t="shared" si="57"/>
        <v>1</v>
      </c>
      <c r="CH10" s="16">
        <f t="shared" si="73"/>
        <v>1</v>
      </c>
      <c r="CI10" s="16">
        <f t="shared" si="58"/>
        <v>1</v>
      </c>
      <c r="CJ10" s="16">
        <f t="shared" si="59"/>
        <v>1</v>
      </c>
      <c r="CK10" s="16">
        <f t="shared" si="74"/>
        <v>1</v>
      </c>
      <c r="CM10" s="16">
        <f t="shared" si="60"/>
        <v>1</v>
      </c>
      <c r="CN10" s="16">
        <f>+CG10-SUM($CM10:CM10)</f>
        <v>0</v>
      </c>
      <c r="CO10" s="16">
        <f>+CH10-SUM($CM10:CN10)</f>
        <v>0</v>
      </c>
      <c r="CP10" s="16">
        <f>+CI10-SUM($CM10:CO10)</f>
        <v>0</v>
      </c>
      <c r="CQ10" s="16">
        <f>+CJ10-SUM($CM10:CP10)</f>
        <v>0</v>
      </c>
      <c r="CR10" s="16">
        <f>+CK10-SUM($CM10:CQ10)</f>
        <v>0</v>
      </c>
      <c r="CT10" s="55">
        <f>+CM10*$AK10</f>
        <v>0</v>
      </c>
      <c r="CU10" s="55">
        <f t="shared" si="30"/>
        <v>0</v>
      </c>
      <c r="CV10" s="55">
        <f t="shared" si="31"/>
        <v>0</v>
      </c>
      <c r="CW10" s="55">
        <f t="shared" si="32"/>
        <v>0</v>
      </c>
      <c r="CX10" s="55">
        <f t="shared" si="33"/>
        <v>0</v>
      </c>
      <c r="CY10" s="55">
        <f t="shared" si="34"/>
        <v>0</v>
      </c>
      <c r="CZ10" s="16"/>
      <c r="DA10" s="1720">
        <f t="shared" si="35"/>
        <v>0</v>
      </c>
      <c r="DB10" s="260">
        <f t="shared" si="36"/>
        <v>0</v>
      </c>
      <c r="DC10" s="260">
        <f t="shared" si="37"/>
        <v>0</v>
      </c>
      <c r="DD10" s="260">
        <f t="shared" si="38"/>
        <v>0</v>
      </c>
      <c r="DE10" s="260">
        <f t="shared" si="39"/>
        <v>0</v>
      </c>
      <c r="DF10" s="439">
        <f t="shared" si="40"/>
        <v>0</v>
      </c>
      <c r="DG10" s="316" t="str">
        <f t="shared" si="41"/>
        <v/>
      </c>
      <c r="DH10" s="1720">
        <f t="shared" si="61"/>
        <v>0</v>
      </c>
      <c r="DI10" s="260">
        <f t="shared" si="62"/>
        <v>0</v>
      </c>
      <c r="DJ10" s="260">
        <f t="shared" si="63"/>
        <v>0</v>
      </c>
      <c r="DK10" s="260">
        <f t="shared" si="64"/>
        <v>0</v>
      </c>
      <c r="DL10" s="260">
        <f t="shared" si="65"/>
        <v>0</v>
      </c>
      <c r="DM10" s="439">
        <f t="shared" si="66"/>
        <v>0</v>
      </c>
      <c r="DO10" s="2">
        <f t="shared" si="43"/>
        <v>0</v>
      </c>
      <c r="DR10" s="2" t="str">
        <f t="shared" si="44"/>
        <v xml:space="preserve">Material - </v>
      </c>
      <c r="DS10" s="2" t="str">
        <f t="shared" si="45"/>
        <v/>
      </c>
      <c r="DT10" s="16">
        <f>+DW10+DX10</f>
        <v>0</v>
      </c>
      <c r="DU10" s="16"/>
      <c r="DV10" s="2" t="str">
        <f t="shared" si="47"/>
        <v/>
      </c>
      <c r="DW10" s="16">
        <f t="shared" si="48"/>
        <v>0</v>
      </c>
      <c r="DX10" s="16">
        <f t="shared" si="49"/>
        <v>0</v>
      </c>
      <c r="DZ10" s="16"/>
      <c r="EA10" s="16">
        <f t="shared" si="50"/>
        <v>0</v>
      </c>
      <c r="EB10" s="16">
        <f>+IF(AO10&lt;&gt;0,(INT(SUM('RFQ Data'!$C$31:$H$31)*F10/AO10)+1)*AK10,0)</f>
        <v>0</v>
      </c>
      <c r="EC10" s="16">
        <f>+(EB10+EA10)/SUM('RFQ Data'!$C$31:$H$31)</f>
        <v>0</v>
      </c>
      <c r="ED10" s="16">
        <f t="shared" si="67"/>
        <v>0</v>
      </c>
      <c r="EF10" s="25">
        <f t="shared" si="51"/>
        <v>0</v>
      </c>
      <c r="EG10" s="163">
        <f t="shared" si="68"/>
        <v>0</v>
      </c>
      <c r="EH10">
        <f>+'RFQ Data'!C$31*'Material Cost '!$F10</f>
        <v>0</v>
      </c>
      <c r="EI10">
        <f>+'RFQ Data'!D$31*'Material Cost '!$F10</f>
        <v>0</v>
      </c>
      <c r="EJ10">
        <f>+'RFQ Data'!E$31*'Material Cost '!$F10</f>
        <v>0</v>
      </c>
      <c r="EK10">
        <f>+'RFQ Data'!F$31*'Material Cost '!$F10</f>
        <v>0</v>
      </c>
      <c r="EL10">
        <f>+'RFQ Data'!G$31*'Material Cost '!$F10</f>
        <v>0</v>
      </c>
      <c r="EM10">
        <f>+'RFQ Data'!H$31*'Material Cost '!$F10</f>
        <v>0</v>
      </c>
    </row>
    <row r="11" spans="1:143" ht="15" thickBot="1">
      <c r="A11" s="171">
        <f t="shared" si="69"/>
        <v>6</v>
      </c>
      <c r="B11" s="161">
        <f t="shared" si="6"/>
        <v>0</v>
      </c>
      <c r="C11" s="1893" t="str">
        <f>IF(Purchasing!A8="","",Purchasing!A8)</f>
        <v/>
      </c>
      <c r="D11" s="1894" t="str">
        <f>IF(Purchasing!B8="","",Purchasing!B8)</f>
        <v/>
      </c>
      <c r="E11" s="1894" t="str">
        <f>IF(Purchasing!P8="","",Purchasing!P8)</f>
        <v/>
      </c>
      <c r="F11" s="1895">
        <f>IF(Purchasing!K8&lt;&gt;"",IF(Purchasing!K8="","",Purchasing!K8),0)</f>
        <v>0</v>
      </c>
      <c r="G11" s="1895" t="str">
        <f>IF(Purchasing!L8="","",Purchasing!L8)</f>
        <v/>
      </c>
      <c r="H11" s="1895" t="str">
        <f>IF(Purchasing!M8="","",Purchasing!M8)</f>
        <v/>
      </c>
      <c r="I11" s="1895" t="str">
        <f>IF(Purchasing!N8="","",Purchasing!N8)</f>
        <v/>
      </c>
      <c r="J11" s="1898" t="str">
        <f>IF(Purchasing!J8&lt;&gt;"",Purchasing!J8,"")</f>
        <v/>
      </c>
      <c r="K11" s="1896" t="str">
        <f>IF(Purchasing!BP8="-","",Purchasing!BP8)</f>
        <v/>
      </c>
      <c r="L11" s="1906">
        <f>Purchasing!I8</f>
        <v>0</v>
      </c>
      <c r="M11" s="241">
        <f>Purchasing!H8</f>
        <v>0</v>
      </c>
      <c r="N11" s="241"/>
      <c r="O11" s="1897" t="str">
        <f>IF(Q11&lt;&gt;0,IF(Q11=Purchasing!W8,"Estimated", "Offer"),"")</f>
        <v/>
      </c>
      <c r="P11" s="1903" t="str">
        <f>IF(Purchasing!G8&lt;&gt;0,Purchasing!G8,"")</f>
        <v/>
      </c>
      <c r="Q11" s="1904">
        <f>IF(Purchasing!BP8=Purchasing!Z8,Purchasing!AB8,IF(Purchasing!BP8=Purchasing!AN8,Purchasing!AP8,IF(Purchasing!BP8=Purchasing!BB8,Purchasing!BD8,Purchasing!W8)))</f>
        <v>0</v>
      </c>
      <c r="R11" s="241">
        <f>IF(Purchasing!BP8=Purchasing!Z8,Purchasing!AC8,IF(Purchasing!BP8=Purchasing!AN8,Purchasing!AR8,IF(Purchasing!BP8=Purchasing!BB8,Purchasing!BF8,Purchasing!X8)))</f>
        <v>0</v>
      </c>
      <c r="S11" s="284" t="str">
        <f t="shared" si="70"/>
        <v>RMB</v>
      </c>
      <c r="T11" s="285" t="str">
        <f t="shared" si="52"/>
        <v>0RMB</v>
      </c>
      <c r="U11" s="1069">
        <f>+SUMIF('Financials Parameters'!$D$29:$D$53,'Material Cost '!T11,'Financials Parameters'!$E$29:$E$53)</f>
        <v>0</v>
      </c>
      <c r="V11" s="244">
        <v>0</v>
      </c>
      <c r="W11" s="245">
        <v>0</v>
      </c>
      <c r="X11" s="246">
        <v>0</v>
      </c>
      <c r="Y11" s="1810">
        <f t="shared" si="7"/>
        <v>0</v>
      </c>
      <c r="Z11" s="1909"/>
      <c r="AA11" s="319"/>
      <c r="AB11" s="1917"/>
      <c r="AC11" s="276"/>
      <c r="AD11" s="1145">
        <f>IF(AA11&lt;&gt;"",IF(AND($J$1=AA11,$O$1&gt;VLOOKUP($J$1,'Financials Parameters'!$N$30:$P$35,3,FALSE)),'Financials Parameters'!$O$28,'Financials Parameters'!$Q$28),0)</f>
        <v>0</v>
      </c>
      <c r="AE11" s="1146">
        <f>IF(AA11&lt;&gt;"",VLOOKUP(AB11,'Financials Parameters'!$R$38:$S$73,2,FALSE),0)</f>
        <v>0</v>
      </c>
      <c r="AF11" s="1147">
        <f>IF(AA11&lt;&gt;"",VLOOKUP(AA11,'Financials Parameters'!$N$30:$S$35,6,FALSE),0)</f>
        <v>0</v>
      </c>
      <c r="AG11" s="1818"/>
      <c r="AH11" s="1819"/>
      <c r="AI11" s="2059" t="str">
        <f t="shared" si="75"/>
        <v>RMB</v>
      </c>
      <c r="AJ11" s="2059">
        <f>IF(AG11&lt;&gt;0,VLOOKUP(AI11,'Financials Parameters'!$D$29:$E$53,2,FALSE),0)</f>
        <v>0</v>
      </c>
      <c r="AK11" s="2059">
        <f t="shared" si="53"/>
        <v>0</v>
      </c>
      <c r="AL11" s="1820" t="s">
        <v>300</v>
      </c>
      <c r="AM11" s="1821"/>
      <c r="AN11" s="1028">
        <f t="shared" si="10"/>
        <v>1000000000000</v>
      </c>
      <c r="AO11" s="1821"/>
      <c r="AP11" s="1828" t="s">
        <v>149</v>
      </c>
      <c r="AQ11" s="280"/>
      <c r="AR11" s="280"/>
      <c r="AS11" s="1022">
        <f t="shared" si="11"/>
        <v>0</v>
      </c>
      <c r="AT11" s="315"/>
      <c r="AU11" s="315"/>
      <c r="AV11" s="1030" t="str">
        <f>'Material Cost '!$AU11&amp;$K$1</f>
        <v>RMB</v>
      </c>
      <c r="AW11" s="176">
        <f>+SUMIF('Financials Parameters'!$D$29:$D$53,'Material Cost '!AV11,'Financials Parameters'!$E$29:$E$53)</f>
        <v>0</v>
      </c>
      <c r="AX11" s="279">
        <f t="shared" si="54"/>
        <v>0</v>
      </c>
      <c r="AY11" s="1099">
        <f t="shared" si="55"/>
        <v>0</v>
      </c>
      <c r="AZ11" s="1091"/>
      <c r="BA11" s="1092"/>
      <c r="BB11" s="656">
        <f t="shared" si="12"/>
        <v>0</v>
      </c>
      <c r="BC11" s="1092"/>
      <c r="BD11" s="1092"/>
      <c r="BE11" s="1093" t="str">
        <f>'Material Cost '!$BD11&amp;$K$1</f>
        <v>RMB</v>
      </c>
      <c r="BF11" s="1090">
        <f>+SUMIF('Financials Parameters'!$D$29:$D$53,'Material Cost '!BE11,'Financials Parameters'!$E$29:$E$53)</f>
        <v>0</v>
      </c>
      <c r="BG11" s="1096">
        <f t="shared" si="71"/>
        <v>0</v>
      </c>
      <c r="BH11" s="1102">
        <f t="shared" si="13"/>
        <v>0</v>
      </c>
      <c r="BI11" s="114">
        <f t="shared" ref="BI11:BI33" si="76">+AF11/365*F11*Y11</f>
        <v>0</v>
      </c>
      <c r="BJ11" s="33">
        <f t="shared" si="14"/>
        <v>0</v>
      </c>
      <c r="BK11" s="33">
        <f t="shared" si="15"/>
        <v>0</v>
      </c>
      <c r="BL11" s="33">
        <f t="shared" si="72"/>
        <v>0</v>
      </c>
      <c r="BM11" s="1103">
        <f t="shared" si="16"/>
        <v>0.15</v>
      </c>
      <c r="BN11" s="1106">
        <f t="shared" si="17"/>
        <v>0</v>
      </c>
      <c r="BO11" s="33">
        <f t="shared" si="18"/>
        <v>0</v>
      </c>
      <c r="BP11" s="33">
        <f t="shared" si="19"/>
        <v>0</v>
      </c>
      <c r="BQ11" s="33">
        <f t="shared" si="20"/>
        <v>0</v>
      </c>
      <c r="BR11" s="33">
        <f t="shared" si="21"/>
        <v>0</v>
      </c>
      <c r="BS11" s="33">
        <f t="shared" si="22"/>
        <v>0</v>
      </c>
      <c r="BT11" s="28">
        <f t="shared" si="23"/>
        <v>0</v>
      </c>
      <c r="BU11">
        <f t="shared" si="24"/>
        <v>0</v>
      </c>
      <c r="BV11" t="str">
        <f t="shared" si="25"/>
        <v>RMB</v>
      </c>
      <c r="BW11" s="17">
        <f t="shared" si="26"/>
        <v>0</v>
      </c>
      <c r="BX11">
        <f t="shared" si="27"/>
        <v>0</v>
      </c>
      <c r="BY11" s="16">
        <f>+IF('RFQ Data'!D$50&lt;&gt;0,INT('RFQ Data'!D$50/$AN11)+1,0)</f>
        <v>0</v>
      </c>
      <c r="BZ11" s="16">
        <f>+IF($AN11&lt;&gt;0,IF('RFQ Data'!E$50&lt;&gt;0,INT('RFQ Data'!E$50/$AN11)+1,0),0)</f>
        <v>1</v>
      </c>
      <c r="CA11" s="16">
        <f>+IF($AN11&lt;&gt;0,IF('RFQ Data'!F$50&lt;&gt;0,INT('RFQ Data'!F$50/$AN11)+1,0),0)</f>
        <v>1</v>
      </c>
      <c r="CB11" s="16">
        <f>+IF($AN11&lt;&gt;0,IF('RFQ Data'!G$50&lt;&gt;0,INT('RFQ Data'!G$50/$AN11)+1,0),0)</f>
        <v>1</v>
      </c>
      <c r="CC11" s="16">
        <f>+IF($AN11&lt;&gt;0,IF('RFQ Data'!H$50&lt;&gt;0,INT('RFQ Data'!H$50/$AN11)+1,0),0)</f>
        <v>1</v>
      </c>
      <c r="CD11" s="16">
        <f>+IF($AN11&lt;&gt;0,IF('RFQ Data'!I$50&lt;&gt;0,INT('RFQ Data'!I$50/$AN11)+1,0),0)</f>
        <v>1</v>
      </c>
      <c r="CF11" s="16">
        <f t="shared" si="56"/>
        <v>1</v>
      </c>
      <c r="CG11" s="16">
        <f t="shared" si="57"/>
        <v>1</v>
      </c>
      <c r="CH11" s="16">
        <f t="shared" si="73"/>
        <v>1</v>
      </c>
      <c r="CI11" s="16">
        <f t="shared" si="58"/>
        <v>1</v>
      </c>
      <c r="CJ11" s="16">
        <f t="shared" si="59"/>
        <v>1</v>
      </c>
      <c r="CK11" s="16">
        <f t="shared" si="74"/>
        <v>1</v>
      </c>
      <c r="CM11" s="16">
        <f t="shared" si="60"/>
        <v>1</v>
      </c>
      <c r="CN11" s="16">
        <f>+CG11-SUM($CM11:CM11)</f>
        <v>0</v>
      </c>
      <c r="CO11" s="16">
        <f>+CH11-SUM($CM11:CN11)</f>
        <v>0</v>
      </c>
      <c r="CP11" s="16">
        <f>+CI11-SUM($CM11:CO11)</f>
        <v>0</v>
      </c>
      <c r="CQ11" s="16">
        <f>+CJ11-SUM($CM11:CP11)</f>
        <v>0</v>
      </c>
      <c r="CR11" s="16">
        <f>+CK11-SUM($CM11:CQ11)</f>
        <v>0</v>
      </c>
      <c r="CT11" s="55">
        <f t="shared" si="29"/>
        <v>0</v>
      </c>
      <c r="CU11" s="55">
        <f t="shared" si="30"/>
        <v>0</v>
      </c>
      <c r="CV11" s="55">
        <f t="shared" si="31"/>
        <v>0</v>
      </c>
      <c r="CW11" s="55">
        <f t="shared" si="32"/>
        <v>0</v>
      </c>
      <c r="CX11" s="55">
        <f t="shared" si="33"/>
        <v>0</v>
      </c>
      <c r="CY11" s="55">
        <f t="shared" si="34"/>
        <v>0</v>
      </c>
      <c r="CZ11" s="16"/>
      <c r="DA11" s="1720">
        <f t="shared" si="35"/>
        <v>0</v>
      </c>
      <c r="DB11" s="260">
        <f t="shared" si="36"/>
        <v>0</v>
      </c>
      <c r="DC11" s="260">
        <f t="shared" si="37"/>
        <v>0</v>
      </c>
      <c r="DD11" s="260">
        <f t="shared" si="38"/>
        <v>0</v>
      </c>
      <c r="DE11" s="260">
        <f t="shared" si="39"/>
        <v>0</v>
      </c>
      <c r="DF11" s="439">
        <f t="shared" si="40"/>
        <v>0</v>
      </c>
      <c r="DG11" s="316" t="str">
        <f t="shared" si="41"/>
        <v/>
      </c>
      <c r="DH11" s="1720">
        <f t="shared" si="61"/>
        <v>0</v>
      </c>
      <c r="DI11" s="260">
        <f t="shared" si="62"/>
        <v>0</v>
      </c>
      <c r="DJ11" s="260">
        <f t="shared" si="63"/>
        <v>0</v>
      </c>
      <c r="DK11" s="260">
        <f t="shared" si="64"/>
        <v>0</v>
      </c>
      <c r="DL11" s="260">
        <f t="shared" si="65"/>
        <v>0</v>
      </c>
      <c r="DM11" s="439">
        <f t="shared" si="66"/>
        <v>0</v>
      </c>
      <c r="DO11" s="2">
        <f t="shared" si="43"/>
        <v>0</v>
      </c>
      <c r="DR11" s="2" t="str">
        <f t="shared" si="44"/>
        <v xml:space="preserve">Material - </v>
      </c>
      <c r="DS11" s="2" t="str">
        <f t="shared" si="45"/>
        <v/>
      </c>
      <c r="DT11" s="16">
        <f t="shared" si="46"/>
        <v>0</v>
      </c>
      <c r="DU11" s="16"/>
      <c r="DV11" s="2" t="str">
        <f t="shared" si="47"/>
        <v/>
      </c>
      <c r="DW11" s="16">
        <f t="shared" si="48"/>
        <v>0</v>
      </c>
      <c r="DX11" s="16">
        <f t="shared" si="49"/>
        <v>0</v>
      </c>
      <c r="DZ11" s="16"/>
      <c r="EA11" s="16">
        <f t="shared" si="50"/>
        <v>0</v>
      </c>
      <c r="EB11" s="16">
        <f>+IF(AO11&lt;&gt;0,(INT(SUM('RFQ Data'!$C$31:$H$31)*F11/AO11)+1)*AK11,0)</f>
        <v>0</v>
      </c>
      <c r="EC11" s="16">
        <f>+(EB11+EA11)/SUM('RFQ Data'!$C$31:$H$31)</f>
        <v>0</v>
      </c>
      <c r="ED11" s="16">
        <f t="shared" si="67"/>
        <v>0</v>
      </c>
      <c r="EF11" s="25">
        <f t="shared" si="51"/>
        <v>0</v>
      </c>
      <c r="EG11" s="163">
        <f t="shared" si="68"/>
        <v>0</v>
      </c>
      <c r="EH11">
        <f>+'RFQ Data'!C$31*'Material Cost '!$F11</f>
        <v>0</v>
      </c>
      <c r="EI11">
        <f>+'RFQ Data'!D$31*'Material Cost '!$F11</f>
        <v>0</v>
      </c>
      <c r="EJ11">
        <f>+'RFQ Data'!E$31*'Material Cost '!$F11</f>
        <v>0</v>
      </c>
      <c r="EK11">
        <f>+'RFQ Data'!F$31*'Material Cost '!$F11</f>
        <v>0</v>
      </c>
      <c r="EL11">
        <f>+'RFQ Data'!G$31*'Material Cost '!$F11</f>
        <v>0</v>
      </c>
      <c r="EM11">
        <f>+'RFQ Data'!H$31*'Material Cost '!$F11</f>
        <v>0</v>
      </c>
    </row>
    <row r="12" spans="1:143" ht="15" thickBot="1">
      <c r="A12" s="171">
        <f t="shared" si="69"/>
        <v>7</v>
      </c>
      <c r="B12" s="161">
        <f t="shared" si="6"/>
        <v>0</v>
      </c>
      <c r="C12" s="1893" t="str">
        <f>IF(Purchasing!A9="","",Purchasing!A9)</f>
        <v/>
      </c>
      <c r="D12" s="1894" t="str">
        <f>IF(Purchasing!B9="","",Purchasing!B9)</f>
        <v/>
      </c>
      <c r="E12" s="1894" t="str">
        <f>IF(Purchasing!P9="","",Purchasing!P9)</f>
        <v/>
      </c>
      <c r="F12" s="1895">
        <f>IF(Purchasing!K9&lt;&gt;"",IF(Purchasing!K9="","",Purchasing!K9),0)</f>
        <v>0</v>
      </c>
      <c r="G12" s="1895" t="str">
        <f>IF(Purchasing!L9="","",Purchasing!L9)</f>
        <v/>
      </c>
      <c r="H12" s="1895" t="str">
        <f>IF(Purchasing!M9="","",Purchasing!M9)</f>
        <v/>
      </c>
      <c r="I12" s="1895" t="str">
        <f>IF(Purchasing!N9="","",Purchasing!N9)</f>
        <v/>
      </c>
      <c r="J12" s="1898" t="str">
        <f>IF(Purchasing!J9&lt;&gt;"",Purchasing!J9,"")</f>
        <v/>
      </c>
      <c r="K12" s="1896" t="str">
        <f>IF(Purchasing!BP9="-","",Purchasing!BP9)</f>
        <v/>
      </c>
      <c r="L12" s="1906">
        <f>Purchasing!I9</f>
        <v>0</v>
      </c>
      <c r="M12" s="241">
        <f>Purchasing!H9</f>
        <v>0</v>
      </c>
      <c r="N12" s="241"/>
      <c r="O12" s="1897" t="str">
        <f>IF(Q12&lt;&gt;0,IF(Q12=Purchasing!W9,"Estimated", "Offer"),"")</f>
        <v/>
      </c>
      <c r="P12" s="1903" t="str">
        <f>IF(Purchasing!G9&lt;&gt;0,Purchasing!G9,"")</f>
        <v/>
      </c>
      <c r="Q12" s="1904">
        <f>IF(Purchasing!BP9=Purchasing!Z9,Purchasing!AB9,IF(Purchasing!BP9=Purchasing!AN9,Purchasing!AP9,IF(Purchasing!BP9=Purchasing!BB9,Purchasing!BD9,Purchasing!W9)))</f>
        <v>0</v>
      </c>
      <c r="R12" s="241">
        <f>IF(Purchasing!BP9=Purchasing!Z9,Purchasing!AC9,IF(Purchasing!BP9=Purchasing!AN9,Purchasing!AR9,IF(Purchasing!BP9=Purchasing!BB9,Purchasing!BF9,Purchasing!X9)))</f>
        <v>0</v>
      </c>
      <c r="S12" s="284" t="str">
        <f t="shared" si="70"/>
        <v>RMB</v>
      </c>
      <c r="T12" s="285" t="str">
        <f t="shared" si="52"/>
        <v>0RMB</v>
      </c>
      <c r="U12" s="1069">
        <f>+SUMIF('Financials Parameters'!$D$29:$D$53,'Material Cost '!T12,'Financials Parameters'!$E$29:$E$53)</f>
        <v>0</v>
      </c>
      <c r="V12" s="244">
        <v>0</v>
      </c>
      <c r="W12" s="245">
        <v>0</v>
      </c>
      <c r="X12" s="246">
        <v>0</v>
      </c>
      <c r="Y12" s="1810">
        <f t="shared" si="7"/>
        <v>0</v>
      </c>
      <c r="Z12" s="1909"/>
      <c r="AA12" s="319"/>
      <c r="AB12" s="1917" t="str">
        <f t="shared" si="8"/>
        <v>China + South pacific</v>
      </c>
      <c r="AC12" s="276"/>
      <c r="AD12" s="1145">
        <f>IF(AA12&lt;&gt;"",IF(AND($J$1=AA12,$O$1&gt;VLOOKUP($J$1,'Financials Parameters'!$N$30:$P$35,3,FALSE)),'Financials Parameters'!$O$28,'Financials Parameters'!$Q$28),0)</f>
        <v>0</v>
      </c>
      <c r="AE12" s="1146">
        <f>IF(AA12&lt;&gt;"",VLOOKUP(AB12,'Financials Parameters'!$R$38:$S$73,2,FALSE),0)</f>
        <v>0</v>
      </c>
      <c r="AF12" s="1147">
        <f>IF(AA12&lt;&gt;"",VLOOKUP(AA12,'Financials Parameters'!$N$30:$S$35,6,FALSE),0)</f>
        <v>0</v>
      </c>
      <c r="AG12" s="1818"/>
      <c r="AH12" s="1819"/>
      <c r="AI12" s="2059" t="str">
        <f t="shared" si="75"/>
        <v>RMB</v>
      </c>
      <c r="AJ12" s="2059">
        <f>IF(AG12&lt;&gt;0,VLOOKUP(AI12,'Financials Parameters'!$D$29:$E$53,2,FALSE),0)</f>
        <v>0</v>
      </c>
      <c r="AK12" s="2059">
        <f t="shared" si="53"/>
        <v>0</v>
      </c>
      <c r="AL12" s="1820" t="s">
        <v>300</v>
      </c>
      <c r="AM12" s="1821"/>
      <c r="AN12" s="1028">
        <f t="shared" si="10"/>
        <v>1000000000000</v>
      </c>
      <c r="AO12" s="1821"/>
      <c r="AP12" s="1828" t="s">
        <v>149</v>
      </c>
      <c r="AQ12" s="280"/>
      <c r="AR12" s="280"/>
      <c r="AS12" s="1022">
        <f t="shared" si="11"/>
        <v>0</v>
      </c>
      <c r="AT12" s="315"/>
      <c r="AU12" s="315"/>
      <c r="AV12" s="1030" t="str">
        <f>'Material Cost '!$AU12&amp;$K$1</f>
        <v>RMB</v>
      </c>
      <c r="AW12" s="176">
        <f>+SUMIF('Financials Parameters'!$D$29:$D$53,'Material Cost '!AV12,'Financials Parameters'!$E$29:$E$53)</f>
        <v>0</v>
      </c>
      <c r="AX12" s="279">
        <f t="shared" si="54"/>
        <v>0</v>
      </c>
      <c r="AY12" s="1099">
        <f t="shared" si="55"/>
        <v>0</v>
      </c>
      <c r="AZ12" s="1091"/>
      <c r="BA12" s="1092"/>
      <c r="BB12" s="656">
        <f t="shared" si="12"/>
        <v>0</v>
      </c>
      <c r="BC12" s="1092"/>
      <c r="BD12" s="1092"/>
      <c r="BE12" s="1093" t="str">
        <f>'Material Cost '!$BD12&amp;$K$1</f>
        <v>RMB</v>
      </c>
      <c r="BF12" s="1090">
        <f>+SUMIF('Financials Parameters'!$D$29:$D$53,'Material Cost '!BE12,'Financials Parameters'!$E$29:$E$53)</f>
        <v>0</v>
      </c>
      <c r="BG12" s="1096">
        <f t="shared" si="71"/>
        <v>0</v>
      </c>
      <c r="BH12" s="1102">
        <f t="shared" si="13"/>
        <v>0</v>
      </c>
      <c r="BI12" s="114">
        <f t="shared" si="76"/>
        <v>0</v>
      </c>
      <c r="BJ12" s="33">
        <f t="shared" si="14"/>
        <v>0</v>
      </c>
      <c r="BK12" s="33">
        <f t="shared" si="15"/>
        <v>0</v>
      </c>
      <c r="BL12" s="33">
        <f t="shared" si="72"/>
        <v>0</v>
      </c>
      <c r="BM12" s="1103">
        <f t="shared" si="16"/>
        <v>0.15</v>
      </c>
      <c r="BN12" s="1106">
        <f t="shared" si="17"/>
        <v>0</v>
      </c>
      <c r="BO12" s="33">
        <f t="shared" si="18"/>
        <v>0</v>
      </c>
      <c r="BP12" s="33">
        <f t="shared" si="19"/>
        <v>0</v>
      </c>
      <c r="BQ12" s="33">
        <f t="shared" si="20"/>
        <v>0</v>
      </c>
      <c r="BR12" s="33">
        <f t="shared" si="21"/>
        <v>0</v>
      </c>
      <c r="BS12" s="33">
        <f t="shared" si="22"/>
        <v>0</v>
      </c>
      <c r="BT12" s="28">
        <f t="shared" si="23"/>
        <v>0</v>
      </c>
      <c r="BU12">
        <f t="shared" si="24"/>
        <v>0</v>
      </c>
      <c r="BV12" t="str">
        <f t="shared" si="25"/>
        <v>RMB</v>
      </c>
      <c r="BW12" s="17">
        <f t="shared" si="26"/>
        <v>0</v>
      </c>
      <c r="BX12">
        <f t="shared" si="27"/>
        <v>0</v>
      </c>
      <c r="BY12" s="16">
        <f>+IF('RFQ Data'!D$50&lt;&gt;0,INT('RFQ Data'!D$50/$AN12)+1,0)</f>
        <v>0</v>
      </c>
      <c r="BZ12" s="16">
        <f>+IF($AN12&lt;&gt;0,IF('RFQ Data'!E$50&lt;&gt;0,INT('RFQ Data'!E$50/$AN12)+1,0),0)</f>
        <v>1</v>
      </c>
      <c r="CA12" s="16">
        <f>+IF($AN12&lt;&gt;0,IF('RFQ Data'!F$50&lt;&gt;0,INT('RFQ Data'!F$50/$AN12)+1,0),0)</f>
        <v>1</v>
      </c>
      <c r="CB12" s="16">
        <f>+IF($AN12&lt;&gt;0,IF('RFQ Data'!G$50&lt;&gt;0,INT('RFQ Data'!G$50/$AN12)+1,0),0)</f>
        <v>1</v>
      </c>
      <c r="CC12" s="16">
        <f>+IF($AN12&lt;&gt;0,IF('RFQ Data'!H$50&lt;&gt;0,INT('RFQ Data'!H$50/$AN12)+1,0),0)</f>
        <v>1</v>
      </c>
      <c r="CD12" s="16">
        <f>+IF($AN12&lt;&gt;0,IF('RFQ Data'!I$50&lt;&gt;0,INT('RFQ Data'!I$50/$AN12)+1,0),0)</f>
        <v>1</v>
      </c>
      <c r="CF12" s="16">
        <f t="shared" si="56"/>
        <v>1</v>
      </c>
      <c r="CG12" s="16">
        <f t="shared" si="57"/>
        <v>1</v>
      </c>
      <c r="CH12" s="16">
        <f t="shared" si="73"/>
        <v>1</v>
      </c>
      <c r="CI12" s="16">
        <f t="shared" si="58"/>
        <v>1</v>
      </c>
      <c r="CJ12" s="16">
        <f t="shared" si="59"/>
        <v>1</v>
      </c>
      <c r="CK12" s="16">
        <f t="shared" si="74"/>
        <v>1</v>
      </c>
      <c r="CM12" s="16">
        <f t="shared" si="60"/>
        <v>1</v>
      </c>
      <c r="CN12" s="16">
        <f>+CG12-SUM($CM12:CM12)</f>
        <v>0</v>
      </c>
      <c r="CO12" s="16">
        <f>+CH12-SUM($CM12:CN12)</f>
        <v>0</v>
      </c>
      <c r="CP12" s="16">
        <f>+CI12-SUM($CM12:CO12)</f>
        <v>0</v>
      </c>
      <c r="CQ12" s="16">
        <f>+CJ12-SUM($CM12:CP12)</f>
        <v>0</v>
      </c>
      <c r="CR12" s="16">
        <f>+CK12-SUM($CM12:CQ12)</f>
        <v>0</v>
      </c>
      <c r="CT12" s="55">
        <f t="shared" si="29"/>
        <v>0</v>
      </c>
      <c r="CU12" s="55">
        <f t="shared" si="30"/>
        <v>0</v>
      </c>
      <c r="CV12" s="55">
        <f t="shared" si="31"/>
        <v>0</v>
      </c>
      <c r="CW12" s="55">
        <f t="shared" si="32"/>
        <v>0</v>
      </c>
      <c r="CX12" s="55">
        <f t="shared" si="33"/>
        <v>0</v>
      </c>
      <c r="CY12" s="55">
        <f t="shared" si="34"/>
        <v>0</v>
      </c>
      <c r="CZ12" s="16"/>
      <c r="DA12" s="1720">
        <f t="shared" si="35"/>
        <v>0</v>
      </c>
      <c r="DB12" s="260">
        <f t="shared" si="36"/>
        <v>0</v>
      </c>
      <c r="DC12" s="260">
        <f t="shared" si="37"/>
        <v>0</v>
      </c>
      <c r="DD12" s="260">
        <f t="shared" si="38"/>
        <v>0</v>
      </c>
      <c r="DE12" s="260">
        <f t="shared" si="39"/>
        <v>0</v>
      </c>
      <c r="DF12" s="439">
        <f t="shared" si="40"/>
        <v>0</v>
      </c>
      <c r="DG12" s="316" t="str">
        <f t="shared" si="41"/>
        <v/>
      </c>
      <c r="DH12" s="1720">
        <f t="shared" si="61"/>
        <v>0</v>
      </c>
      <c r="DI12" s="260">
        <f t="shared" si="62"/>
        <v>0</v>
      </c>
      <c r="DJ12" s="260">
        <f t="shared" si="63"/>
        <v>0</v>
      </c>
      <c r="DK12" s="260">
        <f t="shared" si="64"/>
        <v>0</v>
      </c>
      <c r="DL12" s="260">
        <f t="shared" si="65"/>
        <v>0</v>
      </c>
      <c r="DM12" s="439">
        <f t="shared" si="66"/>
        <v>0</v>
      </c>
      <c r="DO12" s="2">
        <f t="shared" si="43"/>
        <v>0</v>
      </c>
      <c r="DR12" s="2" t="str">
        <f t="shared" si="44"/>
        <v xml:space="preserve">Material - </v>
      </c>
      <c r="DS12" s="2" t="str">
        <f t="shared" si="45"/>
        <v/>
      </c>
      <c r="DT12" s="16">
        <f t="shared" si="46"/>
        <v>0</v>
      </c>
      <c r="DU12" s="16"/>
      <c r="DV12" s="2" t="str">
        <f t="shared" si="47"/>
        <v/>
      </c>
      <c r="DW12" s="16">
        <f t="shared" si="48"/>
        <v>0</v>
      </c>
      <c r="DX12" s="16">
        <f t="shared" si="49"/>
        <v>0</v>
      </c>
      <c r="DZ12" s="16"/>
      <c r="EA12" s="16">
        <f t="shared" si="50"/>
        <v>0</v>
      </c>
      <c r="EB12" s="16">
        <f>+IF(AO12&lt;&gt;0,(INT(SUM('RFQ Data'!$C$31:$H$31)*F12/AO12)+1)*AK12,0)</f>
        <v>0</v>
      </c>
      <c r="EC12" s="16">
        <f>+(EB12+EA12)/SUM('RFQ Data'!$C$31:$H$31)</f>
        <v>0</v>
      </c>
      <c r="ED12" s="16">
        <f t="shared" si="67"/>
        <v>0</v>
      </c>
      <c r="EF12" s="25">
        <f t="shared" si="51"/>
        <v>0</v>
      </c>
      <c r="EG12" s="163">
        <f t="shared" si="68"/>
        <v>0</v>
      </c>
      <c r="EH12">
        <f>+'RFQ Data'!C$31*'Material Cost '!$F12</f>
        <v>0</v>
      </c>
      <c r="EI12">
        <f>+'RFQ Data'!D$31*'Material Cost '!$F12</f>
        <v>0</v>
      </c>
      <c r="EJ12">
        <f>+'RFQ Data'!E$31*'Material Cost '!$F12</f>
        <v>0</v>
      </c>
      <c r="EK12">
        <f>+'RFQ Data'!F$31*'Material Cost '!$F12</f>
        <v>0</v>
      </c>
      <c r="EL12">
        <f>+'RFQ Data'!G$31*'Material Cost '!$F12</f>
        <v>0</v>
      </c>
      <c r="EM12">
        <f>+'RFQ Data'!H$31*'Material Cost '!$F12</f>
        <v>0</v>
      </c>
    </row>
    <row r="13" spans="1:143" ht="15" thickBot="1">
      <c r="A13" s="171">
        <f t="shared" si="69"/>
        <v>8</v>
      </c>
      <c r="B13" s="161">
        <f t="shared" si="6"/>
        <v>0</v>
      </c>
      <c r="C13" s="1893" t="str">
        <f>IF(Purchasing!A10="","",Purchasing!A10)</f>
        <v/>
      </c>
      <c r="D13" s="1894" t="str">
        <f>IF(Purchasing!B10="","",Purchasing!B10)</f>
        <v/>
      </c>
      <c r="E13" s="1894" t="str">
        <f>IF(Purchasing!P10="","",Purchasing!P10)</f>
        <v/>
      </c>
      <c r="F13" s="1895">
        <f>IF(Purchasing!K10&lt;&gt;"",IF(Purchasing!K10="","",Purchasing!K10),0)</f>
        <v>0</v>
      </c>
      <c r="G13" s="1895" t="str">
        <f>IF(Purchasing!L10="","",Purchasing!L10)</f>
        <v/>
      </c>
      <c r="H13" s="1895" t="str">
        <f>IF(Purchasing!M10="","",Purchasing!M10)</f>
        <v/>
      </c>
      <c r="I13" s="1895" t="str">
        <f>IF(Purchasing!N10="","",Purchasing!N10)</f>
        <v/>
      </c>
      <c r="J13" s="1898" t="str">
        <f>IF(Purchasing!J10&lt;&gt;"",Purchasing!J10,"")</f>
        <v/>
      </c>
      <c r="K13" s="1896" t="str">
        <f>IF(Purchasing!BP10="-","",Purchasing!BP10)</f>
        <v/>
      </c>
      <c r="L13" s="1906">
        <f>Purchasing!I10</f>
        <v>0</v>
      </c>
      <c r="M13" s="241">
        <f>Purchasing!H10</f>
        <v>0</v>
      </c>
      <c r="N13" s="241"/>
      <c r="O13" s="1897" t="str">
        <f>IF(Q13&lt;&gt;0,IF(Q13=Purchasing!W10,"Estimated", "Offer"),"")</f>
        <v/>
      </c>
      <c r="P13" s="1903" t="str">
        <f>IF(Purchasing!G10&lt;&gt;0,Purchasing!G10,"")</f>
        <v/>
      </c>
      <c r="Q13" s="1904">
        <f>IF(Purchasing!BP10=Purchasing!Z10,Purchasing!AB10,IF(Purchasing!BP10=Purchasing!AN10,Purchasing!AP10,IF(Purchasing!BP10=Purchasing!BB10,Purchasing!BD10,Purchasing!W10)))</f>
        <v>0</v>
      </c>
      <c r="R13" s="241">
        <f>IF(Purchasing!BP10=Purchasing!Z10,Purchasing!AC10,IF(Purchasing!BP10=Purchasing!AN10,Purchasing!AR10,IF(Purchasing!BP10=Purchasing!BB10,Purchasing!BF10,Purchasing!X10)))</f>
        <v>0</v>
      </c>
      <c r="S13" s="284" t="str">
        <f t="shared" si="70"/>
        <v>RMB</v>
      </c>
      <c r="T13" s="285" t="str">
        <f t="shared" si="52"/>
        <v>0RMB</v>
      </c>
      <c r="U13" s="1069">
        <f>+SUMIF('Financials Parameters'!$D$29:$D$53,'Material Cost '!T13,'Financials Parameters'!$E$29:$E$53)</f>
        <v>0</v>
      </c>
      <c r="V13" s="244">
        <v>0</v>
      </c>
      <c r="W13" s="245">
        <v>0</v>
      </c>
      <c r="X13" s="246">
        <v>0</v>
      </c>
      <c r="Y13" s="1810">
        <f t="shared" si="7"/>
        <v>0</v>
      </c>
      <c r="Z13" s="1909"/>
      <c r="AA13" s="319"/>
      <c r="AB13" s="1917" t="str">
        <f t="shared" si="8"/>
        <v>China + South pacific</v>
      </c>
      <c r="AC13" s="276"/>
      <c r="AD13" s="1145">
        <f>IF(AA13&lt;&gt;"",IF(AND($J$1=AA13,$O$1&gt;VLOOKUP($J$1,'Financials Parameters'!$N$30:$P$35,3,FALSE)),'Financials Parameters'!$O$28,'Financials Parameters'!$Q$28),0)</f>
        <v>0</v>
      </c>
      <c r="AE13" s="1146">
        <f>IF(AA13&lt;&gt;"",VLOOKUP(AB13,'Financials Parameters'!$R$38:$S$73,2,FALSE),0)</f>
        <v>0</v>
      </c>
      <c r="AF13" s="1147">
        <f>IF(AA13&lt;&gt;"",VLOOKUP(AA13,'Financials Parameters'!$N$30:$S$35,6,FALSE),0)</f>
        <v>0</v>
      </c>
      <c r="AG13" s="1818"/>
      <c r="AH13" s="1819"/>
      <c r="AI13" s="2059" t="str">
        <f t="shared" si="75"/>
        <v>RMB</v>
      </c>
      <c r="AJ13" s="2059">
        <f>IF(AG13&lt;&gt;0,VLOOKUP(AI13,'Financials Parameters'!$D$29:$E$53,2,FALSE),0)</f>
        <v>0</v>
      </c>
      <c r="AK13" s="2059">
        <f t="shared" si="53"/>
        <v>0</v>
      </c>
      <c r="AL13" s="1820" t="s">
        <v>300</v>
      </c>
      <c r="AM13" s="1821"/>
      <c r="AN13" s="1028">
        <f t="shared" si="10"/>
        <v>1000000000000</v>
      </c>
      <c r="AO13" s="1821"/>
      <c r="AP13" s="1828" t="s">
        <v>149</v>
      </c>
      <c r="AQ13" s="280"/>
      <c r="AR13" s="280"/>
      <c r="AS13" s="1022">
        <f t="shared" si="11"/>
        <v>0</v>
      </c>
      <c r="AT13" s="315"/>
      <c r="AU13" s="315"/>
      <c r="AV13" s="1030" t="str">
        <f>'Material Cost '!$AU13&amp;$K$1</f>
        <v>RMB</v>
      </c>
      <c r="AW13" s="176">
        <f>+SUMIF('Financials Parameters'!$D$29:$D$53,'Material Cost '!AV13,'Financials Parameters'!$E$29:$E$53)</f>
        <v>0</v>
      </c>
      <c r="AX13" s="279">
        <f t="shared" si="54"/>
        <v>0</v>
      </c>
      <c r="AY13" s="1099">
        <f t="shared" si="55"/>
        <v>0</v>
      </c>
      <c r="AZ13" s="1091"/>
      <c r="BA13" s="1092"/>
      <c r="BB13" s="656">
        <f t="shared" si="12"/>
        <v>0</v>
      </c>
      <c r="BC13" s="1092"/>
      <c r="BD13" s="1092"/>
      <c r="BE13" s="1093" t="str">
        <f>'Material Cost '!$BD13&amp;$K$1</f>
        <v>RMB</v>
      </c>
      <c r="BF13" s="1090">
        <f>+SUMIF('Financials Parameters'!$D$29:$D$53,'Material Cost '!BE13,'Financials Parameters'!$E$29:$E$53)</f>
        <v>0</v>
      </c>
      <c r="BG13" s="1096">
        <f>+BC13*BF13</f>
        <v>0</v>
      </c>
      <c r="BH13" s="1102">
        <f t="shared" si="13"/>
        <v>0</v>
      </c>
      <c r="BI13" s="114">
        <f t="shared" si="76"/>
        <v>0</v>
      </c>
      <c r="BJ13" s="33">
        <f t="shared" si="14"/>
        <v>0</v>
      </c>
      <c r="BK13" s="33">
        <f t="shared" si="15"/>
        <v>0</v>
      </c>
      <c r="BL13" s="33">
        <f>+BJ13+BK13</f>
        <v>0</v>
      </c>
      <c r="BM13" s="1103">
        <f t="shared" si="16"/>
        <v>0.15</v>
      </c>
      <c r="BN13" s="1106">
        <f t="shared" si="17"/>
        <v>0</v>
      </c>
      <c r="BO13" s="33">
        <f t="shared" si="18"/>
        <v>0</v>
      </c>
      <c r="BP13" s="33">
        <f t="shared" si="19"/>
        <v>0</v>
      </c>
      <c r="BQ13" s="33">
        <f t="shared" si="20"/>
        <v>0</v>
      </c>
      <c r="BR13" s="33">
        <f t="shared" si="21"/>
        <v>0</v>
      </c>
      <c r="BS13" s="33">
        <f t="shared" si="22"/>
        <v>0</v>
      </c>
      <c r="BT13" s="28">
        <f t="shared" si="23"/>
        <v>0</v>
      </c>
      <c r="BU13">
        <f t="shared" si="24"/>
        <v>0</v>
      </c>
      <c r="BV13" t="str">
        <f t="shared" si="25"/>
        <v>RMB</v>
      </c>
      <c r="BW13" s="17">
        <f t="shared" si="26"/>
        <v>0</v>
      </c>
      <c r="BX13">
        <f t="shared" si="27"/>
        <v>0</v>
      </c>
      <c r="BY13" s="16">
        <f>+IF('RFQ Data'!D$50&lt;&gt;0,INT('RFQ Data'!D$50/$AN13)+1,0)</f>
        <v>0</v>
      </c>
      <c r="BZ13" s="16">
        <f>+IF($AN13&lt;&gt;0,IF('RFQ Data'!E$50&lt;&gt;0,INT('RFQ Data'!E$50/$AN13)+1,0),0)</f>
        <v>1</v>
      </c>
      <c r="CA13" s="16">
        <f>+IF($AN13&lt;&gt;0,IF('RFQ Data'!F$50&lt;&gt;0,INT('RFQ Data'!F$50/$AN13)+1,0),0)</f>
        <v>1</v>
      </c>
      <c r="CB13" s="16">
        <f>+IF($AN13&lt;&gt;0,IF('RFQ Data'!G$50&lt;&gt;0,INT('RFQ Data'!G$50/$AN13)+1,0),0)</f>
        <v>1</v>
      </c>
      <c r="CC13" s="16">
        <f>+IF($AN13&lt;&gt;0,IF('RFQ Data'!H$50&lt;&gt;0,INT('RFQ Data'!H$50/$AN13)+1,0),0)</f>
        <v>1</v>
      </c>
      <c r="CD13" s="16">
        <f>+IF($AN13&lt;&gt;0,IF('RFQ Data'!I$50&lt;&gt;0,INT('RFQ Data'!I$50/$AN13)+1,0),0)</f>
        <v>1</v>
      </c>
      <c r="CF13" s="16">
        <f t="shared" si="56"/>
        <v>1</v>
      </c>
      <c r="CG13" s="16">
        <f t="shared" si="57"/>
        <v>1</v>
      </c>
      <c r="CH13" s="16">
        <f t="shared" si="73"/>
        <v>1</v>
      </c>
      <c r="CI13" s="16">
        <f t="shared" si="58"/>
        <v>1</v>
      </c>
      <c r="CJ13" s="16">
        <f t="shared" si="59"/>
        <v>1</v>
      </c>
      <c r="CK13" s="16">
        <f t="shared" si="74"/>
        <v>1</v>
      </c>
      <c r="CM13" s="16">
        <f t="shared" si="60"/>
        <v>1</v>
      </c>
      <c r="CN13" s="16">
        <f>+CG13-SUM($CM13:CM13)</f>
        <v>0</v>
      </c>
      <c r="CO13" s="16">
        <f>+CH13-SUM($CM13:CN13)</f>
        <v>0</v>
      </c>
      <c r="CP13" s="16">
        <f>+CI13-SUM($CM13:CO13)</f>
        <v>0</v>
      </c>
      <c r="CQ13" s="16">
        <f>+CJ13-SUM($CM13:CP13)</f>
        <v>0</v>
      </c>
      <c r="CR13" s="16">
        <f>+CK13-SUM($CM13:CQ13)</f>
        <v>0</v>
      </c>
      <c r="CT13" s="55">
        <f t="shared" si="29"/>
        <v>0</v>
      </c>
      <c r="CU13" s="55">
        <f t="shared" si="30"/>
        <v>0</v>
      </c>
      <c r="CV13" s="55">
        <f t="shared" si="31"/>
        <v>0</v>
      </c>
      <c r="CW13" s="55">
        <f t="shared" si="32"/>
        <v>0</v>
      </c>
      <c r="CX13" s="55">
        <f t="shared" si="33"/>
        <v>0</v>
      </c>
      <c r="CY13" s="55">
        <f t="shared" si="34"/>
        <v>0</v>
      </c>
      <c r="CZ13" s="16"/>
      <c r="DA13" s="1720">
        <f t="shared" si="35"/>
        <v>0</v>
      </c>
      <c r="DB13" s="260">
        <f t="shared" si="36"/>
        <v>0</v>
      </c>
      <c r="DC13" s="260">
        <f t="shared" si="37"/>
        <v>0</v>
      </c>
      <c r="DD13" s="260">
        <f t="shared" si="38"/>
        <v>0</v>
      </c>
      <c r="DE13" s="260">
        <f t="shared" si="39"/>
        <v>0</v>
      </c>
      <c r="DF13" s="439">
        <f t="shared" si="40"/>
        <v>0</v>
      </c>
      <c r="DG13" s="316" t="str">
        <f t="shared" si="41"/>
        <v/>
      </c>
      <c r="DH13" s="1720">
        <f t="shared" si="61"/>
        <v>0</v>
      </c>
      <c r="DI13" s="260">
        <f t="shared" si="62"/>
        <v>0</v>
      </c>
      <c r="DJ13" s="260">
        <f t="shared" si="63"/>
        <v>0</v>
      </c>
      <c r="DK13" s="260">
        <f t="shared" si="64"/>
        <v>0</v>
      </c>
      <c r="DL13" s="260">
        <f t="shared" si="65"/>
        <v>0</v>
      </c>
      <c r="DM13" s="439">
        <f t="shared" si="66"/>
        <v>0</v>
      </c>
      <c r="DO13" s="2">
        <f t="shared" si="43"/>
        <v>0</v>
      </c>
      <c r="DR13" s="2" t="str">
        <f t="shared" si="44"/>
        <v xml:space="preserve">Material - </v>
      </c>
      <c r="DS13" s="2" t="str">
        <f t="shared" si="45"/>
        <v/>
      </c>
      <c r="DT13" s="16">
        <f t="shared" si="46"/>
        <v>0</v>
      </c>
      <c r="DU13" s="16"/>
      <c r="DV13" s="2" t="str">
        <f t="shared" si="47"/>
        <v/>
      </c>
      <c r="DW13" s="16">
        <f t="shared" si="48"/>
        <v>0</v>
      </c>
      <c r="DX13" s="16">
        <f t="shared" si="49"/>
        <v>0</v>
      </c>
      <c r="DZ13" s="16"/>
      <c r="EA13" s="16">
        <f t="shared" si="50"/>
        <v>0</v>
      </c>
      <c r="EB13" s="16">
        <f>+IF(AO13&lt;&gt;0,(INT(SUM('RFQ Data'!$C$31:$H$31)*F13/AO13)+1)*AK13,0)</f>
        <v>0</v>
      </c>
      <c r="EC13" s="16">
        <f>+(EB13+EA13)/SUM('RFQ Data'!$C$31:$H$31)</f>
        <v>0</v>
      </c>
      <c r="ED13" s="16">
        <f t="shared" si="67"/>
        <v>0</v>
      </c>
      <c r="EF13" s="25">
        <f t="shared" si="51"/>
        <v>0</v>
      </c>
      <c r="EG13" s="163">
        <f t="shared" si="68"/>
        <v>0</v>
      </c>
      <c r="EH13">
        <f>+'RFQ Data'!C$31*'Material Cost '!$F13</f>
        <v>0</v>
      </c>
      <c r="EI13">
        <f>+'RFQ Data'!D$31*'Material Cost '!$F13</f>
        <v>0</v>
      </c>
      <c r="EJ13">
        <f>+'RFQ Data'!E$31*'Material Cost '!$F13</f>
        <v>0</v>
      </c>
      <c r="EK13">
        <f>+'RFQ Data'!F$31*'Material Cost '!$F13</f>
        <v>0</v>
      </c>
      <c r="EL13">
        <f>+'RFQ Data'!G$31*'Material Cost '!$F13</f>
        <v>0</v>
      </c>
      <c r="EM13">
        <f>+'RFQ Data'!H$31*'Material Cost '!$F13</f>
        <v>0</v>
      </c>
    </row>
    <row r="14" spans="1:143" ht="15" thickBot="1">
      <c r="A14" s="171">
        <f t="shared" si="69"/>
        <v>9</v>
      </c>
      <c r="B14" s="161">
        <f t="shared" si="6"/>
        <v>0</v>
      </c>
      <c r="C14" s="1893" t="str">
        <f>IF(Purchasing!A11="","",Purchasing!A11)</f>
        <v/>
      </c>
      <c r="D14" s="1894" t="str">
        <f>IF(Purchasing!B11="","",Purchasing!B11)</f>
        <v/>
      </c>
      <c r="E14" s="1894" t="str">
        <f>IF(Purchasing!P11="","",Purchasing!P11)</f>
        <v/>
      </c>
      <c r="F14" s="1895">
        <f>IF(Purchasing!K11&lt;&gt;"",IF(Purchasing!K11="","",Purchasing!K11),0)</f>
        <v>0</v>
      </c>
      <c r="G14" s="1895" t="str">
        <f>IF(Purchasing!L11="","",Purchasing!L11)</f>
        <v/>
      </c>
      <c r="H14" s="1895" t="str">
        <f>IF(Purchasing!M11="","",Purchasing!M11)</f>
        <v/>
      </c>
      <c r="I14" s="1895" t="str">
        <f>IF(Purchasing!N11="","",Purchasing!N11)</f>
        <v/>
      </c>
      <c r="J14" s="1898" t="str">
        <f>IF(Purchasing!J11&lt;&gt;"",Purchasing!J11,"")</f>
        <v/>
      </c>
      <c r="K14" s="1896" t="str">
        <f>IF(Purchasing!BP11="-","",Purchasing!BP11)</f>
        <v/>
      </c>
      <c r="L14" s="1906">
        <f>Purchasing!I11</f>
        <v>0</v>
      </c>
      <c r="M14" s="241">
        <f>Purchasing!H11</f>
        <v>0</v>
      </c>
      <c r="N14" s="241"/>
      <c r="O14" s="1897" t="str">
        <f>IF(Q14&lt;&gt;0,IF(Q14=Purchasing!W11,"Estimated", "Offer"),"")</f>
        <v/>
      </c>
      <c r="P14" s="1903" t="str">
        <f>IF(Purchasing!G11&lt;&gt;0,Purchasing!G11,"")</f>
        <v/>
      </c>
      <c r="Q14" s="1904">
        <f>IF(Purchasing!BP11=Purchasing!Z11,Purchasing!AB11,IF(Purchasing!BP11=Purchasing!AN11,Purchasing!AP11,IF(Purchasing!BP11=Purchasing!BB11,Purchasing!BD11,Purchasing!W11)))</f>
        <v>0</v>
      </c>
      <c r="R14" s="243">
        <f>IF(Purchasing!BP11=Purchasing!Z11,Purchasing!AC11,IF(Purchasing!BP11=Purchasing!AN11,Purchasing!AR11,IF(Purchasing!BP11=Purchasing!BB11,Purchasing!BF11,Purchasing!X11)))</f>
        <v>0</v>
      </c>
      <c r="S14" s="284" t="str">
        <f t="shared" si="70"/>
        <v>RMB</v>
      </c>
      <c r="T14" s="285" t="str">
        <f t="shared" si="52"/>
        <v>0RMB</v>
      </c>
      <c r="U14" s="1069">
        <f>+SUMIF('Financials Parameters'!$D$29:$D$53,'Material Cost '!T14,'Financials Parameters'!$E$29:$E$53)</f>
        <v>0</v>
      </c>
      <c r="V14" s="244">
        <v>0</v>
      </c>
      <c r="W14" s="245">
        <v>0</v>
      </c>
      <c r="X14" s="246">
        <v>0</v>
      </c>
      <c r="Y14" s="1810">
        <f t="shared" si="7"/>
        <v>0</v>
      </c>
      <c r="Z14" s="1909"/>
      <c r="AA14" s="319"/>
      <c r="AB14" s="1917" t="str">
        <f t="shared" si="8"/>
        <v>China + South pacific</v>
      </c>
      <c r="AC14" s="276"/>
      <c r="AD14" s="1145">
        <f>IF(AA14&lt;&gt;"",IF(AND($J$1=AA14,$O$1&gt;VLOOKUP($J$1,'Financials Parameters'!$N$30:$P$35,3,FALSE)),'Financials Parameters'!$O$28,'Financials Parameters'!$Q$28),0)</f>
        <v>0</v>
      </c>
      <c r="AE14" s="1146">
        <f>IF(AA14&lt;&gt;"",VLOOKUP(AB14,'Financials Parameters'!$R$38:$S$73,2,FALSE),0)</f>
        <v>0</v>
      </c>
      <c r="AF14" s="1147">
        <f>IF(AA14&lt;&gt;"",VLOOKUP(AA14,'Financials Parameters'!$N$30:$S$35,6,FALSE),0)</f>
        <v>0</v>
      </c>
      <c r="AG14" s="1818"/>
      <c r="AH14" s="1819"/>
      <c r="AI14" s="2059" t="str">
        <f t="shared" si="75"/>
        <v>RMB</v>
      </c>
      <c r="AJ14" s="2059">
        <f>IF(AG14&lt;&gt;0,VLOOKUP(AI14,'Financials Parameters'!$D$29:$E$53,2,FALSE),0)</f>
        <v>0</v>
      </c>
      <c r="AK14" s="2059">
        <f t="shared" si="53"/>
        <v>0</v>
      </c>
      <c r="AL14" s="1820" t="s">
        <v>300</v>
      </c>
      <c r="AM14" s="1821"/>
      <c r="AN14" s="1028">
        <f t="shared" si="10"/>
        <v>1000000000000</v>
      </c>
      <c r="AO14" s="1821"/>
      <c r="AP14" s="1828" t="s">
        <v>149</v>
      </c>
      <c r="AQ14" s="280"/>
      <c r="AR14" s="280"/>
      <c r="AS14" s="1022">
        <f t="shared" si="11"/>
        <v>0</v>
      </c>
      <c r="AT14" s="315"/>
      <c r="AU14" s="315"/>
      <c r="AV14" s="1030" t="str">
        <f>'Material Cost '!$AU14&amp;$K$1</f>
        <v>RMB</v>
      </c>
      <c r="AW14" s="176">
        <f>+SUMIF('Financials Parameters'!$D$29:$D$53,'Material Cost '!AV14,'Financials Parameters'!$E$29:$E$53)</f>
        <v>0</v>
      </c>
      <c r="AX14" s="279">
        <f t="shared" si="54"/>
        <v>0</v>
      </c>
      <c r="AY14" s="1099">
        <f t="shared" si="55"/>
        <v>0</v>
      </c>
      <c r="AZ14" s="1091"/>
      <c r="BA14" s="1092"/>
      <c r="BB14" s="656">
        <f t="shared" si="12"/>
        <v>0</v>
      </c>
      <c r="BC14" s="1092"/>
      <c r="BD14" s="1092"/>
      <c r="BE14" s="1093" t="str">
        <f>'Material Cost '!$BD14&amp;$K$1</f>
        <v>RMB</v>
      </c>
      <c r="BF14" s="1090">
        <f>+SUMIF('Financials Parameters'!$D$29:$D$53,'Material Cost '!BE14,'Financials Parameters'!$E$29:$E$53)</f>
        <v>0</v>
      </c>
      <c r="BG14" s="1096">
        <f t="shared" si="71"/>
        <v>0</v>
      </c>
      <c r="BH14" s="1102">
        <f t="shared" si="13"/>
        <v>0</v>
      </c>
      <c r="BI14" s="114">
        <f t="shared" si="76"/>
        <v>0</v>
      </c>
      <c r="BJ14" s="33">
        <f t="shared" si="14"/>
        <v>0</v>
      </c>
      <c r="BK14" s="33">
        <f t="shared" si="15"/>
        <v>0</v>
      </c>
      <c r="BL14" s="33">
        <f t="shared" ref="BL14:BL18" si="77">+BJ14+BK14</f>
        <v>0</v>
      </c>
      <c r="BM14" s="1103">
        <f t="shared" si="16"/>
        <v>0.15</v>
      </c>
      <c r="BN14" s="1106">
        <f t="shared" si="17"/>
        <v>0</v>
      </c>
      <c r="BO14" s="33">
        <f t="shared" si="18"/>
        <v>0</v>
      </c>
      <c r="BP14" s="33">
        <f t="shared" si="19"/>
        <v>0</v>
      </c>
      <c r="BQ14" s="33">
        <f t="shared" si="20"/>
        <v>0</v>
      </c>
      <c r="BR14" s="33">
        <f t="shared" si="21"/>
        <v>0</v>
      </c>
      <c r="BS14" s="33">
        <f t="shared" si="22"/>
        <v>0</v>
      </c>
      <c r="BT14" s="28">
        <f t="shared" si="23"/>
        <v>0</v>
      </c>
      <c r="BU14">
        <f t="shared" si="24"/>
        <v>0</v>
      </c>
      <c r="BV14" t="str">
        <f t="shared" si="25"/>
        <v>RMB</v>
      </c>
      <c r="BW14" s="17">
        <f t="shared" si="26"/>
        <v>0</v>
      </c>
      <c r="BX14">
        <f t="shared" si="27"/>
        <v>0</v>
      </c>
      <c r="BY14" s="16">
        <f>+IF('RFQ Data'!D$50&lt;&gt;0,INT('RFQ Data'!D$50/$AN14)+1,0)</f>
        <v>0</v>
      </c>
      <c r="BZ14" s="16">
        <f>+IF($AN14&lt;&gt;0,IF('RFQ Data'!E$50&lt;&gt;0,INT('RFQ Data'!E$50/$AN14)+1,0),0)</f>
        <v>1</v>
      </c>
      <c r="CA14" s="16">
        <f>+IF($AN14&lt;&gt;0,IF('RFQ Data'!F$50&lt;&gt;0,INT('RFQ Data'!F$50/$AN14)+1,0),0)</f>
        <v>1</v>
      </c>
      <c r="CB14" s="16">
        <f>+IF($AN14&lt;&gt;0,IF('RFQ Data'!G$50&lt;&gt;0,INT('RFQ Data'!G$50/$AN14)+1,0),0)</f>
        <v>1</v>
      </c>
      <c r="CC14" s="16">
        <f>+IF($AN14&lt;&gt;0,IF('RFQ Data'!H$50&lt;&gt;0,INT('RFQ Data'!H$50/$AN14)+1,0),0)</f>
        <v>1</v>
      </c>
      <c r="CD14" s="16">
        <f>+IF($AN14&lt;&gt;0,IF('RFQ Data'!I$50&lt;&gt;0,INT('RFQ Data'!I$50/$AN14)+1,0),0)</f>
        <v>1</v>
      </c>
      <c r="CF14" s="16">
        <f t="shared" ref="CF14:CF18" si="78">+IF(BZ14&lt;BY14,BY14,BZ14)</f>
        <v>1</v>
      </c>
      <c r="CG14" s="16">
        <f t="shared" ref="CG14:CG18" si="79">+IF(CA14&lt;BZ14,CF14,CA14)</f>
        <v>1</v>
      </c>
      <c r="CH14" s="16">
        <f t="shared" ref="CH14:CH18" si="80">+IF(CB14&lt;CA14,CG14,CB14)</f>
        <v>1</v>
      </c>
      <c r="CI14" s="16">
        <f t="shared" ref="CI14:CI18" si="81">+IF(CC14&lt;CB14,CH14,CC14)</f>
        <v>1</v>
      </c>
      <c r="CJ14" s="16">
        <f t="shared" ref="CJ14:CJ18" si="82">+IF(CD14&lt;CC14,CI14,CD14)</f>
        <v>1</v>
      </c>
      <c r="CK14" s="16">
        <f t="shared" ref="CK14:CK18" si="83">+IF(CE14&lt;CD14,CJ14,CE14)</f>
        <v>1</v>
      </c>
      <c r="CM14" s="16">
        <f t="shared" ref="CM14:CM18" si="84">+CG14</f>
        <v>1</v>
      </c>
      <c r="CN14" s="16">
        <f>+CG14-SUM($CM14:CM14)</f>
        <v>0</v>
      </c>
      <c r="CO14" s="16">
        <f>+CH14-SUM($CM14:CN14)</f>
        <v>0</v>
      </c>
      <c r="CP14" s="16">
        <f>+CI14-SUM($CM14:CO14)</f>
        <v>0</v>
      </c>
      <c r="CQ14" s="16">
        <f>+CJ14-SUM($CM14:CP14)</f>
        <v>0</v>
      </c>
      <c r="CR14" s="16">
        <f>+CK14-SUM($CM14:CQ14)</f>
        <v>0</v>
      </c>
      <c r="CT14" s="55">
        <f t="shared" si="29"/>
        <v>0</v>
      </c>
      <c r="CU14" s="55">
        <f t="shared" si="30"/>
        <v>0</v>
      </c>
      <c r="CV14" s="55">
        <f t="shared" si="31"/>
        <v>0</v>
      </c>
      <c r="CW14" s="55">
        <f t="shared" si="32"/>
        <v>0</v>
      </c>
      <c r="CX14" s="55">
        <f t="shared" si="33"/>
        <v>0</v>
      </c>
      <c r="CY14" s="55">
        <f t="shared" si="34"/>
        <v>0</v>
      </c>
      <c r="CZ14" s="16"/>
      <c r="DA14" s="1720">
        <f t="shared" si="35"/>
        <v>0</v>
      </c>
      <c r="DB14" s="260">
        <f t="shared" si="36"/>
        <v>0</v>
      </c>
      <c r="DC14" s="260">
        <f t="shared" si="37"/>
        <v>0</v>
      </c>
      <c r="DD14" s="260">
        <f t="shared" si="38"/>
        <v>0</v>
      </c>
      <c r="DE14" s="260">
        <f t="shared" si="39"/>
        <v>0</v>
      </c>
      <c r="DF14" s="439">
        <f t="shared" si="40"/>
        <v>0</v>
      </c>
      <c r="DG14" s="316" t="str">
        <f t="shared" si="41"/>
        <v/>
      </c>
      <c r="DH14" s="1720">
        <f t="shared" ref="DH14:DH18" si="85">+CT14-DA14</f>
        <v>0</v>
      </c>
      <c r="DI14" s="260">
        <f t="shared" ref="DI14:DI18" si="86">+CU14-DB14</f>
        <v>0</v>
      </c>
      <c r="DJ14" s="260">
        <f t="shared" ref="DJ14:DJ18" si="87">+CV14-DC14</f>
        <v>0</v>
      </c>
      <c r="DK14" s="260">
        <f t="shared" ref="DK14:DK18" si="88">+CW14-DD14</f>
        <v>0</v>
      </c>
      <c r="DL14" s="260">
        <f t="shared" ref="DL14:DL18" si="89">+CX14-DE14</f>
        <v>0</v>
      </c>
      <c r="DM14" s="439">
        <f t="shared" ref="DM14:DM18" si="90">+CY14-DF14</f>
        <v>0</v>
      </c>
      <c r="DO14" s="2">
        <f t="shared" si="43"/>
        <v>0</v>
      </c>
      <c r="DR14" s="2" t="str">
        <f t="shared" si="44"/>
        <v xml:space="preserve">Material - </v>
      </c>
      <c r="DS14" s="2" t="str">
        <f t="shared" si="45"/>
        <v/>
      </c>
      <c r="DT14" s="16">
        <f t="shared" si="46"/>
        <v>0</v>
      </c>
      <c r="DU14" s="16"/>
      <c r="DV14" s="2" t="str">
        <f t="shared" si="47"/>
        <v/>
      </c>
      <c r="DW14" s="16">
        <f t="shared" si="48"/>
        <v>0</v>
      </c>
      <c r="DX14" s="16">
        <f t="shared" si="49"/>
        <v>0</v>
      </c>
      <c r="DZ14" s="16"/>
      <c r="EA14" s="16">
        <f t="shared" si="50"/>
        <v>0</v>
      </c>
      <c r="EB14" s="16">
        <f>+IF(AO14&lt;&gt;0,(INT(SUM('RFQ Data'!$C$31:$H$31)*F14/AO14)+1)*AK14,0)</f>
        <v>0</v>
      </c>
      <c r="EC14" s="16">
        <f>+(EB14+EA14)/SUM('RFQ Data'!$C$31:$H$31)</f>
        <v>0</v>
      </c>
      <c r="ED14" s="16">
        <f t="shared" si="67"/>
        <v>0</v>
      </c>
      <c r="EF14" s="25">
        <f t="shared" si="51"/>
        <v>0</v>
      </c>
      <c r="EG14" s="163">
        <f t="shared" si="68"/>
        <v>0</v>
      </c>
      <c r="EH14">
        <f>+'RFQ Data'!C$31*'Material Cost '!$F14</f>
        <v>0</v>
      </c>
      <c r="EI14">
        <f>+'RFQ Data'!D$31*'Material Cost '!$F14</f>
        <v>0</v>
      </c>
      <c r="EJ14">
        <f>+'RFQ Data'!E$31*'Material Cost '!$F14</f>
        <v>0</v>
      </c>
      <c r="EK14">
        <f>+'RFQ Data'!F$31*'Material Cost '!$F14</f>
        <v>0</v>
      </c>
      <c r="EL14">
        <f>+'RFQ Data'!G$31*'Material Cost '!$F14</f>
        <v>0</v>
      </c>
      <c r="EM14">
        <f>+'RFQ Data'!H$31*'Material Cost '!$F14</f>
        <v>0</v>
      </c>
    </row>
    <row r="15" spans="1:143" ht="15" thickBot="1">
      <c r="A15" s="171">
        <f t="shared" si="69"/>
        <v>10</v>
      </c>
      <c r="B15" s="161">
        <f t="shared" si="6"/>
        <v>0</v>
      </c>
      <c r="C15" s="1893" t="str">
        <f>IF(Purchasing!A12="","",Purchasing!A12)</f>
        <v/>
      </c>
      <c r="D15" s="1894" t="str">
        <f>IF(Purchasing!B12="","",Purchasing!B12)</f>
        <v/>
      </c>
      <c r="E15" s="1894" t="str">
        <f>IF(Purchasing!P12="","",Purchasing!P12)</f>
        <v/>
      </c>
      <c r="F15" s="1895">
        <f>IF(Purchasing!K12&lt;&gt;"",IF(Purchasing!K12="","",Purchasing!K12),0)</f>
        <v>0</v>
      </c>
      <c r="G15" s="1895" t="str">
        <f>IF(Purchasing!L12="","",Purchasing!L12)</f>
        <v/>
      </c>
      <c r="H15" s="1895" t="str">
        <f>IF(Purchasing!M12="","",Purchasing!M12)</f>
        <v/>
      </c>
      <c r="I15" s="1895" t="str">
        <f>IF(Purchasing!N12="","",Purchasing!N12)</f>
        <v/>
      </c>
      <c r="J15" s="1898" t="str">
        <f>IF(Purchasing!J12&lt;&gt;"",Purchasing!J12,"")</f>
        <v/>
      </c>
      <c r="K15" s="1896" t="str">
        <f>IF(Purchasing!BP12="-","",Purchasing!BP12)</f>
        <v/>
      </c>
      <c r="L15" s="1906">
        <f>Purchasing!I12</f>
        <v>0</v>
      </c>
      <c r="M15" s="241">
        <f>Purchasing!H12</f>
        <v>0</v>
      </c>
      <c r="N15" s="241"/>
      <c r="O15" s="1897" t="str">
        <f>IF(Q15&lt;&gt;0,IF(Q15=Purchasing!W12,"Estimated", "Offer"),"")</f>
        <v/>
      </c>
      <c r="P15" s="1903" t="str">
        <f>IF(Purchasing!G12&lt;&gt;0,Purchasing!G12,"")</f>
        <v/>
      </c>
      <c r="Q15" s="1904">
        <f>IF(Purchasing!BP12=Purchasing!Z12,Purchasing!AB12,IF(Purchasing!BP12=Purchasing!AN12,Purchasing!AP12,IF(Purchasing!BP12=Purchasing!BB12,Purchasing!BD12,Purchasing!W12)))</f>
        <v>0</v>
      </c>
      <c r="R15" s="243">
        <f>IF(Purchasing!BP12=Purchasing!Z12,Purchasing!AC12,IF(Purchasing!BP12=Purchasing!AN12,Purchasing!AR12,IF(Purchasing!BP12=Purchasing!BB12,Purchasing!BF12,Purchasing!X12)))</f>
        <v>0</v>
      </c>
      <c r="S15" s="284" t="str">
        <f t="shared" si="70"/>
        <v>RMB</v>
      </c>
      <c r="T15" s="285" t="str">
        <f t="shared" si="52"/>
        <v>0RMB</v>
      </c>
      <c r="U15" s="1069">
        <f>+SUMIF('Financials Parameters'!$D$29:$D$53,'Material Cost '!T15,'Financials Parameters'!$E$29:$E$53)</f>
        <v>0</v>
      </c>
      <c r="V15" s="244">
        <v>0</v>
      </c>
      <c r="W15" s="245">
        <v>0</v>
      </c>
      <c r="X15" s="246">
        <v>0</v>
      </c>
      <c r="Y15" s="1810">
        <f t="shared" si="7"/>
        <v>0</v>
      </c>
      <c r="Z15" s="1909"/>
      <c r="AA15" s="319"/>
      <c r="AB15" s="1917" t="str">
        <f t="shared" si="8"/>
        <v>China + South pacific</v>
      </c>
      <c r="AC15" s="276"/>
      <c r="AD15" s="1145">
        <f>IF(AA15&lt;&gt;"",IF(AND($J$1=AA15,$O$1&gt;VLOOKUP($J$1,'Financials Parameters'!$N$30:$P$35,3,FALSE)),'Financials Parameters'!$O$28,'Financials Parameters'!$Q$28),0)</f>
        <v>0</v>
      </c>
      <c r="AE15" s="1146">
        <f>IF(AA15&lt;&gt;"",VLOOKUP(AB15,'Financials Parameters'!$R$38:$S$73,2,FALSE),0)</f>
        <v>0</v>
      </c>
      <c r="AF15" s="1147">
        <f>IF(AA15&lt;&gt;"",VLOOKUP(AA15,'Financials Parameters'!$N$30:$S$35,6,FALSE),0)</f>
        <v>0</v>
      </c>
      <c r="AG15" s="1818"/>
      <c r="AH15" s="1819"/>
      <c r="AI15" s="2059" t="str">
        <f t="shared" si="75"/>
        <v>RMB</v>
      </c>
      <c r="AJ15" s="2059">
        <f>IF(AG15&lt;&gt;0,VLOOKUP(AI15,'Financials Parameters'!$D$29:$E$53,2,FALSE),0)</f>
        <v>0</v>
      </c>
      <c r="AK15" s="2059">
        <f t="shared" si="53"/>
        <v>0</v>
      </c>
      <c r="AL15" s="1820" t="s">
        <v>300</v>
      </c>
      <c r="AM15" s="1821"/>
      <c r="AN15" s="1028">
        <f t="shared" si="10"/>
        <v>1000000000000</v>
      </c>
      <c r="AO15" s="1821"/>
      <c r="AP15" s="1828" t="s">
        <v>149</v>
      </c>
      <c r="AQ15" s="280"/>
      <c r="AR15" s="280"/>
      <c r="AS15" s="1022">
        <f t="shared" si="11"/>
        <v>0</v>
      </c>
      <c r="AT15" s="315"/>
      <c r="AU15" s="315"/>
      <c r="AV15" s="1030" t="str">
        <f>'Material Cost '!$AU15&amp;$K$1</f>
        <v>RMB</v>
      </c>
      <c r="AW15" s="176">
        <f>+SUMIF('Financials Parameters'!$D$29:$D$53,'Material Cost '!AV15,'Financials Parameters'!$E$29:$E$53)</f>
        <v>0</v>
      </c>
      <c r="AX15" s="279">
        <f t="shared" si="54"/>
        <v>0</v>
      </c>
      <c r="AY15" s="1099">
        <f t="shared" si="55"/>
        <v>0</v>
      </c>
      <c r="AZ15" s="1091"/>
      <c r="BA15" s="1092"/>
      <c r="BB15" s="656">
        <f t="shared" si="12"/>
        <v>0</v>
      </c>
      <c r="BC15" s="1092"/>
      <c r="BD15" s="1092"/>
      <c r="BE15" s="1093" t="str">
        <f>'Material Cost '!$BD15&amp;$K$1</f>
        <v>RMB</v>
      </c>
      <c r="BF15" s="1090">
        <f>+SUMIF('Financials Parameters'!$D$29:$D$53,'Material Cost '!BE15,'Financials Parameters'!$E$29:$E$53)</f>
        <v>0</v>
      </c>
      <c r="BG15" s="1096">
        <f t="shared" si="71"/>
        <v>0</v>
      </c>
      <c r="BH15" s="1102">
        <f t="shared" si="13"/>
        <v>0</v>
      </c>
      <c r="BI15" s="114">
        <f t="shared" si="76"/>
        <v>0</v>
      </c>
      <c r="BJ15" s="33">
        <f t="shared" si="14"/>
        <v>0</v>
      </c>
      <c r="BK15" s="33">
        <f t="shared" si="15"/>
        <v>0</v>
      </c>
      <c r="BL15" s="33">
        <f t="shared" si="77"/>
        <v>0</v>
      </c>
      <c r="BM15" s="1103">
        <f t="shared" si="16"/>
        <v>0.15</v>
      </c>
      <c r="BN15" s="1106">
        <f t="shared" si="17"/>
        <v>0</v>
      </c>
      <c r="BO15" s="33">
        <f t="shared" si="18"/>
        <v>0</v>
      </c>
      <c r="BP15" s="33">
        <f t="shared" si="19"/>
        <v>0</v>
      </c>
      <c r="BQ15" s="33">
        <f t="shared" si="20"/>
        <v>0</v>
      </c>
      <c r="BR15" s="33">
        <f t="shared" si="21"/>
        <v>0</v>
      </c>
      <c r="BS15" s="33">
        <f t="shared" si="22"/>
        <v>0</v>
      </c>
      <c r="BT15" s="28">
        <f t="shared" si="23"/>
        <v>0</v>
      </c>
      <c r="BU15">
        <f t="shared" si="24"/>
        <v>0</v>
      </c>
      <c r="BV15" t="str">
        <f t="shared" si="25"/>
        <v>RMB</v>
      </c>
      <c r="BW15" s="17">
        <f t="shared" si="26"/>
        <v>0</v>
      </c>
      <c r="BX15">
        <f t="shared" si="27"/>
        <v>0</v>
      </c>
      <c r="BY15" s="16">
        <f>+IF('RFQ Data'!D$50&lt;&gt;0,INT('RFQ Data'!D$50/$AN15)+1,0)</f>
        <v>0</v>
      </c>
      <c r="BZ15" s="16">
        <f>+IF($AN15&lt;&gt;0,IF('RFQ Data'!E$50&lt;&gt;0,INT('RFQ Data'!E$50/$AN15)+1,0),0)</f>
        <v>1</v>
      </c>
      <c r="CA15" s="16">
        <f>+IF($AN15&lt;&gt;0,IF('RFQ Data'!F$50&lt;&gt;0,INT('RFQ Data'!F$50/$AN15)+1,0),0)</f>
        <v>1</v>
      </c>
      <c r="CB15" s="16">
        <f>+IF($AN15&lt;&gt;0,IF('RFQ Data'!G$50&lt;&gt;0,INT('RFQ Data'!G$50/$AN15)+1,0),0)</f>
        <v>1</v>
      </c>
      <c r="CC15" s="16">
        <f>+IF($AN15&lt;&gt;0,IF('RFQ Data'!H$50&lt;&gt;0,INT('RFQ Data'!H$50/$AN15)+1,0),0)</f>
        <v>1</v>
      </c>
      <c r="CD15" s="16">
        <f>+IF($AN15&lt;&gt;0,IF('RFQ Data'!I$50&lt;&gt;0,INT('RFQ Data'!I$50/$AN15)+1,0),0)</f>
        <v>1</v>
      </c>
      <c r="CF15" s="16">
        <f t="shared" si="78"/>
        <v>1</v>
      </c>
      <c r="CG15" s="16">
        <f t="shared" si="79"/>
        <v>1</v>
      </c>
      <c r="CH15" s="16">
        <f t="shared" si="80"/>
        <v>1</v>
      </c>
      <c r="CI15" s="16">
        <f t="shared" si="81"/>
        <v>1</v>
      </c>
      <c r="CJ15" s="16">
        <f t="shared" si="82"/>
        <v>1</v>
      </c>
      <c r="CK15" s="16">
        <f t="shared" si="83"/>
        <v>1</v>
      </c>
      <c r="CM15" s="16">
        <f t="shared" si="84"/>
        <v>1</v>
      </c>
      <c r="CN15" s="16">
        <f>+CG15-SUM($CM15:CM15)</f>
        <v>0</v>
      </c>
      <c r="CO15" s="16">
        <f>+CH15-SUM($CM15:CN15)</f>
        <v>0</v>
      </c>
      <c r="CP15" s="16">
        <f>+CI15-SUM($CM15:CO15)</f>
        <v>0</v>
      </c>
      <c r="CQ15" s="16">
        <f>+CJ15-SUM($CM15:CP15)</f>
        <v>0</v>
      </c>
      <c r="CR15" s="16">
        <f>+CK15-SUM($CM15:CQ15)</f>
        <v>0</v>
      </c>
      <c r="CT15" s="55">
        <f t="shared" si="29"/>
        <v>0</v>
      </c>
      <c r="CU15" s="55">
        <f t="shared" si="30"/>
        <v>0</v>
      </c>
      <c r="CV15" s="55">
        <f t="shared" si="31"/>
        <v>0</v>
      </c>
      <c r="CW15" s="55">
        <f t="shared" si="32"/>
        <v>0</v>
      </c>
      <c r="CX15" s="55">
        <f t="shared" si="33"/>
        <v>0</v>
      </c>
      <c r="CY15" s="55">
        <f t="shared" si="34"/>
        <v>0</v>
      </c>
      <c r="CZ15" s="16"/>
      <c r="DA15" s="1720">
        <f t="shared" si="35"/>
        <v>0</v>
      </c>
      <c r="DB15" s="260">
        <f t="shared" si="36"/>
        <v>0</v>
      </c>
      <c r="DC15" s="260">
        <f t="shared" si="37"/>
        <v>0</v>
      </c>
      <c r="DD15" s="260">
        <f t="shared" si="38"/>
        <v>0</v>
      </c>
      <c r="DE15" s="260">
        <f t="shared" si="39"/>
        <v>0</v>
      </c>
      <c r="DF15" s="439">
        <f t="shared" si="40"/>
        <v>0</v>
      </c>
      <c r="DG15" s="316" t="str">
        <f t="shared" si="41"/>
        <v/>
      </c>
      <c r="DH15" s="1720">
        <f t="shared" si="85"/>
        <v>0</v>
      </c>
      <c r="DI15" s="260">
        <f t="shared" si="86"/>
        <v>0</v>
      </c>
      <c r="DJ15" s="260">
        <f t="shared" si="87"/>
        <v>0</v>
      </c>
      <c r="DK15" s="260">
        <f t="shared" si="88"/>
        <v>0</v>
      </c>
      <c r="DL15" s="260">
        <f t="shared" si="89"/>
        <v>0</v>
      </c>
      <c r="DM15" s="439">
        <f t="shared" si="90"/>
        <v>0</v>
      </c>
      <c r="DO15" s="2">
        <f t="shared" si="43"/>
        <v>0</v>
      </c>
      <c r="DR15" s="2" t="str">
        <f t="shared" si="44"/>
        <v xml:space="preserve">Material - </v>
      </c>
      <c r="DS15" s="2" t="str">
        <f t="shared" si="45"/>
        <v/>
      </c>
      <c r="DT15" s="16">
        <f t="shared" si="46"/>
        <v>0</v>
      </c>
      <c r="DU15" s="16"/>
      <c r="DV15" s="2" t="str">
        <f t="shared" si="47"/>
        <v/>
      </c>
      <c r="DW15" s="16">
        <f t="shared" si="48"/>
        <v>0</v>
      </c>
      <c r="DX15" s="16">
        <f t="shared" si="49"/>
        <v>0</v>
      </c>
      <c r="DZ15" s="16"/>
      <c r="EA15" s="16">
        <f t="shared" si="50"/>
        <v>0</v>
      </c>
      <c r="EB15" s="16">
        <f>+IF(AO15&lt;&gt;0,(INT(SUM('RFQ Data'!$C$31:$H$31)*F15/AO15)+1)*AK15,0)</f>
        <v>0</v>
      </c>
      <c r="EC15" s="16">
        <f>+(EB15+EA15)/SUM('RFQ Data'!$C$31:$H$31)</f>
        <v>0</v>
      </c>
      <c r="ED15" s="16">
        <f t="shared" si="67"/>
        <v>0</v>
      </c>
      <c r="EF15" s="25">
        <f t="shared" si="51"/>
        <v>0</v>
      </c>
      <c r="EG15" s="163">
        <f t="shared" si="68"/>
        <v>0</v>
      </c>
      <c r="EH15">
        <f>+'RFQ Data'!C$31*'Material Cost '!$F15</f>
        <v>0</v>
      </c>
      <c r="EI15">
        <f>+'RFQ Data'!D$31*'Material Cost '!$F15</f>
        <v>0</v>
      </c>
      <c r="EJ15">
        <f>+'RFQ Data'!E$31*'Material Cost '!$F15</f>
        <v>0</v>
      </c>
      <c r="EK15">
        <f>+'RFQ Data'!F$31*'Material Cost '!$F15</f>
        <v>0</v>
      </c>
      <c r="EL15">
        <f>+'RFQ Data'!G$31*'Material Cost '!$F15</f>
        <v>0</v>
      </c>
      <c r="EM15">
        <f>+'RFQ Data'!H$31*'Material Cost '!$F15</f>
        <v>0</v>
      </c>
    </row>
    <row r="16" spans="1:143" ht="15" thickBot="1">
      <c r="A16" s="171">
        <f t="shared" si="69"/>
        <v>11</v>
      </c>
      <c r="B16" s="161">
        <f t="shared" si="6"/>
        <v>0</v>
      </c>
      <c r="C16" s="1893" t="str">
        <f>IF(Purchasing!A13="","",Purchasing!A13)</f>
        <v/>
      </c>
      <c r="D16" s="1894" t="str">
        <f>IF(Purchasing!B13="","",Purchasing!B13)</f>
        <v/>
      </c>
      <c r="E16" s="1894" t="str">
        <f>IF(Purchasing!P13="","",Purchasing!P13)</f>
        <v/>
      </c>
      <c r="F16" s="1895">
        <f>IF(Purchasing!K13&lt;&gt;"",IF(Purchasing!K13="","",Purchasing!K13),0)</f>
        <v>0</v>
      </c>
      <c r="G16" s="1895" t="str">
        <f>IF(Purchasing!L13="","",Purchasing!L13)</f>
        <v/>
      </c>
      <c r="H16" s="1895" t="str">
        <f>IF(Purchasing!M13="","",Purchasing!M13)</f>
        <v/>
      </c>
      <c r="I16" s="1895" t="str">
        <f>IF(Purchasing!N13="","",Purchasing!N13)</f>
        <v/>
      </c>
      <c r="J16" s="1898" t="str">
        <f>IF(Purchasing!J13&lt;&gt;"",Purchasing!J13,"")</f>
        <v/>
      </c>
      <c r="K16" s="1896" t="str">
        <f>IF(Purchasing!BP13="-","",Purchasing!BP13)</f>
        <v/>
      </c>
      <c r="L16" s="1906">
        <f>Purchasing!I13</f>
        <v>0</v>
      </c>
      <c r="M16" s="241">
        <f>Purchasing!H13</f>
        <v>0</v>
      </c>
      <c r="N16" s="241"/>
      <c r="O16" s="1897" t="str">
        <f>IF(Q16&lt;&gt;0,IF(Q16=Purchasing!W13,"Estimated", "Offer"),"")</f>
        <v/>
      </c>
      <c r="P16" s="1903" t="str">
        <f>IF(Purchasing!G13&lt;&gt;0,Purchasing!G13,"")</f>
        <v/>
      </c>
      <c r="Q16" s="1904">
        <f>IF(Purchasing!BP13=Purchasing!Z13,Purchasing!AB13,IF(Purchasing!BP13=Purchasing!AN13,Purchasing!AP13,IF(Purchasing!BP13=Purchasing!BB13,Purchasing!BD13,Purchasing!W13)))</f>
        <v>0</v>
      </c>
      <c r="R16" s="243">
        <f>IF(Purchasing!BP13=Purchasing!Z13,Purchasing!AC13,IF(Purchasing!BP13=Purchasing!AN13,Purchasing!AR13,IF(Purchasing!BP13=Purchasing!BB13,Purchasing!BF13,Purchasing!X13)))</f>
        <v>0</v>
      </c>
      <c r="S16" s="284" t="str">
        <f t="shared" si="70"/>
        <v>RMB</v>
      </c>
      <c r="T16" s="285" t="str">
        <f t="shared" si="52"/>
        <v>0RMB</v>
      </c>
      <c r="U16" s="1069">
        <f>+SUMIF('Financials Parameters'!$D$29:$D$53,'Material Cost '!T16,'Financials Parameters'!$E$29:$E$53)</f>
        <v>0</v>
      </c>
      <c r="V16" s="244">
        <v>0</v>
      </c>
      <c r="W16" s="245">
        <v>0</v>
      </c>
      <c r="X16" s="246">
        <v>0</v>
      </c>
      <c r="Y16" s="1810">
        <f t="shared" si="7"/>
        <v>0</v>
      </c>
      <c r="Z16" s="1909"/>
      <c r="AA16" s="319"/>
      <c r="AB16" s="1917" t="str">
        <f t="shared" si="8"/>
        <v>China + South pacific</v>
      </c>
      <c r="AC16" s="276"/>
      <c r="AD16" s="1145">
        <f>IF(AA16&lt;&gt;"",IF(AND($J$1=AA16,$O$1&gt;VLOOKUP($J$1,'Financials Parameters'!$N$30:$P$35,3,FALSE)),'Financials Parameters'!$O$28,'Financials Parameters'!$Q$28),0)</f>
        <v>0</v>
      </c>
      <c r="AE16" s="1146">
        <f>IF(AA16&lt;&gt;"",VLOOKUP(AB16,'Financials Parameters'!$R$38:$S$73,2,FALSE),0)</f>
        <v>0</v>
      </c>
      <c r="AF16" s="1147">
        <f>IF(AA16&lt;&gt;"",VLOOKUP(AA16,'Financials Parameters'!$N$30:$S$35,6,FALSE),0)</f>
        <v>0</v>
      </c>
      <c r="AG16" s="1818"/>
      <c r="AH16" s="1819"/>
      <c r="AI16" s="2059" t="str">
        <f t="shared" si="75"/>
        <v>RMB</v>
      </c>
      <c r="AJ16" s="2059">
        <f>IF(AG16&lt;&gt;0,VLOOKUP(AI16,'Financials Parameters'!$D$29:$E$53,2,FALSE),0)</f>
        <v>0</v>
      </c>
      <c r="AK16" s="2059">
        <f t="shared" si="53"/>
        <v>0</v>
      </c>
      <c r="AL16" s="1820" t="s">
        <v>300</v>
      </c>
      <c r="AM16" s="1821"/>
      <c r="AN16" s="1028">
        <f t="shared" si="10"/>
        <v>1000000000000</v>
      </c>
      <c r="AO16" s="1821"/>
      <c r="AP16" s="1828" t="s">
        <v>149</v>
      </c>
      <c r="AQ16" s="280"/>
      <c r="AR16" s="280"/>
      <c r="AS16" s="1022">
        <f t="shared" si="11"/>
        <v>0</v>
      </c>
      <c r="AT16" s="281"/>
      <c r="AU16" s="281"/>
      <c r="AV16" s="1030" t="str">
        <f>'Material Cost '!$AU16&amp;$K$1</f>
        <v>RMB</v>
      </c>
      <c r="AW16" s="176">
        <f>+SUMIF('Financials Parameters'!$D$29:$D$53,'Material Cost '!AV16,'Financials Parameters'!$E$29:$E$53)</f>
        <v>0</v>
      </c>
      <c r="AX16" s="279">
        <f t="shared" si="54"/>
        <v>0</v>
      </c>
      <c r="AY16" s="1099">
        <f t="shared" si="55"/>
        <v>0</v>
      </c>
      <c r="AZ16" s="1091"/>
      <c r="BA16" s="1092"/>
      <c r="BB16" s="656">
        <f t="shared" si="12"/>
        <v>0</v>
      </c>
      <c r="BC16" s="1092"/>
      <c r="BD16" s="1092"/>
      <c r="BE16" s="1093" t="str">
        <f>'Material Cost '!$BD16&amp;$K$1</f>
        <v>RMB</v>
      </c>
      <c r="BF16" s="1090">
        <f>+SUMIF('Financials Parameters'!$D$29:$D$53,'Material Cost '!BE16,'Financials Parameters'!$E$29:$E$53)</f>
        <v>0</v>
      </c>
      <c r="BG16" s="1096">
        <f t="shared" si="71"/>
        <v>0</v>
      </c>
      <c r="BH16" s="1102">
        <f t="shared" si="13"/>
        <v>0</v>
      </c>
      <c r="BI16" s="114">
        <f t="shared" si="76"/>
        <v>0</v>
      </c>
      <c r="BJ16" s="33">
        <f t="shared" si="14"/>
        <v>0</v>
      </c>
      <c r="BK16" s="33">
        <f t="shared" si="15"/>
        <v>0</v>
      </c>
      <c r="BL16" s="33">
        <f t="shared" si="77"/>
        <v>0</v>
      </c>
      <c r="BM16" s="1103">
        <f t="shared" si="16"/>
        <v>0.15</v>
      </c>
      <c r="BN16" s="1106">
        <f t="shared" si="17"/>
        <v>0</v>
      </c>
      <c r="BO16" s="33">
        <f t="shared" si="18"/>
        <v>0</v>
      </c>
      <c r="BP16" s="33">
        <f t="shared" si="19"/>
        <v>0</v>
      </c>
      <c r="BQ16" s="33">
        <f t="shared" si="20"/>
        <v>0</v>
      </c>
      <c r="BR16" s="33">
        <f t="shared" si="21"/>
        <v>0</v>
      </c>
      <c r="BS16" s="33">
        <f t="shared" si="22"/>
        <v>0</v>
      </c>
      <c r="BT16" s="28">
        <f t="shared" si="23"/>
        <v>0</v>
      </c>
      <c r="BU16">
        <f t="shared" si="24"/>
        <v>0</v>
      </c>
      <c r="BV16" t="str">
        <f t="shared" si="25"/>
        <v>RMB</v>
      </c>
      <c r="BW16" s="17">
        <f t="shared" si="26"/>
        <v>0</v>
      </c>
      <c r="BX16">
        <f t="shared" si="27"/>
        <v>0</v>
      </c>
      <c r="BY16" s="16">
        <f>+IF('RFQ Data'!D$50&lt;&gt;0,INT('RFQ Data'!D$50/$AN16)+1,0)</f>
        <v>0</v>
      </c>
      <c r="BZ16" s="16">
        <f>+IF($AN16&lt;&gt;0,IF('RFQ Data'!E$50&lt;&gt;0,INT('RFQ Data'!E$50/$AN16)+1,0),0)</f>
        <v>1</v>
      </c>
      <c r="CA16" s="16">
        <f>+IF($AN16&lt;&gt;0,IF('RFQ Data'!F$50&lt;&gt;0,INT('RFQ Data'!F$50/$AN16)+1,0),0)</f>
        <v>1</v>
      </c>
      <c r="CB16" s="16">
        <f>+IF($AN16&lt;&gt;0,IF('RFQ Data'!G$50&lt;&gt;0,INT('RFQ Data'!G$50/$AN16)+1,0),0)</f>
        <v>1</v>
      </c>
      <c r="CC16" s="16">
        <f>+IF($AN16&lt;&gt;0,IF('RFQ Data'!H$50&lt;&gt;0,INT('RFQ Data'!H$50/$AN16)+1,0),0)</f>
        <v>1</v>
      </c>
      <c r="CD16" s="16">
        <f>+IF($AN16&lt;&gt;0,IF('RFQ Data'!I$50&lt;&gt;0,INT('RFQ Data'!I$50/$AN16)+1,0),0)</f>
        <v>1</v>
      </c>
      <c r="CF16" s="16">
        <f t="shared" si="78"/>
        <v>1</v>
      </c>
      <c r="CG16" s="16">
        <f t="shared" si="79"/>
        <v>1</v>
      </c>
      <c r="CH16" s="16">
        <f t="shared" si="80"/>
        <v>1</v>
      </c>
      <c r="CI16" s="16">
        <f t="shared" si="81"/>
        <v>1</v>
      </c>
      <c r="CJ16" s="16">
        <f t="shared" si="82"/>
        <v>1</v>
      </c>
      <c r="CK16" s="16">
        <f t="shared" si="83"/>
        <v>1</v>
      </c>
      <c r="CM16" s="16">
        <f t="shared" si="84"/>
        <v>1</v>
      </c>
      <c r="CN16" s="16">
        <f>+CG16-SUM($CM16:CM16)</f>
        <v>0</v>
      </c>
      <c r="CO16" s="16">
        <f>+CH16-SUM($CM16:CN16)</f>
        <v>0</v>
      </c>
      <c r="CP16" s="16">
        <f>+CI16-SUM($CM16:CO16)</f>
        <v>0</v>
      </c>
      <c r="CQ16" s="16">
        <f>+CJ16-SUM($CM16:CP16)</f>
        <v>0</v>
      </c>
      <c r="CR16" s="16">
        <f>+CK16-SUM($CM16:CQ16)</f>
        <v>0</v>
      </c>
      <c r="CT16" s="55">
        <f t="shared" si="29"/>
        <v>0</v>
      </c>
      <c r="CU16" s="55">
        <f t="shared" si="30"/>
        <v>0</v>
      </c>
      <c r="CV16" s="55">
        <f t="shared" si="31"/>
        <v>0</v>
      </c>
      <c r="CW16" s="55">
        <f t="shared" si="32"/>
        <v>0</v>
      </c>
      <c r="CX16" s="55">
        <f t="shared" si="33"/>
        <v>0</v>
      </c>
      <c r="CY16" s="55">
        <f t="shared" si="34"/>
        <v>0</v>
      </c>
      <c r="CZ16" s="16"/>
      <c r="DA16" s="1720">
        <f t="shared" si="35"/>
        <v>0</v>
      </c>
      <c r="DB16" s="260">
        <f t="shared" si="36"/>
        <v>0</v>
      </c>
      <c r="DC16" s="260">
        <f t="shared" si="37"/>
        <v>0</v>
      </c>
      <c r="DD16" s="260">
        <f t="shared" si="38"/>
        <v>0</v>
      </c>
      <c r="DE16" s="260">
        <f t="shared" si="39"/>
        <v>0</v>
      </c>
      <c r="DF16" s="439">
        <f t="shared" si="40"/>
        <v>0</v>
      </c>
      <c r="DG16" s="316" t="str">
        <f t="shared" si="41"/>
        <v/>
      </c>
      <c r="DH16" s="1720">
        <f t="shared" si="85"/>
        <v>0</v>
      </c>
      <c r="DI16" s="260">
        <f t="shared" si="86"/>
        <v>0</v>
      </c>
      <c r="DJ16" s="260">
        <f t="shared" si="87"/>
        <v>0</v>
      </c>
      <c r="DK16" s="260">
        <f t="shared" si="88"/>
        <v>0</v>
      </c>
      <c r="DL16" s="260">
        <f t="shared" si="89"/>
        <v>0</v>
      </c>
      <c r="DM16" s="439">
        <f t="shared" si="90"/>
        <v>0</v>
      </c>
      <c r="DO16" s="2">
        <f t="shared" si="43"/>
        <v>0</v>
      </c>
      <c r="DR16" s="2" t="str">
        <f t="shared" si="44"/>
        <v xml:space="preserve">Material - </v>
      </c>
      <c r="DS16" s="2" t="str">
        <f t="shared" si="45"/>
        <v/>
      </c>
      <c r="DT16" s="16">
        <f t="shared" si="46"/>
        <v>0</v>
      </c>
      <c r="DU16" s="16"/>
      <c r="DV16" s="2" t="str">
        <f t="shared" si="47"/>
        <v/>
      </c>
      <c r="DW16" s="16">
        <f t="shared" si="48"/>
        <v>0</v>
      </c>
      <c r="DX16" s="16">
        <f t="shared" si="49"/>
        <v>0</v>
      </c>
      <c r="DZ16" s="16"/>
      <c r="EA16" s="16">
        <f t="shared" si="50"/>
        <v>0</v>
      </c>
      <c r="EB16" s="16">
        <f>+IF(AO16&lt;&gt;0,(INT(SUM('RFQ Data'!$C$31:$H$31)*F16/AO16)+1)*AK16,0)</f>
        <v>0</v>
      </c>
      <c r="EC16" s="16">
        <f>+(EB16+EA16)/SUM('RFQ Data'!$C$31:$H$31)</f>
        <v>0</v>
      </c>
      <c r="ED16" s="16">
        <f t="shared" si="67"/>
        <v>0</v>
      </c>
      <c r="EF16" s="25">
        <f t="shared" si="51"/>
        <v>0</v>
      </c>
      <c r="EG16" s="163">
        <f t="shared" si="68"/>
        <v>0</v>
      </c>
      <c r="EH16">
        <f>+'RFQ Data'!C$31*'Material Cost '!$F16</f>
        <v>0</v>
      </c>
      <c r="EI16">
        <f>+'RFQ Data'!D$31*'Material Cost '!$F16</f>
        <v>0</v>
      </c>
      <c r="EJ16">
        <f>+'RFQ Data'!E$31*'Material Cost '!$F16</f>
        <v>0</v>
      </c>
      <c r="EK16">
        <f>+'RFQ Data'!F$31*'Material Cost '!$F16</f>
        <v>0</v>
      </c>
      <c r="EL16">
        <f>+'RFQ Data'!G$31*'Material Cost '!$F16</f>
        <v>0</v>
      </c>
      <c r="EM16">
        <f>+'RFQ Data'!H$31*'Material Cost '!$F16</f>
        <v>0</v>
      </c>
    </row>
    <row r="17" spans="1:143" ht="15" thickBot="1">
      <c r="A17" s="171">
        <f t="shared" si="69"/>
        <v>12</v>
      </c>
      <c r="B17" s="161">
        <f t="shared" si="6"/>
        <v>0</v>
      </c>
      <c r="C17" s="1893" t="str">
        <f>IF(Purchasing!A14="","",Purchasing!A14)</f>
        <v/>
      </c>
      <c r="D17" s="1894" t="str">
        <f>IF(Purchasing!B14="","",Purchasing!B14)</f>
        <v/>
      </c>
      <c r="E17" s="1894" t="str">
        <f>IF(Purchasing!P14="","",Purchasing!P14)</f>
        <v/>
      </c>
      <c r="F17" s="1895">
        <f>IF(Purchasing!K14&lt;&gt;"",IF(Purchasing!K14="","",Purchasing!K14),0)</f>
        <v>0</v>
      </c>
      <c r="G17" s="1895" t="str">
        <f>IF(Purchasing!L14="","",Purchasing!L14)</f>
        <v/>
      </c>
      <c r="H17" s="1895" t="str">
        <f>IF(Purchasing!M14="","",Purchasing!M14)</f>
        <v/>
      </c>
      <c r="I17" s="1895" t="str">
        <f>IF(Purchasing!N14="","",Purchasing!N14)</f>
        <v/>
      </c>
      <c r="J17" s="1898" t="str">
        <f>IF(Purchasing!J14&lt;&gt;"",Purchasing!J14,"")</f>
        <v/>
      </c>
      <c r="K17" s="1896" t="str">
        <f>IF(Purchasing!BP14="-","",Purchasing!BP14)</f>
        <v/>
      </c>
      <c r="L17" s="1906">
        <f>Purchasing!I14</f>
        <v>0</v>
      </c>
      <c r="M17" s="241">
        <f>Purchasing!H14</f>
        <v>0</v>
      </c>
      <c r="N17" s="241"/>
      <c r="O17" s="1897" t="str">
        <f>IF(Q17&lt;&gt;0,IF(Q17=Purchasing!W14,"Estimated", "Offer"),"")</f>
        <v/>
      </c>
      <c r="P17" s="1903" t="str">
        <f>IF(Purchasing!G14&lt;&gt;0,Purchasing!G14,"")</f>
        <v/>
      </c>
      <c r="Q17" s="1904">
        <f>IF(Purchasing!BP14=Purchasing!Z14,Purchasing!AB14,IF(Purchasing!BP14=Purchasing!AN14,Purchasing!AP14,IF(Purchasing!BP14=Purchasing!BB14,Purchasing!BD14,Purchasing!W14)))</f>
        <v>0</v>
      </c>
      <c r="R17" s="243">
        <f>IF(Purchasing!BP14=Purchasing!Z14,Purchasing!AC14,IF(Purchasing!BP14=Purchasing!AN14,Purchasing!AR14,IF(Purchasing!BP14=Purchasing!BB14,Purchasing!BF14,Purchasing!X14)))</f>
        <v>0</v>
      </c>
      <c r="S17" s="284" t="str">
        <f t="shared" si="70"/>
        <v>RMB</v>
      </c>
      <c r="T17" s="285" t="str">
        <f t="shared" si="52"/>
        <v>0RMB</v>
      </c>
      <c r="U17" s="1069">
        <f>+SUMIF('Financials Parameters'!$D$29:$D$53,'Material Cost '!T17,'Financials Parameters'!$E$29:$E$53)</f>
        <v>0</v>
      </c>
      <c r="V17" s="244">
        <v>0</v>
      </c>
      <c r="W17" s="245">
        <v>0</v>
      </c>
      <c r="X17" s="246">
        <v>0</v>
      </c>
      <c r="Y17" s="1810">
        <f t="shared" si="7"/>
        <v>0</v>
      </c>
      <c r="Z17" s="1909"/>
      <c r="AA17" s="319"/>
      <c r="AB17" s="1917" t="str">
        <f t="shared" si="8"/>
        <v>China + South pacific</v>
      </c>
      <c r="AC17" s="276"/>
      <c r="AD17" s="1145">
        <f>IF(AA17&lt;&gt;"",IF(AND($J$1=AA17,$O$1&gt;VLOOKUP($J$1,'Financials Parameters'!$N$30:$P$35,3,FALSE)),'Financials Parameters'!$O$28,'Financials Parameters'!$Q$28),0)</f>
        <v>0</v>
      </c>
      <c r="AE17" s="1146">
        <f>IF(AA17&lt;&gt;"",VLOOKUP(AB17,'Financials Parameters'!$R$38:$S$73,2,FALSE),0)</f>
        <v>0</v>
      </c>
      <c r="AF17" s="1147">
        <f>IF(AA17&lt;&gt;"",VLOOKUP(AA17,'Financials Parameters'!$N$30:$S$35,6,FALSE),0)</f>
        <v>0</v>
      </c>
      <c r="AG17" s="1818"/>
      <c r="AH17" s="1819"/>
      <c r="AI17" s="2059" t="str">
        <f t="shared" si="75"/>
        <v>RMB</v>
      </c>
      <c r="AJ17" s="2059">
        <f>IF(AG17&lt;&gt;0,VLOOKUP(AI17,'Financials Parameters'!$D$29:$E$53,2,FALSE),0)</f>
        <v>0</v>
      </c>
      <c r="AK17" s="2059">
        <f t="shared" si="53"/>
        <v>0</v>
      </c>
      <c r="AL17" s="1820" t="s">
        <v>300</v>
      </c>
      <c r="AM17" s="1821"/>
      <c r="AN17" s="1028">
        <f t="shared" si="10"/>
        <v>1000000000000</v>
      </c>
      <c r="AO17" s="1821"/>
      <c r="AP17" s="1828" t="s">
        <v>149</v>
      </c>
      <c r="AQ17" s="280"/>
      <c r="AR17" s="280"/>
      <c r="AS17" s="1022">
        <f t="shared" si="11"/>
        <v>0</v>
      </c>
      <c r="AT17" s="281"/>
      <c r="AU17" s="281"/>
      <c r="AV17" s="1030" t="str">
        <f>'Material Cost '!$AU17&amp;$K$1</f>
        <v>RMB</v>
      </c>
      <c r="AW17" s="176">
        <f>+SUMIF('Financials Parameters'!$D$29:$D$53,'Material Cost '!AV17,'Financials Parameters'!$E$29:$E$53)</f>
        <v>0</v>
      </c>
      <c r="AX17" s="279">
        <f t="shared" si="54"/>
        <v>0</v>
      </c>
      <c r="AY17" s="1099">
        <f t="shared" si="55"/>
        <v>0</v>
      </c>
      <c r="AZ17" s="1091"/>
      <c r="BA17" s="1092"/>
      <c r="BB17" s="656">
        <f t="shared" si="12"/>
        <v>0</v>
      </c>
      <c r="BC17" s="1092"/>
      <c r="BD17" s="1092"/>
      <c r="BE17" s="1093" t="str">
        <f>'Material Cost '!$BD17&amp;$K$1</f>
        <v>RMB</v>
      </c>
      <c r="BF17" s="1090">
        <f>+SUMIF('Financials Parameters'!$D$29:$D$53,'Material Cost '!BE17,'Financials Parameters'!$E$29:$E$53)</f>
        <v>0</v>
      </c>
      <c r="BG17" s="1096">
        <f t="shared" si="71"/>
        <v>0</v>
      </c>
      <c r="BH17" s="1102">
        <f t="shared" si="13"/>
        <v>0</v>
      </c>
      <c r="BI17" s="114">
        <f t="shared" si="76"/>
        <v>0</v>
      </c>
      <c r="BJ17" s="33">
        <f t="shared" si="14"/>
        <v>0</v>
      </c>
      <c r="BK17" s="33">
        <f t="shared" si="15"/>
        <v>0</v>
      </c>
      <c r="BL17" s="33">
        <f t="shared" si="77"/>
        <v>0</v>
      </c>
      <c r="BM17" s="1103">
        <f t="shared" si="16"/>
        <v>0.15</v>
      </c>
      <c r="BN17" s="1106">
        <f t="shared" si="17"/>
        <v>0</v>
      </c>
      <c r="BO17" s="33">
        <f t="shared" si="18"/>
        <v>0</v>
      </c>
      <c r="BP17" s="33">
        <f t="shared" si="19"/>
        <v>0</v>
      </c>
      <c r="BQ17" s="33">
        <f t="shared" si="20"/>
        <v>0</v>
      </c>
      <c r="BR17" s="33">
        <f t="shared" si="21"/>
        <v>0</v>
      </c>
      <c r="BS17" s="33">
        <f t="shared" si="22"/>
        <v>0</v>
      </c>
      <c r="BT17" s="28">
        <f t="shared" si="23"/>
        <v>0</v>
      </c>
      <c r="BU17">
        <f t="shared" si="24"/>
        <v>0</v>
      </c>
      <c r="BV17" t="str">
        <f t="shared" si="25"/>
        <v>RMB</v>
      </c>
      <c r="BW17" s="17">
        <f t="shared" si="26"/>
        <v>0</v>
      </c>
      <c r="BX17">
        <f t="shared" si="27"/>
        <v>0</v>
      </c>
      <c r="BY17" s="16">
        <f>+IF('RFQ Data'!D$50&lt;&gt;0,INT('RFQ Data'!D$50/$AN17)+1,0)</f>
        <v>0</v>
      </c>
      <c r="BZ17" s="16">
        <f>+IF($AN17&lt;&gt;0,IF('RFQ Data'!E$50&lt;&gt;0,INT('RFQ Data'!E$50/$AN17)+1,0),0)</f>
        <v>1</v>
      </c>
      <c r="CA17" s="16">
        <f>+IF($AN17&lt;&gt;0,IF('RFQ Data'!F$50&lt;&gt;0,INT('RFQ Data'!F$50/$AN17)+1,0),0)</f>
        <v>1</v>
      </c>
      <c r="CB17" s="16">
        <f>+IF($AN17&lt;&gt;0,IF('RFQ Data'!G$50&lt;&gt;0,INT('RFQ Data'!G$50/$AN17)+1,0),0)</f>
        <v>1</v>
      </c>
      <c r="CC17" s="16">
        <f>+IF($AN17&lt;&gt;0,IF('RFQ Data'!H$50&lt;&gt;0,INT('RFQ Data'!H$50/$AN17)+1,0),0)</f>
        <v>1</v>
      </c>
      <c r="CD17" s="16">
        <f>+IF($AN17&lt;&gt;0,IF('RFQ Data'!I$50&lt;&gt;0,INT('RFQ Data'!I$50/$AN17)+1,0),0)</f>
        <v>1</v>
      </c>
      <c r="CF17" s="16">
        <f t="shared" si="78"/>
        <v>1</v>
      </c>
      <c r="CG17" s="16">
        <f t="shared" si="79"/>
        <v>1</v>
      </c>
      <c r="CH17" s="16">
        <f t="shared" si="80"/>
        <v>1</v>
      </c>
      <c r="CI17" s="16">
        <f t="shared" si="81"/>
        <v>1</v>
      </c>
      <c r="CJ17" s="16">
        <f t="shared" si="82"/>
        <v>1</v>
      </c>
      <c r="CK17" s="16">
        <f t="shared" si="83"/>
        <v>1</v>
      </c>
      <c r="CM17" s="16">
        <f t="shared" si="84"/>
        <v>1</v>
      </c>
      <c r="CN17" s="16">
        <f>+CG17-SUM($CM17:CM17)</f>
        <v>0</v>
      </c>
      <c r="CO17" s="16">
        <f>+CH17-SUM($CM17:CN17)</f>
        <v>0</v>
      </c>
      <c r="CP17" s="16">
        <f>+CI17-SUM($CM17:CO17)</f>
        <v>0</v>
      </c>
      <c r="CQ17" s="16">
        <f>+CJ17-SUM($CM17:CP17)</f>
        <v>0</v>
      </c>
      <c r="CR17" s="16">
        <f>+CK17-SUM($CM17:CQ17)</f>
        <v>0</v>
      </c>
      <c r="CT17" s="55">
        <f t="shared" si="29"/>
        <v>0</v>
      </c>
      <c r="CU17" s="55">
        <f t="shared" si="30"/>
        <v>0</v>
      </c>
      <c r="CV17" s="55">
        <f t="shared" si="31"/>
        <v>0</v>
      </c>
      <c r="CW17" s="55">
        <f t="shared" si="32"/>
        <v>0</v>
      </c>
      <c r="CX17" s="55">
        <f t="shared" si="33"/>
        <v>0</v>
      </c>
      <c r="CY17" s="55">
        <f t="shared" si="34"/>
        <v>0</v>
      </c>
      <c r="CZ17" s="16"/>
      <c r="DA17" s="1720">
        <f t="shared" si="35"/>
        <v>0</v>
      </c>
      <c r="DB17" s="260">
        <f t="shared" si="36"/>
        <v>0</v>
      </c>
      <c r="DC17" s="260">
        <f t="shared" si="37"/>
        <v>0</v>
      </c>
      <c r="DD17" s="260">
        <f t="shared" si="38"/>
        <v>0</v>
      </c>
      <c r="DE17" s="260">
        <f t="shared" si="39"/>
        <v>0</v>
      </c>
      <c r="DF17" s="439">
        <f t="shared" si="40"/>
        <v>0</v>
      </c>
      <c r="DG17" s="316" t="str">
        <f t="shared" si="41"/>
        <v/>
      </c>
      <c r="DH17" s="1720">
        <f t="shared" si="85"/>
        <v>0</v>
      </c>
      <c r="DI17" s="260">
        <f t="shared" si="86"/>
        <v>0</v>
      </c>
      <c r="DJ17" s="260">
        <f t="shared" si="87"/>
        <v>0</v>
      </c>
      <c r="DK17" s="260">
        <f t="shared" si="88"/>
        <v>0</v>
      </c>
      <c r="DL17" s="260">
        <f t="shared" si="89"/>
        <v>0</v>
      </c>
      <c r="DM17" s="439">
        <f t="shared" si="90"/>
        <v>0</v>
      </c>
      <c r="DO17" s="2">
        <f t="shared" si="43"/>
        <v>0</v>
      </c>
      <c r="DR17" s="2" t="str">
        <f t="shared" si="44"/>
        <v xml:space="preserve">Material - </v>
      </c>
      <c r="DS17" s="2" t="str">
        <f t="shared" si="45"/>
        <v/>
      </c>
      <c r="DT17" s="16">
        <f t="shared" si="46"/>
        <v>0</v>
      </c>
      <c r="DU17" s="16"/>
      <c r="DV17" s="2" t="str">
        <f t="shared" si="47"/>
        <v/>
      </c>
      <c r="DW17" s="16">
        <f t="shared" si="48"/>
        <v>0</v>
      </c>
      <c r="DX17" s="16">
        <f t="shared" si="49"/>
        <v>0</v>
      </c>
      <c r="DZ17" s="16"/>
      <c r="EA17" s="16">
        <f t="shared" si="50"/>
        <v>0</v>
      </c>
      <c r="EB17" s="16">
        <f>+IF(AO17&lt;&gt;0,(INT(SUM('RFQ Data'!$C$31:$H$31)*F17/AO17)+1)*AK17,0)</f>
        <v>0</v>
      </c>
      <c r="EC17" s="16">
        <f>+(EB17+EA17)/SUM('RFQ Data'!$C$31:$H$31)</f>
        <v>0</v>
      </c>
      <c r="ED17" s="16">
        <f t="shared" si="67"/>
        <v>0</v>
      </c>
      <c r="EF17" s="25">
        <f t="shared" si="51"/>
        <v>0</v>
      </c>
      <c r="EG17" s="163">
        <f t="shared" si="68"/>
        <v>0</v>
      </c>
      <c r="EH17">
        <f>+'RFQ Data'!C$31*'Material Cost '!$F17</f>
        <v>0</v>
      </c>
      <c r="EI17">
        <f>+'RFQ Data'!D$31*'Material Cost '!$F17</f>
        <v>0</v>
      </c>
      <c r="EJ17">
        <f>+'RFQ Data'!E$31*'Material Cost '!$F17</f>
        <v>0</v>
      </c>
      <c r="EK17">
        <f>+'RFQ Data'!F$31*'Material Cost '!$F17</f>
        <v>0</v>
      </c>
      <c r="EL17">
        <f>+'RFQ Data'!G$31*'Material Cost '!$F17</f>
        <v>0</v>
      </c>
      <c r="EM17">
        <f>+'RFQ Data'!H$31*'Material Cost '!$F17</f>
        <v>0</v>
      </c>
    </row>
    <row r="18" spans="1:143" ht="15" thickBot="1">
      <c r="A18" s="171">
        <f t="shared" si="69"/>
        <v>13</v>
      </c>
      <c r="B18" s="161">
        <f t="shared" si="6"/>
        <v>0</v>
      </c>
      <c r="C18" s="1893" t="str">
        <f>IF(Purchasing!A15="","",Purchasing!A15)</f>
        <v/>
      </c>
      <c r="D18" s="1894" t="str">
        <f>IF(Purchasing!B15="","",Purchasing!B15)</f>
        <v/>
      </c>
      <c r="E18" s="1894" t="str">
        <f>IF(Purchasing!P15="","",Purchasing!P15)</f>
        <v/>
      </c>
      <c r="F18" s="1895">
        <f>IF(Purchasing!K15&lt;&gt;"",IF(Purchasing!K15="","",Purchasing!K15),0)</f>
        <v>0</v>
      </c>
      <c r="G18" s="1895" t="str">
        <f>IF(Purchasing!L15="","",Purchasing!L15)</f>
        <v/>
      </c>
      <c r="H18" s="1895" t="str">
        <f>IF(Purchasing!M15="","",Purchasing!M15)</f>
        <v/>
      </c>
      <c r="I18" s="1895" t="str">
        <f>IF(Purchasing!N15="","",Purchasing!N15)</f>
        <v/>
      </c>
      <c r="J18" s="1898" t="str">
        <f>IF(Purchasing!J15&lt;&gt;"",Purchasing!J15,"")</f>
        <v/>
      </c>
      <c r="K18" s="1896" t="str">
        <f>IF(Purchasing!BP15="-","",Purchasing!BP15)</f>
        <v/>
      </c>
      <c r="L18" s="1906">
        <f>Purchasing!I15</f>
        <v>0</v>
      </c>
      <c r="M18" s="241">
        <f>Purchasing!H15</f>
        <v>0</v>
      </c>
      <c r="N18" s="243"/>
      <c r="O18" s="1897" t="str">
        <f>IF(Q18&lt;&gt;0,IF(Q18=Purchasing!W15,"Estimated", "Offer"),"")</f>
        <v/>
      </c>
      <c r="P18" s="1903" t="str">
        <f>IF(Purchasing!G15&lt;&gt;0,Purchasing!G15,"")</f>
        <v/>
      </c>
      <c r="Q18" s="1904">
        <f>IF(Purchasing!BP15=Purchasing!Z15,Purchasing!AB15,IF(Purchasing!BP15=Purchasing!AN15,Purchasing!AP15,IF(Purchasing!BP15=Purchasing!BB15,Purchasing!BD15,Purchasing!W15)))</f>
        <v>0</v>
      </c>
      <c r="R18" s="243">
        <f>IF(Purchasing!BP15=Purchasing!Z15,Purchasing!AC15,IF(Purchasing!BP15=Purchasing!AN15,Purchasing!AR15,IF(Purchasing!BP15=Purchasing!BB15,Purchasing!BF15,Purchasing!X15)))</f>
        <v>0</v>
      </c>
      <c r="S18" s="284" t="str">
        <f t="shared" si="70"/>
        <v>RMB</v>
      </c>
      <c r="T18" s="285" t="str">
        <f t="shared" si="52"/>
        <v>0RMB</v>
      </c>
      <c r="U18" s="1069">
        <f>+SUMIF('Financials Parameters'!$D$29:$D$53,'Material Cost '!T18,'Financials Parameters'!$E$29:$E$53)</f>
        <v>0</v>
      </c>
      <c r="V18" s="244">
        <v>0</v>
      </c>
      <c r="W18" s="245">
        <v>0</v>
      </c>
      <c r="X18" s="246">
        <v>0</v>
      </c>
      <c r="Y18" s="1810">
        <f t="shared" si="7"/>
        <v>0</v>
      </c>
      <c r="Z18" s="1909"/>
      <c r="AA18" s="319"/>
      <c r="AB18" s="1917" t="str">
        <f t="shared" si="8"/>
        <v>China + South pacific</v>
      </c>
      <c r="AC18" s="276"/>
      <c r="AD18" s="1145">
        <f>IF(AA18&lt;&gt;"",IF(AND($J$1=AA18,$O$1&gt;VLOOKUP($J$1,'Financials Parameters'!$N$30:$P$35,3,FALSE)),'Financials Parameters'!$O$28,'Financials Parameters'!$Q$28),0)</f>
        <v>0</v>
      </c>
      <c r="AE18" s="1146">
        <f>IF(AA18&lt;&gt;"",VLOOKUP(AB18,'Financials Parameters'!$R$38:$S$73,2,FALSE),0)</f>
        <v>0</v>
      </c>
      <c r="AF18" s="1147">
        <f>IF(AA18&lt;&gt;"",VLOOKUP(AA18,'Financials Parameters'!$N$30:$S$35,6,FALSE),0)</f>
        <v>0</v>
      </c>
      <c r="AG18" s="1818"/>
      <c r="AH18" s="1819"/>
      <c r="AI18" s="2059" t="str">
        <f t="shared" si="75"/>
        <v>RMB</v>
      </c>
      <c r="AJ18" s="2059">
        <f>IF(AG18&lt;&gt;0,VLOOKUP(AI18,'Financials Parameters'!$D$29:$E$53,2,FALSE),0)</f>
        <v>0</v>
      </c>
      <c r="AK18" s="2059">
        <f t="shared" si="53"/>
        <v>0</v>
      </c>
      <c r="AL18" s="1820" t="s">
        <v>300</v>
      </c>
      <c r="AM18" s="1821"/>
      <c r="AN18" s="1028">
        <f t="shared" si="10"/>
        <v>1000000000000</v>
      </c>
      <c r="AO18" s="1821"/>
      <c r="AP18" s="1828" t="s">
        <v>149</v>
      </c>
      <c r="AQ18" s="280"/>
      <c r="AR18" s="280"/>
      <c r="AS18" s="1022">
        <f t="shared" si="11"/>
        <v>0</v>
      </c>
      <c r="AT18" s="281"/>
      <c r="AU18" s="281"/>
      <c r="AV18" s="1030" t="str">
        <f>'Material Cost '!$AU18&amp;$K$1</f>
        <v>RMB</v>
      </c>
      <c r="AW18" s="176">
        <f>+SUMIF('Financials Parameters'!$D$29:$D$53,'Material Cost '!AV18,'Financials Parameters'!$E$29:$E$53)</f>
        <v>0</v>
      </c>
      <c r="AX18" s="279">
        <f t="shared" si="54"/>
        <v>0</v>
      </c>
      <c r="AY18" s="1099">
        <f t="shared" si="55"/>
        <v>0</v>
      </c>
      <c r="AZ18" s="1091"/>
      <c r="BA18" s="1092"/>
      <c r="BB18" s="656">
        <f t="shared" si="12"/>
        <v>0</v>
      </c>
      <c r="BC18" s="1092"/>
      <c r="BD18" s="1092"/>
      <c r="BE18" s="1093" t="str">
        <f>'Material Cost '!$BD18&amp;$K$1</f>
        <v>RMB</v>
      </c>
      <c r="BF18" s="1090">
        <f>+SUMIF('Financials Parameters'!$D$29:$D$53,'Material Cost '!BE18,'Financials Parameters'!$E$29:$E$53)</f>
        <v>0</v>
      </c>
      <c r="BG18" s="1096">
        <f t="shared" si="71"/>
        <v>0</v>
      </c>
      <c r="BH18" s="1102">
        <f t="shared" si="13"/>
        <v>0</v>
      </c>
      <c r="BI18" s="114">
        <f t="shared" si="76"/>
        <v>0</v>
      </c>
      <c r="BJ18" s="33">
        <f t="shared" si="14"/>
        <v>0</v>
      </c>
      <c r="BK18" s="33">
        <f t="shared" si="15"/>
        <v>0</v>
      </c>
      <c r="BL18" s="33">
        <f t="shared" si="77"/>
        <v>0</v>
      </c>
      <c r="BM18" s="1103">
        <f t="shared" si="16"/>
        <v>0.15</v>
      </c>
      <c r="BN18" s="1106">
        <f t="shared" si="17"/>
        <v>0</v>
      </c>
      <c r="BO18" s="33">
        <f t="shared" si="18"/>
        <v>0</v>
      </c>
      <c r="BP18" s="33">
        <f t="shared" si="19"/>
        <v>0</v>
      </c>
      <c r="BQ18" s="33">
        <f t="shared" si="20"/>
        <v>0</v>
      </c>
      <c r="BR18" s="33">
        <f t="shared" si="21"/>
        <v>0</v>
      </c>
      <c r="BS18" s="33">
        <f t="shared" si="22"/>
        <v>0</v>
      </c>
      <c r="BT18" s="28">
        <f t="shared" si="23"/>
        <v>0</v>
      </c>
      <c r="BU18">
        <f t="shared" si="24"/>
        <v>0</v>
      </c>
      <c r="BV18" t="str">
        <f t="shared" si="25"/>
        <v>RMB</v>
      </c>
      <c r="BW18" s="17">
        <f t="shared" si="26"/>
        <v>0</v>
      </c>
      <c r="BX18">
        <f t="shared" si="27"/>
        <v>0</v>
      </c>
      <c r="BY18" s="16">
        <f>+IF('RFQ Data'!D$50&lt;&gt;0,INT('RFQ Data'!D$50/$AN18)+1,0)</f>
        <v>0</v>
      </c>
      <c r="BZ18" s="16">
        <f>+IF($AN18&lt;&gt;0,IF('RFQ Data'!E$50&lt;&gt;0,INT('RFQ Data'!E$50/$AN18)+1,0),0)</f>
        <v>1</v>
      </c>
      <c r="CA18" s="16">
        <f>+IF($AN18&lt;&gt;0,IF('RFQ Data'!F$50&lt;&gt;0,INT('RFQ Data'!F$50/$AN18)+1,0),0)</f>
        <v>1</v>
      </c>
      <c r="CB18" s="16">
        <f>+IF($AN18&lt;&gt;0,IF('RFQ Data'!G$50&lt;&gt;0,INT('RFQ Data'!G$50/$AN18)+1,0),0)</f>
        <v>1</v>
      </c>
      <c r="CC18" s="16">
        <f>+IF($AN18&lt;&gt;0,IF('RFQ Data'!H$50&lt;&gt;0,INT('RFQ Data'!H$50/$AN18)+1,0),0)</f>
        <v>1</v>
      </c>
      <c r="CD18" s="16">
        <f>+IF($AN18&lt;&gt;0,IF('RFQ Data'!I$50&lt;&gt;0,INT('RFQ Data'!I$50/$AN18)+1,0),0)</f>
        <v>1</v>
      </c>
      <c r="CF18" s="16">
        <f t="shared" si="78"/>
        <v>1</v>
      </c>
      <c r="CG18" s="16">
        <f t="shared" si="79"/>
        <v>1</v>
      </c>
      <c r="CH18" s="16">
        <f t="shared" si="80"/>
        <v>1</v>
      </c>
      <c r="CI18" s="16">
        <f t="shared" si="81"/>
        <v>1</v>
      </c>
      <c r="CJ18" s="16">
        <f t="shared" si="82"/>
        <v>1</v>
      </c>
      <c r="CK18" s="16">
        <f t="shared" si="83"/>
        <v>1</v>
      </c>
      <c r="CM18" s="16">
        <f t="shared" si="84"/>
        <v>1</v>
      </c>
      <c r="CN18" s="16">
        <f>+CG18-SUM($CM18:CM18)</f>
        <v>0</v>
      </c>
      <c r="CO18" s="16">
        <f>+CH18-SUM($CM18:CN18)</f>
        <v>0</v>
      </c>
      <c r="CP18" s="16">
        <f>+CI18-SUM($CM18:CO18)</f>
        <v>0</v>
      </c>
      <c r="CQ18" s="16">
        <f>+CJ18-SUM($CM18:CP18)</f>
        <v>0</v>
      </c>
      <c r="CR18" s="16">
        <f>+CK18-SUM($CM18:CQ18)</f>
        <v>0</v>
      </c>
      <c r="CT18" s="55">
        <f t="shared" si="29"/>
        <v>0</v>
      </c>
      <c r="CU18" s="55">
        <f t="shared" si="30"/>
        <v>0</v>
      </c>
      <c r="CV18" s="55">
        <f t="shared" si="31"/>
        <v>0</v>
      </c>
      <c r="CW18" s="55">
        <f t="shared" si="32"/>
        <v>0</v>
      </c>
      <c r="CX18" s="55">
        <f t="shared" si="33"/>
        <v>0</v>
      </c>
      <c r="CY18" s="55">
        <f t="shared" si="34"/>
        <v>0</v>
      </c>
      <c r="CZ18" s="16"/>
      <c r="DA18" s="1720">
        <f t="shared" si="35"/>
        <v>0</v>
      </c>
      <c r="DB18" s="260">
        <f t="shared" si="36"/>
        <v>0</v>
      </c>
      <c r="DC18" s="260">
        <f t="shared" si="37"/>
        <v>0</v>
      </c>
      <c r="DD18" s="260">
        <f t="shared" si="38"/>
        <v>0</v>
      </c>
      <c r="DE18" s="260">
        <f t="shared" si="39"/>
        <v>0</v>
      </c>
      <c r="DF18" s="439">
        <f t="shared" si="40"/>
        <v>0</v>
      </c>
      <c r="DG18" s="316" t="str">
        <f t="shared" si="41"/>
        <v/>
      </c>
      <c r="DH18" s="1720">
        <f t="shared" si="85"/>
        <v>0</v>
      </c>
      <c r="DI18" s="260">
        <f t="shared" si="86"/>
        <v>0</v>
      </c>
      <c r="DJ18" s="260">
        <f t="shared" si="87"/>
        <v>0</v>
      </c>
      <c r="DK18" s="260">
        <f t="shared" si="88"/>
        <v>0</v>
      </c>
      <c r="DL18" s="260">
        <f t="shared" si="89"/>
        <v>0</v>
      </c>
      <c r="DM18" s="439">
        <f t="shared" si="90"/>
        <v>0</v>
      </c>
      <c r="DO18" s="2">
        <f t="shared" si="43"/>
        <v>0</v>
      </c>
      <c r="DR18" s="2" t="str">
        <f t="shared" si="44"/>
        <v xml:space="preserve">Material - </v>
      </c>
      <c r="DS18" s="2" t="str">
        <f t="shared" si="45"/>
        <v/>
      </c>
      <c r="DT18" s="16">
        <f t="shared" si="46"/>
        <v>0</v>
      </c>
      <c r="DU18" s="16"/>
      <c r="DV18" s="2" t="str">
        <f t="shared" si="47"/>
        <v/>
      </c>
      <c r="DW18" s="16">
        <f t="shared" si="48"/>
        <v>0</v>
      </c>
      <c r="DX18" s="16">
        <f t="shared" si="49"/>
        <v>0</v>
      </c>
      <c r="DZ18" s="16"/>
      <c r="EA18" s="16">
        <f t="shared" si="50"/>
        <v>0</v>
      </c>
      <c r="EB18" s="16">
        <f>+IF(AO18&lt;&gt;0,(INT(SUM('RFQ Data'!$C$31:$H$31)*F18/AO18)+1)*AK18,0)</f>
        <v>0</v>
      </c>
      <c r="EC18" s="16">
        <f>+(EB18+EA18)/SUM('RFQ Data'!$C$31:$H$31)</f>
        <v>0</v>
      </c>
      <c r="ED18" s="16">
        <f t="shared" si="67"/>
        <v>0</v>
      </c>
      <c r="EF18" s="25">
        <f t="shared" si="51"/>
        <v>0</v>
      </c>
      <c r="EG18" s="163">
        <f t="shared" si="68"/>
        <v>0</v>
      </c>
      <c r="EH18">
        <f>+'RFQ Data'!C$31*'Material Cost '!$F18</f>
        <v>0</v>
      </c>
      <c r="EI18">
        <f>+'RFQ Data'!D$31*'Material Cost '!$F18</f>
        <v>0</v>
      </c>
      <c r="EJ18">
        <f>+'RFQ Data'!E$31*'Material Cost '!$F18</f>
        <v>0</v>
      </c>
      <c r="EK18">
        <f>+'RFQ Data'!F$31*'Material Cost '!$F18</f>
        <v>0</v>
      </c>
      <c r="EL18">
        <f>+'RFQ Data'!G$31*'Material Cost '!$F18</f>
        <v>0</v>
      </c>
      <c r="EM18">
        <f>+'RFQ Data'!H$31*'Material Cost '!$F18</f>
        <v>0</v>
      </c>
    </row>
    <row r="19" spans="1:143" ht="15" thickBot="1">
      <c r="A19" s="171">
        <f t="shared" si="69"/>
        <v>14</v>
      </c>
      <c r="B19" s="161">
        <f t="shared" si="6"/>
        <v>0</v>
      </c>
      <c r="C19" s="1893" t="str">
        <f>IF(Purchasing!A16="","",Purchasing!A16)</f>
        <v/>
      </c>
      <c r="D19" s="1894" t="str">
        <f>IF(Purchasing!B16="","",Purchasing!B16)</f>
        <v/>
      </c>
      <c r="E19" s="1894" t="str">
        <f>IF(Purchasing!P16="","",Purchasing!P16)</f>
        <v/>
      </c>
      <c r="F19" s="1895">
        <f>IF(Purchasing!K16&lt;&gt;"",IF(Purchasing!K16="","",Purchasing!K16),0)</f>
        <v>0</v>
      </c>
      <c r="G19" s="1895" t="str">
        <f>IF(Purchasing!L16="","",Purchasing!L16)</f>
        <v/>
      </c>
      <c r="H19" s="1895" t="str">
        <f>IF(Purchasing!M16="","",Purchasing!M16)</f>
        <v/>
      </c>
      <c r="I19" s="1895" t="str">
        <f>IF(Purchasing!N16="","",Purchasing!N16)</f>
        <v/>
      </c>
      <c r="J19" s="1898" t="str">
        <f>IF(Purchasing!J16&lt;&gt;"",Purchasing!J16,"")</f>
        <v/>
      </c>
      <c r="K19" s="1896" t="str">
        <f>IF(Purchasing!BP16="-","",Purchasing!BP16)</f>
        <v/>
      </c>
      <c r="L19" s="1906">
        <f>Purchasing!I16</f>
        <v>0</v>
      </c>
      <c r="M19" s="241">
        <f>Purchasing!H16</f>
        <v>0</v>
      </c>
      <c r="N19" s="243"/>
      <c r="O19" s="1897" t="str">
        <f>IF(Q19&lt;&gt;0,IF(Q19=Purchasing!W16,"Estimated", "Offer"),"")</f>
        <v/>
      </c>
      <c r="P19" s="1903" t="str">
        <f>IF(Purchasing!G16&lt;&gt;0,Purchasing!G16,"")</f>
        <v/>
      </c>
      <c r="Q19" s="1904">
        <f>IF(Purchasing!BP16=Purchasing!Z16,Purchasing!AB16,IF(Purchasing!BP16=Purchasing!AN16,Purchasing!AP16,IF(Purchasing!BP16=Purchasing!BB16,Purchasing!BD16,Purchasing!W16)))</f>
        <v>0</v>
      </c>
      <c r="R19" s="243">
        <f>IF(Purchasing!BP16=Purchasing!Z16,Purchasing!AC16,IF(Purchasing!BP16=Purchasing!AN16,Purchasing!AR16,IF(Purchasing!BP16=Purchasing!BB16,Purchasing!BF16,Purchasing!X16)))</f>
        <v>0</v>
      </c>
      <c r="S19" s="284" t="str">
        <f t="shared" si="70"/>
        <v>RMB</v>
      </c>
      <c r="T19" s="285" t="str">
        <f t="shared" si="52"/>
        <v>0RMB</v>
      </c>
      <c r="U19" s="1069">
        <f>+SUMIF('Financials Parameters'!$D$29:$D$53,'Material Cost '!T19,'Financials Parameters'!$E$29:$E$53)</f>
        <v>0</v>
      </c>
      <c r="V19" s="244">
        <v>0</v>
      </c>
      <c r="W19" s="245">
        <v>0</v>
      </c>
      <c r="X19" s="246">
        <v>0</v>
      </c>
      <c r="Y19" s="1810">
        <f t="shared" si="7"/>
        <v>0</v>
      </c>
      <c r="Z19" s="1909"/>
      <c r="AA19" s="319"/>
      <c r="AB19" s="1917" t="str">
        <f t="shared" si="8"/>
        <v>China + South pacific</v>
      </c>
      <c r="AC19" s="276"/>
      <c r="AD19" s="1145">
        <f>IF(AA19&lt;&gt;"",IF(AND($J$1=AA19,$O$1&gt;VLOOKUP($J$1,'Financials Parameters'!$N$30:$P$35,3,FALSE)),'Financials Parameters'!$O$28,'Financials Parameters'!$Q$28),0)</f>
        <v>0</v>
      </c>
      <c r="AE19" s="1146">
        <f>IF(AA19&lt;&gt;"",VLOOKUP(AB19,'Financials Parameters'!$R$38:$S$73,2,FALSE),0)</f>
        <v>0</v>
      </c>
      <c r="AF19" s="1147">
        <f>IF(AA19&lt;&gt;"",VLOOKUP(AA19,'Financials Parameters'!$N$30:$S$35,6,FALSE),0)</f>
        <v>0</v>
      </c>
      <c r="AG19" s="1818"/>
      <c r="AH19" s="1819"/>
      <c r="AI19" s="2059" t="str">
        <f t="shared" si="75"/>
        <v>RMB</v>
      </c>
      <c r="AJ19" s="2059">
        <f>IF(AG19&lt;&gt;0,VLOOKUP(AI19,'Financials Parameters'!$D$29:$E$53,2,FALSE),0)</f>
        <v>0</v>
      </c>
      <c r="AK19" s="2059">
        <f t="shared" si="53"/>
        <v>0</v>
      </c>
      <c r="AL19" s="1820" t="s">
        <v>300</v>
      </c>
      <c r="AM19" s="1821"/>
      <c r="AN19" s="1028">
        <f t="shared" si="10"/>
        <v>1000000000000</v>
      </c>
      <c r="AO19" s="1821"/>
      <c r="AP19" s="1828" t="s">
        <v>149</v>
      </c>
      <c r="AQ19" s="280"/>
      <c r="AR19" s="280"/>
      <c r="AS19" s="1022">
        <f t="shared" si="11"/>
        <v>0</v>
      </c>
      <c r="AT19" s="281"/>
      <c r="AU19" s="281"/>
      <c r="AV19" s="1030" t="str">
        <f>'Material Cost '!$AU19&amp;$K$1</f>
        <v>RMB</v>
      </c>
      <c r="AW19" s="176">
        <f>+SUMIF('Financials Parameters'!$D$29:$D$53,'Material Cost '!AV19,'Financials Parameters'!$E$29:$E$53)</f>
        <v>0</v>
      </c>
      <c r="AX19" s="279">
        <f t="shared" si="54"/>
        <v>0</v>
      </c>
      <c r="AY19" s="1099">
        <f t="shared" si="55"/>
        <v>0</v>
      </c>
      <c r="AZ19" s="1091"/>
      <c r="BA19" s="1092"/>
      <c r="BB19" s="656">
        <f t="shared" si="12"/>
        <v>0</v>
      </c>
      <c r="BC19" s="1092"/>
      <c r="BD19" s="1092"/>
      <c r="BE19" s="1093" t="str">
        <f>'Material Cost '!$BD19&amp;$K$1</f>
        <v>RMB</v>
      </c>
      <c r="BF19" s="1090">
        <f>+SUMIF('Financials Parameters'!$D$29:$D$53,'Material Cost '!BE19,'Financials Parameters'!$E$29:$E$53)</f>
        <v>0</v>
      </c>
      <c r="BG19" s="1096">
        <f t="shared" si="71"/>
        <v>0</v>
      </c>
      <c r="BH19" s="1102">
        <f t="shared" si="13"/>
        <v>0</v>
      </c>
      <c r="BI19" s="114">
        <f t="shared" si="76"/>
        <v>0</v>
      </c>
      <c r="BJ19" s="33">
        <f t="shared" si="14"/>
        <v>0</v>
      </c>
      <c r="BK19" s="33">
        <f t="shared" si="15"/>
        <v>0</v>
      </c>
      <c r="BL19" s="33">
        <f>+BJ19+BK19</f>
        <v>0</v>
      </c>
      <c r="BM19" s="1103">
        <f t="shared" si="16"/>
        <v>0.15</v>
      </c>
      <c r="BN19" s="1106">
        <f t="shared" si="17"/>
        <v>0</v>
      </c>
      <c r="BO19" s="33">
        <f t="shared" si="18"/>
        <v>0</v>
      </c>
      <c r="BP19" s="33">
        <f t="shared" si="19"/>
        <v>0</v>
      </c>
      <c r="BQ19" s="33">
        <f t="shared" si="20"/>
        <v>0</v>
      </c>
      <c r="BR19" s="33">
        <f t="shared" si="21"/>
        <v>0</v>
      </c>
      <c r="BS19" s="33">
        <f t="shared" si="22"/>
        <v>0</v>
      </c>
      <c r="BT19" s="28">
        <f t="shared" si="23"/>
        <v>0</v>
      </c>
      <c r="BU19">
        <f t="shared" si="24"/>
        <v>0</v>
      </c>
      <c r="BV19" t="str">
        <f t="shared" si="25"/>
        <v>RMB</v>
      </c>
      <c r="BW19" s="17">
        <f t="shared" si="26"/>
        <v>0</v>
      </c>
      <c r="BX19">
        <f t="shared" si="27"/>
        <v>0</v>
      </c>
      <c r="BY19" s="16">
        <f>+IF('RFQ Data'!D$50&lt;&gt;0,INT('RFQ Data'!D$50/$AN19)+1,0)</f>
        <v>0</v>
      </c>
      <c r="BZ19" s="16">
        <f>+IF($AN19&lt;&gt;0,IF('RFQ Data'!E$50&lt;&gt;0,INT('RFQ Data'!E$50/$AN19)+1,0),0)</f>
        <v>1</v>
      </c>
      <c r="CA19" s="16">
        <f>+IF($AN19&lt;&gt;0,IF('RFQ Data'!F$50&lt;&gt;0,INT('RFQ Data'!F$50/$AN19)+1,0),0)</f>
        <v>1</v>
      </c>
      <c r="CB19" s="16">
        <f>+IF($AN19&lt;&gt;0,IF('RFQ Data'!G$50&lt;&gt;0,INT('RFQ Data'!G$50/$AN19)+1,0),0)</f>
        <v>1</v>
      </c>
      <c r="CC19" s="16">
        <f>+IF($AN19&lt;&gt;0,IF('RFQ Data'!H$50&lt;&gt;0,INT('RFQ Data'!H$50/$AN19)+1,0),0)</f>
        <v>1</v>
      </c>
      <c r="CD19" s="16">
        <f>+IF($AN19&lt;&gt;0,IF('RFQ Data'!I$50&lt;&gt;0,INT('RFQ Data'!I$50/$AN19)+1,0),0)</f>
        <v>1</v>
      </c>
      <c r="CF19" s="16">
        <f t="shared" ref="CF19:CF34" si="91">+IF(BZ19&lt;BY19,BY19,BZ19)</f>
        <v>1</v>
      </c>
      <c r="CG19" s="16">
        <f t="shared" ref="CG19:CG34" si="92">+IF(CA19&lt;BZ19,CF19,CA19)</f>
        <v>1</v>
      </c>
      <c r="CH19" s="16">
        <f t="shared" ref="CH19:CH34" si="93">+IF(CB19&lt;CA19,CG19,CB19)</f>
        <v>1</v>
      </c>
      <c r="CI19" s="16">
        <f t="shared" ref="CI19:CI34" si="94">+IF(CC19&lt;CB19,CH19,CC19)</f>
        <v>1</v>
      </c>
      <c r="CJ19" s="16">
        <f t="shared" ref="CJ19:CJ34" si="95">+IF(CD19&lt;CC19,CI19,CD19)</f>
        <v>1</v>
      </c>
      <c r="CK19" s="16">
        <f t="shared" ref="CK19:CK34" si="96">+IF(CE19&lt;CD19,CJ19,CE19)</f>
        <v>1</v>
      </c>
      <c r="CM19" s="16">
        <f t="shared" ref="CM19:CM34" si="97">+CG19</f>
        <v>1</v>
      </c>
      <c r="CN19" s="16">
        <f>+CG19-SUM($CM19:CM19)</f>
        <v>0</v>
      </c>
      <c r="CO19" s="16">
        <f>+CH19-SUM($CM19:CN19)</f>
        <v>0</v>
      </c>
      <c r="CP19" s="16">
        <f>+CI19-SUM($CM19:CO19)</f>
        <v>0</v>
      </c>
      <c r="CQ19" s="16">
        <f>+CJ19-SUM($CM19:CP19)</f>
        <v>0</v>
      </c>
      <c r="CR19" s="16">
        <f>+CK19-SUM($CM19:CQ19)</f>
        <v>0</v>
      </c>
      <c r="CT19" s="55">
        <f t="shared" si="29"/>
        <v>0</v>
      </c>
      <c r="CU19" s="55">
        <f t="shared" si="30"/>
        <v>0</v>
      </c>
      <c r="CV19" s="55">
        <f t="shared" si="31"/>
        <v>0</v>
      </c>
      <c r="CW19" s="55">
        <f t="shared" si="32"/>
        <v>0</v>
      </c>
      <c r="CX19" s="55">
        <f t="shared" si="33"/>
        <v>0</v>
      </c>
      <c r="CY19" s="55">
        <f t="shared" si="34"/>
        <v>0</v>
      </c>
      <c r="CZ19" s="16"/>
      <c r="DA19" s="1720">
        <f t="shared" si="35"/>
        <v>0</v>
      </c>
      <c r="DB19" s="260">
        <f t="shared" si="36"/>
        <v>0</v>
      </c>
      <c r="DC19" s="260">
        <f t="shared" si="37"/>
        <v>0</v>
      </c>
      <c r="DD19" s="260">
        <f t="shared" si="38"/>
        <v>0</v>
      </c>
      <c r="DE19" s="260">
        <f t="shared" si="39"/>
        <v>0</v>
      </c>
      <c r="DF19" s="439">
        <f t="shared" si="40"/>
        <v>0</v>
      </c>
      <c r="DG19" s="316" t="str">
        <f t="shared" si="41"/>
        <v/>
      </c>
      <c r="DH19" s="1720">
        <f t="shared" ref="DH19:DH34" si="98">+CT19-DA19</f>
        <v>0</v>
      </c>
      <c r="DI19" s="260">
        <f t="shared" ref="DI19:DI34" si="99">+CU19-DB19</f>
        <v>0</v>
      </c>
      <c r="DJ19" s="260">
        <f t="shared" ref="DJ19:DJ34" si="100">+CV19-DC19</f>
        <v>0</v>
      </c>
      <c r="DK19" s="260">
        <f t="shared" ref="DK19:DK34" si="101">+CW19-DD19</f>
        <v>0</v>
      </c>
      <c r="DL19" s="260">
        <f t="shared" ref="DL19:DL34" si="102">+CX19-DE19</f>
        <v>0</v>
      </c>
      <c r="DM19" s="439">
        <f t="shared" ref="DM19:DM34" si="103">+CY19-DF19</f>
        <v>0</v>
      </c>
      <c r="DO19" s="2">
        <f t="shared" si="43"/>
        <v>0</v>
      </c>
      <c r="DR19" s="2" t="str">
        <f t="shared" si="44"/>
        <v xml:space="preserve">Material - </v>
      </c>
      <c r="DS19" s="2" t="str">
        <f t="shared" si="45"/>
        <v/>
      </c>
      <c r="DT19" s="16">
        <f t="shared" ref="DT19:DT34" si="104">+DW19+DX19</f>
        <v>0</v>
      </c>
      <c r="DU19" s="16"/>
      <c r="DV19" s="2" t="str">
        <f t="shared" si="47"/>
        <v/>
      </c>
      <c r="DW19" s="16">
        <f t="shared" si="48"/>
        <v>0</v>
      </c>
      <c r="DX19" s="16">
        <f t="shared" si="49"/>
        <v>0</v>
      </c>
      <c r="DZ19" s="16"/>
      <c r="EA19" s="16">
        <f t="shared" ref="EA19:EA34" si="105">+SUM(DA19:DM19)</f>
        <v>0</v>
      </c>
      <c r="EB19" s="16">
        <f>+IF(AO19&lt;&gt;0,(INT(SUM('RFQ Data'!$C$31:$H$31)*F19/AO19)+1)*AK19,0)</f>
        <v>0</v>
      </c>
      <c r="EC19" s="16">
        <f>+(EB19+EA19)/SUM('RFQ Data'!$C$31:$H$31)</f>
        <v>0</v>
      </c>
      <c r="ED19" s="16">
        <f t="shared" ref="ED19:ED34" si="106">+DW19+DX19+EC19</f>
        <v>0</v>
      </c>
      <c r="EF19" s="25">
        <f t="shared" si="51"/>
        <v>0</v>
      </c>
      <c r="EG19" s="163">
        <f t="shared" ref="EG19:EG34" si="107">+DT19-EF19</f>
        <v>0</v>
      </c>
      <c r="EH19">
        <f>+'RFQ Data'!C$31*'Material Cost '!$F19</f>
        <v>0</v>
      </c>
      <c r="EI19">
        <f>+'RFQ Data'!D$31*'Material Cost '!$F19</f>
        <v>0</v>
      </c>
      <c r="EJ19">
        <f>+'RFQ Data'!E$31*'Material Cost '!$F19</f>
        <v>0</v>
      </c>
      <c r="EK19">
        <f>+'RFQ Data'!F$31*'Material Cost '!$F19</f>
        <v>0</v>
      </c>
      <c r="EL19">
        <f>+'RFQ Data'!G$31*'Material Cost '!$F19</f>
        <v>0</v>
      </c>
      <c r="EM19">
        <f>+'RFQ Data'!H$31*'Material Cost '!$F19</f>
        <v>0</v>
      </c>
    </row>
    <row r="20" spans="1:143" ht="15" thickBot="1">
      <c r="A20" s="171">
        <f t="shared" si="69"/>
        <v>15</v>
      </c>
      <c r="B20" s="161">
        <f t="shared" si="6"/>
        <v>0</v>
      </c>
      <c r="C20" s="1893" t="str">
        <f>IF(Purchasing!A17="","",Purchasing!A17)</f>
        <v/>
      </c>
      <c r="D20" s="1894" t="str">
        <f>IF(Purchasing!B17="","",Purchasing!B17)</f>
        <v/>
      </c>
      <c r="E20" s="1894" t="str">
        <f>IF(Purchasing!P17="","",Purchasing!P17)</f>
        <v/>
      </c>
      <c r="F20" s="1895">
        <f>IF(Purchasing!K17&lt;&gt;"",IF(Purchasing!K17="","",Purchasing!K17),0)</f>
        <v>0</v>
      </c>
      <c r="G20" s="1895" t="str">
        <f>IF(Purchasing!L17="","",Purchasing!L17)</f>
        <v/>
      </c>
      <c r="H20" s="1895" t="str">
        <f>IF(Purchasing!M17="","",Purchasing!M17)</f>
        <v/>
      </c>
      <c r="I20" s="1895" t="str">
        <f>IF(Purchasing!N17="","",Purchasing!N17)</f>
        <v/>
      </c>
      <c r="J20" s="1898" t="str">
        <f>IF(Purchasing!J17&lt;&gt;"",Purchasing!J17,"")</f>
        <v/>
      </c>
      <c r="K20" s="1896" t="str">
        <f>IF(Purchasing!BP17="-","",Purchasing!BP17)</f>
        <v/>
      </c>
      <c r="L20" s="1906">
        <f>Purchasing!I17</f>
        <v>0</v>
      </c>
      <c r="M20" s="241">
        <f>Purchasing!H17</f>
        <v>0</v>
      </c>
      <c r="N20" s="243"/>
      <c r="O20" s="1897" t="str">
        <f>IF(Q20&lt;&gt;0,IF(Q20=Purchasing!W17,"Estimated", "Offer"),"")</f>
        <v/>
      </c>
      <c r="P20" s="1903" t="str">
        <f>IF(Purchasing!G17&lt;&gt;0,Purchasing!G17,"")</f>
        <v/>
      </c>
      <c r="Q20" s="1904">
        <f>IF(Purchasing!BP17=Purchasing!Z17,Purchasing!AB17,IF(Purchasing!BP17=Purchasing!AN17,Purchasing!AP17,IF(Purchasing!BP17=Purchasing!BB17,Purchasing!BD17,Purchasing!W17)))</f>
        <v>0</v>
      </c>
      <c r="R20" s="243">
        <f>IF(Purchasing!BP17=Purchasing!Z17,Purchasing!AC17,IF(Purchasing!BP17=Purchasing!AN17,Purchasing!AR17,IF(Purchasing!BP17=Purchasing!BB17,Purchasing!BF17,Purchasing!X17)))</f>
        <v>0</v>
      </c>
      <c r="S20" s="284" t="str">
        <f t="shared" si="70"/>
        <v>RMB</v>
      </c>
      <c r="T20" s="285" t="str">
        <f t="shared" si="52"/>
        <v>0RMB</v>
      </c>
      <c r="U20" s="1069">
        <f>+SUMIF('Financials Parameters'!$D$29:$D$53,'Material Cost '!T20,'Financials Parameters'!$E$29:$E$53)</f>
        <v>0</v>
      </c>
      <c r="V20" s="244">
        <v>0</v>
      </c>
      <c r="W20" s="245">
        <v>0</v>
      </c>
      <c r="X20" s="246">
        <v>0</v>
      </c>
      <c r="Y20" s="1810">
        <f t="shared" si="7"/>
        <v>0</v>
      </c>
      <c r="Z20" s="1909"/>
      <c r="AA20" s="319"/>
      <c r="AB20" s="1917" t="str">
        <f t="shared" si="8"/>
        <v>China + South pacific</v>
      </c>
      <c r="AC20" s="276"/>
      <c r="AD20" s="1145">
        <f>IF(AA20&lt;&gt;"",IF(AND($J$1=AA20,$O$1&gt;VLOOKUP($J$1,'Financials Parameters'!$N$30:$P$35,3,FALSE)),'Financials Parameters'!$O$28,'Financials Parameters'!$Q$28),0)</f>
        <v>0</v>
      </c>
      <c r="AE20" s="1146">
        <f>IF(AA20&lt;&gt;"",VLOOKUP(AB20,'Financials Parameters'!$R$38:$S$73,2,FALSE),0)</f>
        <v>0</v>
      </c>
      <c r="AF20" s="1147">
        <f>IF(AA20&lt;&gt;"",VLOOKUP(AA20,'Financials Parameters'!$N$30:$S$35,6,FALSE),0)</f>
        <v>0</v>
      </c>
      <c r="AG20" s="1818"/>
      <c r="AH20" s="1819"/>
      <c r="AI20" s="2059" t="str">
        <f t="shared" si="75"/>
        <v>RMB</v>
      </c>
      <c r="AJ20" s="2059">
        <f>IF(AG20&lt;&gt;0,VLOOKUP(AI20,'Financials Parameters'!$D$29:$E$53,2,FALSE),0)</f>
        <v>0</v>
      </c>
      <c r="AK20" s="2059">
        <f t="shared" si="53"/>
        <v>0</v>
      </c>
      <c r="AL20" s="1820" t="s">
        <v>300</v>
      </c>
      <c r="AM20" s="1821"/>
      <c r="AN20" s="1028">
        <f t="shared" si="10"/>
        <v>1000000000000</v>
      </c>
      <c r="AO20" s="1821"/>
      <c r="AP20" s="1828" t="s">
        <v>149</v>
      </c>
      <c r="AQ20" s="280"/>
      <c r="AR20" s="280"/>
      <c r="AS20" s="1022">
        <f t="shared" si="11"/>
        <v>0</v>
      </c>
      <c r="AT20" s="281"/>
      <c r="AU20" s="281"/>
      <c r="AV20" s="1030" t="str">
        <f>'Material Cost '!$AU20&amp;$K$1</f>
        <v>RMB</v>
      </c>
      <c r="AW20" s="176">
        <f>+SUMIF('Financials Parameters'!$D$29:$D$53,'Material Cost '!AV20,'Financials Parameters'!$E$29:$E$53)</f>
        <v>0</v>
      </c>
      <c r="AX20" s="279">
        <f t="shared" si="54"/>
        <v>0</v>
      </c>
      <c r="AY20" s="1099">
        <f t="shared" si="55"/>
        <v>0</v>
      </c>
      <c r="AZ20" s="1091"/>
      <c r="BA20" s="1092"/>
      <c r="BB20" s="656">
        <f t="shared" si="12"/>
        <v>0</v>
      </c>
      <c r="BC20" s="1092"/>
      <c r="BD20" s="1092"/>
      <c r="BE20" s="1093" t="str">
        <f>'Material Cost '!$BD20&amp;$K$1</f>
        <v>RMB</v>
      </c>
      <c r="BF20" s="1090">
        <f>+SUMIF('Financials Parameters'!$D$29:$D$53,'Material Cost '!BE20,'Financials Parameters'!$E$29:$E$53)</f>
        <v>0</v>
      </c>
      <c r="BG20" s="1096">
        <f t="shared" si="71"/>
        <v>0</v>
      </c>
      <c r="BH20" s="1102">
        <f t="shared" si="13"/>
        <v>0</v>
      </c>
      <c r="BI20" s="114">
        <f t="shared" si="76"/>
        <v>0</v>
      </c>
      <c r="BJ20" s="33">
        <f t="shared" si="14"/>
        <v>0</v>
      </c>
      <c r="BK20" s="33">
        <f t="shared" si="15"/>
        <v>0</v>
      </c>
      <c r="BL20" s="33">
        <f>+BJ20+BK20</f>
        <v>0</v>
      </c>
      <c r="BM20" s="1103">
        <f t="shared" si="16"/>
        <v>0.15</v>
      </c>
      <c r="BN20" s="1106">
        <f t="shared" si="17"/>
        <v>0</v>
      </c>
      <c r="BO20" s="33">
        <f t="shared" si="18"/>
        <v>0</v>
      </c>
      <c r="BP20" s="33">
        <f t="shared" si="19"/>
        <v>0</v>
      </c>
      <c r="BQ20" s="33">
        <f t="shared" si="20"/>
        <v>0</v>
      </c>
      <c r="BR20" s="33">
        <f t="shared" si="21"/>
        <v>0</v>
      </c>
      <c r="BS20" s="33">
        <f t="shared" si="22"/>
        <v>0</v>
      </c>
      <c r="BT20" s="28">
        <f t="shared" si="23"/>
        <v>0</v>
      </c>
      <c r="BU20">
        <f t="shared" si="24"/>
        <v>0</v>
      </c>
      <c r="BV20" t="str">
        <f t="shared" si="25"/>
        <v>RMB</v>
      </c>
      <c r="BW20" s="17">
        <f t="shared" si="26"/>
        <v>0</v>
      </c>
      <c r="BX20">
        <f t="shared" si="27"/>
        <v>0</v>
      </c>
      <c r="BY20" s="16">
        <f>+IF('RFQ Data'!D$50&lt;&gt;0,INT('RFQ Data'!D$50/$AN20)+1,0)</f>
        <v>0</v>
      </c>
      <c r="BZ20" s="16">
        <f>+IF($AN20&lt;&gt;0,IF('RFQ Data'!E$50&lt;&gt;0,INT('RFQ Data'!E$50/$AN20)+1,0),0)</f>
        <v>1</v>
      </c>
      <c r="CA20" s="16">
        <f>+IF($AN20&lt;&gt;0,IF('RFQ Data'!F$50&lt;&gt;0,INT('RFQ Data'!F$50/$AN20)+1,0),0)</f>
        <v>1</v>
      </c>
      <c r="CB20" s="16">
        <f>+IF($AN20&lt;&gt;0,IF('RFQ Data'!G$50&lt;&gt;0,INT('RFQ Data'!G$50/$AN20)+1,0),0)</f>
        <v>1</v>
      </c>
      <c r="CC20" s="16">
        <f>+IF($AN20&lt;&gt;0,IF('RFQ Data'!H$50&lt;&gt;0,INT('RFQ Data'!H$50/$AN20)+1,0),0)</f>
        <v>1</v>
      </c>
      <c r="CD20" s="16">
        <f>+IF($AN20&lt;&gt;0,IF('RFQ Data'!I$50&lt;&gt;0,INT('RFQ Data'!I$50/$AN20)+1,0),0)</f>
        <v>1</v>
      </c>
      <c r="CF20" s="16">
        <f t="shared" ref="CF20:CF30" si="108">+IF(BZ20&lt;BY20,BY20,BZ20)</f>
        <v>1</v>
      </c>
      <c r="CG20" s="16">
        <f t="shared" ref="CG20:CG30" si="109">+IF(CA20&lt;BZ20,CF20,CA20)</f>
        <v>1</v>
      </c>
      <c r="CH20" s="16">
        <f t="shared" ref="CH20:CH30" si="110">+IF(CB20&lt;CA20,CG20,CB20)</f>
        <v>1</v>
      </c>
      <c r="CI20" s="16">
        <f t="shared" ref="CI20:CI30" si="111">+IF(CC20&lt;CB20,CH20,CC20)</f>
        <v>1</v>
      </c>
      <c r="CJ20" s="16">
        <f t="shared" ref="CJ20:CJ30" si="112">+IF(CD20&lt;CC20,CI20,CD20)</f>
        <v>1</v>
      </c>
      <c r="CK20" s="16">
        <f t="shared" ref="CK20:CK30" si="113">+IF(CE20&lt;CD20,CJ20,CE20)</f>
        <v>1</v>
      </c>
      <c r="CM20" s="16">
        <f t="shared" ref="CM20:CM30" si="114">+CG20</f>
        <v>1</v>
      </c>
      <c r="CN20" s="16">
        <f>+CG20-SUM($CM20:CM20)</f>
        <v>0</v>
      </c>
      <c r="CO20" s="16">
        <f>+CH20-SUM($CM20:CN20)</f>
        <v>0</v>
      </c>
      <c r="CP20" s="16">
        <f>+CI20-SUM($CM20:CO20)</f>
        <v>0</v>
      </c>
      <c r="CQ20" s="16">
        <f>+CJ20-SUM($CM20:CP20)</f>
        <v>0</v>
      </c>
      <c r="CR20" s="16">
        <f>+CK20-SUM($CM20:CQ20)</f>
        <v>0</v>
      </c>
      <c r="CT20" s="55">
        <f t="shared" si="29"/>
        <v>0</v>
      </c>
      <c r="CU20" s="55">
        <f t="shared" si="30"/>
        <v>0</v>
      </c>
      <c r="CV20" s="55">
        <f t="shared" si="31"/>
        <v>0</v>
      </c>
      <c r="CW20" s="55">
        <f t="shared" si="32"/>
        <v>0</v>
      </c>
      <c r="CX20" s="55">
        <f t="shared" si="33"/>
        <v>0</v>
      </c>
      <c r="CY20" s="55">
        <f t="shared" si="34"/>
        <v>0</v>
      </c>
      <c r="CZ20" s="16"/>
      <c r="DA20" s="1720">
        <f t="shared" si="35"/>
        <v>0</v>
      </c>
      <c r="DB20" s="260">
        <f t="shared" si="36"/>
        <v>0</v>
      </c>
      <c r="DC20" s="260">
        <f t="shared" si="37"/>
        <v>0</v>
      </c>
      <c r="DD20" s="260">
        <f t="shared" si="38"/>
        <v>0</v>
      </c>
      <c r="DE20" s="260">
        <f t="shared" si="39"/>
        <v>0</v>
      </c>
      <c r="DF20" s="439">
        <f t="shared" si="40"/>
        <v>0</v>
      </c>
      <c r="DG20" s="316" t="str">
        <f t="shared" si="41"/>
        <v/>
      </c>
      <c r="DH20" s="1720">
        <f t="shared" ref="DH20:DH30" si="115">+CT20-DA20</f>
        <v>0</v>
      </c>
      <c r="DI20" s="260">
        <f t="shared" ref="DI20:DI30" si="116">+CU20-DB20</f>
        <v>0</v>
      </c>
      <c r="DJ20" s="260">
        <f t="shared" ref="DJ20:DJ30" si="117">+CV20-DC20</f>
        <v>0</v>
      </c>
      <c r="DK20" s="260">
        <f t="shared" ref="DK20:DK30" si="118">+CW20-DD20</f>
        <v>0</v>
      </c>
      <c r="DL20" s="260">
        <f t="shared" ref="DL20:DL30" si="119">+CX20-DE20</f>
        <v>0</v>
      </c>
      <c r="DM20" s="439">
        <f t="shared" ref="DM20:DM30" si="120">+CY20-DF20</f>
        <v>0</v>
      </c>
      <c r="DO20" s="2">
        <f t="shared" si="43"/>
        <v>0</v>
      </c>
      <c r="DR20" s="2" t="str">
        <f t="shared" si="44"/>
        <v xml:space="preserve">Material - </v>
      </c>
      <c r="DS20" s="2" t="str">
        <f t="shared" si="45"/>
        <v/>
      </c>
      <c r="DT20" s="16">
        <f t="shared" ref="DT20:DT30" si="121">+DW20+DX20</f>
        <v>0</v>
      </c>
      <c r="DU20" s="16"/>
      <c r="DV20" s="2" t="str">
        <f t="shared" si="47"/>
        <v/>
      </c>
      <c r="DW20" s="16">
        <f t="shared" si="48"/>
        <v>0</v>
      </c>
      <c r="DX20" s="16">
        <f t="shared" si="49"/>
        <v>0</v>
      </c>
      <c r="DZ20" s="16"/>
      <c r="EA20" s="16">
        <f t="shared" ref="EA20:EA30" si="122">+SUM(DA20:DM20)</f>
        <v>0</v>
      </c>
      <c r="EB20" s="16">
        <f>+IF(AO20&lt;&gt;0,(INT(SUM('RFQ Data'!$C$31:$H$31)*F20/AO20)+1)*AK20,0)</f>
        <v>0</v>
      </c>
      <c r="EC20" s="16">
        <f>+(EB20+EA20)/SUM('RFQ Data'!$C$31:$H$31)</f>
        <v>0</v>
      </c>
      <c r="ED20" s="16">
        <f t="shared" ref="ED20:ED30" si="123">+DW20+DX20+EC20</f>
        <v>0</v>
      </c>
      <c r="EF20" s="25">
        <f t="shared" si="51"/>
        <v>0</v>
      </c>
      <c r="EG20" s="163">
        <f t="shared" ref="EG20:EG30" si="124">+DT20-EF20</f>
        <v>0</v>
      </c>
      <c r="EH20">
        <f>+'RFQ Data'!C$31*'Material Cost '!$F20</f>
        <v>0</v>
      </c>
      <c r="EI20">
        <f>+'RFQ Data'!D$31*'Material Cost '!$F20</f>
        <v>0</v>
      </c>
      <c r="EJ20">
        <f>+'RFQ Data'!E$31*'Material Cost '!$F20</f>
        <v>0</v>
      </c>
      <c r="EK20">
        <f>+'RFQ Data'!F$31*'Material Cost '!$F20</f>
        <v>0</v>
      </c>
      <c r="EL20">
        <f>+'RFQ Data'!G$31*'Material Cost '!$F20</f>
        <v>0</v>
      </c>
      <c r="EM20">
        <f>+'RFQ Data'!H$31*'Material Cost '!$F20</f>
        <v>0</v>
      </c>
    </row>
    <row r="21" spans="1:143" ht="15" thickBot="1">
      <c r="A21" s="171">
        <f t="shared" si="69"/>
        <v>16</v>
      </c>
      <c r="B21" s="161">
        <f t="shared" si="6"/>
        <v>0</v>
      </c>
      <c r="C21" s="1893" t="str">
        <f>IF(Purchasing!A18="","",Purchasing!A18)</f>
        <v/>
      </c>
      <c r="D21" s="1894" t="str">
        <f>IF(Purchasing!B18="","",Purchasing!B18)</f>
        <v/>
      </c>
      <c r="E21" s="1894" t="str">
        <f>IF(Purchasing!P18="","",Purchasing!P18)</f>
        <v/>
      </c>
      <c r="F21" s="1895">
        <f>IF(Purchasing!K18&lt;&gt;"",IF(Purchasing!K18="","",Purchasing!K18),0)</f>
        <v>0</v>
      </c>
      <c r="G21" s="1895" t="str">
        <f>IF(Purchasing!L18="","",Purchasing!L18)</f>
        <v/>
      </c>
      <c r="H21" s="1895" t="str">
        <f>IF(Purchasing!M18="","",Purchasing!M18)</f>
        <v/>
      </c>
      <c r="I21" s="1895" t="str">
        <f>IF(Purchasing!N18="","",Purchasing!N18)</f>
        <v/>
      </c>
      <c r="J21" s="1898" t="str">
        <f>IF(Purchasing!J18&lt;&gt;"",Purchasing!J18,"")</f>
        <v/>
      </c>
      <c r="K21" s="1896" t="str">
        <f>IF(Purchasing!BP18="-","",Purchasing!BP18)</f>
        <v/>
      </c>
      <c r="L21" s="1906">
        <f>Purchasing!I18</f>
        <v>0</v>
      </c>
      <c r="M21" s="241">
        <f>Purchasing!H18</f>
        <v>0</v>
      </c>
      <c r="N21" s="243"/>
      <c r="O21" s="1897" t="str">
        <f>IF(Q21&lt;&gt;0,IF(Q21=Purchasing!W18,"Estimated", "Offer"),"")</f>
        <v/>
      </c>
      <c r="P21" s="1903" t="str">
        <f>IF(Purchasing!G18&lt;&gt;0,Purchasing!G18,"")</f>
        <v/>
      </c>
      <c r="Q21" s="1904">
        <f>IF(Purchasing!BP18=Purchasing!Z18,Purchasing!AB18,IF(Purchasing!BP18=Purchasing!AN18,Purchasing!AP18,IF(Purchasing!BP18=Purchasing!BB18,Purchasing!BD18,Purchasing!W18)))</f>
        <v>0</v>
      </c>
      <c r="R21" s="243">
        <f>IF(Purchasing!BP18=Purchasing!Z18,Purchasing!AC18,IF(Purchasing!BP18=Purchasing!AN18,Purchasing!AR18,IF(Purchasing!BP18=Purchasing!BB18,Purchasing!BF18,Purchasing!X18)))</f>
        <v>0</v>
      </c>
      <c r="S21" s="284" t="str">
        <f t="shared" si="70"/>
        <v>RMB</v>
      </c>
      <c r="T21" s="285" t="str">
        <f t="shared" si="52"/>
        <v>0RMB</v>
      </c>
      <c r="U21" s="1069">
        <f>+SUMIF('Financials Parameters'!$D$29:$D$53,'Material Cost '!T21,'Financials Parameters'!$E$29:$E$53)</f>
        <v>0</v>
      </c>
      <c r="V21" s="244">
        <v>0</v>
      </c>
      <c r="W21" s="245">
        <v>0</v>
      </c>
      <c r="X21" s="246">
        <v>0</v>
      </c>
      <c r="Y21" s="1810">
        <f t="shared" si="7"/>
        <v>0</v>
      </c>
      <c r="Z21" s="1909"/>
      <c r="AA21" s="319"/>
      <c r="AB21" s="1917" t="str">
        <f t="shared" si="8"/>
        <v>China + South pacific</v>
      </c>
      <c r="AC21" s="276"/>
      <c r="AD21" s="1145">
        <f>IF(AA21&lt;&gt;"",IF(AND($J$1=AA21,$O$1&gt;VLOOKUP($J$1,'Financials Parameters'!$N$30:$P$35,3,FALSE)),'Financials Parameters'!$O$28,'Financials Parameters'!$Q$28),0)</f>
        <v>0</v>
      </c>
      <c r="AE21" s="1146">
        <f>IF(AA21&lt;&gt;"",VLOOKUP(AB21,'Financials Parameters'!$R$38:$S$73,2,FALSE),0)</f>
        <v>0</v>
      </c>
      <c r="AF21" s="1147">
        <f>IF(AA21&lt;&gt;"",VLOOKUP(AA21,'Financials Parameters'!$N$30:$S$35,6,FALSE),0)</f>
        <v>0</v>
      </c>
      <c r="AG21" s="1818"/>
      <c r="AH21" s="1819"/>
      <c r="AI21" s="2059" t="str">
        <f t="shared" si="75"/>
        <v>RMB</v>
      </c>
      <c r="AJ21" s="2059">
        <f>IF(AG21&lt;&gt;0,VLOOKUP(AI21,'Financials Parameters'!$D$29:$E$53,2,FALSE),0)</f>
        <v>0</v>
      </c>
      <c r="AK21" s="2059">
        <f t="shared" si="53"/>
        <v>0</v>
      </c>
      <c r="AL21" s="1820" t="s">
        <v>300</v>
      </c>
      <c r="AM21" s="1821"/>
      <c r="AN21" s="1028">
        <f t="shared" si="10"/>
        <v>1000000000000</v>
      </c>
      <c r="AO21" s="1821"/>
      <c r="AP21" s="1828" t="s">
        <v>149</v>
      </c>
      <c r="AQ21" s="280"/>
      <c r="AR21" s="280"/>
      <c r="AS21" s="1022">
        <f t="shared" si="11"/>
        <v>0</v>
      </c>
      <c r="AT21" s="281"/>
      <c r="AU21" s="281"/>
      <c r="AV21" s="1030" t="str">
        <f>'Material Cost '!$AU21&amp;$K$1</f>
        <v>RMB</v>
      </c>
      <c r="AW21" s="176">
        <f>+SUMIF('Financials Parameters'!$D$29:$D$53,'Material Cost '!AV21,'Financials Parameters'!$E$29:$E$53)</f>
        <v>0</v>
      </c>
      <c r="AX21" s="279">
        <f t="shared" si="54"/>
        <v>0</v>
      </c>
      <c r="AY21" s="1099">
        <f t="shared" si="55"/>
        <v>0</v>
      </c>
      <c r="AZ21" s="1091"/>
      <c r="BA21" s="1092"/>
      <c r="BB21" s="656">
        <f t="shared" si="12"/>
        <v>0</v>
      </c>
      <c r="BC21" s="1092"/>
      <c r="BD21" s="1092"/>
      <c r="BE21" s="1093" t="str">
        <f>'Material Cost '!$BD21&amp;$K$1</f>
        <v>RMB</v>
      </c>
      <c r="BF21" s="1090">
        <f>+SUMIF('Financials Parameters'!$D$29:$D$53,'Material Cost '!BE21,'Financials Parameters'!$E$29:$E$53)</f>
        <v>0</v>
      </c>
      <c r="BG21" s="1096">
        <f t="shared" si="71"/>
        <v>0</v>
      </c>
      <c r="BH21" s="1102">
        <f t="shared" si="13"/>
        <v>0</v>
      </c>
      <c r="BI21" s="114">
        <f t="shared" si="76"/>
        <v>0</v>
      </c>
      <c r="BJ21" s="33">
        <f t="shared" si="14"/>
        <v>0</v>
      </c>
      <c r="BK21" s="33">
        <f t="shared" si="15"/>
        <v>0</v>
      </c>
      <c r="BL21" s="33">
        <f t="shared" ref="BL21:BL30" si="125">+BJ21+BK21</f>
        <v>0</v>
      </c>
      <c r="BM21" s="1103">
        <f t="shared" si="16"/>
        <v>0.15</v>
      </c>
      <c r="BN21" s="1106">
        <f t="shared" si="17"/>
        <v>0</v>
      </c>
      <c r="BO21" s="33">
        <f t="shared" si="18"/>
        <v>0</v>
      </c>
      <c r="BP21" s="33">
        <f t="shared" si="19"/>
        <v>0</v>
      </c>
      <c r="BQ21" s="33">
        <f t="shared" si="20"/>
        <v>0</v>
      </c>
      <c r="BR21" s="33">
        <f t="shared" si="21"/>
        <v>0</v>
      </c>
      <c r="BS21" s="33">
        <f t="shared" si="22"/>
        <v>0</v>
      </c>
      <c r="BT21" s="28">
        <f t="shared" si="23"/>
        <v>0</v>
      </c>
      <c r="BU21">
        <f t="shared" si="24"/>
        <v>0</v>
      </c>
      <c r="BV21" t="str">
        <f t="shared" si="25"/>
        <v>RMB</v>
      </c>
      <c r="BW21" s="17">
        <f t="shared" si="26"/>
        <v>0</v>
      </c>
      <c r="BX21">
        <f t="shared" si="27"/>
        <v>0</v>
      </c>
      <c r="BY21" s="16">
        <f>+IF('RFQ Data'!D$50&lt;&gt;0,INT('RFQ Data'!D$50/$AN21)+1,0)</f>
        <v>0</v>
      </c>
      <c r="BZ21" s="16">
        <f>+IF($AN21&lt;&gt;0,IF('RFQ Data'!E$50&lt;&gt;0,INT('RFQ Data'!E$50/$AN21)+1,0),0)</f>
        <v>1</v>
      </c>
      <c r="CA21" s="16">
        <f>+IF($AN21&lt;&gt;0,IF('RFQ Data'!F$50&lt;&gt;0,INT('RFQ Data'!F$50/$AN21)+1,0),0)</f>
        <v>1</v>
      </c>
      <c r="CB21" s="16">
        <f>+IF($AN21&lt;&gt;0,IF('RFQ Data'!G$50&lt;&gt;0,INT('RFQ Data'!G$50/$AN21)+1,0),0)</f>
        <v>1</v>
      </c>
      <c r="CC21" s="16">
        <f>+IF($AN21&lt;&gt;0,IF('RFQ Data'!H$50&lt;&gt;0,INT('RFQ Data'!H$50/$AN21)+1,0),0)</f>
        <v>1</v>
      </c>
      <c r="CD21" s="16">
        <f>+IF($AN21&lt;&gt;0,IF('RFQ Data'!I$50&lt;&gt;0,INT('RFQ Data'!I$50/$AN21)+1,0),0)</f>
        <v>1</v>
      </c>
      <c r="CF21" s="16">
        <f t="shared" si="108"/>
        <v>1</v>
      </c>
      <c r="CG21" s="16">
        <f t="shared" si="109"/>
        <v>1</v>
      </c>
      <c r="CH21" s="16">
        <f t="shared" si="110"/>
        <v>1</v>
      </c>
      <c r="CI21" s="16">
        <f t="shared" si="111"/>
        <v>1</v>
      </c>
      <c r="CJ21" s="16">
        <f t="shared" si="112"/>
        <v>1</v>
      </c>
      <c r="CK21" s="16">
        <f t="shared" si="113"/>
        <v>1</v>
      </c>
      <c r="CM21" s="16">
        <f t="shared" si="114"/>
        <v>1</v>
      </c>
      <c r="CN21" s="16">
        <f>+CG21-SUM($CM21:CM21)</f>
        <v>0</v>
      </c>
      <c r="CO21" s="16">
        <f>+CH21-SUM($CM21:CN21)</f>
        <v>0</v>
      </c>
      <c r="CP21" s="16">
        <f>+CI21-SUM($CM21:CO21)</f>
        <v>0</v>
      </c>
      <c r="CQ21" s="16">
        <f>+CJ21-SUM($CM21:CP21)</f>
        <v>0</v>
      </c>
      <c r="CR21" s="16">
        <f>+CK21-SUM($CM21:CQ21)</f>
        <v>0</v>
      </c>
      <c r="CT21" s="55">
        <f t="shared" si="29"/>
        <v>0</v>
      </c>
      <c r="CU21" s="55">
        <f t="shared" si="30"/>
        <v>0</v>
      </c>
      <c r="CV21" s="55">
        <f t="shared" si="31"/>
        <v>0</v>
      </c>
      <c r="CW21" s="55">
        <f t="shared" si="32"/>
        <v>0</v>
      </c>
      <c r="CX21" s="55">
        <f t="shared" si="33"/>
        <v>0</v>
      </c>
      <c r="CY21" s="55">
        <f t="shared" si="34"/>
        <v>0</v>
      </c>
      <c r="CZ21" s="16"/>
      <c r="DA21" s="1720">
        <f t="shared" si="35"/>
        <v>0</v>
      </c>
      <c r="DB21" s="260">
        <f t="shared" si="36"/>
        <v>0</v>
      </c>
      <c r="DC21" s="260">
        <f t="shared" si="37"/>
        <v>0</v>
      </c>
      <c r="DD21" s="260">
        <f t="shared" si="38"/>
        <v>0</v>
      </c>
      <c r="DE21" s="260">
        <f t="shared" si="39"/>
        <v>0</v>
      </c>
      <c r="DF21" s="439">
        <f t="shared" si="40"/>
        <v>0</v>
      </c>
      <c r="DG21" s="316" t="str">
        <f t="shared" si="41"/>
        <v/>
      </c>
      <c r="DH21" s="1720">
        <f t="shared" si="115"/>
        <v>0</v>
      </c>
      <c r="DI21" s="260">
        <f t="shared" si="116"/>
        <v>0</v>
      </c>
      <c r="DJ21" s="260">
        <f t="shared" si="117"/>
        <v>0</v>
      </c>
      <c r="DK21" s="260">
        <f t="shared" si="118"/>
        <v>0</v>
      </c>
      <c r="DL21" s="260">
        <f t="shared" si="119"/>
        <v>0</v>
      </c>
      <c r="DM21" s="439">
        <f t="shared" si="120"/>
        <v>0</v>
      </c>
      <c r="DO21" s="2">
        <f t="shared" si="43"/>
        <v>0</v>
      </c>
      <c r="DR21" s="2" t="str">
        <f t="shared" si="44"/>
        <v xml:space="preserve">Material - </v>
      </c>
      <c r="DS21" s="2" t="str">
        <f t="shared" si="45"/>
        <v/>
      </c>
      <c r="DT21" s="16">
        <f t="shared" si="121"/>
        <v>0</v>
      </c>
      <c r="DU21" s="16"/>
      <c r="DV21" s="2" t="str">
        <f t="shared" si="47"/>
        <v/>
      </c>
      <c r="DW21" s="16">
        <f t="shared" si="48"/>
        <v>0</v>
      </c>
      <c r="DX21" s="16">
        <f t="shared" si="49"/>
        <v>0</v>
      </c>
      <c r="DZ21" s="16"/>
      <c r="EA21" s="16">
        <f t="shared" si="122"/>
        <v>0</v>
      </c>
      <c r="EB21" s="16">
        <f>+IF(AO21&lt;&gt;0,(INT(SUM('RFQ Data'!$C$31:$H$31)*F21/AO21)+1)*AK21,0)</f>
        <v>0</v>
      </c>
      <c r="EC21" s="16">
        <f>+(EB21+EA21)/SUM('RFQ Data'!$C$31:$H$31)</f>
        <v>0</v>
      </c>
      <c r="ED21" s="16">
        <f t="shared" si="123"/>
        <v>0</v>
      </c>
      <c r="EF21" s="25">
        <f t="shared" si="51"/>
        <v>0</v>
      </c>
      <c r="EG21" s="163">
        <f t="shared" si="124"/>
        <v>0</v>
      </c>
      <c r="EH21">
        <f>+'RFQ Data'!C$31*'Material Cost '!$F21</f>
        <v>0</v>
      </c>
      <c r="EI21">
        <f>+'RFQ Data'!D$31*'Material Cost '!$F21</f>
        <v>0</v>
      </c>
      <c r="EJ21">
        <f>+'RFQ Data'!E$31*'Material Cost '!$F21</f>
        <v>0</v>
      </c>
      <c r="EK21">
        <f>+'RFQ Data'!F$31*'Material Cost '!$F21</f>
        <v>0</v>
      </c>
      <c r="EL21">
        <f>+'RFQ Data'!G$31*'Material Cost '!$F21</f>
        <v>0</v>
      </c>
      <c r="EM21">
        <f>+'RFQ Data'!H$31*'Material Cost '!$F21</f>
        <v>0</v>
      </c>
    </row>
    <row r="22" spans="1:143" ht="15" thickBot="1">
      <c r="A22" s="171">
        <f t="shared" si="69"/>
        <v>17</v>
      </c>
      <c r="B22" s="161">
        <f t="shared" si="6"/>
        <v>0</v>
      </c>
      <c r="C22" s="1893" t="str">
        <f>IF(Purchasing!A19="","",Purchasing!A19)</f>
        <v/>
      </c>
      <c r="D22" s="1894" t="str">
        <f>IF(Purchasing!B19="","",Purchasing!B19)</f>
        <v/>
      </c>
      <c r="E22" s="1894" t="str">
        <f>IF(Purchasing!P19="","",Purchasing!P19)</f>
        <v/>
      </c>
      <c r="F22" s="1895">
        <f>IF(Purchasing!K19&lt;&gt;"",IF(Purchasing!K19="","",Purchasing!K19),0)</f>
        <v>0</v>
      </c>
      <c r="G22" s="1895" t="str">
        <f>IF(Purchasing!L19="","",Purchasing!L19)</f>
        <v/>
      </c>
      <c r="H22" s="1895" t="str">
        <f>IF(Purchasing!M19="","",Purchasing!M19)</f>
        <v/>
      </c>
      <c r="I22" s="1895" t="str">
        <f>IF(Purchasing!N19="","",Purchasing!N19)</f>
        <v/>
      </c>
      <c r="J22" s="1898" t="str">
        <f>IF(Purchasing!J19&lt;&gt;"",Purchasing!J19,"")</f>
        <v/>
      </c>
      <c r="K22" s="1896" t="str">
        <f>IF(Purchasing!BP19="-","",Purchasing!BP19)</f>
        <v/>
      </c>
      <c r="L22" s="1906">
        <f>Purchasing!I19</f>
        <v>0</v>
      </c>
      <c r="M22" s="241">
        <f>Purchasing!H19</f>
        <v>0</v>
      </c>
      <c r="N22" s="243"/>
      <c r="O22" s="1897" t="str">
        <f>IF(Q22&lt;&gt;0,IF(Q22=Purchasing!W19,"Estimated", "Offer"),"")</f>
        <v/>
      </c>
      <c r="P22" s="1903" t="str">
        <f>IF(Purchasing!G19&lt;&gt;0,Purchasing!G19,"")</f>
        <v/>
      </c>
      <c r="Q22" s="1904">
        <f>IF(Purchasing!BP19=Purchasing!Z19,Purchasing!AB19,IF(Purchasing!BP19=Purchasing!AN19,Purchasing!AP19,IF(Purchasing!BP19=Purchasing!BB19,Purchasing!BD19,Purchasing!W19)))</f>
        <v>0</v>
      </c>
      <c r="R22" s="243">
        <f>IF(Purchasing!BP19=Purchasing!Z19,Purchasing!AC19,IF(Purchasing!BP19=Purchasing!AN19,Purchasing!AR19,IF(Purchasing!BP19=Purchasing!BB19,Purchasing!BF19,Purchasing!X19)))</f>
        <v>0</v>
      </c>
      <c r="S22" s="284" t="str">
        <f t="shared" si="70"/>
        <v>RMB</v>
      </c>
      <c r="T22" s="285" t="str">
        <f t="shared" si="52"/>
        <v>0RMB</v>
      </c>
      <c r="U22" s="1069">
        <f>+SUMIF('Financials Parameters'!$D$29:$D$53,'Material Cost '!T22,'Financials Parameters'!$E$29:$E$53)</f>
        <v>0</v>
      </c>
      <c r="V22" s="244">
        <v>0</v>
      </c>
      <c r="W22" s="245">
        <v>0</v>
      </c>
      <c r="X22" s="246">
        <v>0</v>
      </c>
      <c r="Y22" s="1810">
        <f t="shared" si="7"/>
        <v>0</v>
      </c>
      <c r="Z22" s="1909"/>
      <c r="AA22" s="319"/>
      <c r="AB22" s="1917" t="str">
        <f t="shared" si="8"/>
        <v>China + South pacific</v>
      </c>
      <c r="AC22" s="276"/>
      <c r="AD22" s="1145">
        <f>IF(AA22&lt;&gt;"",IF(AND($J$1=AA22,$O$1&gt;VLOOKUP($J$1,'Financials Parameters'!$N$30:$P$35,3,FALSE)),'Financials Parameters'!$O$28,'Financials Parameters'!$Q$28),0)</f>
        <v>0</v>
      </c>
      <c r="AE22" s="1146">
        <f>IF(AA22&lt;&gt;"",VLOOKUP(AB22,'Financials Parameters'!$R$38:$S$73,2,FALSE),0)</f>
        <v>0</v>
      </c>
      <c r="AF22" s="1147">
        <f>IF(AA22&lt;&gt;"",VLOOKUP(AA22,'Financials Parameters'!$N$30:$S$35,6,FALSE),0)</f>
        <v>0</v>
      </c>
      <c r="AG22" s="1818"/>
      <c r="AH22" s="1819"/>
      <c r="AI22" s="2059" t="str">
        <f t="shared" si="75"/>
        <v>RMB</v>
      </c>
      <c r="AJ22" s="2059">
        <f>IF(AG22&lt;&gt;0,VLOOKUP(AI22,'Financials Parameters'!$D$29:$E$53,2,FALSE),0)</f>
        <v>0</v>
      </c>
      <c r="AK22" s="2059">
        <f t="shared" si="53"/>
        <v>0</v>
      </c>
      <c r="AL22" s="1820" t="s">
        <v>300</v>
      </c>
      <c r="AM22" s="1821"/>
      <c r="AN22" s="1028">
        <f t="shared" si="10"/>
        <v>1000000000000</v>
      </c>
      <c r="AO22" s="1821"/>
      <c r="AP22" s="1828" t="s">
        <v>149</v>
      </c>
      <c r="AQ22" s="280"/>
      <c r="AR22" s="280"/>
      <c r="AS22" s="1022">
        <f t="shared" si="11"/>
        <v>0</v>
      </c>
      <c r="AT22" s="281"/>
      <c r="AU22" s="281"/>
      <c r="AV22" s="1030" t="str">
        <f>'Material Cost '!$AU22&amp;$K$1</f>
        <v>RMB</v>
      </c>
      <c r="AW22" s="176">
        <f>+SUMIF('Financials Parameters'!$D$29:$D$53,'Material Cost '!AV22,'Financials Parameters'!$E$29:$E$53)</f>
        <v>0</v>
      </c>
      <c r="AX22" s="279">
        <f t="shared" si="54"/>
        <v>0</v>
      </c>
      <c r="AY22" s="1099">
        <f t="shared" si="55"/>
        <v>0</v>
      </c>
      <c r="AZ22" s="1091"/>
      <c r="BA22" s="1092"/>
      <c r="BB22" s="656">
        <f t="shared" si="12"/>
        <v>0</v>
      </c>
      <c r="BC22" s="1092"/>
      <c r="BD22" s="1092"/>
      <c r="BE22" s="1093" t="str">
        <f>'Material Cost '!$BD22&amp;$K$1</f>
        <v>RMB</v>
      </c>
      <c r="BF22" s="1090">
        <f>+SUMIF('Financials Parameters'!$D$29:$D$53,'Material Cost '!BE22,'Financials Parameters'!$E$29:$E$53)</f>
        <v>0</v>
      </c>
      <c r="BG22" s="1096">
        <f t="shared" si="71"/>
        <v>0</v>
      </c>
      <c r="BH22" s="1102">
        <f t="shared" si="13"/>
        <v>0</v>
      </c>
      <c r="BI22" s="114">
        <f t="shared" si="76"/>
        <v>0</v>
      </c>
      <c r="BJ22" s="33">
        <f t="shared" si="14"/>
        <v>0</v>
      </c>
      <c r="BK22" s="33">
        <f t="shared" si="15"/>
        <v>0</v>
      </c>
      <c r="BL22" s="33">
        <f t="shared" si="125"/>
        <v>0</v>
      </c>
      <c r="BM22" s="1103">
        <f t="shared" si="16"/>
        <v>0.15</v>
      </c>
      <c r="BN22" s="1106">
        <f t="shared" si="17"/>
        <v>0</v>
      </c>
      <c r="BO22" s="33">
        <f t="shared" si="18"/>
        <v>0</v>
      </c>
      <c r="BP22" s="33">
        <f t="shared" si="19"/>
        <v>0</v>
      </c>
      <c r="BQ22" s="33">
        <f t="shared" si="20"/>
        <v>0</v>
      </c>
      <c r="BR22" s="33">
        <f t="shared" si="21"/>
        <v>0</v>
      </c>
      <c r="BS22" s="33">
        <f t="shared" si="22"/>
        <v>0</v>
      </c>
      <c r="BT22" s="28">
        <f t="shared" si="23"/>
        <v>0</v>
      </c>
      <c r="BU22">
        <f t="shared" si="24"/>
        <v>0</v>
      </c>
      <c r="BV22" t="str">
        <f t="shared" si="25"/>
        <v>RMB</v>
      </c>
      <c r="BW22" s="17">
        <f t="shared" si="26"/>
        <v>0</v>
      </c>
      <c r="BX22">
        <f t="shared" si="27"/>
        <v>0</v>
      </c>
      <c r="BY22" s="16">
        <f>+IF('RFQ Data'!D$50&lt;&gt;0,INT('RFQ Data'!D$50/$AN22)+1,0)</f>
        <v>0</v>
      </c>
      <c r="BZ22" s="16">
        <f>+IF($AN22&lt;&gt;0,IF('RFQ Data'!E$50&lt;&gt;0,INT('RFQ Data'!E$50/$AN22)+1,0),0)</f>
        <v>1</v>
      </c>
      <c r="CA22" s="16">
        <f>+IF($AN22&lt;&gt;0,IF('RFQ Data'!F$50&lt;&gt;0,INT('RFQ Data'!F$50/$AN22)+1,0),0)</f>
        <v>1</v>
      </c>
      <c r="CB22" s="16">
        <f>+IF($AN22&lt;&gt;0,IF('RFQ Data'!G$50&lt;&gt;0,INT('RFQ Data'!G$50/$AN22)+1,0),0)</f>
        <v>1</v>
      </c>
      <c r="CC22" s="16">
        <f>+IF($AN22&lt;&gt;0,IF('RFQ Data'!H$50&lt;&gt;0,INT('RFQ Data'!H$50/$AN22)+1,0),0)</f>
        <v>1</v>
      </c>
      <c r="CD22" s="16">
        <f>+IF($AN22&lt;&gt;0,IF('RFQ Data'!I$50&lt;&gt;0,INT('RFQ Data'!I$50/$AN22)+1,0),0)</f>
        <v>1</v>
      </c>
      <c r="CF22" s="16">
        <f t="shared" si="108"/>
        <v>1</v>
      </c>
      <c r="CG22" s="16">
        <f t="shared" si="109"/>
        <v>1</v>
      </c>
      <c r="CH22" s="16">
        <f t="shared" si="110"/>
        <v>1</v>
      </c>
      <c r="CI22" s="16">
        <f t="shared" si="111"/>
        <v>1</v>
      </c>
      <c r="CJ22" s="16">
        <f t="shared" si="112"/>
        <v>1</v>
      </c>
      <c r="CK22" s="16">
        <f t="shared" si="113"/>
        <v>1</v>
      </c>
      <c r="CM22" s="16">
        <f t="shared" si="114"/>
        <v>1</v>
      </c>
      <c r="CN22" s="16">
        <f>+CG22-SUM($CM22:CM22)</f>
        <v>0</v>
      </c>
      <c r="CO22" s="16">
        <f>+CH22-SUM($CM22:CN22)</f>
        <v>0</v>
      </c>
      <c r="CP22" s="16">
        <f>+CI22-SUM($CM22:CO22)</f>
        <v>0</v>
      </c>
      <c r="CQ22" s="16">
        <f>+CJ22-SUM($CM22:CP22)</f>
        <v>0</v>
      </c>
      <c r="CR22" s="16">
        <f>+CK22-SUM($CM22:CQ22)</f>
        <v>0</v>
      </c>
      <c r="CT22" s="55">
        <f t="shared" si="29"/>
        <v>0</v>
      </c>
      <c r="CU22" s="55">
        <f t="shared" si="30"/>
        <v>0</v>
      </c>
      <c r="CV22" s="55">
        <f t="shared" si="31"/>
        <v>0</v>
      </c>
      <c r="CW22" s="55">
        <f t="shared" si="32"/>
        <v>0</v>
      </c>
      <c r="CX22" s="55">
        <f t="shared" si="33"/>
        <v>0</v>
      </c>
      <c r="CY22" s="55">
        <f t="shared" si="34"/>
        <v>0</v>
      </c>
      <c r="CZ22" s="16"/>
      <c r="DA22" s="1720">
        <f t="shared" si="35"/>
        <v>0</v>
      </c>
      <c r="DB22" s="260">
        <f t="shared" si="36"/>
        <v>0</v>
      </c>
      <c r="DC22" s="260">
        <f t="shared" si="37"/>
        <v>0</v>
      </c>
      <c r="DD22" s="260">
        <f t="shared" si="38"/>
        <v>0</v>
      </c>
      <c r="DE22" s="260">
        <f t="shared" si="39"/>
        <v>0</v>
      </c>
      <c r="DF22" s="439">
        <f t="shared" si="40"/>
        <v>0</v>
      </c>
      <c r="DG22" s="316" t="str">
        <f t="shared" si="41"/>
        <v/>
      </c>
      <c r="DH22" s="1720">
        <f t="shared" si="115"/>
        <v>0</v>
      </c>
      <c r="DI22" s="260">
        <f t="shared" si="116"/>
        <v>0</v>
      </c>
      <c r="DJ22" s="260">
        <f t="shared" si="117"/>
        <v>0</v>
      </c>
      <c r="DK22" s="260">
        <f t="shared" si="118"/>
        <v>0</v>
      </c>
      <c r="DL22" s="260">
        <f t="shared" si="119"/>
        <v>0</v>
      </c>
      <c r="DM22" s="439">
        <f t="shared" si="120"/>
        <v>0</v>
      </c>
      <c r="DO22" s="2">
        <f t="shared" si="43"/>
        <v>0</v>
      </c>
      <c r="DR22" s="2" t="str">
        <f t="shared" si="44"/>
        <v xml:space="preserve">Material - </v>
      </c>
      <c r="DS22" s="2" t="str">
        <f t="shared" si="45"/>
        <v/>
      </c>
      <c r="DT22" s="16">
        <f t="shared" si="121"/>
        <v>0</v>
      </c>
      <c r="DU22" s="16"/>
      <c r="DV22" s="2" t="str">
        <f t="shared" si="47"/>
        <v/>
      </c>
      <c r="DW22" s="16">
        <f t="shared" si="48"/>
        <v>0</v>
      </c>
      <c r="DX22" s="16">
        <f t="shared" si="49"/>
        <v>0</v>
      </c>
      <c r="DZ22" s="16"/>
      <c r="EA22" s="16">
        <f t="shared" si="122"/>
        <v>0</v>
      </c>
      <c r="EB22" s="16">
        <f>+IF(AO22&lt;&gt;0,(INT(SUM('RFQ Data'!$C$31:$H$31)*F22/AO22)+1)*AK22,0)</f>
        <v>0</v>
      </c>
      <c r="EC22" s="16">
        <f>+(EB22+EA22)/SUM('RFQ Data'!$C$31:$H$31)</f>
        <v>0</v>
      </c>
      <c r="ED22" s="16">
        <f t="shared" si="123"/>
        <v>0</v>
      </c>
      <c r="EF22" s="25">
        <f t="shared" si="51"/>
        <v>0</v>
      </c>
      <c r="EG22" s="163">
        <f t="shared" si="124"/>
        <v>0</v>
      </c>
      <c r="EH22">
        <f>+'RFQ Data'!C$31*'Material Cost '!$F22</f>
        <v>0</v>
      </c>
      <c r="EI22">
        <f>+'RFQ Data'!D$31*'Material Cost '!$F22</f>
        <v>0</v>
      </c>
      <c r="EJ22">
        <f>+'RFQ Data'!E$31*'Material Cost '!$F22</f>
        <v>0</v>
      </c>
      <c r="EK22">
        <f>+'RFQ Data'!F$31*'Material Cost '!$F22</f>
        <v>0</v>
      </c>
      <c r="EL22">
        <f>+'RFQ Data'!G$31*'Material Cost '!$F22</f>
        <v>0</v>
      </c>
      <c r="EM22">
        <f>+'RFQ Data'!H$31*'Material Cost '!$F22</f>
        <v>0</v>
      </c>
    </row>
    <row r="23" spans="1:143" ht="15" thickBot="1">
      <c r="A23" s="171">
        <f t="shared" si="69"/>
        <v>18</v>
      </c>
      <c r="B23" s="161">
        <f t="shared" si="6"/>
        <v>0</v>
      </c>
      <c r="C23" s="1893" t="str">
        <f>IF(Purchasing!A20="","",Purchasing!A20)</f>
        <v/>
      </c>
      <c r="D23" s="1894" t="str">
        <f>IF(Purchasing!B20="","",Purchasing!B20)</f>
        <v/>
      </c>
      <c r="E23" s="1894" t="str">
        <f>IF(Purchasing!P20="","",Purchasing!P20)</f>
        <v/>
      </c>
      <c r="F23" s="1895">
        <f>IF(Purchasing!K20&lt;&gt;"",IF(Purchasing!K20="","",Purchasing!K20),0)</f>
        <v>0</v>
      </c>
      <c r="G23" s="1895" t="str">
        <f>IF(Purchasing!L20="","",Purchasing!L20)</f>
        <v/>
      </c>
      <c r="H23" s="1895" t="str">
        <f>IF(Purchasing!M20="","",Purchasing!M20)</f>
        <v/>
      </c>
      <c r="I23" s="1895" t="str">
        <f>IF(Purchasing!N20="","",Purchasing!N20)</f>
        <v/>
      </c>
      <c r="J23" s="1898" t="str">
        <f>IF(Purchasing!J20&lt;&gt;"",Purchasing!J20,"")</f>
        <v/>
      </c>
      <c r="K23" s="1896" t="str">
        <f>IF(Purchasing!BP20="-","",Purchasing!BP20)</f>
        <v/>
      </c>
      <c r="L23" s="1906">
        <f>Purchasing!I20</f>
        <v>0</v>
      </c>
      <c r="M23" s="241">
        <f>Purchasing!H20</f>
        <v>0</v>
      </c>
      <c r="N23" s="243"/>
      <c r="O23" s="1897" t="str">
        <f>IF(Q23&lt;&gt;0,IF(Q23=Purchasing!W20,"Estimated", "Offer"),"")</f>
        <v/>
      </c>
      <c r="P23" s="1903" t="str">
        <f>IF(Purchasing!G20&lt;&gt;0,Purchasing!G20,"")</f>
        <v/>
      </c>
      <c r="Q23" s="1904">
        <f>IF(Purchasing!BP20=Purchasing!Z20,Purchasing!AB20,IF(Purchasing!BP20=Purchasing!AN20,Purchasing!AP20,IF(Purchasing!BP20=Purchasing!BB20,Purchasing!BD20,Purchasing!W20)))</f>
        <v>0</v>
      </c>
      <c r="R23" s="243">
        <f>IF(Purchasing!BP20=Purchasing!Z20,Purchasing!AC20,IF(Purchasing!BP20=Purchasing!AN20,Purchasing!AR20,IF(Purchasing!BP20=Purchasing!BB20,Purchasing!BF20,Purchasing!X20)))</f>
        <v>0</v>
      </c>
      <c r="S23" s="284" t="str">
        <f t="shared" si="70"/>
        <v>RMB</v>
      </c>
      <c r="T23" s="285" t="str">
        <f t="shared" si="52"/>
        <v>0RMB</v>
      </c>
      <c r="U23" s="1069">
        <f>+SUMIF('Financials Parameters'!$D$29:$D$53,'Material Cost '!T23,'Financials Parameters'!$E$29:$E$53)</f>
        <v>0</v>
      </c>
      <c r="V23" s="244">
        <v>0</v>
      </c>
      <c r="W23" s="245">
        <v>0</v>
      </c>
      <c r="X23" s="246">
        <v>0</v>
      </c>
      <c r="Y23" s="1810">
        <f t="shared" si="7"/>
        <v>0</v>
      </c>
      <c r="Z23" s="1909"/>
      <c r="AA23" s="319"/>
      <c r="AB23" s="1917" t="str">
        <f t="shared" si="8"/>
        <v>China + South pacific</v>
      </c>
      <c r="AC23" s="276"/>
      <c r="AD23" s="1145">
        <f>IF(AA23&lt;&gt;"",IF(AND($J$1=AA23,$O$1&gt;VLOOKUP($J$1,'Financials Parameters'!$N$30:$P$35,3,FALSE)),'Financials Parameters'!$O$28,'Financials Parameters'!$Q$28),0)</f>
        <v>0</v>
      </c>
      <c r="AE23" s="1146">
        <f>IF(AA23&lt;&gt;"",VLOOKUP(AB23,'Financials Parameters'!$R$38:$S$73,2,FALSE),0)</f>
        <v>0</v>
      </c>
      <c r="AF23" s="1147">
        <f>IF(AA23&lt;&gt;"",VLOOKUP(AA23,'Financials Parameters'!$N$30:$S$35,6,FALSE),0)</f>
        <v>0</v>
      </c>
      <c r="AG23" s="1818"/>
      <c r="AH23" s="1819"/>
      <c r="AI23" s="2059" t="str">
        <f t="shared" si="75"/>
        <v>RMB</v>
      </c>
      <c r="AJ23" s="2059">
        <f>IF(AG23&lt;&gt;0,VLOOKUP(AI23,'Financials Parameters'!$D$29:$E$53,2,FALSE),0)</f>
        <v>0</v>
      </c>
      <c r="AK23" s="2059">
        <f t="shared" si="53"/>
        <v>0</v>
      </c>
      <c r="AL23" s="1820" t="s">
        <v>300</v>
      </c>
      <c r="AM23" s="1821"/>
      <c r="AN23" s="1028">
        <f t="shared" si="10"/>
        <v>1000000000000</v>
      </c>
      <c r="AO23" s="1821"/>
      <c r="AP23" s="1828" t="s">
        <v>149</v>
      </c>
      <c r="AQ23" s="280"/>
      <c r="AR23" s="280"/>
      <c r="AS23" s="1022">
        <f t="shared" si="11"/>
        <v>0</v>
      </c>
      <c r="AT23" s="281"/>
      <c r="AU23" s="281"/>
      <c r="AV23" s="1030" t="str">
        <f>'Material Cost '!$AU23&amp;$K$1</f>
        <v>RMB</v>
      </c>
      <c r="AW23" s="176">
        <f>+SUMIF('Financials Parameters'!$D$29:$D$53,'Material Cost '!AV23,'Financials Parameters'!$E$29:$E$53)</f>
        <v>0</v>
      </c>
      <c r="AX23" s="279">
        <f t="shared" si="54"/>
        <v>0</v>
      </c>
      <c r="AY23" s="1099">
        <f t="shared" si="55"/>
        <v>0</v>
      </c>
      <c r="AZ23" s="1091"/>
      <c r="BA23" s="1092"/>
      <c r="BB23" s="656">
        <f t="shared" si="12"/>
        <v>0</v>
      </c>
      <c r="BC23" s="1092"/>
      <c r="BD23" s="1092"/>
      <c r="BE23" s="1093" t="str">
        <f>'Material Cost '!$BD23&amp;$K$1</f>
        <v>RMB</v>
      </c>
      <c r="BF23" s="1090">
        <f>+SUMIF('Financials Parameters'!$D$29:$D$53,'Material Cost '!BE23,'Financials Parameters'!$E$29:$E$53)</f>
        <v>0</v>
      </c>
      <c r="BG23" s="1096">
        <f t="shared" si="71"/>
        <v>0</v>
      </c>
      <c r="BH23" s="1102">
        <f t="shared" si="13"/>
        <v>0</v>
      </c>
      <c r="BI23" s="114">
        <f t="shared" si="76"/>
        <v>0</v>
      </c>
      <c r="BJ23" s="33">
        <f t="shared" si="14"/>
        <v>0</v>
      </c>
      <c r="BK23" s="33">
        <f t="shared" si="15"/>
        <v>0</v>
      </c>
      <c r="BL23" s="33">
        <f t="shared" si="125"/>
        <v>0</v>
      </c>
      <c r="BM23" s="1103">
        <f t="shared" si="16"/>
        <v>0.15</v>
      </c>
      <c r="BN23" s="1106">
        <f t="shared" si="17"/>
        <v>0</v>
      </c>
      <c r="BO23" s="33">
        <f t="shared" si="18"/>
        <v>0</v>
      </c>
      <c r="BP23" s="33">
        <f t="shared" si="19"/>
        <v>0</v>
      </c>
      <c r="BQ23" s="33">
        <f t="shared" si="20"/>
        <v>0</v>
      </c>
      <c r="BR23" s="33">
        <f t="shared" si="21"/>
        <v>0</v>
      </c>
      <c r="BS23" s="33">
        <f t="shared" si="22"/>
        <v>0</v>
      </c>
      <c r="BT23" s="28">
        <f t="shared" si="23"/>
        <v>0</v>
      </c>
      <c r="BU23">
        <f t="shared" si="24"/>
        <v>0</v>
      </c>
      <c r="BV23" t="str">
        <f t="shared" si="25"/>
        <v>RMB</v>
      </c>
      <c r="BW23" s="17">
        <f t="shared" si="26"/>
        <v>0</v>
      </c>
      <c r="BX23">
        <f t="shared" si="27"/>
        <v>0</v>
      </c>
      <c r="BY23" s="16">
        <f>+IF('RFQ Data'!D$50&lt;&gt;0,INT('RFQ Data'!D$50/$AN23)+1,0)</f>
        <v>0</v>
      </c>
      <c r="BZ23" s="16">
        <f>+IF($AN23&lt;&gt;0,IF('RFQ Data'!E$50&lt;&gt;0,INT('RFQ Data'!E$50/$AN23)+1,0),0)</f>
        <v>1</v>
      </c>
      <c r="CA23" s="16">
        <f>+IF($AN23&lt;&gt;0,IF('RFQ Data'!F$50&lt;&gt;0,INT('RFQ Data'!F$50/$AN23)+1,0),0)</f>
        <v>1</v>
      </c>
      <c r="CB23" s="16">
        <f>+IF($AN23&lt;&gt;0,IF('RFQ Data'!G$50&lt;&gt;0,INT('RFQ Data'!G$50/$AN23)+1,0),0)</f>
        <v>1</v>
      </c>
      <c r="CC23" s="16">
        <f>+IF($AN23&lt;&gt;0,IF('RFQ Data'!H$50&lt;&gt;0,INT('RFQ Data'!H$50/$AN23)+1,0),0)</f>
        <v>1</v>
      </c>
      <c r="CD23" s="16">
        <f>+IF($AN23&lt;&gt;0,IF('RFQ Data'!I$50&lt;&gt;0,INT('RFQ Data'!I$50/$AN23)+1,0),0)</f>
        <v>1</v>
      </c>
      <c r="CF23" s="16">
        <f t="shared" si="108"/>
        <v>1</v>
      </c>
      <c r="CG23" s="16">
        <f t="shared" si="109"/>
        <v>1</v>
      </c>
      <c r="CH23" s="16">
        <f t="shared" si="110"/>
        <v>1</v>
      </c>
      <c r="CI23" s="16">
        <f t="shared" si="111"/>
        <v>1</v>
      </c>
      <c r="CJ23" s="16">
        <f t="shared" si="112"/>
        <v>1</v>
      </c>
      <c r="CK23" s="16">
        <f t="shared" si="113"/>
        <v>1</v>
      </c>
      <c r="CM23" s="16">
        <f t="shared" si="114"/>
        <v>1</v>
      </c>
      <c r="CN23" s="16">
        <f>+CG23-SUM($CM23:CM23)</f>
        <v>0</v>
      </c>
      <c r="CO23" s="16">
        <f>+CH23-SUM($CM23:CN23)</f>
        <v>0</v>
      </c>
      <c r="CP23" s="16">
        <f>+CI23-SUM($CM23:CO23)</f>
        <v>0</v>
      </c>
      <c r="CQ23" s="16">
        <f>+CJ23-SUM($CM23:CP23)</f>
        <v>0</v>
      </c>
      <c r="CR23" s="16">
        <f>+CK23-SUM($CM23:CQ23)</f>
        <v>0</v>
      </c>
      <c r="CT23" s="55">
        <f t="shared" si="29"/>
        <v>0</v>
      </c>
      <c r="CU23" s="55">
        <f t="shared" si="30"/>
        <v>0</v>
      </c>
      <c r="CV23" s="55">
        <f t="shared" si="31"/>
        <v>0</v>
      </c>
      <c r="CW23" s="55">
        <f t="shared" si="32"/>
        <v>0</v>
      </c>
      <c r="CX23" s="55">
        <f t="shared" si="33"/>
        <v>0</v>
      </c>
      <c r="CY23" s="55">
        <f t="shared" si="34"/>
        <v>0</v>
      </c>
      <c r="CZ23" s="16"/>
      <c r="DA23" s="1720">
        <f t="shared" si="35"/>
        <v>0</v>
      </c>
      <c r="DB23" s="260">
        <f t="shared" si="36"/>
        <v>0</v>
      </c>
      <c r="DC23" s="260">
        <f t="shared" si="37"/>
        <v>0</v>
      </c>
      <c r="DD23" s="260">
        <f t="shared" si="38"/>
        <v>0</v>
      </c>
      <c r="DE23" s="260">
        <f t="shared" si="39"/>
        <v>0</v>
      </c>
      <c r="DF23" s="439">
        <f t="shared" si="40"/>
        <v>0</v>
      </c>
      <c r="DG23" s="316" t="str">
        <f t="shared" si="41"/>
        <v/>
      </c>
      <c r="DH23" s="1720">
        <f t="shared" si="115"/>
        <v>0</v>
      </c>
      <c r="DI23" s="260">
        <f t="shared" si="116"/>
        <v>0</v>
      </c>
      <c r="DJ23" s="260">
        <f t="shared" si="117"/>
        <v>0</v>
      </c>
      <c r="DK23" s="260">
        <f t="shared" si="118"/>
        <v>0</v>
      </c>
      <c r="DL23" s="260">
        <f t="shared" si="119"/>
        <v>0</v>
      </c>
      <c r="DM23" s="439">
        <f t="shared" si="120"/>
        <v>0</v>
      </c>
      <c r="DO23" s="2">
        <f t="shared" si="43"/>
        <v>0</v>
      </c>
      <c r="DR23" s="2" t="str">
        <f t="shared" si="44"/>
        <v xml:space="preserve">Material - </v>
      </c>
      <c r="DS23" s="2" t="str">
        <f t="shared" si="45"/>
        <v/>
      </c>
      <c r="DT23" s="16">
        <f t="shared" si="121"/>
        <v>0</v>
      </c>
      <c r="DU23" s="16"/>
      <c r="DV23" s="2" t="str">
        <f t="shared" si="47"/>
        <v/>
      </c>
      <c r="DW23" s="16">
        <f t="shared" si="48"/>
        <v>0</v>
      </c>
      <c r="DX23" s="16">
        <f t="shared" si="49"/>
        <v>0</v>
      </c>
      <c r="DZ23" s="16"/>
      <c r="EA23" s="16">
        <f t="shared" si="122"/>
        <v>0</v>
      </c>
      <c r="EB23" s="16">
        <f>+IF(AO23&lt;&gt;0,(INT(SUM('RFQ Data'!$C$31:$H$31)*F23/AO23)+1)*AK23,0)</f>
        <v>0</v>
      </c>
      <c r="EC23" s="16">
        <f>+(EB23+EA23)/SUM('RFQ Data'!$C$31:$H$31)</f>
        <v>0</v>
      </c>
      <c r="ED23" s="16">
        <f t="shared" si="123"/>
        <v>0</v>
      </c>
      <c r="EF23" s="25">
        <f t="shared" si="51"/>
        <v>0</v>
      </c>
      <c r="EG23" s="163">
        <f t="shared" si="124"/>
        <v>0</v>
      </c>
      <c r="EH23">
        <f>+'RFQ Data'!C$31*'Material Cost '!$F23</f>
        <v>0</v>
      </c>
      <c r="EI23">
        <f>+'RFQ Data'!D$31*'Material Cost '!$F23</f>
        <v>0</v>
      </c>
      <c r="EJ23">
        <f>+'RFQ Data'!E$31*'Material Cost '!$F23</f>
        <v>0</v>
      </c>
      <c r="EK23">
        <f>+'RFQ Data'!F$31*'Material Cost '!$F23</f>
        <v>0</v>
      </c>
      <c r="EL23">
        <f>+'RFQ Data'!G$31*'Material Cost '!$F23</f>
        <v>0</v>
      </c>
      <c r="EM23">
        <f>+'RFQ Data'!H$31*'Material Cost '!$F23</f>
        <v>0</v>
      </c>
    </row>
    <row r="24" spans="1:143" ht="15" thickBot="1">
      <c r="A24" s="171">
        <f t="shared" si="69"/>
        <v>19</v>
      </c>
      <c r="B24" s="161">
        <f t="shared" si="6"/>
        <v>0</v>
      </c>
      <c r="C24" s="1893" t="str">
        <f>IF(Purchasing!A21="","",Purchasing!A21)</f>
        <v/>
      </c>
      <c r="D24" s="1894" t="str">
        <f>IF(Purchasing!B21="","",Purchasing!B21)</f>
        <v/>
      </c>
      <c r="E24" s="1894" t="str">
        <f>IF(Purchasing!P21="","",Purchasing!P21)</f>
        <v/>
      </c>
      <c r="F24" s="1895">
        <f>IF(Purchasing!K21&lt;&gt;"",IF(Purchasing!K21="","",Purchasing!K21),0)</f>
        <v>0</v>
      </c>
      <c r="G24" s="1895" t="str">
        <f>IF(Purchasing!L21="","",Purchasing!L21)</f>
        <v/>
      </c>
      <c r="H24" s="1895" t="str">
        <f>IF(Purchasing!M21="","",Purchasing!M21)</f>
        <v/>
      </c>
      <c r="I24" s="1895" t="str">
        <f>IF(Purchasing!N21="","",Purchasing!N21)</f>
        <v/>
      </c>
      <c r="J24" s="1898" t="str">
        <f>IF(Purchasing!J21&lt;&gt;"",Purchasing!J21,"")</f>
        <v/>
      </c>
      <c r="K24" s="1896" t="str">
        <f>IF(Purchasing!BP21="-","",Purchasing!BP21)</f>
        <v/>
      </c>
      <c r="L24" s="1906">
        <f>Purchasing!I21</f>
        <v>0</v>
      </c>
      <c r="M24" s="241">
        <f>Purchasing!H21</f>
        <v>0</v>
      </c>
      <c r="N24" s="243"/>
      <c r="O24" s="1897" t="str">
        <f>IF(Q24&lt;&gt;0,IF(Q24=Purchasing!W21,"Estimated", "Offer"),"")</f>
        <v/>
      </c>
      <c r="P24" s="1903" t="str">
        <f>IF(Purchasing!G21&lt;&gt;0,Purchasing!G21,"")</f>
        <v/>
      </c>
      <c r="Q24" s="1904">
        <f>IF(Purchasing!BP21=Purchasing!Z21,Purchasing!AB21,IF(Purchasing!BP21=Purchasing!AN21,Purchasing!AP21,IF(Purchasing!BP21=Purchasing!BB21,Purchasing!BD21,Purchasing!W21)))</f>
        <v>0</v>
      </c>
      <c r="R24" s="243">
        <f>IF(Purchasing!BP21=Purchasing!Z21,Purchasing!AC21,IF(Purchasing!BP21=Purchasing!AN21,Purchasing!AR21,IF(Purchasing!BP21=Purchasing!BB21,Purchasing!BF21,Purchasing!X21)))</f>
        <v>0</v>
      </c>
      <c r="S24" s="284" t="str">
        <f t="shared" si="70"/>
        <v>RMB</v>
      </c>
      <c r="T24" s="285" t="str">
        <f t="shared" si="52"/>
        <v>0RMB</v>
      </c>
      <c r="U24" s="1069">
        <f>+SUMIF('Financials Parameters'!$D$29:$D$53,'Material Cost '!T24,'Financials Parameters'!$E$29:$E$53)</f>
        <v>0</v>
      </c>
      <c r="V24" s="244">
        <v>0</v>
      </c>
      <c r="W24" s="245">
        <v>0</v>
      </c>
      <c r="X24" s="246">
        <v>0</v>
      </c>
      <c r="Y24" s="1810">
        <f t="shared" si="7"/>
        <v>0</v>
      </c>
      <c r="Z24" s="1909"/>
      <c r="AA24" s="319"/>
      <c r="AB24" s="1917" t="str">
        <f t="shared" si="8"/>
        <v>China + South pacific</v>
      </c>
      <c r="AC24" s="276"/>
      <c r="AD24" s="1145">
        <f>IF(AA24&lt;&gt;"",IF(AND($J$1=AA24,$O$1&gt;VLOOKUP($J$1,'Financials Parameters'!$N$30:$P$35,3,FALSE)),'Financials Parameters'!$O$28,'Financials Parameters'!$Q$28),0)</f>
        <v>0</v>
      </c>
      <c r="AE24" s="1146">
        <f>IF(AA24&lt;&gt;"",VLOOKUP(AB24,'Financials Parameters'!$R$38:$S$73,2,FALSE),0)</f>
        <v>0</v>
      </c>
      <c r="AF24" s="1147">
        <f>IF(AA24&lt;&gt;"",VLOOKUP(AA24,'Financials Parameters'!$N$30:$S$35,6,FALSE),0)</f>
        <v>0</v>
      </c>
      <c r="AG24" s="1818"/>
      <c r="AH24" s="1819"/>
      <c r="AI24" s="2059" t="str">
        <f t="shared" si="75"/>
        <v>RMB</v>
      </c>
      <c r="AJ24" s="2059">
        <f>IF(AG24&lt;&gt;0,VLOOKUP(AI24,'Financials Parameters'!$D$29:$E$53,2,FALSE),0)</f>
        <v>0</v>
      </c>
      <c r="AK24" s="2059">
        <f t="shared" si="53"/>
        <v>0</v>
      </c>
      <c r="AL24" s="1820" t="s">
        <v>300</v>
      </c>
      <c r="AM24" s="1821"/>
      <c r="AN24" s="1028">
        <f t="shared" si="10"/>
        <v>1000000000000</v>
      </c>
      <c r="AO24" s="1821"/>
      <c r="AP24" s="1828" t="s">
        <v>149</v>
      </c>
      <c r="AQ24" s="280"/>
      <c r="AR24" s="280"/>
      <c r="AS24" s="1022">
        <f t="shared" si="11"/>
        <v>0</v>
      </c>
      <c r="AT24" s="281"/>
      <c r="AU24" s="281"/>
      <c r="AV24" s="1030" t="str">
        <f>'Material Cost '!$AU24&amp;$K$1</f>
        <v>RMB</v>
      </c>
      <c r="AW24" s="176">
        <f>+SUMIF('Financials Parameters'!$D$29:$D$53,'Material Cost '!AV24,'Financials Parameters'!$E$29:$E$53)</f>
        <v>0</v>
      </c>
      <c r="AX24" s="279">
        <f t="shared" si="54"/>
        <v>0</v>
      </c>
      <c r="AY24" s="1099">
        <f t="shared" si="55"/>
        <v>0</v>
      </c>
      <c r="AZ24" s="1091"/>
      <c r="BA24" s="1092"/>
      <c r="BB24" s="656">
        <f t="shared" si="12"/>
        <v>0</v>
      </c>
      <c r="BC24" s="1092"/>
      <c r="BD24" s="1092"/>
      <c r="BE24" s="1093" t="str">
        <f>'Material Cost '!$BD24&amp;$K$1</f>
        <v>RMB</v>
      </c>
      <c r="BF24" s="1090">
        <f>+SUMIF('Financials Parameters'!$D$29:$D$53,'Material Cost '!BE24,'Financials Parameters'!$E$29:$E$53)</f>
        <v>0</v>
      </c>
      <c r="BG24" s="1096">
        <f t="shared" si="71"/>
        <v>0</v>
      </c>
      <c r="BH24" s="1102">
        <f t="shared" si="13"/>
        <v>0</v>
      </c>
      <c r="BI24" s="114">
        <f t="shared" si="76"/>
        <v>0</v>
      </c>
      <c r="BJ24" s="33">
        <f t="shared" si="14"/>
        <v>0</v>
      </c>
      <c r="BK24" s="33">
        <f t="shared" si="15"/>
        <v>0</v>
      </c>
      <c r="BL24" s="33">
        <f t="shared" si="125"/>
        <v>0</v>
      </c>
      <c r="BM24" s="1103">
        <f t="shared" si="16"/>
        <v>0.15</v>
      </c>
      <c r="BN24" s="1106">
        <f t="shared" si="17"/>
        <v>0</v>
      </c>
      <c r="BO24" s="33">
        <f t="shared" si="18"/>
        <v>0</v>
      </c>
      <c r="BP24" s="33">
        <f t="shared" si="19"/>
        <v>0</v>
      </c>
      <c r="BQ24" s="33">
        <f t="shared" si="20"/>
        <v>0</v>
      </c>
      <c r="BR24" s="33">
        <f t="shared" si="21"/>
        <v>0</v>
      </c>
      <c r="BS24" s="33">
        <f t="shared" si="22"/>
        <v>0</v>
      </c>
      <c r="BT24" s="28">
        <f t="shared" si="23"/>
        <v>0</v>
      </c>
      <c r="BU24">
        <f t="shared" si="24"/>
        <v>0</v>
      </c>
      <c r="BV24" t="str">
        <f t="shared" si="25"/>
        <v>RMB</v>
      </c>
      <c r="BW24" s="17">
        <f t="shared" si="26"/>
        <v>0</v>
      </c>
      <c r="BX24">
        <f t="shared" si="27"/>
        <v>0</v>
      </c>
      <c r="BY24" s="16">
        <f>+IF('RFQ Data'!D$50&lt;&gt;0,INT('RFQ Data'!D$50/$AN24)+1,0)</f>
        <v>0</v>
      </c>
      <c r="BZ24" s="16">
        <f>+IF($AN24&lt;&gt;0,IF('RFQ Data'!E$50&lt;&gt;0,INT('RFQ Data'!E$50/$AN24)+1,0),0)</f>
        <v>1</v>
      </c>
      <c r="CA24" s="16">
        <f>+IF($AN24&lt;&gt;0,IF('RFQ Data'!F$50&lt;&gt;0,INT('RFQ Data'!F$50/$AN24)+1,0),0)</f>
        <v>1</v>
      </c>
      <c r="CB24" s="16">
        <f>+IF($AN24&lt;&gt;0,IF('RFQ Data'!G$50&lt;&gt;0,INT('RFQ Data'!G$50/$AN24)+1,0),0)</f>
        <v>1</v>
      </c>
      <c r="CC24" s="16">
        <f>+IF($AN24&lt;&gt;0,IF('RFQ Data'!H$50&lt;&gt;0,INT('RFQ Data'!H$50/$AN24)+1,0),0)</f>
        <v>1</v>
      </c>
      <c r="CD24" s="16">
        <f>+IF($AN24&lt;&gt;0,IF('RFQ Data'!I$50&lt;&gt;0,INT('RFQ Data'!I$50/$AN24)+1,0),0)</f>
        <v>1</v>
      </c>
      <c r="CF24" s="16">
        <f t="shared" si="108"/>
        <v>1</v>
      </c>
      <c r="CG24" s="16">
        <f t="shared" si="109"/>
        <v>1</v>
      </c>
      <c r="CH24" s="16">
        <f t="shared" si="110"/>
        <v>1</v>
      </c>
      <c r="CI24" s="16">
        <f t="shared" si="111"/>
        <v>1</v>
      </c>
      <c r="CJ24" s="16">
        <f t="shared" si="112"/>
        <v>1</v>
      </c>
      <c r="CK24" s="16">
        <f t="shared" si="113"/>
        <v>1</v>
      </c>
      <c r="CM24" s="16">
        <f t="shared" si="114"/>
        <v>1</v>
      </c>
      <c r="CN24" s="16">
        <f>+CG24-SUM($CM24:CM24)</f>
        <v>0</v>
      </c>
      <c r="CO24" s="16">
        <f>+CH24-SUM($CM24:CN24)</f>
        <v>0</v>
      </c>
      <c r="CP24" s="16">
        <f>+CI24-SUM($CM24:CO24)</f>
        <v>0</v>
      </c>
      <c r="CQ24" s="16">
        <f>+CJ24-SUM($CM24:CP24)</f>
        <v>0</v>
      </c>
      <c r="CR24" s="16">
        <f>+CK24-SUM($CM24:CQ24)</f>
        <v>0</v>
      </c>
      <c r="CT24" s="55">
        <f t="shared" si="29"/>
        <v>0</v>
      </c>
      <c r="CU24" s="55">
        <f t="shared" si="30"/>
        <v>0</v>
      </c>
      <c r="CV24" s="55">
        <f t="shared" si="31"/>
        <v>0</v>
      </c>
      <c r="CW24" s="55">
        <f t="shared" si="32"/>
        <v>0</v>
      </c>
      <c r="CX24" s="55">
        <f t="shared" si="33"/>
        <v>0</v>
      </c>
      <c r="CY24" s="55">
        <f t="shared" si="34"/>
        <v>0</v>
      </c>
      <c r="CZ24" s="16"/>
      <c r="DA24" s="1720">
        <f t="shared" si="35"/>
        <v>0</v>
      </c>
      <c r="DB24" s="260">
        <f t="shared" si="36"/>
        <v>0</v>
      </c>
      <c r="DC24" s="260">
        <f t="shared" si="37"/>
        <v>0</v>
      </c>
      <c r="DD24" s="260">
        <f t="shared" si="38"/>
        <v>0</v>
      </c>
      <c r="DE24" s="260">
        <f t="shared" si="39"/>
        <v>0</v>
      </c>
      <c r="DF24" s="439">
        <f t="shared" si="40"/>
        <v>0</v>
      </c>
      <c r="DG24" s="316" t="str">
        <f t="shared" si="41"/>
        <v/>
      </c>
      <c r="DH24" s="1720">
        <f t="shared" si="115"/>
        <v>0</v>
      </c>
      <c r="DI24" s="260">
        <f t="shared" si="116"/>
        <v>0</v>
      </c>
      <c r="DJ24" s="260">
        <f t="shared" si="117"/>
        <v>0</v>
      </c>
      <c r="DK24" s="260">
        <f t="shared" si="118"/>
        <v>0</v>
      </c>
      <c r="DL24" s="260">
        <f t="shared" si="119"/>
        <v>0</v>
      </c>
      <c r="DM24" s="439">
        <f t="shared" si="120"/>
        <v>0</v>
      </c>
      <c r="DO24" s="2">
        <f t="shared" si="43"/>
        <v>0</v>
      </c>
      <c r="DR24" s="2" t="str">
        <f t="shared" si="44"/>
        <v xml:space="preserve">Material - </v>
      </c>
      <c r="DS24" s="2" t="str">
        <f t="shared" si="45"/>
        <v/>
      </c>
      <c r="DT24" s="16">
        <f t="shared" si="121"/>
        <v>0</v>
      </c>
      <c r="DU24" s="16"/>
      <c r="DV24" s="2" t="str">
        <f t="shared" si="47"/>
        <v/>
      </c>
      <c r="DW24" s="16">
        <f t="shared" si="48"/>
        <v>0</v>
      </c>
      <c r="DX24" s="16">
        <f t="shared" si="49"/>
        <v>0</v>
      </c>
      <c r="DZ24" s="16"/>
      <c r="EA24" s="16">
        <f t="shared" si="122"/>
        <v>0</v>
      </c>
      <c r="EB24" s="16">
        <f>+IF(AO24&lt;&gt;0,(INT(SUM('RFQ Data'!$C$31:$H$31)*F24/AO24)+1)*AK24,0)</f>
        <v>0</v>
      </c>
      <c r="EC24" s="16">
        <f>+(EB24+EA24)/SUM('RFQ Data'!$C$31:$H$31)</f>
        <v>0</v>
      </c>
      <c r="ED24" s="16">
        <f t="shared" si="123"/>
        <v>0</v>
      </c>
      <c r="EF24" s="25">
        <f t="shared" si="51"/>
        <v>0</v>
      </c>
      <c r="EG24" s="163">
        <f t="shared" si="124"/>
        <v>0</v>
      </c>
      <c r="EH24">
        <f>+'RFQ Data'!C$31*'Material Cost '!$F24</f>
        <v>0</v>
      </c>
      <c r="EI24">
        <f>+'RFQ Data'!D$31*'Material Cost '!$F24</f>
        <v>0</v>
      </c>
      <c r="EJ24">
        <f>+'RFQ Data'!E$31*'Material Cost '!$F24</f>
        <v>0</v>
      </c>
      <c r="EK24">
        <f>+'RFQ Data'!F$31*'Material Cost '!$F24</f>
        <v>0</v>
      </c>
      <c r="EL24">
        <f>+'RFQ Data'!G$31*'Material Cost '!$F24</f>
        <v>0</v>
      </c>
      <c r="EM24">
        <f>+'RFQ Data'!H$31*'Material Cost '!$F24</f>
        <v>0</v>
      </c>
    </row>
    <row r="25" spans="1:143" ht="15" thickBot="1">
      <c r="A25" s="171">
        <f t="shared" si="69"/>
        <v>20</v>
      </c>
      <c r="B25" s="161">
        <f t="shared" si="6"/>
        <v>0</v>
      </c>
      <c r="C25" s="1893" t="str">
        <f>IF(Purchasing!A22="","",Purchasing!A22)</f>
        <v/>
      </c>
      <c r="D25" s="1894" t="str">
        <f>IF(Purchasing!B22="","",Purchasing!B22)</f>
        <v/>
      </c>
      <c r="E25" s="1894" t="str">
        <f>IF(Purchasing!P22="","",Purchasing!P22)</f>
        <v/>
      </c>
      <c r="F25" s="1895">
        <f>IF(Purchasing!K22&lt;&gt;"",IF(Purchasing!K22="","",Purchasing!K22),0)</f>
        <v>0</v>
      </c>
      <c r="G25" s="1895" t="str">
        <f>IF(Purchasing!L22="","",Purchasing!L22)</f>
        <v/>
      </c>
      <c r="H25" s="1895" t="str">
        <f>IF(Purchasing!M22="","",Purchasing!M22)</f>
        <v/>
      </c>
      <c r="I25" s="1895" t="str">
        <f>IF(Purchasing!N22="","",Purchasing!N22)</f>
        <v/>
      </c>
      <c r="J25" s="1898" t="str">
        <f>IF(Purchasing!J22&lt;&gt;"",Purchasing!J22,"")</f>
        <v/>
      </c>
      <c r="K25" s="1896" t="str">
        <f>IF(Purchasing!BP22="-","",Purchasing!BP22)</f>
        <v/>
      </c>
      <c r="L25" s="1906">
        <f>Purchasing!I22</f>
        <v>0</v>
      </c>
      <c r="M25" s="241">
        <f>Purchasing!H22</f>
        <v>0</v>
      </c>
      <c r="N25" s="243"/>
      <c r="O25" s="1897" t="str">
        <f>IF(Q25&lt;&gt;0,IF(Q25=Purchasing!W22,"Estimated", "Offer"),"")</f>
        <v/>
      </c>
      <c r="P25" s="1903" t="str">
        <f>IF(Purchasing!G22&lt;&gt;0,Purchasing!G22,"")</f>
        <v/>
      </c>
      <c r="Q25" s="1904">
        <f>IF(Purchasing!BP22=Purchasing!Z22,Purchasing!AB22,IF(Purchasing!BP22=Purchasing!AN22,Purchasing!AP22,IF(Purchasing!BP22=Purchasing!BB22,Purchasing!BD22,Purchasing!W22)))</f>
        <v>0</v>
      </c>
      <c r="R25" s="243">
        <f>IF(Purchasing!BP22=Purchasing!Z22,Purchasing!AC22,IF(Purchasing!BP22=Purchasing!AN22,Purchasing!AR22,IF(Purchasing!BP22=Purchasing!BB22,Purchasing!BF22,Purchasing!X22)))</f>
        <v>0</v>
      </c>
      <c r="S25" s="284" t="str">
        <f t="shared" si="70"/>
        <v>RMB</v>
      </c>
      <c r="T25" s="285" t="str">
        <f t="shared" si="52"/>
        <v>0RMB</v>
      </c>
      <c r="U25" s="1069">
        <f>+SUMIF('Financials Parameters'!$D$29:$D$53,'Material Cost '!T25,'Financials Parameters'!$E$29:$E$53)</f>
        <v>0</v>
      </c>
      <c r="V25" s="244">
        <v>0</v>
      </c>
      <c r="W25" s="245">
        <v>0</v>
      </c>
      <c r="X25" s="246">
        <v>0</v>
      </c>
      <c r="Y25" s="1810">
        <f t="shared" si="7"/>
        <v>0</v>
      </c>
      <c r="Z25" s="1909"/>
      <c r="AA25" s="319"/>
      <c r="AB25" s="1917" t="str">
        <f t="shared" si="8"/>
        <v>China + South pacific</v>
      </c>
      <c r="AC25" s="276"/>
      <c r="AD25" s="1145">
        <f>IF(AA25&lt;&gt;"",IF(AND($J$1=AA25,$O$1&gt;VLOOKUP($J$1,'Financials Parameters'!$N$30:$P$35,3,FALSE)),'Financials Parameters'!$O$28,'Financials Parameters'!$Q$28),0)</f>
        <v>0</v>
      </c>
      <c r="AE25" s="1146">
        <f>IF(AA25&lt;&gt;"",VLOOKUP(AB25,'Financials Parameters'!$R$38:$S$73,2,FALSE),0)</f>
        <v>0</v>
      </c>
      <c r="AF25" s="1147">
        <f>IF(AA25&lt;&gt;"",VLOOKUP(AA25,'Financials Parameters'!$N$30:$S$35,6,FALSE),0)</f>
        <v>0</v>
      </c>
      <c r="AG25" s="1818"/>
      <c r="AH25" s="1819"/>
      <c r="AI25" s="2059" t="str">
        <f t="shared" si="75"/>
        <v>RMB</v>
      </c>
      <c r="AJ25" s="2059">
        <f>IF(AG25&lt;&gt;0,VLOOKUP(AI25,'Financials Parameters'!$D$29:$E$53,2,FALSE),0)</f>
        <v>0</v>
      </c>
      <c r="AK25" s="2059">
        <f t="shared" si="53"/>
        <v>0</v>
      </c>
      <c r="AL25" s="1820" t="s">
        <v>300</v>
      </c>
      <c r="AM25" s="1821"/>
      <c r="AN25" s="1028">
        <f t="shared" si="10"/>
        <v>1000000000000</v>
      </c>
      <c r="AO25" s="1821"/>
      <c r="AP25" s="1828" t="s">
        <v>149</v>
      </c>
      <c r="AQ25" s="280"/>
      <c r="AR25" s="280"/>
      <c r="AS25" s="1022">
        <f t="shared" si="11"/>
        <v>0</v>
      </c>
      <c r="AT25" s="281"/>
      <c r="AU25" s="281"/>
      <c r="AV25" s="1030" t="str">
        <f>'Material Cost '!$AU25&amp;$K$1</f>
        <v>RMB</v>
      </c>
      <c r="AW25" s="176">
        <f>+SUMIF('Financials Parameters'!$D$29:$D$53,'Material Cost '!AV25,'Financials Parameters'!$E$29:$E$53)</f>
        <v>0</v>
      </c>
      <c r="AX25" s="279">
        <f t="shared" si="54"/>
        <v>0</v>
      </c>
      <c r="AY25" s="1099">
        <f t="shared" si="55"/>
        <v>0</v>
      </c>
      <c r="AZ25" s="1091"/>
      <c r="BA25" s="1092"/>
      <c r="BB25" s="656">
        <f t="shared" si="12"/>
        <v>0</v>
      </c>
      <c r="BC25" s="1092"/>
      <c r="BD25" s="1092"/>
      <c r="BE25" s="1093" t="str">
        <f>'Material Cost '!$BD25&amp;$K$1</f>
        <v>RMB</v>
      </c>
      <c r="BF25" s="1090">
        <f>+SUMIF('Financials Parameters'!$D$29:$D$53,'Material Cost '!BE25,'Financials Parameters'!$E$29:$E$53)</f>
        <v>0</v>
      </c>
      <c r="BG25" s="1096">
        <f t="shared" si="71"/>
        <v>0</v>
      </c>
      <c r="BH25" s="1102">
        <f t="shared" si="13"/>
        <v>0</v>
      </c>
      <c r="BI25" s="114">
        <f t="shared" si="76"/>
        <v>0</v>
      </c>
      <c r="BJ25" s="33">
        <f t="shared" si="14"/>
        <v>0</v>
      </c>
      <c r="BK25" s="33">
        <f t="shared" si="15"/>
        <v>0</v>
      </c>
      <c r="BL25" s="33">
        <f t="shared" si="125"/>
        <v>0</v>
      </c>
      <c r="BM25" s="1103">
        <f t="shared" si="16"/>
        <v>0.15</v>
      </c>
      <c r="BN25" s="1106">
        <f t="shared" si="17"/>
        <v>0</v>
      </c>
      <c r="BO25" s="33">
        <f t="shared" si="18"/>
        <v>0</v>
      </c>
      <c r="BP25" s="33">
        <f t="shared" si="19"/>
        <v>0</v>
      </c>
      <c r="BQ25" s="33">
        <f t="shared" si="20"/>
        <v>0</v>
      </c>
      <c r="BR25" s="33">
        <f t="shared" si="21"/>
        <v>0</v>
      </c>
      <c r="BS25" s="33">
        <f t="shared" si="22"/>
        <v>0</v>
      </c>
      <c r="BT25" s="28">
        <f t="shared" si="23"/>
        <v>0</v>
      </c>
      <c r="BU25">
        <f t="shared" si="24"/>
        <v>0</v>
      </c>
      <c r="BV25" t="str">
        <f t="shared" si="25"/>
        <v>RMB</v>
      </c>
      <c r="BW25" s="17">
        <f t="shared" si="26"/>
        <v>0</v>
      </c>
      <c r="BX25">
        <f t="shared" si="27"/>
        <v>0</v>
      </c>
      <c r="BY25" s="16">
        <f>+IF('RFQ Data'!D$50&lt;&gt;0,INT('RFQ Data'!D$50/$AN25)+1,0)</f>
        <v>0</v>
      </c>
      <c r="BZ25" s="16">
        <f>+IF($AN25&lt;&gt;0,IF('RFQ Data'!E$50&lt;&gt;0,INT('RFQ Data'!E$50/$AN25)+1,0),0)</f>
        <v>1</v>
      </c>
      <c r="CA25" s="16">
        <f>+IF($AN25&lt;&gt;0,IF('RFQ Data'!F$50&lt;&gt;0,INT('RFQ Data'!F$50/$AN25)+1,0),0)</f>
        <v>1</v>
      </c>
      <c r="CB25" s="16">
        <f>+IF($AN25&lt;&gt;0,IF('RFQ Data'!G$50&lt;&gt;0,INT('RFQ Data'!G$50/$AN25)+1,0),0)</f>
        <v>1</v>
      </c>
      <c r="CC25" s="16">
        <f>+IF($AN25&lt;&gt;0,IF('RFQ Data'!H$50&lt;&gt;0,INT('RFQ Data'!H$50/$AN25)+1,0),0)</f>
        <v>1</v>
      </c>
      <c r="CD25" s="16">
        <f>+IF($AN25&lt;&gt;0,IF('RFQ Data'!I$50&lt;&gt;0,INT('RFQ Data'!I$50/$AN25)+1,0),0)</f>
        <v>1</v>
      </c>
      <c r="CF25" s="16">
        <f t="shared" si="108"/>
        <v>1</v>
      </c>
      <c r="CG25" s="16">
        <f t="shared" si="109"/>
        <v>1</v>
      </c>
      <c r="CH25" s="16">
        <f t="shared" si="110"/>
        <v>1</v>
      </c>
      <c r="CI25" s="16">
        <f t="shared" si="111"/>
        <v>1</v>
      </c>
      <c r="CJ25" s="16">
        <f t="shared" si="112"/>
        <v>1</v>
      </c>
      <c r="CK25" s="16">
        <f t="shared" si="113"/>
        <v>1</v>
      </c>
      <c r="CM25" s="16">
        <f t="shared" si="114"/>
        <v>1</v>
      </c>
      <c r="CN25" s="16">
        <f>+CG25-SUM($CM25:CM25)</f>
        <v>0</v>
      </c>
      <c r="CO25" s="16">
        <f>+CH25-SUM($CM25:CN25)</f>
        <v>0</v>
      </c>
      <c r="CP25" s="16">
        <f>+CI25-SUM($CM25:CO25)</f>
        <v>0</v>
      </c>
      <c r="CQ25" s="16">
        <f>+CJ25-SUM($CM25:CP25)</f>
        <v>0</v>
      </c>
      <c r="CR25" s="16">
        <f>+CK25-SUM($CM25:CQ25)</f>
        <v>0</v>
      </c>
      <c r="CT25" s="55">
        <f t="shared" si="29"/>
        <v>0</v>
      </c>
      <c r="CU25" s="55">
        <f t="shared" si="30"/>
        <v>0</v>
      </c>
      <c r="CV25" s="55">
        <f t="shared" si="31"/>
        <v>0</v>
      </c>
      <c r="CW25" s="55">
        <f t="shared" si="32"/>
        <v>0</v>
      </c>
      <c r="CX25" s="55">
        <f t="shared" si="33"/>
        <v>0</v>
      </c>
      <c r="CY25" s="55">
        <f t="shared" si="34"/>
        <v>0</v>
      </c>
      <c r="CZ25" s="16"/>
      <c r="DA25" s="1720">
        <f t="shared" si="35"/>
        <v>0</v>
      </c>
      <c r="DB25" s="260">
        <f t="shared" si="36"/>
        <v>0</v>
      </c>
      <c r="DC25" s="260">
        <f t="shared" si="37"/>
        <v>0</v>
      </c>
      <c r="DD25" s="260">
        <f t="shared" si="38"/>
        <v>0</v>
      </c>
      <c r="DE25" s="260">
        <f t="shared" si="39"/>
        <v>0</v>
      </c>
      <c r="DF25" s="439">
        <f t="shared" si="40"/>
        <v>0</v>
      </c>
      <c r="DG25" s="316" t="str">
        <f t="shared" si="41"/>
        <v/>
      </c>
      <c r="DH25" s="1720">
        <f t="shared" si="115"/>
        <v>0</v>
      </c>
      <c r="DI25" s="260">
        <f t="shared" si="116"/>
        <v>0</v>
      </c>
      <c r="DJ25" s="260">
        <f t="shared" si="117"/>
        <v>0</v>
      </c>
      <c r="DK25" s="260">
        <f t="shared" si="118"/>
        <v>0</v>
      </c>
      <c r="DL25" s="260">
        <f t="shared" si="119"/>
        <v>0</v>
      </c>
      <c r="DM25" s="439">
        <f t="shared" si="120"/>
        <v>0</v>
      </c>
      <c r="DO25" s="2">
        <f t="shared" si="43"/>
        <v>0</v>
      </c>
      <c r="DR25" s="2" t="str">
        <f t="shared" si="44"/>
        <v xml:space="preserve">Material - </v>
      </c>
      <c r="DS25" s="2" t="str">
        <f t="shared" si="45"/>
        <v/>
      </c>
      <c r="DT25" s="16">
        <f t="shared" si="121"/>
        <v>0</v>
      </c>
      <c r="DU25" s="16"/>
      <c r="DV25" s="2" t="str">
        <f t="shared" si="47"/>
        <v/>
      </c>
      <c r="DW25" s="16">
        <f t="shared" si="48"/>
        <v>0</v>
      </c>
      <c r="DX25" s="16">
        <f t="shared" si="49"/>
        <v>0</v>
      </c>
      <c r="DZ25" s="16"/>
      <c r="EA25" s="16">
        <f t="shared" si="122"/>
        <v>0</v>
      </c>
      <c r="EB25" s="16">
        <f>+IF(AO25&lt;&gt;0,(INT(SUM('RFQ Data'!$C$31:$H$31)*F25/AO25)+1)*AK25,0)</f>
        <v>0</v>
      </c>
      <c r="EC25" s="16">
        <f>+(EB25+EA25)/SUM('RFQ Data'!$C$31:$H$31)</f>
        <v>0</v>
      </c>
      <c r="ED25" s="16">
        <f t="shared" si="123"/>
        <v>0</v>
      </c>
      <c r="EF25" s="25">
        <f t="shared" si="51"/>
        <v>0</v>
      </c>
      <c r="EG25" s="163">
        <f t="shared" si="124"/>
        <v>0</v>
      </c>
      <c r="EH25">
        <f>+'RFQ Data'!C$31*'Material Cost '!$F25</f>
        <v>0</v>
      </c>
      <c r="EI25">
        <f>+'RFQ Data'!D$31*'Material Cost '!$F25</f>
        <v>0</v>
      </c>
      <c r="EJ25">
        <f>+'RFQ Data'!E$31*'Material Cost '!$F25</f>
        <v>0</v>
      </c>
      <c r="EK25">
        <f>+'RFQ Data'!F$31*'Material Cost '!$F25</f>
        <v>0</v>
      </c>
      <c r="EL25">
        <f>+'RFQ Data'!G$31*'Material Cost '!$F25</f>
        <v>0</v>
      </c>
      <c r="EM25">
        <f>+'RFQ Data'!H$31*'Material Cost '!$F25</f>
        <v>0</v>
      </c>
    </row>
    <row r="26" spans="1:143" ht="15" thickBot="1">
      <c r="A26" s="171">
        <f t="shared" si="69"/>
        <v>21</v>
      </c>
      <c r="B26" s="161">
        <f t="shared" si="6"/>
        <v>0</v>
      </c>
      <c r="C26" s="1893" t="str">
        <f>IF(Purchasing!A23="","",Purchasing!A23)</f>
        <v/>
      </c>
      <c r="D26" s="1894" t="str">
        <f>IF(Purchasing!B23="","",Purchasing!B23)</f>
        <v/>
      </c>
      <c r="E26" s="1894" t="str">
        <f>IF(Purchasing!P23="","",Purchasing!P23)</f>
        <v/>
      </c>
      <c r="F26" s="1895">
        <f>IF(Purchasing!K23&lt;&gt;"",IF(Purchasing!K23="","",Purchasing!K23),0)</f>
        <v>0</v>
      </c>
      <c r="G26" s="1895" t="str">
        <f>IF(Purchasing!L23="","",Purchasing!L23)</f>
        <v/>
      </c>
      <c r="H26" s="1895" t="str">
        <f>IF(Purchasing!M23="","",Purchasing!M23)</f>
        <v/>
      </c>
      <c r="I26" s="1895" t="str">
        <f>IF(Purchasing!N23="","",Purchasing!N23)</f>
        <v/>
      </c>
      <c r="J26" s="1898" t="str">
        <f>IF(Purchasing!J23&lt;&gt;"",Purchasing!J23,"")</f>
        <v/>
      </c>
      <c r="K26" s="1896" t="str">
        <f>IF(Purchasing!BP23="-","",Purchasing!BP23)</f>
        <v/>
      </c>
      <c r="L26" s="1906">
        <f>Purchasing!I23</f>
        <v>0</v>
      </c>
      <c r="M26" s="241">
        <f>Purchasing!H23</f>
        <v>0</v>
      </c>
      <c r="N26" s="243"/>
      <c r="O26" s="1897" t="str">
        <f>IF(Q26&lt;&gt;0,IF(Q26=Purchasing!W23,"Estimated", "Offer"),"")</f>
        <v/>
      </c>
      <c r="P26" s="1903" t="str">
        <f>IF(Purchasing!G23&lt;&gt;0,Purchasing!G23,"")</f>
        <v/>
      </c>
      <c r="Q26" s="1904">
        <f>IF(Purchasing!BP23=Purchasing!Z23,Purchasing!AB23,IF(Purchasing!BP23=Purchasing!AN23,Purchasing!AP23,IF(Purchasing!BP23=Purchasing!BB23,Purchasing!BD23,Purchasing!W23)))</f>
        <v>0</v>
      </c>
      <c r="R26" s="243">
        <f>IF(Purchasing!BP23=Purchasing!Z23,Purchasing!AC23,IF(Purchasing!BP23=Purchasing!AN23,Purchasing!AR23,IF(Purchasing!BP23=Purchasing!BB23,Purchasing!BF23,Purchasing!X23)))</f>
        <v>0</v>
      </c>
      <c r="S26" s="284" t="str">
        <f t="shared" si="70"/>
        <v>RMB</v>
      </c>
      <c r="T26" s="285" t="str">
        <f t="shared" si="52"/>
        <v>0RMB</v>
      </c>
      <c r="U26" s="1069">
        <f>+SUMIF('Financials Parameters'!$D$29:$D$53,'Material Cost '!T26,'Financials Parameters'!$E$29:$E$53)</f>
        <v>0</v>
      </c>
      <c r="V26" s="244">
        <v>0</v>
      </c>
      <c r="W26" s="245">
        <v>0</v>
      </c>
      <c r="X26" s="246">
        <v>0</v>
      </c>
      <c r="Y26" s="1810">
        <f t="shared" si="7"/>
        <v>0</v>
      </c>
      <c r="Z26" s="1909"/>
      <c r="AA26" s="319"/>
      <c r="AB26" s="1917" t="str">
        <f t="shared" si="8"/>
        <v>China + South pacific</v>
      </c>
      <c r="AC26" s="276"/>
      <c r="AD26" s="1145">
        <f>IF(AA26&lt;&gt;"",IF(AND($J$1=AA26,$O$1&gt;VLOOKUP($J$1,'Financials Parameters'!$N$30:$P$35,3,FALSE)),'Financials Parameters'!$O$28,'Financials Parameters'!$Q$28),0)</f>
        <v>0</v>
      </c>
      <c r="AE26" s="1146">
        <f>IF(AA26&lt;&gt;"",VLOOKUP(AB26,'Financials Parameters'!$R$38:$S$73,2,FALSE),0)</f>
        <v>0</v>
      </c>
      <c r="AF26" s="1147">
        <f>IF(AA26&lt;&gt;"",VLOOKUP(AA26,'Financials Parameters'!$N$30:$S$35,6,FALSE),0)</f>
        <v>0</v>
      </c>
      <c r="AG26" s="1818"/>
      <c r="AH26" s="1819"/>
      <c r="AI26" s="2059" t="str">
        <f t="shared" si="75"/>
        <v>RMB</v>
      </c>
      <c r="AJ26" s="2059">
        <f>IF(AG26&lt;&gt;0,VLOOKUP(AI26,'Financials Parameters'!$D$29:$E$53,2,FALSE),0)</f>
        <v>0</v>
      </c>
      <c r="AK26" s="2059">
        <f t="shared" si="53"/>
        <v>0</v>
      </c>
      <c r="AL26" s="1820" t="s">
        <v>300</v>
      </c>
      <c r="AM26" s="1821"/>
      <c r="AN26" s="1028">
        <f t="shared" si="10"/>
        <v>1000000000000</v>
      </c>
      <c r="AO26" s="1821"/>
      <c r="AP26" s="1828" t="s">
        <v>149</v>
      </c>
      <c r="AQ26" s="280"/>
      <c r="AR26" s="280"/>
      <c r="AS26" s="1022">
        <f t="shared" si="11"/>
        <v>0</v>
      </c>
      <c r="AT26" s="281"/>
      <c r="AU26" s="281"/>
      <c r="AV26" s="1030" t="str">
        <f>'Material Cost '!$AU26&amp;$K$1</f>
        <v>RMB</v>
      </c>
      <c r="AW26" s="176">
        <f>+SUMIF('Financials Parameters'!$D$29:$D$53,'Material Cost '!AV26,'Financials Parameters'!$E$29:$E$53)</f>
        <v>0</v>
      </c>
      <c r="AX26" s="279">
        <f t="shared" si="54"/>
        <v>0</v>
      </c>
      <c r="AY26" s="1099">
        <f t="shared" si="55"/>
        <v>0</v>
      </c>
      <c r="AZ26" s="1091"/>
      <c r="BA26" s="1092"/>
      <c r="BB26" s="656">
        <f t="shared" si="12"/>
        <v>0</v>
      </c>
      <c r="BC26" s="1092"/>
      <c r="BD26" s="1092"/>
      <c r="BE26" s="1093" t="str">
        <f>'Material Cost '!$BD26&amp;$K$1</f>
        <v>RMB</v>
      </c>
      <c r="BF26" s="1090">
        <f>+SUMIF('Financials Parameters'!$D$29:$D$53,'Material Cost '!BE26,'Financials Parameters'!$E$29:$E$53)</f>
        <v>0</v>
      </c>
      <c r="BG26" s="1096">
        <f t="shared" si="71"/>
        <v>0</v>
      </c>
      <c r="BH26" s="1102">
        <f t="shared" si="13"/>
        <v>0</v>
      </c>
      <c r="BI26" s="114">
        <f t="shared" si="76"/>
        <v>0</v>
      </c>
      <c r="BJ26" s="33">
        <f t="shared" si="14"/>
        <v>0</v>
      </c>
      <c r="BK26" s="33">
        <f t="shared" si="15"/>
        <v>0</v>
      </c>
      <c r="BL26" s="33">
        <f t="shared" si="125"/>
        <v>0</v>
      </c>
      <c r="BM26" s="1103">
        <f t="shared" si="16"/>
        <v>0.15</v>
      </c>
      <c r="BN26" s="1106">
        <f t="shared" si="17"/>
        <v>0</v>
      </c>
      <c r="BO26" s="33">
        <f t="shared" si="18"/>
        <v>0</v>
      </c>
      <c r="BP26" s="33">
        <f t="shared" si="19"/>
        <v>0</v>
      </c>
      <c r="BQ26" s="33">
        <f t="shared" si="20"/>
        <v>0</v>
      </c>
      <c r="BR26" s="33">
        <f t="shared" si="21"/>
        <v>0</v>
      </c>
      <c r="BS26" s="33">
        <f t="shared" si="22"/>
        <v>0</v>
      </c>
      <c r="BT26" s="28">
        <f t="shared" si="23"/>
        <v>0</v>
      </c>
      <c r="BU26">
        <f t="shared" si="24"/>
        <v>0</v>
      </c>
      <c r="BV26" t="str">
        <f t="shared" si="25"/>
        <v>RMB</v>
      </c>
      <c r="BW26" s="17">
        <f t="shared" si="26"/>
        <v>0</v>
      </c>
      <c r="BX26">
        <f t="shared" si="27"/>
        <v>0</v>
      </c>
      <c r="BY26" s="16">
        <f>+IF('RFQ Data'!D$50&lt;&gt;0,INT('RFQ Data'!D$50/$AN26)+1,0)</f>
        <v>0</v>
      </c>
      <c r="BZ26" s="16">
        <f>+IF($AN26&lt;&gt;0,IF('RFQ Data'!E$50&lt;&gt;0,INT('RFQ Data'!E$50/$AN26)+1,0),0)</f>
        <v>1</v>
      </c>
      <c r="CA26" s="16">
        <f>+IF($AN26&lt;&gt;0,IF('RFQ Data'!F$50&lt;&gt;0,INT('RFQ Data'!F$50/$AN26)+1,0),0)</f>
        <v>1</v>
      </c>
      <c r="CB26" s="16">
        <f>+IF($AN26&lt;&gt;0,IF('RFQ Data'!G$50&lt;&gt;0,INT('RFQ Data'!G$50/$AN26)+1,0),0)</f>
        <v>1</v>
      </c>
      <c r="CC26" s="16">
        <f>+IF($AN26&lt;&gt;0,IF('RFQ Data'!H$50&lt;&gt;0,INT('RFQ Data'!H$50/$AN26)+1,0),0)</f>
        <v>1</v>
      </c>
      <c r="CD26" s="16">
        <f>+IF($AN26&lt;&gt;0,IF('RFQ Data'!I$50&lt;&gt;0,INT('RFQ Data'!I$50/$AN26)+1,0),0)</f>
        <v>1</v>
      </c>
      <c r="CF26" s="16">
        <f t="shared" si="108"/>
        <v>1</v>
      </c>
      <c r="CG26" s="16">
        <f t="shared" si="109"/>
        <v>1</v>
      </c>
      <c r="CH26" s="16">
        <f t="shared" si="110"/>
        <v>1</v>
      </c>
      <c r="CI26" s="16">
        <f t="shared" si="111"/>
        <v>1</v>
      </c>
      <c r="CJ26" s="16">
        <f t="shared" si="112"/>
        <v>1</v>
      </c>
      <c r="CK26" s="16">
        <f t="shared" si="113"/>
        <v>1</v>
      </c>
      <c r="CM26" s="16">
        <f t="shared" si="114"/>
        <v>1</v>
      </c>
      <c r="CN26" s="16">
        <f>+CG26-SUM($CM26:CM26)</f>
        <v>0</v>
      </c>
      <c r="CO26" s="16">
        <f>+CH26-SUM($CM26:CN26)</f>
        <v>0</v>
      </c>
      <c r="CP26" s="16">
        <f>+CI26-SUM($CM26:CO26)</f>
        <v>0</v>
      </c>
      <c r="CQ26" s="16">
        <f>+CJ26-SUM($CM26:CP26)</f>
        <v>0</v>
      </c>
      <c r="CR26" s="16">
        <f>+CK26-SUM($CM26:CQ26)</f>
        <v>0</v>
      </c>
      <c r="CT26" s="55">
        <f t="shared" si="29"/>
        <v>0</v>
      </c>
      <c r="CU26" s="55">
        <f t="shared" si="30"/>
        <v>0</v>
      </c>
      <c r="CV26" s="55">
        <f t="shared" si="31"/>
        <v>0</v>
      </c>
      <c r="CW26" s="55">
        <f t="shared" si="32"/>
        <v>0</v>
      </c>
      <c r="CX26" s="55">
        <f t="shared" si="33"/>
        <v>0</v>
      </c>
      <c r="CY26" s="55">
        <f t="shared" si="34"/>
        <v>0</v>
      </c>
      <c r="CZ26" s="16"/>
      <c r="DA26" s="1720">
        <f t="shared" si="35"/>
        <v>0</v>
      </c>
      <c r="DB26" s="260">
        <f t="shared" si="36"/>
        <v>0</v>
      </c>
      <c r="DC26" s="260">
        <f t="shared" si="37"/>
        <v>0</v>
      </c>
      <c r="DD26" s="260">
        <f t="shared" si="38"/>
        <v>0</v>
      </c>
      <c r="DE26" s="260">
        <f t="shared" si="39"/>
        <v>0</v>
      </c>
      <c r="DF26" s="439">
        <f t="shared" si="40"/>
        <v>0</v>
      </c>
      <c r="DG26" s="316" t="str">
        <f t="shared" si="41"/>
        <v/>
      </c>
      <c r="DH26" s="1720">
        <f t="shared" si="115"/>
        <v>0</v>
      </c>
      <c r="DI26" s="260">
        <f t="shared" si="116"/>
        <v>0</v>
      </c>
      <c r="DJ26" s="260">
        <f t="shared" si="117"/>
        <v>0</v>
      </c>
      <c r="DK26" s="260">
        <f t="shared" si="118"/>
        <v>0</v>
      </c>
      <c r="DL26" s="260">
        <f t="shared" si="119"/>
        <v>0</v>
      </c>
      <c r="DM26" s="439">
        <f t="shared" si="120"/>
        <v>0</v>
      </c>
      <c r="DO26" s="2">
        <f t="shared" si="43"/>
        <v>0</v>
      </c>
      <c r="DR26" s="2" t="str">
        <f t="shared" si="44"/>
        <v xml:space="preserve">Material - </v>
      </c>
      <c r="DS26" s="2" t="str">
        <f t="shared" si="45"/>
        <v/>
      </c>
      <c r="DT26" s="16">
        <f t="shared" si="121"/>
        <v>0</v>
      </c>
      <c r="DU26" s="16"/>
      <c r="DV26" s="2" t="str">
        <f t="shared" si="47"/>
        <v/>
      </c>
      <c r="DW26" s="16">
        <f t="shared" si="48"/>
        <v>0</v>
      </c>
      <c r="DX26" s="16">
        <f t="shared" si="49"/>
        <v>0</v>
      </c>
      <c r="DZ26" s="16"/>
      <c r="EA26" s="16">
        <f t="shared" si="122"/>
        <v>0</v>
      </c>
      <c r="EB26" s="16">
        <f>+IF(AO26&lt;&gt;0,(INT(SUM('RFQ Data'!$C$31:$H$31)*F26/AO26)+1)*AK26,0)</f>
        <v>0</v>
      </c>
      <c r="EC26" s="16">
        <f>+(EB26+EA26)/SUM('RFQ Data'!$C$31:$H$31)</f>
        <v>0</v>
      </c>
      <c r="ED26" s="16">
        <f t="shared" si="123"/>
        <v>0</v>
      </c>
      <c r="EF26" s="25">
        <f t="shared" si="51"/>
        <v>0</v>
      </c>
      <c r="EG26" s="163">
        <f t="shared" si="124"/>
        <v>0</v>
      </c>
      <c r="EH26">
        <f>+'RFQ Data'!C$31*'Material Cost '!$F26</f>
        <v>0</v>
      </c>
      <c r="EI26">
        <f>+'RFQ Data'!D$31*'Material Cost '!$F26</f>
        <v>0</v>
      </c>
      <c r="EJ26">
        <f>+'RFQ Data'!E$31*'Material Cost '!$F26</f>
        <v>0</v>
      </c>
      <c r="EK26">
        <f>+'RFQ Data'!F$31*'Material Cost '!$F26</f>
        <v>0</v>
      </c>
      <c r="EL26">
        <f>+'RFQ Data'!G$31*'Material Cost '!$F26</f>
        <v>0</v>
      </c>
      <c r="EM26">
        <f>+'RFQ Data'!H$31*'Material Cost '!$F26</f>
        <v>0</v>
      </c>
    </row>
    <row r="27" spans="1:143" ht="15" thickBot="1">
      <c r="A27" s="171">
        <f t="shared" si="69"/>
        <v>22</v>
      </c>
      <c r="B27" s="161">
        <f t="shared" si="6"/>
        <v>0</v>
      </c>
      <c r="C27" s="1893" t="str">
        <f>IF(Purchasing!A24="","",Purchasing!A24)</f>
        <v/>
      </c>
      <c r="D27" s="1894" t="str">
        <f>IF(Purchasing!B24="","",Purchasing!B24)</f>
        <v/>
      </c>
      <c r="E27" s="1894" t="str">
        <f>IF(Purchasing!P24="","",Purchasing!P24)</f>
        <v/>
      </c>
      <c r="F27" s="1895">
        <f>IF(Purchasing!K24&lt;&gt;"",IF(Purchasing!K24="","",Purchasing!K24),0)</f>
        <v>0</v>
      </c>
      <c r="G27" s="1895" t="str">
        <f>IF(Purchasing!L24="","",Purchasing!L24)</f>
        <v/>
      </c>
      <c r="H27" s="1895" t="str">
        <f>IF(Purchasing!M24="","",Purchasing!M24)</f>
        <v/>
      </c>
      <c r="I27" s="1895" t="str">
        <f>IF(Purchasing!N24="","",Purchasing!N24)</f>
        <v/>
      </c>
      <c r="J27" s="1898" t="str">
        <f>IF(Purchasing!J24&lt;&gt;"",Purchasing!J24,"")</f>
        <v/>
      </c>
      <c r="K27" s="1896" t="str">
        <f>IF(Purchasing!BP24="-","",Purchasing!BP24)</f>
        <v/>
      </c>
      <c r="L27" s="1906">
        <f>Purchasing!I24</f>
        <v>0</v>
      </c>
      <c r="M27" s="241">
        <f>Purchasing!H24</f>
        <v>0</v>
      </c>
      <c r="N27" s="243"/>
      <c r="O27" s="1897" t="str">
        <f>IF(Q27&lt;&gt;0,IF(Q27=Purchasing!W24,"Estimated", "Offer"),"")</f>
        <v/>
      </c>
      <c r="P27" s="1903" t="str">
        <f>IF(Purchasing!G24&lt;&gt;0,Purchasing!G24,"")</f>
        <v/>
      </c>
      <c r="Q27" s="1904">
        <f>IF(Purchasing!BP24=Purchasing!Z24,Purchasing!AB24,IF(Purchasing!BP24=Purchasing!AN24,Purchasing!AP24,IF(Purchasing!BP24=Purchasing!BB24,Purchasing!BD24,Purchasing!W24)))</f>
        <v>0</v>
      </c>
      <c r="R27" s="243">
        <f>IF(Purchasing!BP24=Purchasing!Z24,Purchasing!AC24,IF(Purchasing!BP24=Purchasing!AN24,Purchasing!AR24,IF(Purchasing!BP24=Purchasing!BB24,Purchasing!BF24,Purchasing!X24)))</f>
        <v>0</v>
      </c>
      <c r="S27" s="284" t="str">
        <f t="shared" si="70"/>
        <v>RMB</v>
      </c>
      <c r="T27" s="285" t="str">
        <f t="shared" si="52"/>
        <v>0RMB</v>
      </c>
      <c r="U27" s="1069">
        <f>+SUMIF('Financials Parameters'!$D$29:$D$53,'Material Cost '!T27,'Financials Parameters'!$E$29:$E$53)</f>
        <v>0</v>
      </c>
      <c r="V27" s="244">
        <v>0</v>
      </c>
      <c r="W27" s="245">
        <v>0</v>
      </c>
      <c r="X27" s="246">
        <v>0</v>
      </c>
      <c r="Y27" s="1810">
        <f t="shared" si="7"/>
        <v>0</v>
      </c>
      <c r="Z27" s="1909"/>
      <c r="AA27" s="319"/>
      <c r="AB27" s="1917" t="str">
        <f t="shared" si="8"/>
        <v>China + South pacific</v>
      </c>
      <c r="AC27" s="276"/>
      <c r="AD27" s="1145">
        <f>IF(AA27&lt;&gt;"",IF(AND($J$1=AA27,$O$1&gt;VLOOKUP($J$1,'Financials Parameters'!$N$30:$P$35,3,FALSE)),'Financials Parameters'!$O$28,'Financials Parameters'!$Q$28),0)</f>
        <v>0</v>
      </c>
      <c r="AE27" s="1146">
        <f>IF(AA27&lt;&gt;"",VLOOKUP(AB27,'Financials Parameters'!$R$38:$S$73,2,FALSE),0)</f>
        <v>0</v>
      </c>
      <c r="AF27" s="1147">
        <f>IF(AA27&lt;&gt;"",VLOOKUP(AA27,'Financials Parameters'!$N$30:$S$35,6,FALSE),0)</f>
        <v>0</v>
      </c>
      <c r="AG27" s="1818"/>
      <c r="AH27" s="1819"/>
      <c r="AI27" s="2059" t="str">
        <f t="shared" si="75"/>
        <v>RMB</v>
      </c>
      <c r="AJ27" s="2059">
        <f>IF(AG27&lt;&gt;0,VLOOKUP(AI27,'Financials Parameters'!$D$29:$E$53,2,FALSE),0)</f>
        <v>0</v>
      </c>
      <c r="AK27" s="2059">
        <f t="shared" si="53"/>
        <v>0</v>
      </c>
      <c r="AL27" s="1820" t="s">
        <v>300</v>
      </c>
      <c r="AM27" s="1821"/>
      <c r="AN27" s="1028">
        <f t="shared" si="10"/>
        <v>1000000000000</v>
      </c>
      <c r="AO27" s="1821"/>
      <c r="AP27" s="1828" t="s">
        <v>149</v>
      </c>
      <c r="AQ27" s="280"/>
      <c r="AR27" s="280"/>
      <c r="AS27" s="1022">
        <f t="shared" si="11"/>
        <v>0</v>
      </c>
      <c r="AT27" s="281"/>
      <c r="AU27" s="281"/>
      <c r="AV27" s="1030" t="str">
        <f>'Material Cost '!$AU27&amp;$K$1</f>
        <v>RMB</v>
      </c>
      <c r="AW27" s="176">
        <f>+SUMIF('Financials Parameters'!$D$29:$D$53,'Material Cost '!AV27,'Financials Parameters'!$E$29:$E$53)</f>
        <v>0</v>
      </c>
      <c r="AX27" s="279">
        <f t="shared" si="54"/>
        <v>0</v>
      </c>
      <c r="AY27" s="1099">
        <f t="shared" si="55"/>
        <v>0</v>
      </c>
      <c r="AZ27" s="1091"/>
      <c r="BA27" s="1092"/>
      <c r="BB27" s="656">
        <f t="shared" si="12"/>
        <v>0</v>
      </c>
      <c r="BC27" s="1092"/>
      <c r="BD27" s="1092"/>
      <c r="BE27" s="1093" t="str">
        <f>'Material Cost '!$BD27&amp;$K$1</f>
        <v>RMB</v>
      </c>
      <c r="BF27" s="1090">
        <f>+SUMIF('Financials Parameters'!$D$29:$D$53,'Material Cost '!BE27,'Financials Parameters'!$E$29:$E$53)</f>
        <v>0</v>
      </c>
      <c r="BG27" s="1096">
        <f t="shared" si="71"/>
        <v>0</v>
      </c>
      <c r="BH27" s="1102">
        <f t="shared" si="13"/>
        <v>0</v>
      </c>
      <c r="BI27" s="114">
        <f t="shared" si="76"/>
        <v>0</v>
      </c>
      <c r="BJ27" s="33">
        <f t="shared" si="14"/>
        <v>0</v>
      </c>
      <c r="BK27" s="33">
        <f t="shared" si="15"/>
        <v>0</v>
      </c>
      <c r="BL27" s="33">
        <f t="shared" si="125"/>
        <v>0</v>
      </c>
      <c r="BM27" s="1103">
        <f t="shared" si="16"/>
        <v>0.15</v>
      </c>
      <c r="BN27" s="1106">
        <f t="shared" si="17"/>
        <v>0</v>
      </c>
      <c r="BO27" s="33">
        <f t="shared" si="18"/>
        <v>0</v>
      </c>
      <c r="BP27" s="33">
        <f t="shared" si="19"/>
        <v>0</v>
      </c>
      <c r="BQ27" s="33">
        <f t="shared" si="20"/>
        <v>0</v>
      </c>
      <c r="BR27" s="33">
        <f t="shared" si="21"/>
        <v>0</v>
      </c>
      <c r="BS27" s="33">
        <f t="shared" si="22"/>
        <v>0</v>
      </c>
      <c r="BT27" s="28">
        <f t="shared" si="23"/>
        <v>0</v>
      </c>
      <c r="BU27">
        <f t="shared" si="24"/>
        <v>0</v>
      </c>
      <c r="BV27" t="str">
        <f t="shared" si="25"/>
        <v>RMB</v>
      </c>
      <c r="BW27" s="17">
        <f t="shared" si="26"/>
        <v>0</v>
      </c>
      <c r="BX27">
        <f t="shared" si="27"/>
        <v>0</v>
      </c>
      <c r="BY27" s="16">
        <f>+IF('RFQ Data'!D$50&lt;&gt;0,INT('RFQ Data'!D$50/$AN27)+1,0)</f>
        <v>0</v>
      </c>
      <c r="BZ27" s="16">
        <f>+IF($AN27&lt;&gt;0,IF('RFQ Data'!E$50&lt;&gt;0,INT('RFQ Data'!E$50/$AN27)+1,0),0)</f>
        <v>1</v>
      </c>
      <c r="CA27" s="16">
        <f>+IF($AN27&lt;&gt;0,IF('RFQ Data'!F$50&lt;&gt;0,INT('RFQ Data'!F$50/$AN27)+1,0),0)</f>
        <v>1</v>
      </c>
      <c r="CB27" s="16">
        <f>+IF($AN27&lt;&gt;0,IF('RFQ Data'!G$50&lt;&gt;0,INT('RFQ Data'!G$50/$AN27)+1,0),0)</f>
        <v>1</v>
      </c>
      <c r="CC27" s="16">
        <f>+IF($AN27&lt;&gt;0,IF('RFQ Data'!H$50&lt;&gt;0,INT('RFQ Data'!H$50/$AN27)+1,0),0)</f>
        <v>1</v>
      </c>
      <c r="CD27" s="16">
        <f>+IF($AN27&lt;&gt;0,IF('RFQ Data'!I$50&lt;&gt;0,INT('RFQ Data'!I$50/$AN27)+1,0),0)</f>
        <v>1</v>
      </c>
      <c r="CF27" s="16">
        <f t="shared" si="108"/>
        <v>1</v>
      </c>
      <c r="CG27" s="16">
        <f t="shared" si="109"/>
        <v>1</v>
      </c>
      <c r="CH27" s="16">
        <f t="shared" si="110"/>
        <v>1</v>
      </c>
      <c r="CI27" s="16">
        <f t="shared" si="111"/>
        <v>1</v>
      </c>
      <c r="CJ27" s="16">
        <f t="shared" si="112"/>
        <v>1</v>
      </c>
      <c r="CK27" s="16">
        <f t="shared" si="113"/>
        <v>1</v>
      </c>
      <c r="CM27" s="16">
        <f t="shared" si="114"/>
        <v>1</v>
      </c>
      <c r="CN27" s="16">
        <f>+CG27-SUM($CM27:CM27)</f>
        <v>0</v>
      </c>
      <c r="CO27" s="16">
        <f>+CH27-SUM($CM27:CN27)</f>
        <v>0</v>
      </c>
      <c r="CP27" s="16">
        <f>+CI27-SUM($CM27:CO27)</f>
        <v>0</v>
      </c>
      <c r="CQ27" s="16">
        <f>+CJ27-SUM($CM27:CP27)</f>
        <v>0</v>
      </c>
      <c r="CR27" s="16">
        <f>+CK27-SUM($CM27:CQ27)</f>
        <v>0</v>
      </c>
      <c r="CT27" s="55">
        <f t="shared" si="29"/>
        <v>0</v>
      </c>
      <c r="CU27" s="55">
        <f t="shared" si="30"/>
        <v>0</v>
      </c>
      <c r="CV27" s="55">
        <f t="shared" si="31"/>
        <v>0</v>
      </c>
      <c r="CW27" s="55">
        <f t="shared" si="32"/>
        <v>0</v>
      </c>
      <c r="CX27" s="55">
        <f t="shared" si="33"/>
        <v>0</v>
      </c>
      <c r="CY27" s="55">
        <f t="shared" si="34"/>
        <v>0</v>
      </c>
      <c r="CZ27" s="16"/>
      <c r="DA27" s="1720">
        <f t="shared" si="35"/>
        <v>0</v>
      </c>
      <c r="DB27" s="260">
        <f t="shared" si="36"/>
        <v>0</v>
      </c>
      <c r="DC27" s="260">
        <f t="shared" si="37"/>
        <v>0</v>
      </c>
      <c r="DD27" s="260">
        <f t="shared" si="38"/>
        <v>0</v>
      </c>
      <c r="DE27" s="260">
        <f t="shared" si="39"/>
        <v>0</v>
      </c>
      <c r="DF27" s="439">
        <f t="shared" si="40"/>
        <v>0</v>
      </c>
      <c r="DG27" s="316" t="str">
        <f t="shared" si="41"/>
        <v/>
      </c>
      <c r="DH27" s="1720">
        <f t="shared" si="115"/>
        <v>0</v>
      </c>
      <c r="DI27" s="260">
        <f t="shared" si="116"/>
        <v>0</v>
      </c>
      <c r="DJ27" s="260">
        <f t="shared" si="117"/>
        <v>0</v>
      </c>
      <c r="DK27" s="260">
        <f t="shared" si="118"/>
        <v>0</v>
      </c>
      <c r="DL27" s="260">
        <f t="shared" si="119"/>
        <v>0</v>
      </c>
      <c r="DM27" s="439">
        <f t="shared" si="120"/>
        <v>0</v>
      </c>
      <c r="DO27" s="2">
        <f t="shared" si="43"/>
        <v>0</v>
      </c>
      <c r="DR27" s="2" t="str">
        <f t="shared" si="44"/>
        <v xml:space="preserve">Material - </v>
      </c>
      <c r="DS27" s="2" t="str">
        <f t="shared" si="45"/>
        <v/>
      </c>
      <c r="DT27" s="16">
        <f t="shared" si="121"/>
        <v>0</v>
      </c>
      <c r="DU27" s="16"/>
      <c r="DV27" s="2" t="str">
        <f t="shared" si="47"/>
        <v/>
      </c>
      <c r="DW27" s="16">
        <f t="shared" si="48"/>
        <v>0</v>
      </c>
      <c r="DX27" s="16">
        <f t="shared" si="49"/>
        <v>0</v>
      </c>
      <c r="DZ27" s="16"/>
      <c r="EA27" s="16">
        <f t="shared" si="122"/>
        <v>0</v>
      </c>
      <c r="EB27" s="16">
        <f>+IF(AO27&lt;&gt;0,(INT(SUM('RFQ Data'!$C$31:$H$31)*F27/AO27)+1)*AK27,0)</f>
        <v>0</v>
      </c>
      <c r="EC27" s="16">
        <f>+(EB27+EA27)/SUM('RFQ Data'!$C$31:$H$31)</f>
        <v>0</v>
      </c>
      <c r="ED27" s="16">
        <f t="shared" si="123"/>
        <v>0</v>
      </c>
      <c r="EF27" s="25">
        <f t="shared" si="51"/>
        <v>0</v>
      </c>
      <c r="EG27" s="163">
        <f t="shared" si="124"/>
        <v>0</v>
      </c>
      <c r="EH27">
        <f>+'RFQ Data'!C$31*'Material Cost '!$F27</f>
        <v>0</v>
      </c>
      <c r="EI27">
        <f>+'RFQ Data'!D$31*'Material Cost '!$F27</f>
        <v>0</v>
      </c>
      <c r="EJ27">
        <f>+'RFQ Data'!E$31*'Material Cost '!$F27</f>
        <v>0</v>
      </c>
      <c r="EK27">
        <f>+'RFQ Data'!F$31*'Material Cost '!$F27</f>
        <v>0</v>
      </c>
      <c r="EL27">
        <f>+'RFQ Data'!G$31*'Material Cost '!$F27</f>
        <v>0</v>
      </c>
      <c r="EM27">
        <f>+'RFQ Data'!H$31*'Material Cost '!$F27</f>
        <v>0</v>
      </c>
    </row>
    <row r="28" spans="1:143" ht="15" thickBot="1">
      <c r="A28" s="171">
        <f t="shared" si="69"/>
        <v>23</v>
      </c>
      <c r="B28" s="161">
        <f t="shared" si="6"/>
        <v>0</v>
      </c>
      <c r="C28" s="1893" t="str">
        <f>IF(Purchasing!A25="","",Purchasing!A25)</f>
        <v/>
      </c>
      <c r="D28" s="1894" t="str">
        <f>IF(Purchasing!B25="","",Purchasing!B25)</f>
        <v/>
      </c>
      <c r="E28" s="1894" t="str">
        <f>IF(Purchasing!P25="","",Purchasing!P25)</f>
        <v/>
      </c>
      <c r="F28" s="1895">
        <f>IF(Purchasing!K25&lt;&gt;"",IF(Purchasing!K25="","",Purchasing!K25),0)</f>
        <v>0</v>
      </c>
      <c r="G28" s="1895" t="str">
        <f>IF(Purchasing!L25="","",Purchasing!L25)</f>
        <v/>
      </c>
      <c r="H28" s="1895" t="str">
        <f>IF(Purchasing!M25="","",Purchasing!M25)</f>
        <v/>
      </c>
      <c r="I28" s="1895" t="str">
        <f>IF(Purchasing!N25="","",Purchasing!N25)</f>
        <v/>
      </c>
      <c r="J28" s="1898" t="str">
        <f>IF(Purchasing!J25&lt;&gt;"",Purchasing!J25,"")</f>
        <v/>
      </c>
      <c r="K28" s="1896" t="str">
        <f>IF(Purchasing!BP25="-","",Purchasing!BP25)</f>
        <v/>
      </c>
      <c r="L28" s="1906">
        <f>Purchasing!I25</f>
        <v>0</v>
      </c>
      <c r="M28" s="241">
        <f>Purchasing!H25</f>
        <v>0</v>
      </c>
      <c r="N28" s="243"/>
      <c r="O28" s="1897" t="str">
        <f>IF(Q28&lt;&gt;0,IF(Q28=Purchasing!W25,"Estimated", "Offer"),"")</f>
        <v/>
      </c>
      <c r="P28" s="1903" t="str">
        <f>IF(Purchasing!G25&lt;&gt;0,Purchasing!G25,"")</f>
        <v/>
      </c>
      <c r="Q28" s="1904">
        <f>IF(Purchasing!BP25=Purchasing!Z25,Purchasing!AB25,IF(Purchasing!BP25=Purchasing!AN25,Purchasing!AP25,IF(Purchasing!BP25=Purchasing!BB25,Purchasing!BD25,Purchasing!W25)))</f>
        <v>0</v>
      </c>
      <c r="R28" s="243">
        <f>IF(Purchasing!BP25=Purchasing!Z25,Purchasing!AC25,IF(Purchasing!BP25=Purchasing!AN25,Purchasing!AR25,IF(Purchasing!BP25=Purchasing!BB25,Purchasing!BF25,Purchasing!X25)))</f>
        <v>0</v>
      </c>
      <c r="S28" s="284" t="str">
        <f t="shared" si="70"/>
        <v>RMB</v>
      </c>
      <c r="T28" s="285" t="str">
        <f t="shared" si="52"/>
        <v>0RMB</v>
      </c>
      <c r="U28" s="1069">
        <f>+SUMIF('Financials Parameters'!$D$29:$D$53,'Material Cost '!T28,'Financials Parameters'!$E$29:$E$53)</f>
        <v>0</v>
      </c>
      <c r="V28" s="244">
        <v>0</v>
      </c>
      <c r="W28" s="245">
        <v>0</v>
      </c>
      <c r="X28" s="246">
        <v>0</v>
      </c>
      <c r="Y28" s="1810">
        <f t="shared" si="7"/>
        <v>0</v>
      </c>
      <c r="Z28" s="1909"/>
      <c r="AA28" s="319"/>
      <c r="AB28" s="1917" t="str">
        <f t="shared" si="8"/>
        <v>China + South pacific</v>
      </c>
      <c r="AC28" s="276"/>
      <c r="AD28" s="1145">
        <f>IF(AA28&lt;&gt;"",IF(AND($J$1=AA28,$O$1&gt;VLOOKUP($J$1,'Financials Parameters'!$N$30:$P$35,3,FALSE)),'Financials Parameters'!$O$28,'Financials Parameters'!$Q$28),0)</f>
        <v>0</v>
      </c>
      <c r="AE28" s="1146">
        <f>IF(AA28&lt;&gt;"",VLOOKUP(AB28,'Financials Parameters'!$R$38:$S$73,2,FALSE),0)</f>
        <v>0</v>
      </c>
      <c r="AF28" s="1147">
        <f>IF(AA28&lt;&gt;"",VLOOKUP(AA28,'Financials Parameters'!$N$30:$S$35,6,FALSE),0)</f>
        <v>0</v>
      </c>
      <c r="AG28" s="1818"/>
      <c r="AH28" s="1819"/>
      <c r="AI28" s="2059" t="str">
        <f t="shared" si="75"/>
        <v>RMB</v>
      </c>
      <c r="AJ28" s="2059">
        <f>IF(AG28&lt;&gt;0,VLOOKUP(AI28,'Financials Parameters'!$D$29:$E$53,2,FALSE),0)</f>
        <v>0</v>
      </c>
      <c r="AK28" s="2059">
        <f t="shared" si="53"/>
        <v>0</v>
      </c>
      <c r="AL28" s="1820" t="s">
        <v>300</v>
      </c>
      <c r="AM28" s="1821"/>
      <c r="AN28" s="1028">
        <f t="shared" si="10"/>
        <v>1000000000000</v>
      </c>
      <c r="AO28" s="1821"/>
      <c r="AP28" s="1828" t="s">
        <v>149</v>
      </c>
      <c r="AQ28" s="280"/>
      <c r="AR28" s="280"/>
      <c r="AS28" s="1022">
        <f t="shared" si="11"/>
        <v>0</v>
      </c>
      <c r="AT28" s="281"/>
      <c r="AU28" s="281"/>
      <c r="AV28" s="1030" t="str">
        <f>'Material Cost '!$AU28&amp;$K$1</f>
        <v>RMB</v>
      </c>
      <c r="AW28" s="176">
        <f>+SUMIF('Financials Parameters'!$D$29:$D$53,'Material Cost '!AV28,'Financials Parameters'!$E$29:$E$53)</f>
        <v>0</v>
      </c>
      <c r="AX28" s="279">
        <f t="shared" si="54"/>
        <v>0</v>
      </c>
      <c r="AY28" s="1099">
        <f t="shared" si="55"/>
        <v>0</v>
      </c>
      <c r="AZ28" s="1091"/>
      <c r="BA28" s="1092"/>
      <c r="BB28" s="656">
        <f t="shared" si="12"/>
        <v>0</v>
      </c>
      <c r="BC28" s="1092"/>
      <c r="BD28" s="1092"/>
      <c r="BE28" s="1093" t="str">
        <f>'Material Cost '!$BD28&amp;$K$1</f>
        <v>RMB</v>
      </c>
      <c r="BF28" s="1090">
        <f>+SUMIF('Financials Parameters'!$D$29:$D$53,'Material Cost '!BE28,'Financials Parameters'!$E$29:$E$53)</f>
        <v>0</v>
      </c>
      <c r="BG28" s="1096">
        <f t="shared" si="71"/>
        <v>0</v>
      </c>
      <c r="BH28" s="1102">
        <f t="shared" si="13"/>
        <v>0</v>
      </c>
      <c r="BI28" s="114">
        <f t="shared" si="76"/>
        <v>0</v>
      </c>
      <c r="BJ28" s="33">
        <f t="shared" si="14"/>
        <v>0</v>
      </c>
      <c r="BK28" s="33">
        <f t="shared" si="15"/>
        <v>0</v>
      </c>
      <c r="BL28" s="33">
        <f t="shared" si="125"/>
        <v>0</v>
      </c>
      <c r="BM28" s="1103">
        <f t="shared" si="16"/>
        <v>0.15</v>
      </c>
      <c r="BN28" s="1106">
        <f t="shared" si="17"/>
        <v>0</v>
      </c>
      <c r="BO28" s="33">
        <f t="shared" si="18"/>
        <v>0</v>
      </c>
      <c r="BP28" s="33">
        <f t="shared" si="19"/>
        <v>0</v>
      </c>
      <c r="BQ28" s="33">
        <f t="shared" si="20"/>
        <v>0</v>
      </c>
      <c r="BR28" s="33">
        <f t="shared" si="21"/>
        <v>0</v>
      </c>
      <c r="BS28" s="33">
        <f t="shared" si="22"/>
        <v>0</v>
      </c>
      <c r="BT28" s="28">
        <f t="shared" si="23"/>
        <v>0</v>
      </c>
      <c r="BU28">
        <f t="shared" si="24"/>
        <v>0</v>
      </c>
      <c r="BV28" t="str">
        <f t="shared" si="25"/>
        <v>RMB</v>
      </c>
      <c r="BW28" s="17">
        <f t="shared" si="26"/>
        <v>0</v>
      </c>
      <c r="BX28">
        <f t="shared" si="27"/>
        <v>0</v>
      </c>
      <c r="BY28" s="16">
        <f>+IF('RFQ Data'!D$50&lt;&gt;0,INT('RFQ Data'!D$50/$AN28)+1,0)</f>
        <v>0</v>
      </c>
      <c r="BZ28" s="16">
        <f>+IF($AN28&lt;&gt;0,IF('RFQ Data'!E$50&lt;&gt;0,INT('RFQ Data'!E$50/$AN28)+1,0),0)</f>
        <v>1</v>
      </c>
      <c r="CA28" s="16">
        <f>+IF($AN28&lt;&gt;0,IF('RFQ Data'!F$50&lt;&gt;0,INT('RFQ Data'!F$50/$AN28)+1,0),0)</f>
        <v>1</v>
      </c>
      <c r="CB28" s="16">
        <f>+IF($AN28&lt;&gt;0,IF('RFQ Data'!G$50&lt;&gt;0,INT('RFQ Data'!G$50/$AN28)+1,0),0)</f>
        <v>1</v>
      </c>
      <c r="CC28" s="16">
        <f>+IF($AN28&lt;&gt;0,IF('RFQ Data'!H$50&lt;&gt;0,INT('RFQ Data'!H$50/$AN28)+1,0),0)</f>
        <v>1</v>
      </c>
      <c r="CD28" s="16">
        <f>+IF($AN28&lt;&gt;0,IF('RFQ Data'!I$50&lt;&gt;0,INT('RFQ Data'!I$50/$AN28)+1,0),0)</f>
        <v>1</v>
      </c>
      <c r="CF28" s="16">
        <f t="shared" si="108"/>
        <v>1</v>
      </c>
      <c r="CG28" s="16">
        <f t="shared" si="109"/>
        <v>1</v>
      </c>
      <c r="CH28" s="16">
        <f t="shared" si="110"/>
        <v>1</v>
      </c>
      <c r="CI28" s="16">
        <f t="shared" si="111"/>
        <v>1</v>
      </c>
      <c r="CJ28" s="16">
        <f t="shared" si="112"/>
        <v>1</v>
      </c>
      <c r="CK28" s="16">
        <f t="shared" si="113"/>
        <v>1</v>
      </c>
      <c r="CM28" s="16">
        <f t="shared" si="114"/>
        <v>1</v>
      </c>
      <c r="CN28" s="16">
        <f>+CG28-SUM($CM28:CM28)</f>
        <v>0</v>
      </c>
      <c r="CO28" s="16">
        <f>+CH28-SUM($CM28:CN28)</f>
        <v>0</v>
      </c>
      <c r="CP28" s="16">
        <f>+CI28-SUM($CM28:CO28)</f>
        <v>0</v>
      </c>
      <c r="CQ28" s="16">
        <f>+CJ28-SUM($CM28:CP28)</f>
        <v>0</v>
      </c>
      <c r="CR28" s="16">
        <f>+CK28-SUM($CM28:CQ28)</f>
        <v>0</v>
      </c>
      <c r="CT28" s="55">
        <f t="shared" si="29"/>
        <v>0</v>
      </c>
      <c r="CU28" s="55">
        <f t="shared" si="30"/>
        <v>0</v>
      </c>
      <c r="CV28" s="55">
        <f t="shared" si="31"/>
        <v>0</v>
      </c>
      <c r="CW28" s="55">
        <f t="shared" si="32"/>
        <v>0</v>
      </c>
      <c r="CX28" s="55">
        <f t="shared" si="33"/>
        <v>0</v>
      </c>
      <c r="CY28" s="55">
        <f t="shared" si="34"/>
        <v>0</v>
      </c>
      <c r="CZ28" s="16"/>
      <c r="DA28" s="1720">
        <f t="shared" si="35"/>
        <v>0</v>
      </c>
      <c r="DB28" s="260">
        <f t="shared" si="36"/>
        <v>0</v>
      </c>
      <c r="DC28" s="260">
        <f t="shared" si="37"/>
        <v>0</v>
      </c>
      <c r="DD28" s="260">
        <f t="shared" si="38"/>
        <v>0</v>
      </c>
      <c r="DE28" s="260">
        <f t="shared" si="39"/>
        <v>0</v>
      </c>
      <c r="DF28" s="439">
        <f t="shared" si="40"/>
        <v>0</v>
      </c>
      <c r="DG28" s="316" t="str">
        <f t="shared" si="41"/>
        <v/>
      </c>
      <c r="DH28" s="1720">
        <f t="shared" si="115"/>
        <v>0</v>
      </c>
      <c r="DI28" s="260">
        <f t="shared" si="116"/>
        <v>0</v>
      </c>
      <c r="DJ28" s="260">
        <f t="shared" si="117"/>
        <v>0</v>
      </c>
      <c r="DK28" s="260">
        <f t="shared" si="118"/>
        <v>0</v>
      </c>
      <c r="DL28" s="260">
        <f t="shared" si="119"/>
        <v>0</v>
      </c>
      <c r="DM28" s="439">
        <f t="shared" si="120"/>
        <v>0</v>
      </c>
      <c r="DO28" s="2">
        <f t="shared" si="43"/>
        <v>0</v>
      </c>
      <c r="DR28" s="2" t="str">
        <f t="shared" si="44"/>
        <v xml:space="preserve">Material - </v>
      </c>
      <c r="DS28" s="2" t="str">
        <f t="shared" si="45"/>
        <v/>
      </c>
      <c r="DT28" s="16">
        <f t="shared" si="121"/>
        <v>0</v>
      </c>
      <c r="DU28" s="16"/>
      <c r="DV28" s="2" t="str">
        <f t="shared" si="47"/>
        <v/>
      </c>
      <c r="DW28" s="16">
        <f t="shared" si="48"/>
        <v>0</v>
      </c>
      <c r="DX28" s="16">
        <f t="shared" si="49"/>
        <v>0</v>
      </c>
      <c r="DZ28" s="16"/>
      <c r="EA28" s="16">
        <f t="shared" si="122"/>
        <v>0</v>
      </c>
      <c r="EB28" s="16">
        <f>+IF(AO28&lt;&gt;0,(INT(SUM('RFQ Data'!$C$31:$H$31)*F28/AO28)+1)*AK28,0)</f>
        <v>0</v>
      </c>
      <c r="EC28" s="16">
        <f>+(EB28+EA28)/SUM('RFQ Data'!$C$31:$H$31)</f>
        <v>0</v>
      </c>
      <c r="ED28" s="16">
        <f t="shared" si="123"/>
        <v>0</v>
      </c>
      <c r="EF28" s="25">
        <f t="shared" si="51"/>
        <v>0</v>
      </c>
      <c r="EG28" s="163">
        <f t="shared" si="124"/>
        <v>0</v>
      </c>
      <c r="EH28">
        <f>+'RFQ Data'!C$31*'Material Cost '!$F28</f>
        <v>0</v>
      </c>
      <c r="EI28">
        <f>+'RFQ Data'!D$31*'Material Cost '!$F28</f>
        <v>0</v>
      </c>
      <c r="EJ28">
        <f>+'RFQ Data'!E$31*'Material Cost '!$F28</f>
        <v>0</v>
      </c>
      <c r="EK28">
        <f>+'RFQ Data'!F$31*'Material Cost '!$F28</f>
        <v>0</v>
      </c>
      <c r="EL28">
        <f>+'RFQ Data'!G$31*'Material Cost '!$F28</f>
        <v>0</v>
      </c>
      <c r="EM28">
        <f>+'RFQ Data'!H$31*'Material Cost '!$F28</f>
        <v>0</v>
      </c>
    </row>
    <row r="29" spans="1:143" ht="15" thickBot="1">
      <c r="A29" s="171">
        <f t="shared" si="69"/>
        <v>24</v>
      </c>
      <c r="B29" s="161">
        <f t="shared" si="6"/>
        <v>0</v>
      </c>
      <c r="C29" s="1893" t="str">
        <f>IF(Purchasing!A26="","",Purchasing!A26)</f>
        <v/>
      </c>
      <c r="D29" s="1894" t="str">
        <f>IF(Purchasing!B26="","",Purchasing!B26)</f>
        <v/>
      </c>
      <c r="E29" s="1894" t="str">
        <f>IF(Purchasing!P26="","",Purchasing!P26)</f>
        <v/>
      </c>
      <c r="F29" s="1895">
        <f>IF(Purchasing!K26&lt;&gt;"",IF(Purchasing!K26="","",Purchasing!K26),0)</f>
        <v>0</v>
      </c>
      <c r="G29" s="1895" t="str">
        <f>IF(Purchasing!L26="","",Purchasing!L26)</f>
        <v/>
      </c>
      <c r="H29" s="1895" t="str">
        <f>IF(Purchasing!M26="","",Purchasing!M26)</f>
        <v/>
      </c>
      <c r="I29" s="1895" t="str">
        <f>IF(Purchasing!N26="","",Purchasing!N26)</f>
        <v/>
      </c>
      <c r="J29" s="1898" t="str">
        <f>IF(Purchasing!J26&lt;&gt;"",Purchasing!J26,"")</f>
        <v/>
      </c>
      <c r="K29" s="1896" t="str">
        <f>IF(Purchasing!BP26="-","",Purchasing!BP26)</f>
        <v/>
      </c>
      <c r="L29" s="1906">
        <f>Purchasing!I26</f>
        <v>0</v>
      </c>
      <c r="M29" s="241">
        <f>Purchasing!H26</f>
        <v>0</v>
      </c>
      <c r="N29" s="243"/>
      <c r="O29" s="1897" t="str">
        <f>IF(Q29&lt;&gt;0,IF(Q29=Purchasing!W26,"Estimated", "Offer"),"")</f>
        <v/>
      </c>
      <c r="P29" s="1903" t="str">
        <f>IF(Purchasing!G26&lt;&gt;0,Purchasing!G26,"")</f>
        <v/>
      </c>
      <c r="Q29" s="1904">
        <f>IF(Purchasing!BP26=Purchasing!Z26,Purchasing!AB26,IF(Purchasing!BP26=Purchasing!AN26,Purchasing!AP26,IF(Purchasing!BP26=Purchasing!BB26,Purchasing!BD26,Purchasing!W26)))</f>
        <v>0</v>
      </c>
      <c r="R29" s="243">
        <f>IF(Purchasing!BP26=Purchasing!Z26,Purchasing!AC26,IF(Purchasing!BP26=Purchasing!AN26,Purchasing!AR26,IF(Purchasing!BP26=Purchasing!BB26,Purchasing!BF26,Purchasing!X26)))</f>
        <v>0</v>
      </c>
      <c r="S29" s="284" t="str">
        <f t="shared" si="70"/>
        <v>RMB</v>
      </c>
      <c r="T29" s="285" t="str">
        <f t="shared" si="52"/>
        <v>0RMB</v>
      </c>
      <c r="U29" s="1069">
        <f>+SUMIF('Financials Parameters'!$D$29:$D$53,'Material Cost '!T29,'Financials Parameters'!$E$29:$E$53)</f>
        <v>0</v>
      </c>
      <c r="V29" s="244">
        <v>0</v>
      </c>
      <c r="W29" s="245">
        <v>0</v>
      </c>
      <c r="X29" s="246">
        <v>0</v>
      </c>
      <c r="Y29" s="1810">
        <f t="shared" si="7"/>
        <v>0</v>
      </c>
      <c r="Z29" s="1909"/>
      <c r="AA29" s="319"/>
      <c r="AB29" s="1917" t="str">
        <f t="shared" si="8"/>
        <v>China + South pacific</v>
      </c>
      <c r="AC29" s="276"/>
      <c r="AD29" s="1145">
        <f>IF(AA29&lt;&gt;"",IF(AND($J$1=AA29,$O$1&gt;VLOOKUP($J$1,'Financials Parameters'!$N$30:$P$35,3,FALSE)),'Financials Parameters'!$O$28,'Financials Parameters'!$Q$28),0)</f>
        <v>0</v>
      </c>
      <c r="AE29" s="1146">
        <f>IF(AA29&lt;&gt;"",VLOOKUP(AB29,'Financials Parameters'!$R$38:$S$73,2,FALSE),0)</f>
        <v>0</v>
      </c>
      <c r="AF29" s="1147">
        <f>IF(AA29&lt;&gt;"",VLOOKUP(AA29,'Financials Parameters'!$N$30:$S$35,6,FALSE),0)</f>
        <v>0</v>
      </c>
      <c r="AG29" s="1818"/>
      <c r="AH29" s="1819"/>
      <c r="AI29" s="2059" t="str">
        <f t="shared" si="75"/>
        <v>RMB</v>
      </c>
      <c r="AJ29" s="2059">
        <f>IF(AG29&lt;&gt;0,VLOOKUP(AI29,'Financials Parameters'!$D$29:$E$53,2,FALSE),0)</f>
        <v>0</v>
      </c>
      <c r="AK29" s="2059">
        <f t="shared" si="53"/>
        <v>0</v>
      </c>
      <c r="AL29" s="1820" t="s">
        <v>300</v>
      </c>
      <c r="AM29" s="1821"/>
      <c r="AN29" s="1028">
        <f t="shared" si="10"/>
        <v>1000000000000</v>
      </c>
      <c r="AO29" s="1821"/>
      <c r="AP29" s="1828" t="s">
        <v>149</v>
      </c>
      <c r="AQ29" s="280"/>
      <c r="AR29" s="280"/>
      <c r="AS29" s="1022">
        <f t="shared" si="11"/>
        <v>0</v>
      </c>
      <c r="AT29" s="281"/>
      <c r="AU29" s="281"/>
      <c r="AV29" s="1030" t="str">
        <f>'Material Cost '!$AU29&amp;$K$1</f>
        <v>RMB</v>
      </c>
      <c r="AW29" s="176">
        <f>+SUMIF('Financials Parameters'!$D$29:$D$53,'Material Cost '!AV29,'Financials Parameters'!$E$29:$E$53)</f>
        <v>0</v>
      </c>
      <c r="AX29" s="279">
        <f t="shared" si="54"/>
        <v>0</v>
      </c>
      <c r="AY29" s="1099">
        <f t="shared" si="55"/>
        <v>0</v>
      </c>
      <c r="AZ29" s="1091"/>
      <c r="BA29" s="1092"/>
      <c r="BB29" s="656">
        <f t="shared" si="12"/>
        <v>0</v>
      </c>
      <c r="BC29" s="1092"/>
      <c r="BD29" s="1092"/>
      <c r="BE29" s="1093" t="str">
        <f>'Material Cost '!$BD29&amp;$K$1</f>
        <v>RMB</v>
      </c>
      <c r="BF29" s="1090">
        <f>+SUMIF('Financials Parameters'!$D$29:$D$53,'Material Cost '!BE29,'Financials Parameters'!$E$29:$E$53)</f>
        <v>0</v>
      </c>
      <c r="BG29" s="1096">
        <f t="shared" si="71"/>
        <v>0</v>
      </c>
      <c r="BH29" s="1102">
        <f t="shared" si="13"/>
        <v>0</v>
      </c>
      <c r="BI29" s="114">
        <f t="shared" si="76"/>
        <v>0</v>
      </c>
      <c r="BJ29" s="33">
        <f t="shared" si="14"/>
        <v>0</v>
      </c>
      <c r="BK29" s="33">
        <f t="shared" si="15"/>
        <v>0</v>
      </c>
      <c r="BL29" s="33">
        <f t="shared" si="125"/>
        <v>0</v>
      </c>
      <c r="BM29" s="1103">
        <f t="shared" si="16"/>
        <v>0.15</v>
      </c>
      <c r="BN29" s="1106">
        <f t="shared" si="17"/>
        <v>0</v>
      </c>
      <c r="BO29" s="33">
        <f t="shared" si="18"/>
        <v>0</v>
      </c>
      <c r="BP29" s="33">
        <f t="shared" si="19"/>
        <v>0</v>
      </c>
      <c r="BQ29" s="33">
        <f t="shared" si="20"/>
        <v>0</v>
      </c>
      <c r="BR29" s="33">
        <f t="shared" si="21"/>
        <v>0</v>
      </c>
      <c r="BS29" s="33">
        <f t="shared" si="22"/>
        <v>0</v>
      </c>
      <c r="BT29" s="28">
        <f t="shared" si="23"/>
        <v>0</v>
      </c>
      <c r="BU29">
        <f t="shared" si="24"/>
        <v>0</v>
      </c>
      <c r="BV29" t="str">
        <f t="shared" si="25"/>
        <v>RMB</v>
      </c>
      <c r="BW29" s="17">
        <f t="shared" si="26"/>
        <v>0</v>
      </c>
      <c r="BX29">
        <f t="shared" si="27"/>
        <v>0</v>
      </c>
      <c r="BY29" s="16">
        <f>+IF('RFQ Data'!D$50&lt;&gt;0,INT('RFQ Data'!D$50/$AN29)+1,0)</f>
        <v>0</v>
      </c>
      <c r="BZ29" s="16">
        <f>+IF($AN29&lt;&gt;0,IF('RFQ Data'!E$50&lt;&gt;0,INT('RFQ Data'!E$50/$AN29)+1,0),0)</f>
        <v>1</v>
      </c>
      <c r="CA29" s="16">
        <f>+IF($AN29&lt;&gt;0,IF('RFQ Data'!F$50&lt;&gt;0,INT('RFQ Data'!F$50/$AN29)+1,0),0)</f>
        <v>1</v>
      </c>
      <c r="CB29" s="16">
        <f>+IF($AN29&lt;&gt;0,IF('RFQ Data'!G$50&lt;&gt;0,INT('RFQ Data'!G$50/$AN29)+1,0),0)</f>
        <v>1</v>
      </c>
      <c r="CC29" s="16">
        <f>+IF($AN29&lt;&gt;0,IF('RFQ Data'!H$50&lt;&gt;0,INT('RFQ Data'!H$50/$AN29)+1,0),0)</f>
        <v>1</v>
      </c>
      <c r="CD29" s="16">
        <f>+IF($AN29&lt;&gt;0,IF('RFQ Data'!I$50&lt;&gt;0,INT('RFQ Data'!I$50/$AN29)+1,0),0)</f>
        <v>1</v>
      </c>
      <c r="CF29" s="16">
        <f t="shared" si="108"/>
        <v>1</v>
      </c>
      <c r="CG29" s="16">
        <f t="shared" si="109"/>
        <v>1</v>
      </c>
      <c r="CH29" s="16">
        <f t="shared" si="110"/>
        <v>1</v>
      </c>
      <c r="CI29" s="16">
        <f t="shared" si="111"/>
        <v>1</v>
      </c>
      <c r="CJ29" s="16">
        <f t="shared" si="112"/>
        <v>1</v>
      </c>
      <c r="CK29" s="16">
        <f t="shared" si="113"/>
        <v>1</v>
      </c>
      <c r="CM29" s="16">
        <f t="shared" si="114"/>
        <v>1</v>
      </c>
      <c r="CN29" s="16">
        <f>+CG29-SUM($CM29:CM29)</f>
        <v>0</v>
      </c>
      <c r="CO29" s="16">
        <f>+CH29-SUM($CM29:CN29)</f>
        <v>0</v>
      </c>
      <c r="CP29" s="16">
        <f>+CI29-SUM($CM29:CO29)</f>
        <v>0</v>
      </c>
      <c r="CQ29" s="16">
        <f>+CJ29-SUM($CM29:CP29)</f>
        <v>0</v>
      </c>
      <c r="CR29" s="16">
        <f>+CK29-SUM($CM29:CQ29)</f>
        <v>0</v>
      </c>
      <c r="CT29" s="55">
        <f t="shared" si="29"/>
        <v>0</v>
      </c>
      <c r="CU29" s="55">
        <f t="shared" si="30"/>
        <v>0</v>
      </c>
      <c r="CV29" s="55">
        <f t="shared" si="31"/>
        <v>0</v>
      </c>
      <c r="CW29" s="55">
        <f t="shared" si="32"/>
        <v>0</v>
      </c>
      <c r="CX29" s="55">
        <f t="shared" si="33"/>
        <v>0</v>
      </c>
      <c r="CY29" s="55">
        <f t="shared" si="34"/>
        <v>0</v>
      </c>
      <c r="CZ29" s="16"/>
      <c r="DA29" s="1720">
        <f t="shared" si="35"/>
        <v>0</v>
      </c>
      <c r="DB29" s="260">
        <f t="shared" si="36"/>
        <v>0</v>
      </c>
      <c r="DC29" s="260">
        <f t="shared" si="37"/>
        <v>0</v>
      </c>
      <c r="DD29" s="260">
        <f t="shared" si="38"/>
        <v>0</v>
      </c>
      <c r="DE29" s="260">
        <f t="shared" si="39"/>
        <v>0</v>
      </c>
      <c r="DF29" s="439">
        <f t="shared" si="40"/>
        <v>0</v>
      </c>
      <c r="DG29" s="316" t="str">
        <f t="shared" si="41"/>
        <v/>
      </c>
      <c r="DH29" s="1720">
        <f t="shared" si="115"/>
        <v>0</v>
      </c>
      <c r="DI29" s="260">
        <f t="shared" si="116"/>
        <v>0</v>
      </c>
      <c r="DJ29" s="260">
        <f t="shared" si="117"/>
        <v>0</v>
      </c>
      <c r="DK29" s="260">
        <f t="shared" si="118"/>
        <v>0</v>
      </c>
      <c r="DL29" s="260">
        <f t="shared" si="119"/>
        <v>0</v>
      </c>
      <c r="DM29" s="439">
        <f t="shared" si="120"/>
        <v>0</v>
      </c>
      <c r="DO29" s="2">
        <f t="shared" si="43"/>
        <v>0</v>
      </c>
      <c r="DR29" s="2" t="str">
        <f t="shared" si="44"/>
        <v xml:space="preserve">Material - </v>
      </c>
      <c r="DS29" s="2" t="str">
        <f t="shared" si="45"/>
        <v/>
      </c>
      <c r="DT29" s="16">
        <f t="shared" si="121"/>
        <v>0</v>
      </c>
      <c r="DU29" s="16"/>
      <c r="DV29" s="2" t="str">
        <f t="shared" si="47"/>
        <v/>
      </c>
      <c r="DW29" s="16">
        <f t="shared" si="48"/>
        <v>0</v>
      </c>
      <c r="DX29" s="16">
        <f t="shared" si="49"/>
        <v>0</v>
      </c>
      <c r="DZ29" s="16"/>
      <c r="EA29" s="16">
        <f t="shared" si="122"/>
        <v>0</v>
      </c>
      <c r="EB29" s="16">
        <f>+IF(AO29&lt;&gt;0,(INT(SUM('RFQ Data'!$C$31:$H$31)*F29/AO29)+1)*AK29,0)</f>
        <v>0</v>
      </c>
      <c r="EC29" s="16">
        <f>+(EB29+EA29)/SUM('RFQ Data'!$C$31:$H$31)</f>
        <v>0</v>
      </c>
      <c r="ED29" s="16">
        <f t="shared" si="123"/>
        <v>0</v>
      </c>
      <c r="EF29" s="25">
        <f t="shared" si="51"/>
        <v>0</v>
      </c>
      <c r="EG29" s="163">
        <f t="shared" si="124"/>
        <v>0</v>
      </c>
      <c r="EH29">
        <f>+'RFQ Data'!C$31*'Material Cost '!$F29</f>
        <v>0</v>
      </c>
      <c r="EI29">
        <f>+'RFQ Data'!D$31*'Material Cost '!$F29</f>
        <v>0</v>
      </c>
      <c r="EJ29">
        <f>+'RFQ Data'!E$31*'Material Cost '!$F29</f>
        <v>0</v>
      </c>
      <c r="EK29">
        <f>+'RFQ Data'!F$31*'Material Cost '!$F29</f>
        <v>0</v>
      </c>
      <c r="EL29">
        <f>+'RFQ Data'!G$31*'Material Cost '!$F29</f>
        <v>0</v>
      </c>
      <c r="EM29">
        <f>+'RFQ Data'!H$31*'Material Cost '!$F29</f>
        <v>0</v>
      </c>
    </row>
    <row r="30" spans="1:143" ht="15" thickBot="1">
      <c r="A30" s="171">
        <f t="shared" si="69"/>
        <v>25</v>
      </c>
      <c r="B30" s="161">
        <f t="shared" si="6"/>
        <v>0</v>
      </c>
      <c r="C30" s="1893" t="str">
        <f>IF(Purchasing!A27="","",Purchasing!A27)</f>
        <v/>
      </c>
      <c r="D30" s="1894" t="str">
        <f>IF(Purchasing!B27="","",Purchasing!B27)</f>
        <v/>
      </c>
      <c r="E30" s="1894" t="str">
        <f>IF(Purchasing!P27="","",Purchasing!P27)</f>
        <v/>
      </c>
      <c r="F30" s="1895">
        <f>IF(Purchasing!K27&lt;&gt;"",IF(Purchasing!K27="","",Purchasing!K27),0)</f>
        <v>0</v>
      </c>
      <c r="G30" s="1895" t="str">
        <f>IF(Purchasing!L27="","",Purchasing!L27)</f>
        <v/>
      </c>
      <c r="H30" s="1895" t="str">
        <f>IF(Purchasing!M27="","",Purchasing!M27)</f>
        <v/>
      </c>
      <c r="I30" s="1895" t="str">
        <f>IF(Purchasing!N27="","",Purchasing!N27)</f>
        <v/>
      </c>
      <c r="J30" s="1898" t="str">
        <f>IF(Purchasing!J27&lt;&gt;"",Purchasing!J27,"")</f>
        <v/>
      </c>
      <c r="K30" s="1896" t="str">
        <f>IF(Purchasing!BP27="-","",Purchasing!BP27)</f>
        <v/>
      </c>
      <c r="L30" s="1906">
        <f>Purchasing!I27</f>
        <v>0</v>
      </c>
      <c r="M30" s="241">
        <f>Purchasing!H27</f>
        <v>0</v>
      </c>
      <c r="N30" s="243"/>
      <c r="O30" s="1897" t="str">
        <f>IF(Q30&lt;&gt;0,IF(Q30=Purchasing!W27,"Estimated", "Offer"),"")</f>
        <v/>
      </c>
      <c r="P30" s="1903" t="str">
        <f>IF(Purchasing!G27&lt;&gt;0,Purchasing!G27,"")</f>
        <v/>
      </c>
      <c r="Q30" s="1904">
        <f>IF(Purchasing!BP27=Purchasing!Z27,Purchasing!AB27,IF(Purchasing!BP27=Purchasing!AN27,Purchasing!AP27,IF(Purchasing!BP27=Purchasing!BB27,Purchasing!BD27,Purchasing!W27)))</f>
        <v>0</v>
      </c>
      <c r="R30" s="243">
        <f>IF(Purchasing!BP27=Purchasing!Z27,Purchasing!AC27,IF(Purchasing!BP27=Purchasing!AN27,Purchasing!AR27,IF(Purchasing!BP27=Purchasing!BB27,Purchasing!BF27,Purchasing!X27)))</f>
        <v>0</v>
      </c>
      <c r="S30" s="284" t="str">
        <f t="shared" si="70"/>
        <v>RMB</v>
      </c>
      <c r="T30" s="285" t="str">
        <f t="shared" si="52"/>
        <v>0RMB</v>
      </c>
      <c r="U30" s="1069">
        <f>+SUMIF('Financials Parameters'!$D$29:$D$53,'Material Cost '!T30,'Financials Parameters'!$E$29:$E$53)</f>
        <v>0</v>
      </c>
      <c r="V30" s="244">
        <v>0</v>
      </c>
      <c r="W30" s="245">
        <v>0</v>
      </c>
      <c r="X30" s="246">
        <v>0</v>
      </c>
      <c r="Y30" s="1810">
        <f t="shared" si="7"/>
        <v>0</v>
      </c>
      <c r="Z30" s="1909"/>
      <c r="AA30" s="319"/>
      <c r="AB30" s="1917" t="str">
        <f t="shared" si="8"/>
        <v>China + South pacific</v>
      </c>
      <c r="AC30" s="276"/>
      <c r="AD30" s="1145">
        <f>IF(AA30&lt;&gt;"",IF(AND($J$1=AA30,$O$1&gt;VLOOKUP($J$1,'Financials Parameters'!$N$30:$P$35,3,FALSE)),'Financials Parameters'!$O$28,'Financials Parameters'!$Q$28),0)</f>
        <v>0</v>
      </c>
      <c r="AE30" s="1146">
        <f>IF(AA30&lt;&gt;"",VLOOKUP(AB30,'Financials Parameters'!$R$38:$S$73,2,FALSE),0)</f>
        <v>0</v>
      </c>
      <c r="AF30" s="1147">
        <f>IF(AA30&lt;&gt;"",VLOOKUP(AA30,'Financials Parameters'!$N$30:$S$35,6,FALSE),0)</f>
        <v>0</v>
      </c>
      <c r="AG30" s="1818"/>
      <c r="AH30" s="1819"/>
      <c r="AI30" s="2059" t="str">
        <f t="shared" si="75"/>
        <v>RMB</v>
      </c>
      <c r="AJ30" s="2059">
        <f>IF(AG30&lt;&gt;0,VLOOKUP(AI30,'Financials Parameters'!$D$29:$E$53,2,FALSE),0)</f>
        <v>0</v>
      </c>
      <c r="AK30" s="2059">
        <f t="shared" si="53"/>
        <v>0</v>
      </c>
      <c r="AL30" s="1820" t="s">
        <v>300</v>
      </c>
      <c r="AM30" s="1821"/>
      <c r="AN30" s="1028">
        <f t="shared" si="10"/>
        <v>1000000000000</v>
      </c>
      <c r="AO30" s="1821"/>
      <c r="AP30" s="1828" t="s">
        <v>149</v>
      </c>
      <c r="AQ30" s="280"/>
      <c r="AR30" s="280"/>
      <c r="AS30" s="1022">
        <f t="shared" si="11"/>
        <v>0</v>
      </c>
      <c r="AT30" s="281"/>
      <c r="AU30" s="281"/>
      <c r="AV30" s="1030" t="str">
        <f>'Material Cost '!$AU30&amp;$K$1</f>
        <v>RMB</v>
      </c>
      <c r="AW30" s="176">
        <f>+SUMIF('Financials Parameters'!$D$29:$D$53,'Material Cost '!AV30,'Financials Parameters'!$E$29:$E$53)</f>
        <v>0</v>
      </c>
      <c r="AX30" s="279">
        <f t="shared" si="54"/>
        <v>0</v>
      </c>
      <c r="AY30" s="1099">
        <f t="shared" si="55"/>
        <v>0</v>
      </c>
      <c r="AZ30" s="1091"/>
      <c r="BA30" s="1092"/>
      <c r="BB30" s="656">
        <f t="shared" si="12"/>
        <v>0</v>
      </c>
      <c r="BC30" s="1092"/>
      <c r="BD30" s="1092"/>
      <c r="BE30" s="1093" t="str">
        <f>'Material Cost '!$BD30&amp;$K$1</f>
        <v>RMB</v>
      </c>
      <c r="BF30" s="1090">
        <f>+SUMIF('Financials Parameters'!$D$29:$D$53,'Material Cost '!BE30,'Financials Parameters'!$E$29:$E$53)</f>
        <v>0</v>
      </c>
      <c r="BG30" s="1096">
        <f t="shared" si="71"/>
        <v>0</v>
      </c>
      <c r="BH30" s="1102">
        <f t="shared" si="13"/>
        <v>0</v>
      </c>
      <c r="BI30" s="114">
        <f t="shared" si="76"/>
        <v>0</v>
      </c>
      <c r="BJ30" s="33">
        <f t="shared" si="14"/>
        <v>0</v>
      </c>
      <c r="BK30" s="33">
        <f t="shared" si="15"/>
        <v>0</v>
      </c>
      <c r="BL30" s="33">
        <f t="shared" si="125"/>
        <v>0</v>
      </c>
      <c r="BM30" s="1103">
        <f t="shared" si="16"/>
        <v>0.15</v>
      </c>
      <c r="BN30" s="1106">
        <f t="shared" si="17"/>
        <v>0</v>
      </c>
      <c r="BO30" s="33">
        <f t="shared" si="18"/>
        <v>0</v>
      </c>
      <c r="BP30" s="33">
        <f t="shared" si="19"/>
        <v>0</v>
      </c>
      <c r="BQ30" s="33">
        <f t="shared" si="20"/>
        <v>0</v>
      </c>
      <c r="BR30" s="33">
        <f t="shared" si="21"/>
        <v>0</v>
      </c>
      <c r="BS30" s="33">
        <f t="shared" si="22"/>
        <v>0</v>
      </c>
      <c r="BT30" s="28">
        <f t="shared" si="23"/>
        <v>0</v>
      </c>
      <c r="BU30">
        <f t="shared" si="24"/>
        <v>0</v>
      </c>
      <c r="BV30" t="str">
        <f t="shared" si="25"/>
        <v>RMB</v>
      </c>
      <c r="BW30" s="17">
        <f t="shared" si="26"/>
        <v>0</v>
      </c>
      <c r="BX30">
        <f t="shared" si="27"/>
        <v>0</v>
      </c>
      <c r="BY30" s="16">
        <f>+IF('RFQ Data'!D$50&lt;&gt;0,INT('RFQ Data'!D$50/$AN30)+1,0)</f>
        <v>0</v>
      </c>
      <c r="BZ30" s="16">
        <f>+IF($AN30&lt;&gt;0,IF('RFQ Data'!E$50&lt;&gt;0,INT('RFQ Data'!E$50/$AN30)+1,0),0)</f>
        <v>1</v>
      </c>
      <c r="CA30" s="16">
        <f>+IF($AN30&lt;&gt;0,IF('RFQ Data'!F$50&lt;&gt;0,INT('RFQ Data'!F$50/$AN30)+1,0),0)</f>
        <v>1</v>
      </c>
      <c r="CB30" s="16">
        <f>+IF($AN30&lt;&gt;0,IF('RFQ Data'!G$50&lt;&gt;0,INT('RFQ Data'!G$50/$AN30)+1,0),0)</f>
        <v>1</v>
      </c>
      <c r="CC30" s="16">
        <f>+IF($AN30&lt;&gt;0,IF('RFQ Data'!H$50&lt;&gt;0,INT('RFQ Data'!H$50/$AN30)+1,0),0)</f>
        <v>1</v>
      </c>
      <c r="CD30" s="16">
        <f>+IF($AN30&lt;&gt;0,IF('RFQ Data'!I$50&lt;&gt;0,INT('RFQ Data'!I$50/$AN30)+1,0),0)</f>
        <v>1</v>
      </c>
      <c r="CF30" s="16">
        <f t="shared" si="108"/>
        <v>1</v>
      </c>
      <c r="CG30" s="16">
        <f t="shared" si="109"/>
        <v>1</v>
      </c>
      <c r="CH30" s="16">
        <f t="shared" si="110"/>
        <v>1</v>
      </c>
      <c r="CI30" s="16">
        <f t="shared" si="111"/>
        <v>1</v>
      </c>
      <c r="CJ30" s="16">
        <f t="shared" si="112"/>
        <v>1</v>
      </c>
      <c r="CK30" s="16">
        <f t="shared" si="113"/>
        <v>1</v>
      </c>
      <c r="CM30" s="16">
        <f t="shared" si="114"/>
        <v>1</v>
      </c>
      <c r="CN30" s="16">
        <f>+CG30-SUM($CM30:CM30)</f>
        <v>0</v>
      </c>
      <c r="CO30" s="16">
        <f>+CH30-SUM($CM30:CN30)</f>
        <v>0</v>
      </c>
      <c r="CP30" s="16">
        <f>+CI30-SUM($CM30:CO30)</f>
        <v>0</v>
      </c>
      <c r="CQ30" s="16">
        <f>+CJ30-SUM($CM30:CP30)</f>
        <v>0</v>
      </c>
      <c r="CR30" s="16">
        <f>+CK30-SUM($CM30:CQ30)</f>
        <v>0</v>
      </c>
      <c r="CT30" s="55">
        <f t="shared" si="29"/>
        <v>0</v>
      </c>
      <c r="CU30" s="55">
        <f t="shared" si="30"/>
        <v>0</v>
      </c>
      <c r="CV30" s="55">
        <f t="shared" si="31"/>
        <v>0</v>
      </c>
      <c r="CW30" s="55">
        <f t="shared" si="32"/>
        <v>0</v>
      </c>
      <c r="CX30" s="55">
        <f t="shared" si="33"/>
        <v>0</v>
      </c>
      <c r="CY30" s="55">
        <f t="shared" si="34"/>
        <v>0</v>
      </c>
      <c r="CZ30" s="16"/>
      <c r="DA30" s="1720">
        <f t="shared" si="35"/>
        <v>0</v>
      </c>
      <c r="DB30" s="260">
        <f t="shared" si="36"/>
        <v>0</v>
      </c>
      <c r="DC30" s="260">
        <f t="shared" si="37"/>
        <v>0</v>
      </c>
      <c r="DD30" s="260">
        <f t="shared" si="38"/>
        <v>0</v>
      </c>
      <c r="DE30" s="260">
        <f t="shared" si="39"/>
        <v>0</v>
      </c>
      <c r="DF30" s="439">
        <f t="shared" si="40"/>
        <v>0</v>
      </c>
      <c r="DG30" s="316" t="str">
        <f t="shared" si="41"/>
        <v/>
      </c>
      <c r="DH30" s="1720">
        <f t="shared" si="115"/>
        <v>0</v>
      </c>
      <c r="DI30" s="260">
        <f t="shared" si="116"/>
        <v>0</v>
      </c>
      <c r="DJ30" s="260">
        <f t="shared" si="117"/>
        <v>0</v>
      </c>
      <c r="DK30" s="260">
        <f t="shared" si="118"/>
        <v>0</v>
      </c>
      <c r="DL30" s="260">
        <f t="shared" si="119"/>
        <v>0</v>
      </c>
      <c r="DM30" s="439">
        <f t="shared" si="120"/>
        <v>0</v>
      </c>
      <c r="DO30" s="2">
        <f t="shared" si="43"/>
        <v>0</v>
      </c>
      <c r="DR30" s="2" t="str">
        <f t="shared" si="44"/>
        <v xml:space="preserve">Material - </v>
      </c>
      <c r="DS30" s="2" t="str">
        <f t="shared" si="45"/>
        <v/>
      </c>
      <c r="DT30" s="16">
        <f t="shared" si="121"/>
        <v>0</v>
      </c>
      <c r="DU30" s="16"/>
      <c r="DV30" s="2" t="str">
        <f t="shared" si="47"/>
        <v/>
      </c>
      <c r="DW30" s="16">
        <f t="shared" si="48"/>
        <v>0</v>
      </c>
      <c r="DX30" s="16">
        <f t="shared" si="49"/>
        <v>0</v>
      </c>
      <c r="DZ30" s="16"/>
      <c r="EA30" s="16">
        <f t="shared" si="122"/>
        <v>0</v>
      </c>
      <c r="EB30" s="16">
        <f>+IF(AO30&lt;&gt;0,(INT(SUM('RFQ Data'!$C$31:$H$31)*F30/AO30)+1)*AK30,0)</f>
        <v>0</v>
      </c>
      <c r="EC30" s="16">
        <f>+(EB30+EA30)/SUM('RFQ Data'!$C$31:$H$31)</f>
        <v>0</v>
      </c>
      <c r="ED30" s="16">
        <f t="shared" si="123"/>
        <v>0</v>
      </c>
      <c r="EF30" s="25">
        <f t="shared" si="51"/>
        <v>0</v>
      </c>
      <c r="EG30" s="163">
        <f t="shared" si="124"/>
        <v>0</v>
      </c>
      <c r="EH30">
        <f>+'RFQ Data'!C$31*'Material Cost '!$F30</f>
        <v>0</v>
      </c>
      <c r="EI30">
        <f>+'RFQ Data'!D$31*'Material Cost '!$F30</f>
        <v>0</v>
      </c>
      <c r="EJ30">
        <f>+'RFQ Data'!E$31*'Material Cost '!$F30</f>
        <v>0</v>
      </c>
      <c r="EK30">
        <f>+'RFQ Data'!F$31*'Material Cost '!$F30</f>
        <v>0</v>
      </c>
      <c r="EL30">
        <f>+'RFQ Data'!G$31*'Material Cost '!$F30</f>
        <v>0</v>
      </c>
      <c r="EM30">
        <f>+'RFQ Data'!H$31*'Material Cost '!$F30</f>
        <v>0</v>
      </c>
    </row>
    <row r="31" spans="1:143" ht="15" thickBot="1">
      <c r="A31" s="171">
        <f t="shared" si="69"/>
        <v>26</v>
      </c>
      <c r="B31" s="161">
        <f t="shared" si="6"/>
        <v>0</v>
      </c>
      <c r="C31" s="1893" t="str">
        <f>IF(Purchasing!A28="","",Purchasing!A28)</f>
        <v/>
      </c>
      <c r="D31" s="1894" t="str">
        <f>IF(Purchasing!B28="","",Purchasing!B28)</f>
        <v/>
      </c>
      <c r="E31" s="1894" t="str">
        <f>IF(Purchasing!P28="","",Purchasing!P28)</f>
        <v/>
      </c>
      <c r="F31" s="1895">
        <f>IF(Purchasing!K28&lt;&gt;"",IF(Purchasing!K28="","",Purchasing!K28),0)</f>
        <v>0</v>
      </c>
      <c r="G31" s="1895" t="str">
        <f>IF(Purchasing!L28="","",Purchasing!L28)</f>
        <v/>
      </c>
      <c r="H31" s="1895" t="str">
        <f>IF(Purchasing!M28="","",Purchasing!M28)</f>
        <v/>
      </c>
      <c r="I31" s="1895" t="str">
        <f>IF(Purchasing!N28="","",Purchasing!N28)</f>
        <v/>
      </c>
      <c r="J31" s="1898" t="str">
        <f>IF(Purchasing!J28&lt;&gt;"",Purchasing!J28,"")</f>
        <v/>
      </c>
      <c r="K31" s="1896" t="str">
        <f>IF(Purchasing!BP28="-","",Purchasing!BP28)</f>
        <v/>
      </c>
      <c r="L31" s="1906">
        <f>Purchasing!I28</f>
        <v>0</v>
      </c>
      <c r="M31" s="241">
        <f>Purchasing!H28</f>
        <v>0</v>
      </c>
      <c r="N31" s="243"/>
      <c r="O31" s="1897" t="str">
        <f>IF(Q31&lt;&gt;0,IF(Q31=Purchasing!W28,"Estimated", "Offer"),"")</f>
        <v/>
      </c>
      <c r="P31" s="1903" t="str">
        <f>IF(Purchasing!G28&lt;&gt;0,Purchasing!G28,"")</f>
        <v/>
      </c>
      <c r="Q31" s="1904">
        <f>IF(Purchasing!BP28=Purchasing!Z28,Purchasing!AB28,IF(Purchasing!BP28=Purchasing!AN28,Purchasing!AP28,IF(Purchasing!BP28=Purchasing!BB28,Purchasing!BD28,Purchasing!W28)))</f>
        <v>0</v>
      </c>
      <c r="R31" s="243">
        <f>IF(Purchasing!BP28=Purchasing!Z28,Purchasing!AC28,IF(Purchasing!BP28=Purchasing!AN28,Purchasing!AR28,IF(Purchasing!BP28=Purchasing!BB28,Purchasing!BF28,Purchasing!X28)))</f>
        <v>0</v>
      </c>
      <c r="S31" s="284" t="str">
        <f t="shared" si="70"/>
        <v>RMB</v>
      </c>
      <c r="T31" s="285" t="str">
        <f t="shared" si="52"/>
        <v>0RMB</v>
      </c>
      <c r="U31" s="1069">
        <f>+SUMIF('Financials Parameters'!$D$29:$D$53,'Material Cost '!T31,'Financials Parameters'!$E$29:$E$53)</f>
        <v>0</v>
      </c>
      <c r="V31" s="244">
        <v>0</v>
      </c>
      <c r="W31" s="245">
        <v>0</v>
      </c>
      <c r="X31" s="246">
        <v>0</v>
      </c>
      <c r="Y31" s="1810">
        <f t="shared" si="7"/>
        <v>0</v>
      </c>
      <c r="Z31" s="1909"/>
      <c r="AA31" s="319"/>
      <c r="AB31" s="1917" t="str">
        <f t="shared" si="8"/>
        <v>China + South pacific</v>
      </c>
      <c r="AC31" s="276"/>
      <c r="AD31" s="1145">
        <f>IF(AA31&lt;&gt;"",IF(AND($J$1=AA31,$O$1&gt;VLOOKUP($J$1,'Financials Parameters'!$N$30:$P$35,3,FALSE)),'Financials Parameters'!$O$28,'Financials Parameters'!$Q$28),0)</f>
        <v>0</v>
      </c>
      <c r="AE31" s="1146">
        <f>IF(AA31&lt;&gt;"",VLOOKUP(AB31,'Financials Parameters'!$R$38:$S$73,2,FALSE),0)</f>
        <v>0</v>
      </c>
      <c r="AF31" s="1147">
        <f>IF(AA31&lt;&gt;"",VLOOKUP(AA31,'Financials Parameters'!$N$30:$S$35,6,FALSE),0)</f>
        <v>0</v>
      </c>
      <c r="AG31" s="1818"/>
      <c r="AH31" s="1819"/>
      <c r="AI31" s="2059" t="str">
        <f t="shared" si="75"/>
        <v>RMB</v>
      </c>
      <c r="AJ31" s="2059">
        <f>IF(AG31&lt;&gt;0,VLOOKUP(AI31,'Financials Parameters'!$D$29:$E$53,2,FALSE),0)</f>
        <v>0</v>
      </c>
      <c r="AK31" s="2059">
        <f t="shared" si="53"/>
        <v>0</v>
      </c>
      <c r="AL31" s="1820" t="s">
        <v>300</v>
      </c>
      <c r="AM31" s="1821"/>
      <c r="AN31" s="1028">
        <f t="shared" si="10"/>
        <v>1000000000000</v>
      </c>
      <c r="AO31" s="1821"/>
      <c r="AP31" s="1828" t="s">
        <v>149</v>
      </c>
      <c r="AQ31" s="280"/>
      <c r="AR31" s="280"/>
      <c r="AS31" s="1022">
        <f t="shared" si="11"/>
        <v>0</v>
      </c>
      <c r="AT31" s="281"/>
      <c r="AU31" s="281"/>
      <c r="AV31" s="1030" t="str">
        <f>'Material Cost '!$AU31&amp;$K$1</f>
        <v>RMB</v>
      </c>
      <c r="AW31" s="176">
        <f>+SUMIF('Financials Parameters'!$D$29:$D$53,'Material Cost '!AV31,'Financials Parameters'!$E$29:$E$53)</f>
        <v>0</v>
      </c>
      <c r="AX31" s="279">
        <f t="shared" si="54"/>
        <v>0</v>
      </c>
      <c r="AY31" s="1099">
        <f t="shared" si="55"/>
        <v>0</v>
      </c>
      <c r="AZ31" s="1091"/>
      <c r="BA31" s="1092"/>
      <c r="BB31" s="656">
        <f t="shared" si="12"/>
        <v>0</v>
      </c>
      <c r="BC31" s="1092"/>
      <c r="BD31" s="1092"/>
      <c r="BE31" s="1093" t="str">
        <f>'Material Cost '!$BD31&amp;$K$1</f>
        <v>RMB</v>
      </c>
      <c r="BF31" s="1090">
        <f>+SUMIF('Financials Parameters'!$D$29:$D$53,'Material Cost '!BE31,'Financials Parameters'!$E$29:$E$53)</f>
        <v>0</v>
      </c>
      <c r="BG31" s="1096">
        <f t="shared" si="71"/>
        <v>0</v>
      </c>
      <c r="BH31" s="1102">
        <f t="shared" si="13"/>
        <v>0</v>
      </c>
      <c r="BI31" s="114">
        <f t="shared" si="76"/>
        <v>0</v>
      </c>
      <c r="BJ31" s="33">
        <f t="shared" si="14"/>
        <v>0</v>
      </c>
      <c r="BK31" s="33">
        <f t="shared" si="15"/>
        <v>0</v>
      </c>
      <c r="BL31" s="33">
        <f t="shared" ref="BL31:BL33" si="126">+BJ31+BK31</f>
        <v>0</v>
      </c>
      <c r="BM31" s="1103">
        <f t="shared" si="16"/>
        <v>0.15</v>
      </c>
      <c r="BN31" s="1106">
        <f t="shared" si="17"/>
        <v>0</v>
      </c>
      <c r="BO31" s="33">
        <f t="shared" si="18"/>
        <v>0</v>
      </c>
      <c r="BP31" s="33">
        <f t="shared" si="19"/>
        <v>0</v>
      </c>
      <c r="BQ31" s="33">
        <f t="shared" si="20"/>
        <v>0</v>
      </c>
      <c r="BR31" s="33">
        <f t="shared" si="21"/>
        <v>0</v>
      </c>
      <c r="BS31" s="33">
        <f t="shared" si="22"/>
        <v>0</v>
      </c>
      <c r="BT31" s="28">
        <f t="shared" si="23"/>
        <v>0</v>
      </c>
      <c r="BU31">
        <f t="shared" si="24"/>
        <v>0</v>
      </c>
      <c r="BV31" t="str">
        <f t="shared" si="25"/>
        <v>RMB</v>
      </c>
      <c r="BW31" s="17">
        <f t="shared" si="26"/>
        <v>0</v>
      </c>
      <c r="BX31">
        <f t="shared" si="27"/>
        <v>0</v>
      </c>
      <c r="BY31" s="16">
        <f>+IF('RFQ Data'!D$50&lt;&gt;0,INT('RFQ Data'!D$50/$AN31)+1,0)</f>
        <v>0</v>
      </c>
      <c r="BZ31" s="16">
        <f>+IF($AN31&lt;&gt;0,IF('RFQ Data'!E$50&lt;&gt;0,INT('RFQ Data'!E$50/$AN31)+1,0),0)</f>
        <v>1</v>
      </c>
      <c r="CA31" s="16">
        <f>+IF($AN31&lt;&gt;0,IF('RFQ Data'!F$50&lt;&gt;0,INT('RFQ Data'!F$50/$AN31)+1,0),0)</f>
        <v>1</v>
      </c>
      <c r="CB31" s="16">
        <f>+IF($AN31&lt;&gt;0,IF('RFQ Data'!G$50&lt;&gt;0,INT('RFQ Data'!G$50/$AN31)+1,0),0)</f>
        <v>1</v>
      </c>
      <c r="CC31" s="16">
        <f>+IF($AN31&lt;&gt;0,IF('RFQ Data'!H$50&lt;&gt;0,INT('RFQ Data'!H$50/$AN31)+1,0),0)</f>
        <v>1</v>
      </c>
      <c r="CD31" s="16">
        <f>+IF($AN31&lt;&gt;0,IF('RFQ Data'!I$50&lt;&gt;0,INT('RFQ Data'!I$50/$AN31)+1,0),0)</f>
        <v>1</v>
      </c>
      <c r="CF31" s="16">
        <f t="shared" si="91"/>
        <v>1</v>
      </c>
      <c r="CG31" s="16">
        <f t="shared" si="92"/>
        <v>1</v>
      </c>
      <c r="CH31" s="16">
        <f t="shared" si="93"/>
        <v>1</v>
      </c>
      <c r="CI31" s="16">
        <f t="shared" si="94"/>
        <v>1</v>
      </c>
      <c r="CJ31" s="16">
        <f t="shared" si="95"/>
        <v>1</v>
      </c>
      <c r="CK31" s="16">
        <f t="shared" si="96"/>
        <v>1</v>
      </c>
      <c r="CM31" s="16">
        <f t="shared" si="97"/>
        <v>1</v>
      </c>
      <c r="CN31" s="16">
        <f>+CG31-SUM($CM31:CM31)</f>
        <v>0</v>
      </c>
      <c r="CO31" s="16">
        <f>+CH31-SUM($CM31:CN31)</f>
        <v>0</v>
      </c>
      <c r="CP31" s="16">
        <f>+CI31-SUM($CM31:CO31)</f>
        <v>0</v>
      </c>
      <c r="CQ31" s="16">
        <f>+CJ31-SUM($CM31:CP31)</f>
        <v>0</v>
      </c>
      <c r="CR31" s="16">
        <f>+CK31-SUM($CM31:CQ31)</f>
        <v>0</v>
      </c>
      <c r="CT31" s="55">
        <f t="shared" si="29"/>
        <v>0</v>
      </c>
      <c r="CU31" s="55">
        <f t="shared" si="30"/>
        <v>0</v>
      </c>
      <c r="CV31" s="55">
        <f t="shared" si="31"/>
        <v>0</v>
      </c>
      <c r="CW31" s="55">
        <f t="shared" si="32"/>
        <v>0</v>
      </c>
      <c r="CX31" s="55">
        <f t="shared" si="33"/>
        <v>0</v>
      </c>
      <c r="CY31" s="55">
        <f t="shared" si="34"/>
        <v>0</v>
      </c>
      <c r="CZ31" s="16"/>
      <c r="DA31" s="1720">
        <f t="shared" si="35"/>
        <v>0</v>
      </c>
      <c r="DB31" s="260">
        <f t="shared" si="36"/>
        <v>0</v>
      </c>
      <c r="DC31" s="260">
        <f t="shared" si="37"/>
        <v>0</v>
      </c>
      <c r="DD31" s="260">
        <f t="shared" si="38"/>
        <v>0</v>
      </c>
      <c r="DE31" s="260">
        <f t="shared" si="39"/>
        <v>0</v>
      </c>
      <c r="DF31" s="439">
        <f t="shared" si="40"/>
        <v>0</v>
      </c>
      <c r="DG31" s="316" t="str">
        <f t="shared" si="41"/>
        <v/>
      </c>
      <c r="DH31" s="1720">
        <f t="shared" si="98"/>
        <v>0</v>
      </c>
      <c r="DI31" s="260">
        <f t="shared" si="99"/>
        <v>0</v>
      </c>
      <c r="DJ31" s="260">
        <f t="shared" si="100"/>
        <v>0</v>
      </c>
      <c r="DK31" s="260">
        <f t="shared" si="101"/>
        <v>0</v>
      </c>
      <c r="DL31" s="260">
        <f t="shared" si="102"/>
        <v>0</v>
      </c>
      <c r="DM31" s="439">
        <f t="shared" si="103"/>
        <v>0</v>
      </c>
      <c r="DO31" s="2">
        <f t="shared" si="43"/>
        <v>0</v>
      </c>
      <c r="DR31" s="2" t="str">
        <f t="shared" si="44"/>
        <v xml:space="preserve">Material - </v>
      </c>
      <c r="DS31" s="2" t="str">
        <f t="shared" si="45"/>
        <v/>
      </c>
      <c r="DT31" s="16">
        <f t="shared" si="104"/>
        <v>0</v>
      </c>
      <c r="DU31" s="16"/>
      <c r="DV31" s="2" t="str">
        <f t="shared" si="47"/>
        <v/>
      </c>
      <c r="DW31" s="16">
        <f t="shared" si="48"/>
        <v>0</v>
      </c>
      <c r="DX31" s="16">
        <f t="shared" si="49"/>
        <v>0</v>
      </c>
      <c r="DZ31" s="16"/>
      <c r="EA31" s="16">
        <f t="shared" si="105"/>
        <v>0</v>
      </c>
      <c r="EB31" s="16">
        <f>+IF(AO31&lt;&gt;0,(INT(SUM('RFQ Data'!$C$31:$H$31)*F31/AO31)+1)*AK31,0)</f>
        <v>0</v>
      </c>
      <c r="EC31" s="16">
        <f>+(EB31+EA31)/SUM('RFQ Data'!$C$31:$H$31)</f>
        <v>0</v>
      </c>
      <c r="ED31" s="16">
        <f t="shared" si="106"/>
        <v>0</v>
      </c>
      <c r="EF31" s="25">
        <f t="shared" si="51"/>
        <v>0</v>
      </c>
      <c r="EG31" s="163">
        <f t="shared" si="107"/>
        <v>0</v>
      </c>
      <c r="EH31">
        <f>+'RFQ Data'!C$31*'Material Cost '!$F31</f>
        <v>0</v>
      </c>
      <c r="EI31">
        <f>+'RFQ Data'!D$31*'Material Cost '!$F31</f>
        <v>0</v>
      </c>
      <c r="EJ31">
        <f>+'RFQ Data'!E$31*'Material Cost '!$F31</f>
        <v>0</v>
      </c>
      <c r="EK31">
        <f>+'RFQ Data'!F$31*'Material Cost '!$F31</f>
        <v>0</v>
      </c>
      <c r="EL31">
        <f>+'RFQ Data'!G$31*'Material Cost '!$F31</f>
        <v>0</v>
      </c>
      <c r="EM31">
        <f>+'RFQ Data'!H$31*'Material Cost '!$F31</f>
        <v>0</v>
      </c>
    </row>
    <row r="32" spans="1:143" ht="15" thickBot="1">
      <c r="A32" s="171">
        <f t="shared" si="69"/>
        <v>27</v>
      </c>
      <c r="B32" s="161">
        <f t="shared" si="6"/>
        <v>0</v>
      </c>
      <c r="C32" s="1893" t="str">
        <f>IF(Purchasing!A29="","",Purchasing!A29)</f>
        <v/>
      </c>
      <c r="D32" s="1894" t="str">
        <f>IF(Purchasing!B29="","",Purchasing!B29)</f>
        <v/>
      </c>
      <c r="E32" s="1894" t="str">
        <f>IF(Purchasing!P29="","",Purchasing!P29)</f>
        <v/>
      </c>
      <c r="F32" s="1895">
        <f>IF(Purchasing!K29&lt;&gt;"",IF(Purchasing!K29="","",Purchasing!K29),0)</f>
        <v>0</v>
      </c>
      <c r="G32" s="1895" t="str">
        <f>IF(Purchasing!L29="","",Purchasing!L29)</f>
        <v/>
      </c>
      <c r="H32" s="1895" t="str">
        <f>IF(Purchasing!M29="","",Purchasing!M29)</f>
        <v/>
      </c>
      <c r="I32" s="1895" t="str">
        <f>IF(Purchasing!N29="","",Purchasing!N29)</f>
        <v/>
      </c>
      <c r="J32" s="1898" t="str">
        <f>IF(Purchasing!J29&lt;&gt;"",Purchasing!J29,"")</f>
        <v/>
      </c>
      <c r="K32" s="1896" t="str">
        <f>IF(Purchasing!BP29="-","",Purchasing!BP29)</f>
        <v/>
      </c>
      <c r="L32" s="1906">
        <f>Purchasing!I29</f>
        <v>0</v>
      </c>
      <c r="M32" s="241">
        <f>Purchasing!H29</f>
        <v>0</v>
      </c>
      <c r="N32" s="1820"/>
      <c r="O32" s="1897" t="str">
        <f>IF(Q32&lt;&gt;0,IF(Q32=Purchasing!W29,"Estimated", "Offer"),"")</f>
        <v/>
      </c>
      <c r="P32" s="1903" t="str">
        <f>IF(Purchasing!G29&lt;&gt;0,Purchasing!G29,"")</f>
        <v/>
      </c>
      <c r="Q32" s="1904">
        <f>IF(Purchasing!BP29=Purchasing!Z29,Purchasing!AB29,IF(Purchasing!BP29=Purchasing!AN29,Purchasing!AP29,IF(Purchasing!BP29=Purchasing!BB29,Purchasing!BD29,Purchasing!W29)))</f>
        <v>0</v>
      </c>
      <c r="R32" s="243">
        <f>IF(Purchasing!BP29=Purchasing!Z29,Purchasing!AC29,IF(Purchasing!BP29=Purchasing!AN29,Purchasing!AR29,IF(Purchasing!BP29=Purchasing!BB29,Purchasing!BF29,Purchasing!X29)))</f>
        <v>0</v>
      </c>
      <c r="S32" s="284" t="str">
        <f t="shared" si="70"/>
        <v>RMB</v>
      </c>
      <c r="T32" s="285" t="str">
        <f t="shared" si="52"/>
        <v>0RMB</v>
      </c>
      <c r="U32" s="1069">
        <f>+SUMIF('Financials Parameters'!$D$29:$D$53,'Material Cost '!T32,'Financials Parameters'!$E$29:$E$53)</f>
        <v>0</v>
      </c>
      <c r="V32" s="244">
        <v>0</v>
      </c>
      <c r="W32" s="245">
        <v>0</v>
      </c>
      <c r="X32" s="246">
        <v>0</v>
      </c>
      <c r="Y32" s="1810">
        <f t="shared" si="7"/>
        <v>0</v>
      </c>
      <c r="Z32" s="1909"/>
      <c r="AA32" s="319"/>
      <c r="AB32" s="1917" t="str">
        <f t="shared" si="8"/>
        <v>China + South pacific</v>
      </c>
      <c r="AC32" s="276"/>
      <c r="AD32" s="1145">
        <f>IF(AA32&lt;&gt;"",IF(AND($J$1=AA32,$O$1&gt;VLOOKUP($J$1,'Financials Parameters'!$N$30:$P$35,3,FALSE)),'Financials Parameters'!$O$28,'Financials Parameters'!$Q$28),0)</f>
        <v>0</v>
      </c>
      <c r="AE32" s="1146">
        <f>IF(AA32&lt;&gt;"",VLOOKUP(AB32,'Financials Parameters'!$R$38:$S$73,2,FALSE),0)</f>
        <v>0</v>
      </c>
      <c r="AF32" s="1147">
        <f>IF(AA32&lt;&gt;"",VLOOKUP(AA32,'Financials Parameters'!$N$30:$S$35,6,FALSE),0)</f>
        <v>0</v>
      </c>
      <c r="AG32" s="1818"/>
      <c r="AH32" s="1819"/>
      <c r="AI32" s="2059" t="str">
        <f t="shared" si="75"/>
        <v>RMB</v>
      </c>
      <c r="AJ32" s="2059">
        <f>IF(AG32&lt;&gt;0,VLOOKUP(AI32,'Financials Parameters'!$D$29:$E$53,2,FALSE),0)</f>
        <v>0</v>
      </c>
      <c r="AK32" s="2059">
        <f t="shared" si="53"/>
        <v>0</v>
      </c>
      <c r="AL32" s="1820" t="s">
        <v>300</v>
      </c>
      <c r="AM32" s="1821"/>
      <c r="AN32" s="1028">
        <f t="shared" si="10"/>
        <v>1000000000000</v>
      </c>
      <c r="AO32" s="1821"/>
      <c r="AP32" s="1828" t="s">
        <v>149</v>
      </c>
      <c r="AQ32" s="280"/>
      <c r="AR32" s="280"/>
      <c r="AS32" s="1022">
        <f t="shared" si="11"/>
        <v>0</v>
      </c>
      <c r="AT32" s="281"/>
      <c r="AU32" s="281"/>
      <c r="AV32" s="1030" t="str">
        <f>'Material Cost '!$AU32&amp;$K$1</f>
        <v>RMB</v>
      </c>
      <c r="AW32" s="176">
        <f>+SUMIF('Financials Parameters'!$D$29:$D$53,'Material Cost '!AV32,'Financials Parameters'!$E$29:$E$53)</f>
        <v>0</v>
      </c>
      <c r="AX32" s="279">
        <f t="shared" si="54"/>
        <v>0</v>
      </c>
      <c r="AY32" s="1099">
        <f t="shared" si="55"/>
        <v>0</v>
      </c>
      <c r="AZ32" s="1091"/>
      <c r="BA32" s="1092"/>
      <c r="BB32" s="656">
        <f t="shared" si="12"/>
        <v>0</v>
      </c>
      <c r="BC32" s="1092"/>
      <c r="BD32" s="1092"/>
      <c r="BE32" s="1093" t="str">
        <f>'Material Cost '!$BD32&amp;$K$1</f>
        <v>RMB</v>
      </c>
      <c r="BF32" s="1090">
        <f>+SUMIF('Financials Parameters'!$D$29:$D$53,'Material Cost '!BE32,'Financials Parameters'!$E$29:$E$53)</f>
        <v>0</v>
      </c>
      <c r="BG32" s="1096">
        <f t="shared" si="71"/>
        <v>0</v>
      </c>
      <c r="BH32" s="1102">
        <f t="shared" si="13"/>
        <v>0</v>
      </c>
      <c r="BI32" s="114">
        <f t="shared" si="76"/>
        <v>0</v>
      </c>
      <c r="BJ32" s="33">
        <f t="shared" si="14"/>
        <v>0</v>
      </c>
      <c r="BK32" s="33">
        <f t="shared" si="15"/>
        <v>0</v>
      </c>
      <c r="BL32" s="33">
        <f t="shared" si="126"/>
        <v>0</v>
      </c>
      <c r="BM32" s="1103">
        <f t="shared" si="16"/>
        <v>0.15</v>
      </c>
      <c r="BN32" s="1106">
        <f t="shared" si="17"/>
        <v>0</v>
      </c>
      <c r="BO32" s="33">
        <f t="shared" si="18"/>
        <v>0</v>
      </c>
      <c r="BP32" s="33">
        <f t="shared" si="19"/>
        <v>0</v>
      </c>
      <c r="BQ32" s="33">
        <f t="shared" si="20"/>
        <v>0</v>
      </c>
      <c r="BR32" s="33">
        <f t="shared" si="21"/>
        <v>0</v>
      </c>
      <c r="BS32" s="33">
        <f t="shared" si="22"/>
        <v>0</v>
      </c>
      <c r="BT32" s="28">
        <f t="shared" si="23"/>
        <v>0</v>
      </c>
      <c r="BU32">
        <f t="shared" si="24"/>
        <v>0</v>
      </c>
      <c r="BV32" t="str">
        <f t="shared" si="25"/>
        <v>RMB</v>
      </c>
      <c r="BW32" s="17">
        <f t="shared" si="26"/>
        <v>0</v>
      </c>
      <c r="BX32">
        <f t="shared" si="27"/>
        <v>0</v>
      </c>
      <c r="BY32" s="16">
        <f>+IF('RFQ Data'!D$50&lt;&gt;0,INT('RFQ Data'!D$50/$AN32)+1,0)</f>
        <v>0</v>
      </c>
      <c r="BZ32" s="16">
        <f>+IF($AN32&lt;&gt;0,IF('RFQ Data'!E$50&lt;&gt;0,INT('RFQ Data'!E$50/$AN32)+1,0),0)</f>
        <v>1</v>
      </c>
      <c r="CA32" s="16">
        <f>+IF($AN32&lt;&gt;0,IF('RFQ Data'!F$50&lt;&gt;0,INT('RFQ Data'!F$50/$AN32)+1,0),0)</f>
        <v>1</v>
      </c>
      <c r="CB32" s="16">
        <f>+IF($AN32&lt;&gt;0,IF('RFQ Data'!G$50&lt;&gt;0,INT('RFQ Data'!G$50/$AN32)+1,0),0)</f>
        <v>1</v>
      </c>
      <c r="CC32" s="16">
        <f>+IF($AN32&lt;&gt;0,IF('RFQ Data'!H$50&lt;&gt;0,INT('RFQ Data'!H$50/$AN32)+1,0),0)</f>
        <v>1</v>
      </c>
      <c r="CD32" s="16">
        <f>+IF($AN32&lt;&gt;0,IF('RFQ Data'!I$50&lt;&gt;0,INT('RFQ Data'!I$50/$AN32)+1,0),0)</f>
        <v>1</v>
      </c>
      <c r="CF32" s="16">
        <f t="shared" si="91"/>
        <v>1</v>
      </c>
      <c r="CG32" s="16">
        <f t="shared" si="92"/>
        <v>1</v>
      </c>
      <c r="CH32" s="16">
        <f t="shared" si="93"/>
        <v>1</v>
      </c>
      <c r="CI32" s="16">
        <f t="shared" si="94"/>
        <v>1</v>
      </c>
      <c r="CJ32" s="16">
        <f t="shared" si="95"/>
        <v>1</v>
      </c>
      <c r="CK32" s="16">
        <f t="shared" si="96"/>
        <v>1</v>
      </c>
      <c r="CM32" s="16">
        <f t="shared" si="97"/>
        <v>1</v>
      </c>
      <c r="CN32" s="16">
        <f>+CG32-SUM($CM32:CM32)</f>
        <v>0</v>
      </c>
      <c r="CO32" s="16">
        <f>+CH32-SUM($CM32:CN32)</f>
        <v>0</v>
      </c>
      <c r="CP32" s="16">
        <f>+CI32-SUM($CM32:CO32)</f>
        <v>0</v>
      </c>
      <c r="CQ32" s="16">
        <f>+CJ32-SUM($CM32:CP32)</f>
        <v>0</v>
      </c>
      <c r="CR32" s="16">
        <f>+CK32-SUM($CM32:CQ32)</f>
        <v>0</v>
      </c>
      <c r="CT32" s="55">
        <f t="shared" si="29"/>
        <v>0</v>
      </c>
      <c r="CU32" s="55">
        <f t="shared" si="30"/>
        <v>0</v>
      </c>
      <c r="CV32" s="55">
        <f t="shared" si="31"/>
        <v>0</v>
      </c>
      <c r="CW32" s="55">
        <f t="shared" si="32"/>
        <v>0</v>
      </c>
      <c r="CX32" s="55">
        <f t="shared" si="33"/>
        <v>0</v>
      </c>
      <c r="CY32" s="55">
        <f t="shared" si="34"/>
        <v>0</v>
      </c>
      <c r="CZ32" s="16"/>
      <c r="DA32" s="1720">
        <f t="shared" si="35"/>
        <v>0</v>
      </c>
      <c r="DB32" s="260">
        <f t="shared" si="36"/>
        <v>0</v>
      </c>
      <c r="DC32" s="260">
        <f t="shared" si="37"/>
        <v>0</v>
      </c>
      <c r="DD32" s="260">
        <f t="shared" si="38"/>
        <v>0</v>
      </c>
      <c r="DE32" s="260">
        <f t="shared" si="39"/>
        <v>0</v>
      </c>
      <c r="DF32" s="439">
        <f t="shared" si="40"/>
        <v>0</v>
      </c>
      <c r="DG32" s="316" t="str">
        <f t="shared" si="41"/>
        <v/>
      </c>
      <c r="DH32" s="1720">
        <f t="shared" si="98"/>
        <v>0</v>
      </c>
      <c r="DI32" s="260">
        <f t="shared" si="99"/>
        <v>0</v>
      </c>
      <c r="DJ32" s="260">
        <f t="shared" si="100"/>
        <v>0</v>
      </c>
      <c r="DK32" s="260">
        <f t="shared" si="101"/>
        <v>0</v>
      </c>
      <c r="DL32" s="260">
        <f t="shared" si="102"/>
        <v>0</v>
      </c>
      <c r="DM32" s="439">
        <f t="shared" si="103"/>
        <v>0</v>
      </c>
      <c r="DO32" s="2">
        <f t="shared" si="43"/>
        <v>0</v>
      </c>
      <c r="DR32" s="2" t="str">
        <f t="shared" si="44"/>
        <v xml:space="preserve">Material - </v>
      </c>
      <c r="DS32" s="2" t="str">
        <f t="shared" si="45"/>
        <v/>
      </c>
      <c r="DT32" s="16">
        <f t="shared" si="104"/>
        <v>0</v>
      </c>
      <c r="DU32" s="16"/>
      <c r="DV32" s="2" t="str">
        <f t="shared" si="47"/>
        <v/>
      </c>
      <c r="DW32" s="16">
        <f t="shared" si="48"/>
        <v>0</v>
      </c>
      <c r="DX32" s="16">
        <f t="shared" si="49"/>
        <v>0</v>
      </c>
      <c r="DZ32" s="16"/>
      <c r="EA32" s="16">
        <f t="shared" si="105"/>
        <v>0</v>
      </c>
      <c r="EB32" s="16">
        <f>+IF(AO32&lt;&gt;0,(INT(SUM('RFQ Data'!$C$31:$H$31)*F32/AO32)+1)*AK32,0)</f>
        <v>0</v>
      </c>
      <c r="EC32" s="16">
        <f>+(EB32+EA32)/SUM('RFQ Data'!$C$31:$H$31)</f>
        <v>0</v>
      </c>
      <c r="ED32" s="16">
        <f t="shared" si="106"/>
        <v>0</v>
      </c>
      <c r="EF32" s="25">
        <f t="shared" si="51"/>
        <v>0</v>
      </c>
      <c r="EG32" s="163">
        <f t="shared" si="107"/>
        <v>0</v>
      </c>
      <c r="EH32">
        <f>+'RFQ Data'!C$31*'Material Cost '!$F32</f>
        <v>0</v>
      </c>
      <c r="EI32">
        <f>+'RFQ Data'!D$31*'Material Cost '!$F32</f>
        <v>0</v>
      </c>
      <c r="EJ32">
        <f>+'RFQ Data'!E$31*'Material Cost '!$F32</f>
        <v>0</v>
      </c>
      <c r="EK32">
        <f>+'RFQ Data'!F$31*'Material Cost '!$F32</f>
        <v>0</v>
      </c>
      <c r="EL32">
        <f>+'RFQ Data'!G$31*'Material Cost '!$F32</f>
        <v>0</v>
      </c>
      <c r="EM32">
        <f>+'RFQ Data'!H$31*'Material Cost '!$F32</f>
        <v>0</v>
      </c>
    </row>
    <row r="33" spans="1:143" ht="15" thickBot="1">
      <c r="A33" s="171">
        <f t="shared" si="69"/>
        <v>28</v>
      </c>
      <c r="B33" s="1221">
        <f t="shared" si="6"/>
        <v>0</v>
      </c>
      <c r="C33" s="1893" t="str">
        <f>IF(Purchasing!A30="","",Purchasing!A30)</f>
        <v/>
      </c>
      <c r="D33" s="1894" t="str">
        <f>IF(Purchasing!B30="","",Purchasing!B30)</f>
        <v/>
      </c>
      <c r="E33" s="1894" t="str">
        <f>IF(Purchasing!P30="","",Purchasing!P30)</f>
        <v/>
      </c>
      <c r="F33" s="1895">
        <f>IF(Purchasing!K30&lt;&gt;"",IF(Purchasing!K30="","",Purchasing!K30),0)</f>
        <v>0</v>
      </c>
      <c r="G33" s="1895" t="str">
        <f>IF(Purchasing!L30="","",Purchasing!L30)</f>
        <v/>
      </c>
      <c r="H33" s="1895" t="str">
        <f>IF(Purchasing!M30="","",Purchasing!M30)</f>
        <v/>
      </c>
      <c r="I33" s="1895" t="str">
        <f>IF(Purchasing!N30="","",Purchasing!N30)</f>
        <v/>
      </c>
      <c r="J33" s="1899" t="str">
        <f>IF(Purchasing!J30&lt;&gt;"",Purchasing!J30,"")</f>
        <v/>
      </c>
      <c r="K33" s="1896" t="str">
        <f>IF(Purchasing!BP30="-","",Purchasing!BP30)</f>
        <v/>
      </c>
      <c r="L33" s="1906">
        <f>Purchasing!I30</f>
        <v>0</v>
      </c>
      <c r="M33" s="241">
        <f>Purchasing!H30</f>
        <v>0</v>
      </c>
      <c r="N33" s="1900"/>
      <c r="O33" s="1897" t="str">
        <f>IF(Q33&lt;&gt;0,IF(Q33=Purchasing!W30,"Estimated", "Offer"),"")</f>
        <v/>
      </c>
      <c r="P33" s="1903" t="str">
        <f>IF(Purchasing!G30&lt;&gt;0,Purchasing!G30,"")</f>
        <v/>
      </c>
      <c r="Q33" s="1904">
        <f>IF(Purchasing!BP30=Purchasing!Z30,Purchasing!AB30,IF(Purchasing!BP30=Purchasing!AN30,Purchasing!AP30,IF(Purchasing!BP30=Purchasing!BB30,Purchasing!BD30,Purchasing!W30)))</f>
        <v>0</v>
      </c>
      <c r="R33" s="1905">
        <f>IF(Purchasing!BP30=Purchasing!Z30,Purchasing!AC30,IF(Purchasing!BP30=Purchasing!AN30,Purchasing!AR30,IF(Purchasing!BP30=Purchasing!BB30,Purchasing!BF30,Purchasing!X30)))</f>
        <v>0</v>
      </c>
      <c r="S33" s="1222" t="str">
        <f t="shared" si="70"/>
        <v>RMB</v>
      </c>
      <c r="T33" s="1223" t="str">
        <f t="shared" si="52"/>
        <v>0RMB</v>
      </c>
      <c r="U33" s="1224">
        <f>+SUMIF('Financials Parameters'!$D$29:$D$53,'Material Cost '!T33,'Financials Parameters'!$E$29:$E$53)</f>
        <v>0</v>
      </c>
      <c r="V33" s="1225">
        <v>0</v>
      </c>
      <c r="W33" s="1226">
        <v>0</v>
      </c>
      <c r="X33" s="1227">
        <v>0</v>
      </c>
      <c r="Y33" s="1811">
        <f t="shared" si="7"/>
        <v>0</v>
      </c>
      <c r="Z33" s="1910"/>
      <c r="AA33" s="1228"/>
      <c r="AB33" s="1918" t="str">
        <f t="shared" si="8"/>
        <v>China + South pacific</v>
      </c>
      <c r="AC33" s="1229"/>
      <c r="AD33" s="1230">
        <f>IF(AA33&lt;&gt;"",IF(AND($J$1=AA33,$O$1&gt;VLOOKUP($J$1,'Financials Parameters'!$N$30:$P$35,3,FALSE)),'Financials Parameters'!$O$28,'Financials Parameters'!$Q$28),0)</f>
        <v>0</v>
      </c>
      <c r="AE33" s="1231">
        <f>IF(AA33&lt;&gt;"",VLOOKUP(AB33,'Financials Parameters'!$R$38:$S$73,2,FALSE),0)</f>
        <v>0</v>
      </c>
      <c r="AF33" s="1232">
        <f>IF(AA33&lt;&gt;"",VLOOKUP(AA33,'Financials Parameters'!$N$30:$S$35,6,FALSE),0)</f>
        <v>0</v>
      </c>
      <c r="AG33" s="1829"/>
      <c r="AH33" s="1830"/>
      <c r="AI33" s="2060" t="str">
        <f t="shared" si="75"/>
        <v>RMB</v>
      </c>
      <c r="AJ33" s="2060">
        <f>IF(AG33&lt;&gt;0,VLOOKUP(AI33,'Financials Parameters'!$D$29:$E$53,2,FALSE),0)</f>
        <v>0</v>
      </c>
      <c r="AK33" s="2060">
        <f t="shared" si="53"/>
        <v>0</v>
      </c>
      <c r="AL33" s="1831" t="s">
        <v>300</v>
      </c>
      <c r="AM33" s="1832"/>
      <c r="AN33" s="1833">
        <f t="shared" si="10"/>
        <v>1000000000000</v>
      </c>
      <c r="AO33" s="1832"/>
      <c r="AP33" s="1834" t="s">
        <v>149</v>
      </c>
      <c r="AQ33" s="1233"/>
      <c r="AR33" s="1233"/>
      <c r="AS33" s="1234">
        <f>IF(F33&lt;&gt;0,+#REF!,0)</f>
        <v>0</v>
      </c>
      <c r="AT33" s="1235"/>
      <c r="AU33" s="1235"/>
      <c r="AV33" s="1236" t="str">
        <f>'Material Cost '!$AU33&amp;$K$1</f>
        <v>RMB</v>
      </c>
      <c r="AW33" s="1237">
        <f>+SUMIF('Financials Parameters'!$D$29:$D$53,'Material Cost '!AV33,'Financials Parameters'!$E$29:$E$53)</f>
        <v>0</v>
      </c>
      <c r="AX33" s="1238">
        <f t="shared" si="54"/>
        <v>0</v>
      </c>
      <c r="AY33" s="1239">
        <f>+AS33/(1-$F$34)*AX33*F33</f>
        <v>0</v>
      </c>
      <c r="AZ33" s="1091"/>
      <c r="BA33" s="1092"/>
      <c r="BB33" s="656">
        <f t="shared" si="12"/>
        <v>0</v>
      </c>
      <c r="BC33" s="1092"/>
      <c r="BD33" s="1092"/>
      <c r="BE33" s="1093" t="str">
        <f>'Material Cost '!$BD33&amp;$K$1</f>
        <v>RMB</v>
      </c>
      <c r="BF33" s="1090">
        <f>+SUMIF('Financials Parameters'!$D$29:$D$53,'Material Cost '!BE33,'Financials Parameters'!$E$29:$E$53)</f>
        <v>0</v>
      </c>
      <c r="BG33" s="1096">
        <f t="shared" si="71"/>
        <v>0</v>
      </c>
      <c r="BH33" s="1102">
        <f t="shared" si="13"/>
        <v>0</v>
      </c>
      <c r="BI33" s="215">
        <f t="shared" si="76"/>
        <v>0</v>
      </c>
      <c r="BJ33" s="184">
        <f t="shared" si="14"/>
        <v>0</v>
      </c>
      <c r="BK33" s="184">
        <f t="shared" si="15"/>
        <v>0</v>
      </c>
      <c r="BL33" s="184">
        <f t="shared" si="126"/>
        <v>0</v>
      </c>
      <c r="BM33" s="1104">
        <f t="shared" si="16"/>
        <v>0.15</v>
      </c>
      <c r="BN33" s="1107">
        <f t="shared" si="17"/>
        <v>0</v>
      </c>
      <c r="BO33" s="184">
        <f t="shared" si="18"/>
        <v>0</v>
      </c>
      <c r="BP33" s="184">
        <f t="shared" si="19"/>
        <v>0</v>
      </c>
      <c r="BQ33" s="184">
        <f t="shared" si="20"/>
        <v>0</v>
      </c>
      <c r="BR33" s="184">
        <f t="shared" si="21"/>
        <v>0</v>
      </c>
      <c r="BS33" s="184">
        <f t="shared" si="22"/>
        <v>0</v>
      </c>
      <c r="BT33" s="35">
        <f t="shared" si="23"/>
        <v>0</v>
      </c>
      <c r="BU33">
        <f t="shared" si="24"/>
        <v>0</v>
      </c>
      <c r="BV33" t="str">
        <f t="shared" si="25"/>
        <v>RMB</v>
      </c>
      <c r="BW33" s="17">
        <f t="shared" si="26"/>
        <v>0</v>
      </c>
      <c r="BX33">
        <f t="shared" si="27"/>
        <v>0</v>
      </c>
      <c r="BY33" s="16">
        <f>+IF('RFQ Data'!D$50&lt;&gt;0,INT('RFQ Data'!D$50/$AN33)+1,0)</f>
        <v>0</v>
      </c>
      <c r="BZ33" s="16">
        <f>+IF($AN33&lt;&gt;0,IF('RFQ Data'!E$50&lt;&gt;0,INT('RFQ Data'!E$50/$AN33)+1,0),0)</f>
        <v>1</v>
      </c>
      <c r="CA33" s="16">
        <f>+IF($AN33&lt;&gt;0,IF('RFQ Data'!F$50&lt;&gt;0,INT('RFQ Data'!F$50/$AN33)+1,0),0)</f>
        <v>1</v>
      </c>
      <c r="CB33" s="16">
        <f>+IF($AN33&lt;&gt;0,IF('RFQ Data'!G$50&lt;&gt;0,INT('RFQ Data'!G$50/$AN33)+1,0),0)</f>
        <v>1</v>
      </c>
      <c r="CC33" s="16">
        <f>+IF($AN33&lt;&gt;0,IF('RFQ Data'!H$50&lt;&gt;0,INT('RFQ Data'!H$50/$AN33)+1,0),0)</f>
        <v>1</v>
      </c>
      <c r="CD33" s="16">
        <f>+IF($AN33&lt;&gt;0,IF('RFQ Data'!I$50&lt;&gt;0,INT('RFQ Data'!I$50/$AN33)+1,0),0)</f>
        <v>1</v>
      </c>
      <c r="CF33" s="16">
        <f t="shared" si="91"/>
        <v>1</v>
      </c>
      <c r="CG33" s="16">
        <f t="shared" si="92"/>
        <v>1</v>
      </c>
      <c r="CH33" s="16">
        <f t="shared" si="93"/>
        <v>1</v>
      </c>
      <c r="CI33" s="16">
        <f t="shared" si="94"/>
        <v>1</v>
      </c>
      <c r="CJ33" s="16">
        <f t="shared" si="95"/>
        <v>1</v>
      </c>
      <c r="CK33" s="16">
        <f t="shared" si="96"/>
        <v>1</v>
      </c>
      <c r="CM33" s="16">
        <f t="shared" si="97"/>
        <v>1</v>
      </c>
      <c r="CN33" s="16">
        <f>+CG33-SUM($CM33:CM33)</f>
        <v>0</v>
      </c>
      <c r="CO33" s="16">
        <f>+CH33-SUM($CM33:CN33)</f>
        <v>0</v>
      </c>
      <c r="CP33" s="16">
        <f>+CI33-SUM($CM33:CO33)</f>
        <v>0</v>
      </c>
      <c r="CQ33" s="16">
        <f>+CJ33-SUM($CM33:CP33)</f>
        <v>0</v>
      </c>
      <c r="CR33" s="16">
        <f>+CK33-SUM($CM33:CQ33)</f>
        <v>0</v>
      </c>
      <c r="CT33" s="55">
        <f t="shared" si="29"/>
        <v>0</v>
      </c>
      <c r="CU33" s="55">
        <f t="shared" si="30"/>
        <v>0</v>
      </c>
      <c r="CV33" s="55">
        <f t="shared" si="31"/>
        <v>0</v>
      </c>
      <c r="CW33" s="55">
        <f t="shared" si="32"/>
        <v>0</v>
      </c>
      <c r="CX33" s="55">
        <f t="shared" si="33"/>
        <v>0</v>
      </c>
      <c r="CY33" s="55">
        <f t="shared" si="34"/>
        <v>0</v>
      </c>
      <c r="CZ33" s="16"/>
      <c r="DA33" s="196">
        <f t="shared" si="35"/>
        <v>0</v>
      </c>
      <c r="DB33" s="192">
        <f t="shared" si="36"/>
        <v>0</v>
      </c>
      <c r="DC33" s="192">
        <f t="shared" si="37"/>
        <v>0</v>
      </c>
      <c r="DD33" s="192">
        <f t="shared" si="38"/>
        <v>0</v>
      </c>
      <c r="DE33" s="192">
        <f t="shared" si="39"/>
        <v>0</v>
      </c>
      <c r="DF33" s="193">
        <f t="shared" si="40"/>
        <v>0</v>
      </c>
      <c r="DG33" s="316" t="str">
        <f t="shared" si="41"/>
        <v/>
      </c>
      <c r="DH33" s="196">
        <f t="shared" si="98"/>
        <v>0</v>
      </c>
      <c r="DI33" s="192">
        <f t="shared" si="99"/>
        <v>0</v>
      </c>
      <c r="DJ33" s="192">
        <f t="shared" si="100"/>
        <v>0</v>
      </c>
      <c r="DK33" s="192">
        <f t="shared" si="101"/>
        <v>0</v>
      </c>
      <c r="DL33" s="192">
        <f t="shared" si="102"/>
        <v>0</v>
      </c>
      <c r="DM33" s="193">
        <f t="shared" si="103"/>
        <v>0</v>
      </c>
      <c r="DO33" s="2">
        <f t="shared" si="43"/>
        <v>0</v>
      </c>
      <c r="DR33" s="2" t="str">
        <f t="shared" si="44"/>
        <v xml:space="preserve">Material - </v>
      </c>
      <c r="DS33" s="2" t="str">
        <f t="shared" si="45"/>
        <v/>
      </c>
      <c r="DT33" s="16">
        <f t="shared" si="104"/>
        <v>0</v>
      </c>
      <c r="DU33" s="16"/>
      <c r="DV33" s="2" t="str">
        <f t="shared" si="47"/>
        <v/>
      </c>
      <c r="DW33" s="16">
        <f t="shared" si="48"/>
        <v>0</v>
      </c>
      <c r="DX33" s="16">
        <f t="shared" si="49"/>
        <v>0</v>
      </c>
      <c r="DZ33" s="16"/>
      <c r="EA33" s="16">
        <f t="shared" si="105"/>
        <v>0</v>
      </c>
      <c r="EB33" s="16">
        <f>+IF(AO33&lt;&gt;0,(INT(SUM('RFQ Data'!$C$31:$H$31)*F33/AO33)+1)*AK33,0)</f>
        <v>0</v>
      </c>
      <c r="EC33" s="16">
        <f>+(EB33+EA33)/SUM('RFQ Data'!$C$31:$H$31)</f>
        <v>0</v>
      </c>
      <c r="ED33" s="16">
        <f t="shared" si="106"/>
        <v>0</v>
      </c>
      <c r="EF33" s="25">
        <f t="shared" si="51"/>
        <v>0</v>
      </c>
      <c r="EG33" s="163">
        <f t="shared" si="107"/>
        <v>0</v>
      </c>
      <c r="EH33">
        <f>+'RFQ Data'!C$31*'Material Cost '!$F33</f>
        <v>0</v>
      </c>
      <c r="EI33">
        <f>+'RFQ Data'!D$31*'Material Cost '!$F33</f>
        <v>0</v>
      </c>
      <c r="EJ33">
        <f>+'RFQ Data'!E$31*'Material Cost '!$F33</f>
        <v>0</v>
      </c>
      <c r="EK33">
        <f>+'RFQ Data'!F$31*'Material Cost '!$F33</f>
        <v>0</v>
      </c>
      <c r="EL33">
        <f>+'RFQ Data'!G$31*'Material Cost '!$F33</f>
        <v>0</v>
      </c>
      <c r="EM33">
        <f>+'RFQ Data'!H$31*'Material Cost '!$F33</f>
        <v>0</v>
      </c>
    </row>
    <row r="34" spans="1:143" ht="15" thickBot="1">
      <c r="A34" s="171">
        <f>+A33+1</f>
        <v>29</v>
      </c>
      <c r="B34" s="1240">
        <f t="shared" si="6"/>
        <v>5.5741380375678136E-3</v>
      </c>
      <c r="C34" s="1801" t="s">
        <v>302</v>
      </c>
      <c r="D34" s="1802"/>
      <c r="E34" s="1802"/>
      <c r="F34" s="1803">
        <f>+'RFQ Data'!J62</f>
        <v>1.2E-2</v>
      </c>
      <c r="G34" s="1804"/>
      <c r="H34" s="1804"/>
      <c r="I34" s="1804"/>
      <c r="J34" s="1804"/>
      <c r="K34" s="1804"/>
      <c r="L34" s="1804"/>
      <c r="M34" s="1804"/>
      <c r="N34" s="1804"/>
      <c r="O34" s="1805"/>
      <c r="P34" s="1804"/>
      <c r="Q34" s="1808">
        <f>+SUM(B6:B33)*F34</f>
        <v>5.5741380375678145E-3</v>
      </c>
      <c r="R34" s="1809" t="str">
        <f>+K1</f>
        <v>RMB</v>
      </c>
      <c r="S34" s="1241" t="str">
        <f>+S33</f>
        <v>RMB</v>
      </c>
      <c r="T34" s="1242" t="str">
        <f t="shared" si="52"/>
        <v>RMBRMB</v>
      </c>
      <c r="U34" s="1243">
        <f>+SUMIF('Financials Parameters'!$D$29:$D$53,'Material Cost '!T34,'Financials Parameters'!$E$29:$E$53)</f>
        <v>0.99999999999999989</v>
      </c>
      <c r="V34" s="1244"/>
      <c r="W34" s="1245"/>
      <c r="X34" s="1246"/>
      <c r="Y34" s="1812">
        <f>+Q34*U34</f>
        <v>5.5741380375678136E-3</v>
      </c>
      <c r="Z34" s="1813">
        <f>+SUM(Z6:Z33)*O34</f>
        <v>0</v>
      </c>
      <c r="AA34" s="1247"/>
      <c r="AB34" s="1919"/>
      <c r="AC34" s="1248"/>
      <c r="AD34" s="1249">
        <f>SUMPRODUCT($B$6:$B$33,AD6:AD33)/SUM($B$6:$B$33)</f>
        <v>1</v>
      </c>
      <c r="AE34" s="1250">
        <f t="shared" ref="AE34:AF34" si="127">SUMPRODUCT($B$6:$B$33,AE6:AE33)/SUM($B$6:$B$33)</f>
        <v>1</v>
      </c>
      <c r="AF34" s="1251">
        <f t="shared" si="127"/>
        <v>39.765268797281337</v>
      </c>
      <c r="AG34" s="1823"/>
      <c r="AH34" s="1824"/>
      <c r="AI34" s="2061" t="str">
        <f t="shared" si="75"/>
        <v>RMB</v>
      </c>
      <c r="AJ34" s="2061">
        <f>IF(AG34&lt;&gt;0,VLOOKUP(AI34,'Financials Parameters'!$D$29:$E$53,2,FALSE),0)</f>
        <v>0</v>
      </c>
      <c r="AK34" s="2061">
        <f t="shared" si="53"/>
        <v>0</v>
      </c>
      <c r="AL34" s="1825"/>
      <c r="AM34" s="1824"/>
      <c r="AN34" s="1252"/>
      <c r="AO34" s="1824"/>
      <c r="AP34" s="1826"/>
      <c r="AQ34" s="1253"/>
      <c r="AR34" s="1253"/>
      <c r="AS34" s="1254"/>
      <c r="AT34" s="1254"/>
      <c r="AU34" s="1255"/>
      <c r="AV34" s="1255"/>
      <c r="AW34" s="1255"/>
      <c r="AX34" s="1256"/>
      <c r="AY34" s="1257"/>
      <c r="AZ34" s="1258"/>
      <c r="BA34" s="1253"/>
      <c r="BB34" s="1254"/>
      <c r="BC34" s="1254"/>
      <c r="BD34" s="1254"/>
      <c r="BE34" s="1259"/>
      <c r="BF34" s="1255"/>
      <c r="BG34" s="1256"/>
      <c r="BH34" s="1260"/>
      <c r="BI34" s="1267">
        <f>+AF34/365*Y34</f>
        <v>6.072797188411902E-4</v>
      </c>
      <c r="BJ34" s="1268">
        <f>+AE34/52*Y34</f>
        <v>1.071949622609195E-4</v>
      </c>
      <c r="BK34" s="1269">
        <f>+AD34*2*Y34/52</f>
        <v>2.1438992452183899E-4</v>
      </c>
      <c r="BL34" s="1269">
        <f>+BJ34+BK34</f>
        <v>3.2158488678275847E-4</v>
      </c>
      <c r="BM34" s="1270"/>
      <c r="BN34" s="1271">
        <f t="shared" si="17"/>
        <v>0</v>
      </c>
      <c r="BO34" s="1272">
        <f t="shared" si="18"/>
        <v>5.5741380375678136E-3</v>
      </c>
      <c r="BP34" s="1272">
        <f t="shared" si="19"/>
        <v>5.5741380375678136E-3</v>
      </c>
      <c r="BQ34" s="1272">
        <f t="shared" si="20"/>
        <v>5.5741380375678136E-3</v>
      </c>
      <c r="BR34" s="1272">
        <f t="shared" si="21"/>
        <v>5.5741380375678136E-3</v>
      </c>
      <c r="BS34" s="1273">
        <f>+AVERAGE(BO34:BR34)</f>
        <v>5.5741380375678136E-3</v>
      </c>
      <c r="BT34" s="1274">
        <f t="shared" si="23"/>
        <v>0</v>
      </c>
      <c r="BU34" s="1275" t="str">
        <f t="shared" si="24"/>
        <v>RMB</v>
      </c>
      <c r="BV34" s="1275" t="str">
        <f t="shared" si="25"/>
        <v>RMB</v>
      </c>
      <c r="BW34" s="1276">
        <f t="shared" si="26"/>
        <v>5.5741380375678136E-3</v>
      </c>
      <c r="BX34" s="1275">
        <f t="shared" si="27"/>
        <v>0</v>
      </c>
      <c r="BY34" s="1277">
        <f>+IF('RFQ Data'!D$50&lt;&gt;0,INT('RFQ Data'!D$50/$AN34)+1,0)</f>
        <v>0</v>
      </c>
      <c r="BZ34" s="1277">
        <f>+IF($AN34&lt;&gt;0,IF('RFQ Data'!E$50&lt;&gt;0,INT('RFQ Data'!E$50/$AN34)+1,0),0)</f>
        <v>0</v>
      </c>
      <c r="CA34" s="1277">
        <f>+IF($AN34&lt;&gt;0,IF('RFQ Data'!F$50&lt;&gt;0,INT('RFQ Data'!F$50/$AN34)+1,0),0)</f>
        <v>0</v>
      </c>
      <c r="CB34" s="1277">
        <f>+IF($AN34&lt;&gt;0,IF('RFQ Data'!G$50&lt;&gt;0,INT('RFQ Data'!G$50/$AN34)+1,0),0)</f>
        <v>0</v>
      </c>
      <c r="CC34" s="1277">
        <f>+IF($AN34&lt;&gt;0,IF('RFQ Data'!H$50&lt;&gt;0,INT('RFQ Data'!H$50/$AN34)+1,0),0)</f>
        <v>0</v>
      </c>
      <c r="CD34" s="1277">
        <f>+IF($AN34&lt;&gt;0,IF('RFQ Data'!I$50&lt;&gt;0,INT('RFQ Data'!I$50/$AN34)+1,0),0)</f>
        <v>0</v>
      </c>
      <c r="CE34" s="1275"/>
      <c r="CF34" s="1277">
        <f t="shared" si="91"/>
        <v>0</v>
      </c>
      <c r="CG34" s="1277">
        <f t="shared" si="92"/>
        <v>0</v>
      </c>
      <c r="CH34" s="1277">
        <f t="shared" si="93"/>
        <v>0</v>
      </c>
      <c r="CI34" s="1277">
        <f t="shared" si="94"/>
        <v>0</v>
      </c>
      <c r="CJ34" s="1277">
        <f t="shared" si="95"/>
        <v>0</v>
      </c>
      <c r="CK34" s="1277">
        <f t="shared" si="96"/>
        <v>0</v>
      </c>
      <c r="CL34" s="1275"/>
      <c r="CM34" s="1277">
        <f t="shared" si="97"/>
        <v>0</v>
      </c>
      <c r="CN34" s="1277">
        <f>+CG34-SUM($CM34:CM34)</f>
        <v>0</v>
      </c>
      <c r="CO34" s="1277">
        <f>+CH34-SUM($CM34:CN34)</f>
        <v>0</v>
      </c>
      <c r="CP34" s="1277">
        <f>+CI34-SUM($CM34:CO34)</f>
        <v>0</v>
      </c>
      <c r="CQ34" s="1277">
        <f>+CJ34-SUM($CM34:CP34)</f>
        <v>0</v>
      </c>
      <c r="CR34" s="1277">
        <f>+CK34-SUM($CM34:CQ34)</f>
        <v>0</v>
      </c>
      <c r="CS34" s="1275"/>
      <c r="CT34" s="1298">
        <f t="shared" si="29"/>
        <v>0</v>
      </c>
      <c r="CU34" s="1298">
        <f t="shared" si="30"/>
        <v>0</v>
      </c>
      <c r="CV34" s="1298">
        <f t="shared" si="31"/>
        <v>0</v>
      </c>
      <c r="CW34" s="1298">
        <f t="shared" si="32"/>
        <v>0</v>
      </c>
      <c r="CX34" s="1298">
        <f t="shared" si="33"/>
        <v>0</v>
      </c>
      <c r="CY34" s="1298">
        <f t="shared" si="34"/>
        <v>0</v>
      </c>
      <c r="CZ34" s="1277"/>
      <c r="DA34" s="1728">
        <f t="shared" si="35"/>
        <v>0</v>
      </c>
      <c r="DB34" s="1729">
        <f t="shared" si="36"/>
        <v>0</v>
      </c>
      <c r="DC34" s="1729">
        <f t="shared" si="37"/>
        <v>0</v>
      </c>
      <c r="DD34" s="1729">
        <f t="shared" si="38"/>
        <v>0</v>
      </c>
      <c r="DE34" s="1729">
        <f t="shared" si="39"/>
        <v>0</v>
      </c>
      <c r="DF34" s="1730">
        <f t="shared" si="40"/>
        <v>0</v>
      </c>
      <c r="DG34" s="1278" t="str">
        <f t="shared" si="41"/>
        <v xml:space="preserve">Scrap </v>
      </c>
      <c r="DH34" s="1728">
        <f t="shared" si="98"/>
        <v>0</v>
      </c>
      <c r="DI34" s="1729">
        <f t="shared" si="99"/>
        <v>0</v>
      </c>
      <c r="DJ34" s="1729">
        <f t="shared" si="100"/>
        <v>0</v>
      </c>
      <c r="DK34" s="1729">
        <f t="shared" si="101"/>
        <v>0</v>
      </c>
      <c r="DL34" s="1729">
        <f t="shared" si="102"/>
        <v>0</v>
      </c>
      <c r="DM34" s="1730">
        <f t="shared" si="103"/>
        <v>0</v>
      </c>
      <c r="DO34" s="2">
        <f t="shared" si="43"/>
        <v>0</v>
      </c>
      <c r="DR34" s="2" t="str">
        <f t="shared" si="44"/>
        <v xml:space="preserve">Material - Scrap </v>
      </c>
      <c r="DS34" s="2">
        <f t="shared" si="45"/>
        <v>0</v>
      </c>
      <c r="DT34" s="16">
        <f t="shared" si="104"/>
        <v>5.5741380375678136E-3</v>
      </c>
      <c r="DU34" s="16"/>
      <c r="DV34" s="2">
        <f t="shared" si="47"/>
        <v>0</v>
      </c>
      <c r="DW34" s="16">
        <f t="shared" si="48"/>
        <v>5.5741380375678136E-3</v>
      </c>
      <c r="DX34" s="16">
        <f t="shared" si="49"/>
        <v>0</v>
      </c>
      <c r="DZ34" s="16"/>
      <c r="EA34" s="16">
        <f t="shared" si="105"/>
        <v>0</v>
      </c>
      <c r="EB34" s="16">
        <f>+IF(AO34&lt;&gt;0,(INT(SUM('RFQ Data'!$C$31:$H$31)*F34/AO34)+1)*AK34,0)</f>
        <v>0</v>
      </c>
      <c r="EC34" s="16">
        <f>+(EB34+EA34)/SUM('RFQ Data'!$C$31:$H$31)</f>
        <v>0</v>
      </c>
      <c r="ED34" s="16">
        <f t="shared" si="106"/>
        <v>5.5741380375678136E-3</v>
      </c>
      <c r="EF34" s="25">
        <f t="shared" si="51"/>
        <v>0</v>
      </c>
      <c r="EG34" s="163">
        <f t="shared" si="107"/>
        <v>5.5741380375678136E-3</v>
      </c>
      <c r="EH34">
        <f>+'RFQ Data'!C$31*'Material Cost '!$F34</f>
        <v>0</v>
      </c>
      <c r="EI34">
        <f>+'RFQ Data'!D$31*'Material Cost '!$F34</f>
        <v>7.2</v>
      </c>
      <c r="EJ34">
        <f>+'RFQ Data'!E$31*'Material Cost '!$F34</f>
        <v>7.2</v>
      </c>
      <c r="EK34">
        <f>+'RFQ Data'!F$31*'Material Cost '!$F34</f>
        <v>7.2</v>
      </c>
      <c r="EL34">
        <f>+'RFQ Data'!G$31*'Material Cost '!$F34</f>
        <v>7.2</v>
      </c>
      <c r="EM34">
        <f>+'RFQ Data'!H$31*'Material Cost '!$F34</f>
        <v>7.2</v>
      </c>
    </row>
    <row r="35" spans="1:143" ht="15" thickBot="1">
      <c r="B35" s="1070">
        <f>+SUM(B6:B34)</f>
        <v>0.47008564116821899</v>
      </c>
      <c r="C35" t="s">
        <v>296</v>
      </c>
      <c r="K35" s="8"/>
      <c r="L35"/>
      <c r="M35"/>
      <c r="AK35" s="55">
        <f>+SUMIF('Financials Parameters'!$D$29:$D$53,'Material Cost '!AJ35,'Financials Parameters'!$E$29:$E$53)</f>
        <v>0</v>
      </c>
      <c r="AL35" s="55"/>
      <c r="AM35" s="55"/>
      <c r="AN35" s="55"/>
      <c r="AO35" s="55"/>
      <c r="AP35" s="55"/>
      <c r="BI35" s="1261"/>
      <c r="BJ35" s="1262">
        <f>+SUM(BI6:BI34)</f>
        <v>5.1509413965416521E-2</v>
      </c>
      <c r="BK35" s="1262">
        <f>+SUM(BJ6:BJ34)</f>
        <v>9.0477584237993805E-3</v>
      </c>
      <c r="BL35" s="1262">
        <f>+SUM(BL6:BL34)</f>
        <v>2.7143275271398142E-2</v>
      </c>
      <c r="BM35" s="1263">
        <f>+IF(AC35="DDP",1.5%,IF(AA35&lt;&gt;$J$1,15%,7%))</f>
        <v>0.15</v>
      </c>
      <c r="BN35" s="1264">
        <f>+SUM(BN6:BN34)</f>
        <v>6.9736395000000008E-3</v>
      </c>
      <c r="BO35" s="1265">
        <f>+SUMPRODUCT(BO6:BO34,$F$6:$F$34)</f>
        <v>0.46497618965645077</v>
      </c>
      <c r="BP35" s="1265">
        <f t="shared" ref="BP35:BR35" si="128">+SUMPRODUCT(BP6:BP34,$F$6:$F$34)</f>
        <v>0.45998415245645075</v>
      </c>
      <c r="BQ35" s="1265">
        <f t="shared" si="128"/>
        <v>0.45510958340525082</v>
      </c>
      <c r="BR35" s="1265">
        <f t="shared" si="128"/>
        <v>0.45034908763025555</v>
      </c>
      <c r="BS35" s="1266">
        <f>+SUMPRODUCT(BR6:BR34,$F$6:$F$34)</f>
        <v>0.45034908763025555</v>
      </c>
      <c r="BW35" s="17">
        <f>+SUM(BW6:BW34)</f>
        <v>0.47008564116821899</v>
      </c>
      <c r="BX35">
        <f>+SUM(BX6:BX34)</f>
        <v>0</v>
      </c>
      <c r="DA35" s="1724">
        <f t="shared" ref="DA35:DF35" si="129">+SUM(DA6:DA34)</f>
        <v>0</v>
      </c>
      <c r="DB35" s="1725">
        <f t="shared" si="129"/>
        <v>0</v>
      </c>
      <c r="DC35" s="1725">
        <f t="shared" si="129"/>
        <v>0</v>
      </c>
      <c r="DD35" s="1725">
        <f t="shared" si="129"/>
        <v>0</v>
      </c>
      <c r="DE35" s="1725">
        <f t="shared" si="129"/>
        <v>0</v>
      </c>
      <c r="DF35" s="1726">
        <f t="shared" si="129"/>
        <v>0</v>
      </c>
      <c r="DH35" s="1724">
        <f t="shared" ref="DH35:DM35" si="130">+SUM(DH6:DH34)</f>
        <v>0</v>
      </c>
      <c r="DI35" s="1725">
        <f t="shared" si="130"/>
        <v>0</v>
      </c>
      <c r="DJ35" s="1725">
        <f t="shared" si="130"/>
        <v>0</v>
      </c>
      <c r="DK35" s="1725">
        <f t="shared" si="130"/>
        <v>0</v>
      </c>
      <c r="DL35" s="1725">
        <f t="shared" si="130"/>
        <v>0</v>
      </c>
      <c r="DM35" s="1726">
        <f t="shared" si="130"/>
        <v>0</v>
      </c>
      <c r="DO35" s="2">
        <f t="shared" si="43"/>
        <v>0</v>
      </c>
    </row>
    <row r="36" spans="1:143">
      <c r="B36" s="167"/>
    </row>
    <row r="37" spans="1:143">
      <c r="BD37">
        <f>BH6/3</f>
        <v>0</v>
      </c>
    </row>
    <row r="38" spans="1:143">
      <c r="U38" s="66"/>
    </row>
    <row r="77" spans="34:52" ht="43.95" customHeight="1">
      <c r="AL77" s="1109" t="s">
        <v>303</v>
      </c>
      <c r="AM77" s="1110" t="str">
        <f>"Total of BOM cost impacted"&amp;" "&amp;QuotingCUR</f>
        <v>Total of BOM cost impacted RMB</v>
      </c>
      <c r="AN77" s="1108" t="s">
        <v>304</v>
      </c>
      <c r="AQ77" s="1026" t="s">
        <v>262</v>
      </c>
      <c r="AR77" s="1026" t="s">
        <v>305</v>
      </c>
      <c r="AS77" s="1026" t="s">
        <v>306</v>
      </c>
      <c r="AT77" s="1026"/>
      <c r="AU77" s="1026"/>
      <c r="AV77" s="1026"/>
      <c r="AW77" s="1027"/>
      <c r="AX77" s="1027"/>
      <c r="AY77" s="1026"/>
      <c r="AZ77" s="1026"/>
    </row>
    <row r="78" spans="34:52">
      <c r="AH78">
        <f>IF(AL78&lt;&gt;"",1,0)</f>
        <v>0</v>
      </c>
      <c r="AL78" s="1062" t="str">
        <f t="shared" ref="AL78:AL105" si="131">IF(OR(R6=$K$1,R6=""),"",R6&amp;" --&gt; "&amp;$K$1)</f>
        <v/>
      </c>
      <c r="AM78" s="1060" t="str">
        <f t="shared" ref="AM78:AM105" si="132">IF(OR(R6=$K$1,R6=""),"",B6)</f>
        <v/>
      </c>
      <c r="AN78" s="1111" t="str">
        <f t="shared" ref="AN78:AN105" si="133">IF(OR(R6=$K$1,R6=""),"",U6)</f>
        <v/>
      </c>
      <c r="AQ78" s="2" t="str">
        <f>IF(AQ6&lt;&gt;"",AQ6,"")</f>
        <v>Copper</v>
      </c>
      <c r="AR78">
        <f t="shared" ref="AR78:AR105" si="134">IF(AS6&lt;&gt;"",AS6/(1-$F$34),"")</f>
        <v>3.9777327935222673E-3</v>
      </c>
      <c r="AS78">
        <f t="shared" ref="AS78:AS105" si="135">IF(AY6&lt;&gt;"",AY6,"")</f>
        <v>0.28241902834008092</v>
      </c>
    </row>
    <row r="79" spans="34:52">
      <c r="AH79">
        <f t="shared" ref="AH79:AH105" si="136">IF(AL79&lt;&gt;"",1,0)</f>
        <v>0</v>
      </c>
      <c r="AL79" s="1062" t="str">
        <f t="shared" si="131"/>
        <v/>
      </c>
      <c r="AM79" s="1060" t="str">
        <f t="shared" si="132"/>
        <v/>
      </c>
      <c r="AN79" s="1061" t="str">
        <f t="shared" si="133"/>
        <v/>
      </c>
      <c r="AQ79" t="str">
        <f t="shared" ref="AQ79" si="137">IF(AQ7&lt;&gt;"",AQ7,"")</f>
        <v/>
      </c>
      <c r="AR79">
        <f t="shared" si="134"/>
        <v>0</v>
      </c>
      <c r="AS79">
        <f t="shared" si="135"/>
        <v>0</v>
      </c>
    </row>
    <row r="80" spans="34:52">
      <c r="AH80">
        <f t="shared" si="136"/>
        <v>0</v>
      </c>
      <c r="AL80" s="1062" t="str">
        <f t="shared" si="131"/>
        <v/>
      </c>
      <c r="AM80" s="1060" t="str">
        <f t="shared" si="132"/>
        <v/>
      </c>
      <c r="AN80" s="1061" t="str">
        <f t="shared" si="133"/>
        <v/>
      </c>
      <c r="AQ80" t="str">
        <f t="shared" ref="AQ80" si="138">IF(AQ8&lt;&gt;"",AQ8,"")</f>
        <v/>
      </c>
      <c r="AR80">
        <f t="shared" si="134"/>
        <v>0</v>
      </c>
      <c r="AS80">
        <f t="shared" si="135"/>
        <v>0</v>
      </c>
    </row>
    <row r="81" spans="34:45">
      <c r="AH81">
        <f t="shared" si="136"/>
        <v>0</v>
      </c>
      <c r="AL81" s="1062" t="str">
        <f t="shared" si="131"/>
        <v/>
      </c>
      <c r="AM81" s="1060" t="str">
        <f t="shared" si="132"/>
        <v/>
      </c>
      <c r="AN81" s="1061" t="str">
        <f t="shared" si="133"/>
        <v/>
      </c>
      <c r="AQ81" t="str">
        <f t="shared" ref="AQ81" si="139">IF(AQ9&lt;&gt;"",AQ9,"")</f>
        <v/>
      </c>
      <c r="AR81">
        <f t="shared" si="134"/>
        <v>0</v>
      </c>
      <c r="AS81">
        <f t="shared" si="135"/>
        <v>0</v>
      </c>
    </row>
    <row r="82" spans="34:45">
      <c r="AH82">
        <f t="shared" si="136"/>
        <v>1</v>
      </c>
      <c r="AL82" s="1062" t="str">
        <f t="shared" si="131"/>
        <v>0 --&gt; RMB</v>
      </c>
      <c r="AM82" s="1060">
        <f t="shared" si="132"/>
        <v>0</v>
      </c>
      <c r="AN82" s="1061">
        <f t="shared" si="133"/>
        <v>0</v>
      </c>
      <c r="AQ82" t="str">
        <f t="shared" ref="AQ82:AQ83" si="140">IF(AQ10&lt;&gt;"",AQ10,"")</f>
        <v/>
      </c>
      <c r="AR82">
        <f t="shared" si="134"/>
        <v>0</v>
      </c>
      <c r="AS82">
        <f t="shared" si="135"/>
        <v>0</v>
      </c>
    </row>
    <row r="83" spans="34:45">
      <c r="AH83">
        <f t="shared" si="136"/>
        <v>1</v>
      </c>
      <c r="AL83" s="1062" t="str">
        <f t="shared" si="131"/>
        <v>0 --&gt; RMB</v>
      </c>
      <c r="AM83" s="1060">
        <f t="shared" si="132"/>
        <v>0</v>
      </c>
      <c r="AN83" s="1061">
        <f t="shared" si="133"/>
        <v>0</v>
      </c>
      <c r="AQ83" t="str">
        <f t="shared" si="140"/>
        <v/>
      </c>
      <c r="AR83">
        <f t="shared" si="134"/>
        <v>0</v>
      </c>
      <c r="AS83">
        <f t="shared" si="135"/>
        <v>0</v>
      </c>
    </row>
    <row r="84" spans="34:45">
      <c r="AH84">
        <f t="shared" si="136"/>
        <v>1</v>
      </c>
      <c r="AL84" s="1062" t="str">
        <f t="shared" si="131"/>
        <v>0 --&gt; RMB</v>
      </c>
      <c r="AM84" s="1060">
        <f t="shared" si="132"/>
        <v>0</v>
      </c>
      <c r="AN84" s="1061">
        <f t="shared" si="133"/>
        <v>0</v>
      </c>
      <c r="AQ84" t="str">
        <f t="shared" ref="AQ84" si="141">IF(AQ12&lt;&gt;"",AQ12,"")</f>
        <v/>
      </c>
      <c r="AR84">
        <f t="shared" si="134"/>
        <v>0</v>
      </c>
      <c r="AS84">
        <f t="shared" si="135"/>
        <v>0</v>
      </c>
    </row>
    <row r="85" spans="34:45">
      <c r="AH85">
        <f t="shared" si="136"/>
        <v>1</v>
      </c>
      <c r="AL85" s="1062" t="str">
        <f t="shared" si="131"/>
        <v>0 --&gt; RMB</v>
      </c>
      <c r="AM85" s="1060">
        <f t="shared" si="132"/>
        <v>0</v>
      </c>
      <c r="AN85" s="1061">
        <f t="shared" si="133"/>
        <v>0</v>
      </c>
      <c r="AQ85" t="str">
        <f t="shared" ref="AQ85" si="142">IF(AQ13&lt;&gt;"",AQ13,"")</f>
        <v/>
      </c>
      <c r="AR85">
        <f t="shared" si="134"/>
        <v>0</v>
      </c>
      <c r="AS85">
        <f t="shared" si="135"/>
        <v>0</v>
      </c>
    </row>
    <row r="86" spans="34:45">
      <c r="AH86">
        <f t="shared" si="136"/>
        <v>1</v>
      </c>
      <c r="AL86" s="1062" t="str">
        <f t="shared" si="131"/>
        <v>0 --&gt; RMB</v>
      </c>
      <c r="AM86" s="1060">
        <f t="shared" si="132"/>
        <v>0</v>
      </c>
      <c r="AN86" s="1061">
        <f t="shared" si="133"/>
        <v>0</v>
      </c>
      <c r="AQ86" t="str">
        <f t="shared" ref="AQ86" si="143">IF(AQ14&lt;&gt;"",AQ14,"")</f>
        <v/>
      </c>
      <c r="AR86">
        <f t="shared" si="134"/>
        <v>0</v>
      </c>
      <c r="AS86">
        <f t="shared" si="135"/>
        <v>0</v>
      </c>
    </row>
    <row r="87" spans="34:45">
      <c r="AH87">
        <f t="shared" si="136"/>
        <v>1</v>
      </c>
      <c r="AL87" s="1062" t="str">
        <f t="shared" si="131"/>
        <v>0 --&gt; RMB</v>
      </c>
      <c r="AM87" s="1060">
        <f t="shared" si="132"/>
        <v>0</v>
      </c>
      <c r="AN87" s="1061">
        <f t="shared" si="133"/>
        <v>0</v>
      </c>
      <c r="AQ87" t="str">
        <f t="shared" ref="AQ87" si="144">IF(AQ15&lt;&gt;"",AQ15,"")</f>
        <v/>
      </c>
      <c r="AR87">
        <f t="shared" si="134"/>
        <v>0</v>
      </c>
      <c r="AS87">
        <f t="shared" si="135"/>
        <v>0</v>
      </c>
    </row>
    <row r="88" spans="34:45">
      <c r="AH88">
        <f t="shared" si="136"/>
        <v>1</v>
      </c>
      <c r="AL88" s="1062" t="str">
        <f t="shared" si="131"/>
        <v>0 --&gt; RMB</v>
      </c>
      <c r="AM88" s="1060">
        <f t="shared" si="132"/>
        <v>0</v>
      </c>
      <c r="AN88" s="1061">
        <f t="shared" si="133"/>
        <v>0</v>
      </c>
      <c r="AQ88" t="str">
        <f t="shared" ref="AQ88" si="145">IF(AQ16&lt;&gt;"",AQ16,"")</f>
        <v/>
      </c>
      <c r="AR88">
        <f t="shared" si="134"/>
        <v>0</v>
      </c>
      <c r="AS88">
        <f t="shared" si="135"/>
        <v>0</v>
      </c>
    </row>
    <row r="89" spans="34:45">
      <c r="AH89">
        <f t="shared" si="136"/>
        <v>1</v>
      </c>
      <c r="AL89" s="1062" t="str">
        <f t="shared" si="131"/>
        <v>0 --&gt; RMB</v>
      </c>
      <c r="AM89" s="1060">
        <f t="shared" si="132"/>
        <v>0</v>
      </c>
      <c r="AN89" s="1061">
        <f t="shared" si="133"/>
        <v>0</v>
      </c>
      <c r="AQ89" t="str">
        <f t="shared" ref="AQ89" si="146">IF(AQ17&lt;&gt;"",AQ17,"")</f>
        <v/>
      </c>
      <c r="AR89">
        <f t="shared" si="134"/>
        <v>0</v>
      </c>
      <c r="AS89">
        <f t="shared" si="135"/>
        <v>0</v>
      </c>
    </row>
    <row r="90" spans="34:45">
      <c r="AH90">
        <f t="shared" si="136"/>
        <v>1</v>
      </c>
      <c r="AL90" s="1062" t="str">
        <f t="shared" si="131"/>
        <v>0 --&gt; RMB</v>
      </c>
      <c r="AM90" s="1060">
        <f t="shared" si="132"/>
        <v>0</v>
      </c>
      <c r="AN90" s="1061">
        <f t="shared" si="133"/>
        <v>0</v>
      </c>
      <c r="AQ90" t="str">
        <f t="shared" ref="AQ90" si="147">IF(AQ18&lt;&gt;"",AQ18,"")</f>
        <v/>
      </c>
      <c r="AR90">
        <f t="shared" si="134"/>
        <v>0</v>
      </c>
      <c r="AS90">
        <f t="shared" si="135"/>
        <v>0</v>
      </c>
    </row>
    <row r="91" spans="34:45">
      <c r="AH91">
        <f t="shared" si="136"/>
        <v>1</v>
      </c>
      <c r="AL91" s="1062" t="str">
        <f t="shared" si="131"/>
        <v>0 --&gt; RMB</v>
      </c>
      <c r="AM91" s="1060">
        <f t="shared" si="132"/>
        <v>0</v>
      </c>
      <c r="AN91" s="1061">
        <f t="shared" si="133"/>
        <v>0</v>
      </c>
      <c r="AQ91" t="str">
        <f t="shared" ref="AQ91" si="148">IF(AQ19&lt;&gt;"",AQ19,"")</f>
        <v/>
      </c>
      <c r="AR91">
        <f t="shared" si="134"/>
        <v>0</v>
      </c>
      <c r="AS91">
        <f t="shared" si="135"/>
        <v>0</v>
      </c>
    </row>
    <row r="92" spans="34:45">
      <c r="AH92">
        <f t="shared" si="136"/>
        <v>1</v>
      </c>
      <c r="AL92" s="1062" t="str">
        <f t="shared" si="131"/>
        <v>0 --&gt; RMB</v>
      </c>
      <c r="AM92" s="1060">
        <f t="shared" si="132"/>
        <v>0</v>
      </c>
      <c r="AN92" s="1061">
        <f t="shared" si="133"/>
        <v>0</v>
      </c>
      <c r="AQ92" t="str">
        <f t="shared" ref="AQ92" si="149">IF(AQ20&lt;&gt;"",AQ20,"")</f>
        <v/>
      </c>
      <c r="AR92">
        <f t="shared" si="134"/>
        <v>0</v>
      </c>
      <c r="AS92">
        <f t="shared" si="135"/>
        <v>0</v>
      </c>
    </row>
    <row r="93" spans="34:45">
      <c r="AH93">
        <f t="shared" si="136"/>
        <v>1</v>
      </c>
      <c r="AL93" s="1062" t="str">
        <f t="shared" si="131"/>
        <v>0 --&gt; RMB</v>
      </c>
      <c r="AM93" s="1060">
        <f t="shared" si="132"/>
        <v>0</v>
      </c>
      <c r="AN93" s="1061">
        <f t="shared" si="133"/>
        <v>0</v>
      </c>
      <c r="AQ93" t="str">
        <f t="shared" ref="AQ93" si="150">IF(AQ21&lt;&gt;"",AQ21,"")</f>
        <v/>
      </c>
      <c r="AR93">
        <f t="shared" si="134"/>
        <v>0</v>
      </c>
      <c r="AS93">
        <f t="shared" si="135"/>
        <v>0</v>
      </c>
    </row>
    <row r="94" spans="34:45">
      <c r="AH94">
        <f t="shared" si="136"/>
        <v>1</v>
      </c>
      <c r="AL94" s="1062" t="str">
        <f t="shared" si="131"/>
        <v>0 --&gt; RMB</v>
      </c>
      <c r="AM94" s="1060">
        <f t="shared" si="132"/>
        <v>0</v>
      </c>
      <c r="AN94" s="1061">
        <f t="shared" si="133"/>
        <v>0</v>
      </c>
      <c r="AQ94" t="str">
        <f t="shared" ref="AQ94" si="151">IF(AQ22&lt;&gt;"",AQ22,"")</f>
        <v/>
      </c>
      <c r="AR94">
        <f t="shared" si="134"/>
        <v>0</v>
      </c>
      <c r="AS94">
        <f t="shared" si="135"/>
        <v>0</v>
      </c>
    </row>
    <row r="95" spans="34:45">
      <c r="AH95">
        <f t="shared" si="136"/>
        <v>1</v>
      </c>
      <c r="AL95" s="1062" t="str">
        <f t="shared" si="131"/>
        <v>0 --&gt; RMB</v>
      </c>
      <c r="AM95" s="1060">
        <f t="shared" si="132"/>
        <v>0</v>
      </c>
      <c r="AN95" s="1061">
        <f t="shared" si="133"/>
        <v>0</v>
      </c>
      <c r="AQ95" t="str">
        <f t="shared" ref="AQ95" si="152">IF(AQ23&lt;&gt;"",AQ23,"")</f>
        <v/>
      </c>
      <c r="AR95">
        <f t="shared" si="134"/>
        <v>0</v>
      </c>
      <c r="AS95">
        <f t="shared" si="135"/>
        <v>0</v>
      </c>
    </row>
    <row r="96" spans="34:45">
      <c r="AH96">
        <f t="shared" si="136"/>
        <v>1</v>
      </c>
      <c r="AL96" s="1062" t="str">
        <f t="shared" si="131"/>
        <v>0 --&gt; RMB</v>
      </c>
      <c r="AM96" s="1060">
        <f t="shared" si="132"/>
        <v>0</v>
      </c>
      <c r="AN96" s="1061">
        <f t="shared" si="133"/>
        <v>0</v>
      </c>
      <c r="AQ96" t="str">
        <f t="shared" ref="AQ96" si="153">IF(AQ24&lt;&gt;"",AQ24,"")</f>
        <v/>
      </c>
      <c r="AR96">
        <f t="shared" si="134"/>
        <v>0</v>
      </c>
      <c r="AS96">
        <f t="shared" si="135"/>
        <v>0</v>
      </c>
    </row>
    <row r="97" spans="28:45">
      <c r="AH97">
        <f t="shared" si="136"/>
        <v>1</v>
      </c>
      <c r="AL97" s="1062" t="str">
        <f t="shared" si="131"/>
        <v>0 --&gt; RMB</v>
      </c>
      <c r="AM97" s="1060">
        <f t="shared" si="132"/>
        <v>0</v>
      </c>
      <c r="AN97" s="1061">
        <f t="shared" si="133"/>
        <v>0</v>
      </c>
      <c r="AQ97" t="str">
        <f t="shared" ref="AQ97" si="154">IF(AQ25&lt;&gt;"",AQ25,"")</f>
        <v/>
      </c>
      <c r="AR97">
        <f t="shared" si="134"/>
        <v>0</v>
      </c>
      <c r="AS97">
        <f t="shared" si="135"/>
        <v>0</v>
      </c>
    </row>
    <row r="98" spans="28:45">
      <c r="AH98">
        <f t="shared" si="136"/>
        <v>1</v>
      </c>
      <c r="AL98" s="1062" t="str">
        <f t="shared" si="131"/>
        <v>0 --&gt; RMB</v>
      </c>
      <c r="AM98" s="1060">
        <f t="shared" si="132"/>
        <v>0</v>
      </c>
      <c r="AN98" s="1061">
        <f t="shared" si="133"/>
        <v>0</v>
      </c>
      <c r="AQ98" t="str">
        <f t="shared" ref="AQ98" si="155">IF(AQ26&lt;&gt;"",AQ26,"")</f>
        <v/>
      </c>
      <c r="AR98">
        <f t="shared" si="134"/>
        <v>0</v>
      </c>
      <c r="AS98">
        <f t="shared" si="135"/>
        <v>0</v>
      </c>
    </row>
    <row r="99" spans="28:45">
      <c r="AH99">
        <f t="shared" si="136"/>
        <v>1</v>
      </c>
      <c r="AL99" s="1062" t="str">
        <f t="shared" si="131"/>
        <v>0 --&gt; RMB</v>
      </c>
      <c r="AM99" s="1060">
        <f t="shared" si="132"/>
        <v>0</v>
      </c>
      <c r="AN99" s="1061">
        <f t="shared" si="133"/>
        <v>0</v>
      </c>
      <c r="AQ99" t="str">
        <f t="shared" ref="AQ99" si="156">IF(AQ27&lt;&gt;"",AQ27,"")</f>
        <v/>
      </c>
      <c r="AR99">
        <f t="shared" si="134"/>
        <v>0</v>
      </c>
      <c r="AS99">
        <f t="shared" si="135"/>
        <v>0</v>
      </c>
    </row>
    <row r="100" spans="28:45">
      <c r="AH100">
        <f t="shared" si="136"/>
        <v>1</v>
      </c>
      <c r="AL100" s="1062" t="str">
        <f t="shared" si="131"/>
        <v>0 --&gt; RMB</v>
      </c>
      <c r="AM100" s="1060">
        <f t="shared" si="132"/>
        <v>0</v>
      </c>
      <c r="AN100" s="1061">
        <f t="shared" si="133"/>
        <v>0</v>
      </c>
      <c r="AQ100" t="str">
        <f t="shared" ref="AQ100" si="157">IF(AQ28&lt;&gt;"",AQ28,"")</f>
        <v/>
      </c>
      <c r="AR100">
        <f t="shared" si="134"/>
        <v>0</v>
      </c>
      <c r="AS100">
        <f t="shared" si="135"/>
        <v>0</v>
      </c>
    </row>
    <row r="101" spans="28:45">
      <c r="AH101">
        <f t="shared" si="136"/>
        <v>1</v>
      </c>
      <c r="AL101" s="1062" t="str">
        <f t="shared" si="131"/>
        <v>0 --&gt; RMB</v>
      </c>
      <c r="AM101" s="1060">
        <f t="shared" si="132"/>
        <v>0</v>
      </c>
      <c r="AN101" s="1061">
        <f t="shared" si="133"/>
        <v>0</v>
      </c>
      <c r="AQ101" t="str">
        <f t="shared" ref="AQ101" si="158">IF(AQ29&lt;&gt;"",AQ29,"")</f>
        <v/>
      </c>
      <c r="AR101">
        <f t="shared" si="134"/>
        <v>0</v>
      </c>
      <c r="AS101">
        <f t="shared" si="135"/>
        <v>0</v>
      </c>
    </row>
    <row r="102" spans="28:45">
      <c r="AH102">
        <f t="shared" si="136"/>
        <v>1</v>
      </c>
      <c r="AL102" s="1062" t="str">
        <f t="shared" si="131"/>
        <v>0 --&gt; RMB</v>
      </c>
      <c r="AM102" s="1060">
        <f t="shared" si="132"/>
        <v>0</v>
      </c>
      <c r="AN102" s="1061">
        <f t="shared" si="133"/>
        <v>0</v>
      </c>
      <c r="AQ102" t="str">
        <f t="shared" ref="AQ102" si="159">IF(AQ30&lt;&gt;"",AQ30,"")</f>
        <v/>
      </c>
      <c r="AR102">
        <f t="shared" si="134"/>
        <v>0</v>
      </c>
      <c r="AS102">
        <f t="shared" si="135"/>
        <v>0</v>
      </c>
    </row>
    <row r="103" spans="28:45">
      <c r="AH103">
        <f t="shared" si="136"/>
        <v>1</v>
      </c>
      <c r="AL103" s="1062" t="str">
        <f t="shared" si="131"/>
        <v>0 --&gt; RMB</v>
      </c>
      <c r="AM103" s="1060">
        <f t="shared" si="132"/>
        <v>0</v>
      </c>
      <c r="AN103" s="1061">
        <f t="shared" si="133"/>
        <v>0</v>
      </c>
      <c r="AQ103" t="str">
        <f t="shared" ref="AQ103" si="160">IF(AQ31&lt;&gt;"",AQ31,"")</f>
        <v/>
      </c>
      <c r="AR103">
        <f t="shared" si="134"/>
        <v>0</v>
      </c>
      <c r="AS103">
        <f t="shared" si="135"/>
        <v>0</v>
      </c>
    </row>
    <row r="104" spans="28:45">
      <c r="AH104">
        <f t="shared" si="136"/>
        <v>1</v>
      </c>
      <c r="AL104" s="1062" t="str">
        <f t="shared" si="131"/>
        <v>0 --&gt; RMB</v>
      </c>
      <c r="AM104" s="1060">
        <f t="shared" si="132"/>
        <v>0</v>
      </c>
      <c r="AN104" s="1061">
        <f t="shared" si="133"/>
        <v>0</v>
      </c>
      <c r="AQ104" t="str">
        <f t="shared" ref="AQ104" si="161">IF(AQ32&lt;&gt;"",AQ32,"")</f>
        <v/>
      </c>
      <c r="AR104">
        <f t="shared" si="134"/>
        <v>0</v>
      </c>
      <c r="AS104">
        <f t="shared" si="135"/>
        <v>0</v>
      </c>
    </row>
    <row r="105" spans="28:45">
      <c r="AH105">
        <f t="shared" si="136"/>
        <v>1</v>
      </c>
      <c r="AL105" s="1062" t="str">
        <f t="shared" si="131"/>
        <v>0 --&gt; RMB</v>
      </c>
      <c r="AM105" s="1060">
        <f t="shared" si="132"/>
        <v>0</v>
      </c>
      <c r="AN105" s="1061">
        <f t="shared" si="133"/>
        <v>0</v>
      </c>
      <c r="AQ105" t="str">
        <f t="shared" ref="AQ105" si="162">IF(AQ33&lt;&gt;"",AQ33,"")</f>
        <v/>
      </c>
      <c r="AR105">
        <f t="shared" si="134"/>
        <v>0</v>
      </c>
      <c r="AS105">
        <f t="shared" si="135"/>
        <v>0</v>
      </c>
    </row>
    <row r="106" spans="28:45">
      <c r="AL106" s="1063" t="str">
        <f>IF(SUM(AH78:AH105)&lt;&gt;0,"","All purchases in invoicing currency")</f>
        <v/>
      </c>
      <c r="AM106" s="1064" t="str">
        <f>IF(SUM(AH78:AH105)&lt;&gt;0,"","0")</f>
        <v/>
      </c>
      <c r="AN106" s="1065" t="str">
        <f>IF(SUM(AH78:AH105)&lt;&gt;0,"","0")</f>
        <v/>
      </c>
      <c r="AQ106" s="2" t="str">
        <f>IF(AZ6&lt;&gt;"",AZ6,"")</f>
        <v/>
      </c>
      <c r="AR106">
        <f>IF(BB6&lt;&gt;"",BB6/(1-$F$34),"")</f>
        <v>0</v>
      </c>
      <c r="AS106">
        <f t="shared" ref="AS106:AS133" si="163">IF(BH6&lt;&gt;"",BH6,"")</f>
        <v>0</v>
      </c>
    </row>
    <row r="107" spans="28:45">
      <c r="AQ107" t="str">
        <f t="shared" ref="AQ107" si="164">IF(AZ7&lt;&gt;"",AZ7,"")</f>
        <v/>
      </c>
      <c r="AR107">
        <f t="shared" ref="AR107:AR133" si="165">IF(BB7&lt;&gt;"",BB7,"")</f>
        <v>0</v>
      </c>
      <c r="AS107">
        <f t="shared" si="163"/>
        <v>0</v>
      </c>
    </row>
    <row r="108" spans="28:45">
      <c r="AQ108" t="str">
        <f t="shared" ref="AQ108" si="166">IF(AZ8&lt;&gt;"",AZ8,"")</f>
        <v/>
      </c>
      <c r="AR108">
        <f t="shared" si="165"/>
        <v>0</v>
      </c>
      <c r="AS108">
        <f t="shared" si="163"/>
        <v>0</v>
      </c>
    </row>
    <row r="109" spans="28:45">
      <c r="AQ109" t="str">
        <f t="shared" ref="AQ109" si="167">IF(AZ9&lt;&gt;"",AZ9,"")</f>
        <v/>
      </c>
      <c r="AR109">
        <f t="shared" si="165"/>
        <v>0</v>
      </c>
      <c r="AS109">
        <f t="shared" si="163"/>
        <v>0</v>
      </c>
    </row>
    <row r="110" spans="28:45">
      <c r="AB110" t="s">
        <v>307</v>
      </c>
      <c r="AQ110" t="str">
        <f t="shared" ref="AQ110" si="168">IF(AZ10&lt;&gt;"",AZ10,"")</f>
        <v/>
      </c>
      <c r="AR110">
        <f t="shared" si="165"/>
        <v>0</v>
      </c>
      <c r="AS110">
        <f t="shared" si="163"/>
        <v>0</v>
      </c>
    </row>
    <row r="111" spans="28:45">
      <c r="AQ111" t="str">
        <f t="shared" ref="AQ111" si="169">IF(AZ11&lt;&gt;"",AZ11,"")</f>
        <v/>
      </c>
      <c r="AR111">
        <f t="shared" si="165"/>
        <v>0</v>
      </c>
      <c r="AS111">
        <f t="shared" si="163"/>
        <v>0</v>
      </c>
    </row>
    <row r="112" spans="28:45">
      <c r="AQ112" t="str">
        <f t="shared" ref="AQ112" si="170">IF(AZ12&lt;&gt;"",AZ12,"")</f>
        <v/>
      </c>
      <c r="AR112">
        <f t="shared" si="165"/>
        <v>0</v>
      </c>
      <c r="AS112">
        <f t="shared" si="163"/>
        <v>0</v>
      </c>
    </row>
    <row r="113" spans="43:45">
      <c r="AQ113" t="str">
        <f t="shared" ref="AQ113" si="171">IF(AZ13&lt;&gt;"",AZ13,"")</f>
        <v/>
      </c>
      <c r="AR113">
        <f t="shared" si="165"/>
        <v>0</v>
      </c>
      <c r="AS113">
        <f t="shared" si="163"/>
        <v>0</v>
      </c>
    </row>
    <row r="114" spans="43:45">
      <c r="AQ114" t="str">
        <f t="shared" ref="AQ114" si="172">IF(AZ14&lt;&gt;"",AZ14,"")</f>
        <v/>
      </c>
      <c r="AR114">
        <f t="shared" si="165"/>
        <v>0</v>
      </c>
      <c r="AS114">
        <f t="shared" si="163"/>
        <v>0</v>
      </c>
    </row>
    <row r="115" spans="43:45">
      <c r="AQ115" t="str">
        <f t="shared" ref="AQ115" si="173">IF(AZ15&lt;&gt;"",AZ15,"")</f>
        <v/>
      </c>
      <c r="AR115">
        <f t="shared" si="165"/>
        <v>0</v>
      </c>
      <c r="AS115">
        <f t="shared" si="163"/>
        <v>0</v>
      </c>
    </row>
    <row r="116" spans="43:45">
      <c r="AQ116" t="str">
        <f t="shared" ref="AQ116" si="174">IF(AZ16&lt;&gt;"",AZ16,"")</f>
        <v/>
      </c>
      <c r="AR116">
        <f t="shared" si="165"/>
        <v>0</v>
      </c>
      <c r="AS116">
        <f t="shared" si="163"/>
        <v>0</v>
      </c>
    </row>
    <row r="117" spans="43:45">
      <c r="AQ117" t="str">
        <f t="shared" ref="AQ117" si="175">IF(AZ17&lt;&gt;"",AZ17,"")</f>
        <v/>
      </c>
      <c r="AR117">
        <f t="shared" si="165"/>
        <v>0</v>
      </c>
      <c r="AS117">
        <f t="shared" si="163"/>
        <v>0</v>
      </c>
    </row>
    <row r="118" spans="43:45">
      <c r="AQ118" t="str">
        <f t="shared" ref="AQ118" si="176">IF(AZ18&lt;&gt;"",AZ18,"")</f>
        <v/>
      </c>
      <c r="AR118">
        <f t="shared" si="165"/>
        <v>0</v>
      </c>
      <c r="AS118">
        <f t="shared" si="163"/>
        <v>0</v>
      </c>
    </row>
    <row r="119" spans="43:45">
      <c r="AQ119" t="str">
        <f t="shared" ref="AQ119" si="177">IF(AZ19&lt;&gt;"",AZ19,"")</f>
        <v/>
      </c>
      <c r="AR119">
        <f t="shared" si="165"/>
        <v>0</v>
      </c>
      <c r="AS119">
        <f t="shared" si="163"/>
        <v>0</v>
      </c>
    </row>
    <row r="120" spans="43:45">
      <c r="AQ120" t="str">
        <f t="shared" ref="AQ120" si="178">IF(AZ20&lt;&gt;"",AZ20,"")</f>
        <v/>
      </c>
      <c r="AR120">
        <f t="shared" si="165"/>
        <v>0</v>
      </c>
      <c r="AS120">
        <f t="shared" si="163"/>
        <v>0</v>
      </c>
    </row>
    <row r="121" spans="43:45">
      <c r="AQ121" t="str">
        <f t="shared" ref="AQ121" si="179">IF(AZ21&lt;&gt;"",AZ21,"")</f>
        <v/>
      </c>
      <c r="AR121">
        <f t="shared" si="165"/>
        <v>0</v>
      </c>
      <c r="AS121">
        <f t="shared" si="163"/>
        <v>0</v>
      </c>
    </row>
    <row r="122" spans="43:45">
      <c r="AQ122" t="str">
        <f t="shared" ref="AQ122" si="180">IF(AZ22&lt;&gt;"",AZ22,"")</f>
        <v/>
      </c>
      <c r="AR122">
        <f t="shared" si="165"/>
        <v>0</v>
      </c>
      <c r="AS122">
        <f t="shared" si="163"/>
        <v>0</v>
      </c>
    </row>
    <row r="123" spans="43:45">
      <c r="AQ123" t="str">
        <f t="shared" ref="AQ123" si="181">IF(AZ23&lt;&gt;"",AZ23,"")</f>
        <v/>
      </c>
      <c r="AR123">
        <f t="shared" si="165"/>
        <v>0</v>
      </c>
      <c r="AS123">
        <f t="shared" si="163"/>
        <v>0</v>
      </c>
    </row>
    <row r="124" spans="43:45">
      <c r="AQ124" t="str">
        <f t="shared" ref="AQ124" si="182">IF(AZ24&lt;&gt;"",AZ24,"")</f>
        <v/>
      </c>
      <c r="AR124">
        <f t="shared" si="165"/>
        <v>0</v>
      </c>
      <c r="AS124">
        <f t="shared" si="163"/>
        <v>0</v>
      </c>
    </row>
    <row r="125" spans="43:45">
      <c r="AQ125" t="str">
        <f t="shared" ref="AQ125" si="183">IF(AZ25&lt;&gt;"",AZ25,"")</f>
        <v/>
      </c>
      <c r="AR125">
        <f t="shared" si="165"/>
        <v>0</v>
      </c>
      <c r="AS125">
        <f t="shared" si="163"/>
        <v>0</v>
      </c>
    </row>
    <row r="126" spans="43:45">
      <c r="AQ126" t="str">
        <f t="shared" ref="AQ126" si="184">IF(AZ26&lt;&gt;"",AZ26,"")</f>
        <v/>
      </c>
      <c r="AR126">
        <f t="shared" si="165"/>
        <v>0</v>
      </c>
      <c r="AS126">
        <f t="shared" si="163"/>
        <v>0</v>
      </c>
    </row>
    <row r="127" spans="43:45">
      <c r="AQ127" t="str">
        <f t="shared" ref="AQ127" si="185">IF(AZ27&lt;&gt;"",AZ27,"")</f>
        <v/>
      </c>
      <c r="AR127">
        <f t="shared" si="165"/>
        <v>0</v>
      </c>
      <c r="AS127">
        <f t="shared" si="163"/>
        <v>0</v>
      </c>
    </row>
    <row r="128" spans="43:45">
      <c r="AQ128" t="str">
        <f t="shared" ref="AQ128" si="186">IF(AZ28&lt;&gt;"",AZ28,"")</f>
        <v/>
      </c>
      <c r="AR128">
        <f t="shared" si="165"/>
        <v>0</v>
      </c>
      <c r="AS128">
        <f t="shared" si="163"/>
        <v>0</v>
      </c>
    </row>
    <row r="129" spans="43:45">
      <c r="AQ129" t="str">
        <f t="shared" ref="AQ129" si="187">IF(AZ29&lt;&gt;"",AZ29,"")</f>
        <v/>
      </c>
      <c r="AR129">
        <f t="shared" si="165"/>
        <v>0</v>
      </c>
      <c r="AS129">
        <f t="shared" si="163"/>
        <v>0</v>
      </c>
    </row>
    <row r="130" spans="43:45">
      <c r="AQ130" t="str">
        <f t="shared" ref="AQ130" si="188">IF(AZ30&lt;&gt;"",AZ30,"")</f>
        <v/>
      </c>
      <c r="AR130">
        <f t="shared" si="165"/>
        <v>0</v>
      </c>
      <c r="AS130">
        <f t="shared" si="163"/>
        <v>0</v>
      </c>
    </row>
    <row r="131" spans="43:45">
      <c r="AQ131" t="str">
        <f t="shared" ref="AQ131" si="189">IF(AZ31&lt;&gt;"",AZ31,"")</f>
        <v/>
      </c>
      <c r="AR131">
        <f t="shared" si="165"/>
        <v>0</v>
      </c>
      <c r="AS131">
        <f t="shared" si="163"/>
        <v>0</v>
      </c>
    </row>
    <row r="132" spans="43:45">
      <c r="AQ132" t="str">
        <f t="shared" ref="AQ132" si="190">IF(AZ32&lt;&gt;"",AZ32,"")</f>
        <v/>
      </c>
      <c r="AR132">
        <f t="shared" si="165"/>
        <v>0</v>
      </c>
      <c r="AS132">
        <f t="shared" si="163"/>
        <v>0</v>
      </c>
    </row>
    <row r="133" spans="43:45">
      <c r="AQ133" t="str">
        <f t="shared" ref="AQ133" si="191">IF(AZ33&lt;&gt;"",AZ33,"")</f>
        <v/>
      </c>
      <c r="AR133">
        <f t="shared" si="165"/>
        <v>0</v>
      </c>
      <c r="AS133">
        <f t="shared" si="163"/>
        <v>0</v>
      </c>
    </row>
  </sheetData>
  <dataConsolidate/>
  <mergeCells count="49">
    <mergeCell ref="L1:N1"/>
    <mergeCell ref="AO4:AO5"/>
    <mergeCell ref="AA4:AA5"/>
    <mergeCell ref="AC4:AC5"/>
    <mergeCell ref="AD4:AD5"/>
    <mergeCell ref="AE4:AE5"/>
    <mergeCell ref="AF4:AF5"/>
    <mergeCell ref="AH4:AH5"/>
    <mergeCell ref="AM4:AM5"/>
    <mergeCell ref="AL4:AL5"/>
    <mergeCell ref="AN4:AN5"/>
    <mergeCell ref="AG4:AG5"/>
    <mergeCell ref="AK4:AK5"/>
    <mergeCell ref="R4:R5"/>
    <mergeCell ref="Y4:Y5"/>
    <mergeCell ref="V4:X4"/>
    <mergeCell ref="C4:C5"/>
    <mergeCell ref="J4:J5"/>
    <mergeCell ref="K4:K5"/>
    <mergeCell ref="Q4:Q5"/>
    <mergeCell ref="F4:I4"/>
    <mergeCell ref="Z4:Z5"/>
    <mergeCell ref="M4:M5"/>
    <mergeCell ref="AQ4:AQ5"/>
    <mergeCell ref="AR4:AR5"/>
    <mergeCell ref="DH2:DM2"/>
    <mergeCell ref="C3:O3"/>
    <mergeCell ref="AA3:AF3"/>
    <mergeCell ref="AG3:AP3"/>
    <mergeCell ref="Q3:Z3"/>
    <mergeCell ref="L4:L5"/>
    <mergeCell ref="N4:N5"/>
    <mergeCell ref="O4:O5"/>
    <mergeCell ref="D4:D5"/>
    <mergeCell ref="DA2:DF2"/>
    <mergeCell ref="AQ3:BH3"/>
    <mergeCell ref="AP4:AP5"/>
    <mergeCell ref="AS4:AS5"/>
    <mergeCell ref="AT4:AT5"/>
    <mergeCell ref="AU4:AU5"/>
    <mergeCell ref="AX4:AX5"/>
    <mergeCell ref="AY4:AY5"/>
    <mergeCell ref="BG4:BG5"/>
    <mergeCell ref="BH4:BH5"/>
    <mergeCell ref="AZ4:AZ5"/>
    <mergeCell ref="BA4:BA5"/>
    <mergeCell ref="BB4:BB5"/>
    <mergeCell ref="BC4:BC5"/>
    <mergeCell ref="BD4:BD5"/>
  </mergeCells>
  <phoneticPr fontId="12" type="noConversion"/>
  <conditionalFormatting sqref="B6:B34">
    <cfRule type="colorScale" priority="6">
      <colorScale>
        <cfvo type="min"/>
        <cfvo type="percentile" val="50"/>
        <cfvo type="max"/>
        <color rgb="FF63BE7B"/>
        <color rgb="FFFCFCFF"/>
        <color rgb="FFF8696B"/>
      </colorScale>
    </cfRule>
  </conditionalFormatting>
  <conditionalFormatting sqref="B4">
    <cfRule type="cellIs" dxfId="195" priority="3" operator="greaterThan">
      <formula>0.75</formula>
    </cfRule>
    <cfRule type="cellIs" dxfId="194" priority="4" operator="between">
      <formula>0.65</formula>
      <formula>0.75</formula>
    </cfRule>
    <cfRule type="cellIs" dxfId="193" priority="5" operator="between">
      <formula>0</formula>
      <formula>0.65</formula>
    </cfRule>
  </conditionalFormatting>
  <conditionalFormatting sqref="P6:P33">
    <cfRule type="cellIs" dxfId="192" priority="2" operator="equal">
      <formula>"NOK"</formula>
    </cfRule>
  </conditionalFormatting>
  <conditionalFormatting sqref="J6:J33">
    <cfRule type="cellIs" dxfId="191" priority="1" operator="equal">
      <formula>"New Supplier"</formula>
    </cfRule>
  </conditionalFormatting>
  <dataValidations count="8">
    <dataValidation type="list" allowBlank="1" showInputMessage="1" showErrorMessage="1" sqref="AL6:AL33 N6:N33" xr:uid="{B1C3C0F5-A421-45B1-BF17-CC6FF117C436}">
      <formula1>"YES,NO"</formula1>
    </dataValidation>
    <dataValidation type="list" allowBlank="1" showInputMessage="1" showErrorMessage="1" sqref="O6:O33" xr:uid="{9D57410A-22F0-4B04-8FD5-68C16EA89D39}">
      <formula1>"Offer,Estimated"</formula1>
    </dataValidation>
    <dataValidation type="list" allowBlank="1" showInputMessage="1" showErrorMessage="1" sqref="AC6:AC34" xr:uid="{B6FF4559-D0F2-43A9-B217-DF10227E5D25}">
      <formula1>"ExWorks,DDP"</formula1>
    </dataValidation>
    <dataValidation type="list" allowBlank="1" showInputMessage="1" showErrorMessage="1" sqref="AP6:AP34" xr:uid="{86A79E82-2878-40D9-8F9F-815DD42E4C68}">
      <formula1>"AVOCarbon,Customer"</formula1>
    </dataValidation>
    <dataValidation allowBlank="1" showInputMessage="1" showErrorMessage="1" sqref="AO7:AO34" xr:uid="{5CAC114D-9FB6-48C1-94C3-63E4596EB610}"/>
    <dataValidation type="list" allowBlank="1" showInputMessage="1" showErrorMessage="1" sqref="I6:I33" xr:uid="{E6BEA85B-14BB-4968-8F0B-B390744DC3CD}">
      <formula1>"U,m,Kg,l"</formula1>
    </dataValidation>
    <dataValidation type="list" allowBlank="1" showInputMessage="1" showErrorMessage="1" sqref="L6:L33" xr:uid="{AA0DA4E9-5429-4DA3-B86A-2345B1CFB1D8}">
      <formula1>"Int.,Ext."</formula1>
    </dataValidation>
    <dataValidation type="list" allowBlank="1" showInputMessage="1" showErrorMessage="1" sqref="P6:P33" xr:uid="{531C998F-B430-49C7-B786-6878A1C9FB7C}">
      <formula1>"OK,NOK"</formula1>
    </dataValidation>
  </dataValidations>
  <pageMargins left="0.7" right="0.7" top="0.75" bottom="0.75" header="0.3" footer="0.3"/>
  <pageSetup paperSize="9" scale="23" fitToWidth="0" orientation="landscape" horizontalDpi="300" verticalDpi="300" r:id="rId1"/>
  <colBreaks count="1" manualBreakCount="1">
    <brk id="26" max="34" man="1"/>
  </colBreaks>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18D43E8C-E995-4A8C-A488-6A7A92D77A05}">
          <x14:formula1>
            <xm:f>'Financials Parameters'!$C$18:$H$18</xm:f>
          </x14:formula1>
          <xm:sqref>AA6:AA34</xm:sqref>
        </x14:dataValidation>
        <x14:dataValidation type="list" allowBlank="1" showInputMessage="1" showErrorMessage="1" xr:uid="{50085130-FF75-409B-A0D5-95F7B650903B}">
          <x14:formula1>
            <xm:f>'Financials Parameters'!$J$19:$J$23</xm:f>
          </x14:formula1>
          <xm:sqref>AU6:AU33 AL34 AH6:AH34 AP34 BF6:BF33 BD6:BD33 AW6:AW33 R6:R34</xm:sqref>
        </x14:dataValidation>
        <x14:dataValidation type="list" allowBlank="1" showInputMessage="1" showErrorMessage="1" xr:uid="{6D478363-A05A-48E3-9C0D-E3BBE2A35720}">
          <x14:formula1>
            <xm:f>'Financials Parameters'!$G$29:$G$36</xm:f>
          </x14:formula1>
          <xm:sqref>J6:J33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B5067-CFA0-4BF2-BC56-7E9B6BBCEA9D}">
  <sheetPr codeName="Feuil8"/>
  <dimension ref="A1:R22"/>
  <sheetViews>
    <sheetView workbookViewId="0">
      <selection activeCell="F21" sqref="F21"/>
    </sheetView>
  </sheetViews>
  <sheetFormatPr baseColWidth="10" defaultColWidth="11.44140625" defaultRowHeight="14.4"/>
  <cols>
    <col min="2" max="2" width="17.44140625" customWidth="1"/>
    <col min="3" max="3" width="13.77734375" customWidth="1"/>
    <col min="7" max="7" width="20.109375" customWidth="1"/>
  </cols>
  <sheetData>
    <row r="1" spans="1:18" ht="16.2" thickBot="1">
      <c r="A1" s="2384" t="s">
        <v>308</v>
      </c>
      <c r="B1" s="2385"/>
      <c r="C1" s="2385"/>
      <c r="D1" s="2385"/>
      <c r="E1" s="2385"/>
      <c r="F1" s="2385"/>
      <c r="G1" s="2385"/>
      <c r="H1" s="2385"/>
      <c r="I1" s="2385"/>
      <c r="J1" s="2385"/>
      <c r="K1" s="2385"/>
      <c r="L1" s="2385"/>
      <c r="M1" s="2385"/>
      <c r="N1" s="2385"/>
      <c r="O1" s="2385"/>
      <c r="P1" s="2386"/>
    </row>
    <row r="2" spans="1:18" ht="15.6">
      <c r="A2" s="234" t="s">
        <v>309</v>
      </c>
      <c r="B2" s="228"/>
      <c r="C2" s="228"/>
      <c r="D2" s="228"/>
      <c r="E2" s="228"/>
      <c r="F2" s="228"/>
      <c r="G2" s="228"/>
      <c r="H2" s="228"/>
      <c r="I2" s="228"/>
      <c r="J2" s="228"/>
      <c r="K2" s="228"/>
      <c r="L2" s="228"/>
      <c r="M2" s="228"/>
      <c r="N2" s="228"/>
      <c r="O2" s="228"/>
      <c r="P2" s="229"/>
    </row>
    <row r="3" spans="1:18" ht="15.6">
      <c r="A3" s="231"/>
      <c r="B3" s="227"/>
      <c r="C3" s="227"/>
      <c r="D3" s="227"/>
      <c r="E3" s="227"/>
      <c r="F3" s="227"/>
      <c r="G3" s="227"/>
      <c r="H3" s="227"/>
      <c r="I3" s="227"/>
      <c r="J3" s="227"/>
      <c r="K3" s="227"/>
      <c r="L3" s="227"/>
      <c r="M3" s="227"/>
      <c r="N3" s="227"/>
      <c r="O3" s="227"/>
      <c r="P3" s="232"/>
    </row>
    <row r="4" spans="1:18">
      <c r="A4" s="6" t="s">
        <v>310</v>
      </c>
      <c r="C4" s="55">
        <f>+SUM('Material Cost '!B6:B34)</f>
        <v>0.47008564116821899</v>
      </c>
      <c r="D4" t="str">
        <f>+'Material Cost '!S11</f>
        <v>RMB</v>
      </c>
      <c r="E4" t="s">
        <v>311</v>
      </c>
      <c r="F4" s="140" t="e">
        <f>+C4/'RFQ Data'!C35</f>
        <v>#DIV/0!</v>
      </c>
      <c r="G4" t="s">
        <v>312</v>
      </c>
      <c r="L4" t="str">
        <f>+'RFQ Data'!I12</f>
        <v>Chokes - Fuse chokes</v>
      </c>
      <c r="O4" t="s">
        <v>313</v>
      </c>
      <c r="P4" s="141">
        <f>+_xlfn.XLOOKUP(L4,'PL Parameters'!$D$5:$D$53,'PL Parameters'!$AV$5:$AV$53)</f>
        <v>0.25</v>
      </c>
    </row>
    <row r="5" spans="1:18">
      <c r="A5" s="6" t="s">
        <v>314</v>
      </c>
      <c r="D5">
        <f>+P4*'RFQ Data'!C35</f>
        <v>0</v>
      </c>
      <c r="E5" t="str">
        <f>+'RFQ Data'!H16</f>
        <v>RMB</v>
      </c>
      <c r="F5" t="s">
        <v>315</v>
      </c>
      <c r="J5" s="55">
        <f>+C4-D5</f>
        <v>0.47008564116821899</v>
      </c>
      <c r="K5" t="str">
        <f>+E5</f>
        <v>RMB</v>
      </c>
      <c r="P5" s="7"/>
    </row>
    <row r="6" spans="1:18">
      <c r="A6" s="6"/>
      <c r="K6" s="55"/>
      <c r="P6" s="7"/>
    </row>
    <row r="7" spans="1:18">
      <c r="A7" s="55">
        <f>+SUMIF('Material Cost '!$O$6:$O$33,"Estimated",'Material Cost '!$B$6:$B$33)</f>
        <v>2.9840999999999996E-2</v>
      </c>
      <c r="B7" t="str">
        <f>+D4</f>
        <v>RMB</v>
      </c>
      <c r="C7" t="s">
        <v>316</v>
      </c>
      <c r="F7" s="140">
        <f>+A7/C4</f>
        <v>6.3479922351683718E-2</v>
      </c>
      <c r="G7" t="s">
        <v>317</v>
      </c>
      <c r="K7" s="55"/>
      <c r="P7" s="7"/>
    </row>
    <row r="8" spans="1:18">
      <c r="A8" s="55">
        <f>+SUMIF('Material Cost '!$L$6:$L$33,"Ext",'Material Cost '!$B$6:$B$33)</f>
        <v>0</v>
      </c>
      <c r="B8" t="str">
        <f>+B7</f>
        <v>RMB</v>
      </c>
      <c r="C8" t="s">
        <v>318</v>
      </c>
      <c r="F8" s="247">
        <f>+C4-A8</f>
        <v>0.47008564116821899</v>
      </c>
      <c r="G8" t="str">
        <f>+E5</f>
        <v>RMB</v>
      </c>
      <c r="H8" t="s">
        <v>319</v>
      </c>
      <c r="J8" s="140">
        <f>+F8/C4</f>
        <v>1</v>
      </c>
      <c r="K8" s="55"/>
      <c r="P8" s="7"/>
    </row>
    <row r="9" spans="1:18" ht="15" thickBot="1">
      <c r="A9" s="10"/>
      <c r="B9" s="11"/>
      <c r="C9" s="230"/>
      <c r="D9" s="11"/>
      <c r="E9" s="11"/>
      <c r="F9" s="142"/>
      <c r="G9" s="11"/>
      <c r="H9" s="11"/>
      <c r="I9" s="11"/>
      <c r="J9" s="11"/>
      <c r="K9" s="11"/>
      <c r="L9" s="11"/>
      <c r="M9" s="11"/>
      <c r="N9" s="11"/>
      <c r="O9" s="11"/>
      <c r="P9" s="12"/>
    </row>
    <row r="10" spans="1:18" ht="15.6">
      <c r="A10" s="234" t="s">
        <v>320</v>
      </c>
      <c r="B10" s="4"/>
      <c r="C10" s="235"/>
      <c r="D10" s="4"/>
      <c r="E10" s="4"/>
      <c r="F10" s="138"/>
      <c r="G10" s="4"/>
      <c r="H10" s="4"/>
      <c r="I10" s="4"/>
      <c r="J10" s="4"/>
      <c r="K10" s="4"/>
      <c r="L10" s="4"/>
      <c r="M10" s="4"/>
      <c r="N10" s="4"/>
      <c r="O10" s="4"/>
      <c r="P10" s="5"/>
    </row>
    <row r="11" spans="1:18">
      <c r="A11" s="6"/>
      <c r="C11" s="233"/>
      <c r="F11" s="140"/>
      <c r="P11" s="7"/>
    </row>
    <row r="12" spans="1:18">
      <c r="A12" s="6" t="s">
        <v>321</v>
      </c>
      <c r="C12" s="55"/>
      <c r="E12" s="140">
        <f>1-_xlfn.XLOOKUP(L4,'PL Parameters'!$D$5:$D$53,'PL Parameters'!$AW$5:$AW$53)</f>
        <v>0.8</v>
      </c>
      <c r="F12" s="140" t="s">
        <v>322</v>
      </c>
      <c r="H12">
        <f>'RFQ Data'!I14</f>
        <v>0</v>
      </c>
      <c r="I12" t="s">
        <v>323</v>
      </c>
      <c r="J12" s="236">
        <f>+SUMIF(_xlfn.ANCHORARRAY(G15),H12,I15:I20)</f>
        <v>0</v>
      </c>
      <c r="K12" t="s">
        <v>324</v>
      </c>
      <c r="P12" s="7"/>
    </row>
    <row r="13" spans="1:18" ht="15" thickBot="1">
      <c r="A13" s="6"/>
      <c r="P13" s="7"/>
    </row>
    <row r="14" spans="1:18" s="14" customFormat="1" ht="28.8">
      <c r="A14" s="238" t="s">
        <v>325</v>
      </c>
      <c r="B14" s="1057" t="s">
        <v>326</v>
      </c>
      <c r="C14" s="1058"/>
      <c r="D14" s="1058" t="s">
        <v>327</v>
      </c>
      <c r="E14" s="239" t="s">
        <v>328</v>
      </c>
      <c r="G14" s="238" t="s">
        <v>329</v>
      </c>
      <c r="H14" s="1057" t="s">
        <v>326</v>
      </c>
      <c r="I14" s="239" t="s">
        <v>330</v>
      </c>
      <c r="P14" s="240"/>
      <c r="R14" s="240"/>
    </row>
    <row r="15" spans="1:18">
      <c r="A15" s="25" t="str">
        <f>+'Financials Parameters'!J19</f>
        <v>EUR</v>
      </c>
      <c r="B15" s="33">
        <f>+SUMIF('Material Cost '!$R$6:$R$34,'Material analysis '!A15,'Material Cost '!$B$6:$B$34)</f>
        <v>0</v>
      </c>
      <c r="C15" s="237" t="str">
        <f>+'RFQ Data'!$H$16&amp;A15</f>
        <v>RMBEUR</v>
      </c>
      <c r="D15" s="172">
        <f>+SUMIF('Financials Parameters'!$D$29:$D$53,C15,'Financials Parameters'!$E$29:$E$53)</f>
        <v>0.12855288022728148</v>
      </c>
      <c r="E15" s="31">
        <f>+B15/$B$20</f>
        <v>0</v>
      </c>
      <c r="G15" s="25" t="str" cm="1">
        <f t="array" ref="G15:G20">+TRANSPOSE('Financials Parameters'!C18:H18)</f>
        <v>China + South pacific</v>
      </c>
      <c r="H15" s="33">
        <f>+SUMIF('Material Cost '!$AA$6:$AA$34,'Material analysis '!G15,'Material Cost '!$B$6:$B$34)</f>
        <v>0.4645115031306512</v>
      </c>
      <c r="I15" s="31">
        <f>+H15/$H$21</f>
        <v>1</v>
      </c>
      <c r="P15" s="7"/>
      <c r="R15" s="7"/>
    </row>
    <row r="16" spans="1:18">
      <c r="A16" s="25" t="str">
        <f>+'Financials Parameters'!J20</f>
        <v>USD</v>
      </c>
      <c r="B16" s="33">
        <f>+SUMIF('Material Cost '!$R$6:$R$34,'Material analysis '!A16,'Material Cost '!$B$6:$B$34)</f>
        <v>0</v>
      </c>
      <c r="C16" s="237" t="str">
        <f>+'RFQ Data'!$H$16&amp;A16</f>
        <v>RMBUSD</v>
      </c>
      <c r="D16" s="172">
        <f>+SUMIF('Financials Parameters'!$D$29:$D$53,C16,'Financials Parameters'!$E$29:$E$53)</f>
        <v>0.13931275630230494</v>
      </c>
      <c r="E16" s="31">
        <f t="shared" ref="E16:E20" si="0">+B16/$B$20</f>
        <v>0</v>
      </c>
      <c r="G16" s="25" t="str">
        <v>Korea / Japan</v>
      </c>
      <c r="H16" s="33">
        <f>+SUMIF('Material Cost '!$AA$6:$AA$34,'Material analysis '!G16,'Material Cost '!$B$6:$B$34)</f>
        <v>0</v>
      </c>
      <c r="I16" s="31">
        <f t="shared" ref="I16:I21" si="1">+H16/$H$21</f>
        <v>0</v>
      </c>
      <c r="P16" s="7"/>
      <c r="R16" s="7"/>
    </row>
    <row r="17" spans="1:18">
      <c r="A17" s="25" t="str">
        <f>+'Financials Parameters'!J21</f>
        <v>INR</v>
      </c>
      <c r="B17" s="33">
        <f>+SUMIF('Material Cost '!$R$6:$R$34,'Material analysis '!A17,'Material Cost '!$B$6:$B$34)</f>
        <v>0</v>
      </c>
      <c r="C17" s="237" t="str">
        <f>+'RFQ Data'!$H$16&amp;A17</f>
        <v>RMBINR</v>
      </c>
      <c r="D17" s="172">
        <f>+SUMIF('Financials Parameters'!$D$29:$D$53,C17,'Financials Parameters'!$E$29:$E$53)</f>
        <v>11.569887773335561</v>
      </c>
      <c r="E17" s="31">
        <f t="shared" si="0"/>
        <v>0</v>
      </c>
      <c r="G17" s="25" t="str">
        <v>Europe</v>
      </c>
      <c r="H17" s="33">
        <f>+SUMIF('Material Cost '!$AA$6:$AA$34,'Material analysis '!G17,'Material Cost '!$B$6:$B$34)</f>
        <v>0</v>
      </c>
      <c r="I17" s="31">
        <f t="shared" si="1"/>
        <v>0</v>
      </c>
      <c r="P17" s="7"/>
      <c r="R17" s="7"/>
    </row>
    <row r="18" spans="1:18">
      <c r="A18" s="25" t="str">
        <f>+'Financials Parameters'!J22</f>
        <v>RMB</v>
      </c>
      <c r="B18" s="33">
        <f>+SUMIF('Material Cost '!$R$6:$R$34,'Material analysis '!A18,'Material Cost '!$B$6:$B$34)</f>
        <v>0.47008564116821899</v>
      </c>
      <c r="C18" s="237" t="str">
        <f>+'RFQ Data'!$H$16&amp;A18</f>
        <v>RMBRMB</v>
      </c>
      <c r="D18" s="172">
        <f>+SUMIF('Financials Parameters'!$D$29:$D$53,C18,'Financials Parameters'!$E$29:$E$53)</f>
        <v>0.99999999999999989</v>
      </c>
      <c r="E18" s="31">
        <f t="shared" si="0"/>
        <v>1</v>
      </c>
      <c r="G18" s="25" t="str">
        <v>India</v>
      </c>
      <c r="H18" s="33">
        <f>+SUMIF('Material Cost '!$AA$6:$AA$34,'Material analysis '!G18,'Material Cost '!$B$6:$B$34)</f>
        <v>0</v>
      </c>
      <c r="I18" s="31">
        <f t="shared" si="1"/>
        <v>0</v>
      </c>
      <c r="P18" s="7"/>
      <c r="R18" s="7"/>
    </row>
    <row r="19" spans="1:18">
      <c r="A19" s="25" t="str">
        <f>+'Financials Parameters'!J23</f>
        <v>KWON</v>
      </c>
      <c r="B19" s="33">
        <f>+SUMIF('Material Cost '!$R$6:$R$34,'Material analysis '!A19,'Material Cost '!$B$6:$B$34)</f>
        <v>0</v>
      </c>
      <c r="C19" s="237" t="str">
        <f>+'RFQ Data'!$H$16&amp;A19</f>
        <v>RMBKWON</v>
      </c>
      <c r="D19" s="172">
        <f>+SUMIF('Financials Parameters'!$D$29:$D$53,C19,'Financials Parameters'!$E$29:$E$53)</f>
        <v>185.71134736273765</v>
      </c>
      <c r="E19" s="31">
        <f t="shared" si="0"/>
        <v>0</v>
      </c>
      <c r="G19" s="25" t="str">
        <v xml:space="preserve">North America </v>
      </c>
      <c r="H19" s="33">
        <f>+SUMIF('Material Cost '!$AA$6:$AA$34,'Material analysis '!G19,'Material Cost '!$B$6:$B$34)</f>
        <v>0</v>
      </c>
      <c r="I19" s="31">
        <f t="shared" si="1"/>
        <v>0</v>
      </c>
      <c r="P19" s="7"/>
      <c r="R19" s="7"/>
    </row>
    <row r="20" spans="1:18" ht="15" thickBot="1">
      <c r="A20" s="36" t="s">
        <v>331</v>
      </c>
      <c r="B20" s="54">
        <f>+SUM(B15:B19)</f>
        <v>0.47008564116821899</v>
      </c>
      <c r="C20" s="1281" t="str">
        <f>+A20&amp;'RFQ Data'!$H$16</f>
        <v>Total RMB</v>
      </c>
      <c r="D20" s="1282">
        <f>+SUMIF('Financials Parameters'!$D$29:$D$53,C20,'Financials Parameters'!$E$29:$E$53)</f>
        <v>0</v>
      </c>
      <c r="E20" s="40">
        <f t="shared" si="0"/>
        <v>1</v>
      </c>
      <c r="G20" s="25" t="str">
        <v xml:space="preserve">South America </v>
      </c>
      <c r="H20" s="33">
        <f>+SUMIF('Material Cost '!$AA$6:$AA$34,'Material analysis '!G20,'Material Cost '!$B$6:$B$34)</f>
        <v>0</v>
      </c>
      <c r="I20" s="31">
        <f t="shared" si="1"/>
        <v>0</v>
      </c>
      <c r="P20" s="7"/>
      <c r="R20" s="7"/>
    </row>
    <row r="21" spans="1:18" ht="15" thickBot="1">
      <c r="A21" s="6"/>
      <c r="G21" s="36" t="s">
        <v>296</v>
      </c>
      <c r="H21" s="54">
        <f>SUM(H15:H20)</f>
        <v>0.4645115031306512</v>
      </c>
      <c r="I21" s="40">
        <f t="shared" si="1"/>
        <v>1</v>
      </c>
      <c r="P21" s="7"/>
      <c r="R21" s="7"/>
    </row>
    <row r="22" spans="1:18" ht="15" thickBot="1">
      <c r="A22" s="10"/>
      <c r="B22" s="11"/>
      <c r="C22" s="11"/>
      <c r="D22" s="11"/>
      <c r="E22" s="11"/>
      <c r="F22" s="11"/>
      <c r="G22" s="11"/>
      <c r="H22" s="11"/>
      <c r="I22" s="11"/>
      <c r="J22" s="11"/>
      <c r="K22" s="11"/>
      <c r="L22" s="11"/>
      <c r="M22" s="11"/>
      <c r="N22" s="11"/>
      <c r="O22" s="11"/>
      <c r="P22" s="12"/>
    </row>
  </sheetData>
  <mergeCells count="1">
    <mergeCell ref="A1:P1"/>
  </mergeCells>
  <phoneticPr fontId="67" type="noConversion"/>
  <conditionalFormatting sqref="J12">
    <cfRule type="cellIs" dxfId="189" priority="1" operator="lessThan">
      <formula>$E$12</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150D-7688-4D56-B253-D94BA13B7F4E}">
  <sheetPr codeName="Feuil4">
    <tabColor rgb="FF00B0F0"/>
  </sheetPr>
  <dimension ref="A1:DR81"/>
  <sheetViews>
    <sheetView zoomScale="80" zoomScaleNormal="80" workbookViewId="0">
      <pane xSplit="7" ySplit="3" topLeftCell="H4" activePane="bottomRight" state="frozen"/>
      <selection pane="topRight" activeCell="I26" sqref="I26"/>
      <selection pane="bottomLeft" activeCell="I26" sqref="I26"/>
      <selection pane="bottomRight" activeCell="R7" sqref="R7"/>
    </sheetView>
  </sheetViews>
  <sheetFormatPr baseColWidth="10" defaultColWidth="11.44140625" defaultRowHeight="14.4"/>
  <cols>
    <col min="1" max="1" width="12.21875" customWidth="1"/>
    <col min="2" max="2" width="8" customWidth="1"/>
    <col min="3" max="5" width="8" hidden="1" customWidth="1"/>
    <col min="6" max="6" width="9.109375" customWidth="1"/>
    <col min="7" max="7" width="43.77734375" customWidth="1"/>
    <col min="8" max="10" width="9.109375" customWidth="1"/>
    <col min="11" max="11" width="8.109375" customWidth="1"/>
    <col min="12" max="12" width="9.6640625" customWidth="1"/>
    <col min="13" max="13" width="9.109375" customWidth="1"/>
    <col min="14" max="14" width="9.109375" style="66" customWidth="1"/>
    <col min="15" max="17" width="9.109375" customWidth="1"/>
    <col min="18" max="18" width="8.77734375" customWidth="1"/>
    <col min="19" max="19" width="34.6640625" customWidth="1"/>
    <col min="20" max="20" width="7.21875" customWidth="1"/>
    <col min="21" max="21" width="12.21875" customWidth="1"/>
    <col min="22" max="22" width="13.109375" customWidth="1"/>
    <col min="23" max="24" width="13.77734375" customWidth="1"/>
    <col min="25" max="25" width="7.21875" customWidth="1"/>
    <col min="26" max="26" width="32" bestFit="1" customWidth="1"/>
    <col min="27" max="27" width="16.109375" customWidth="1"/>
    <col min="28" max="28" width="14.88671875" bestFit="1" customWidth="1"/>
    <col min="29" max="29" width="14.88671875" customWidth="1"/>
    <col min="30" max="30" width="13.109375" customWidth="1"/>
    <col min="31" max="31" width="10.109375" customWidth="1"/>
    <col min="32" max="32" width="9.109375" customWidth="1"/>
    <col min="33" max="33" width="11.21875" customWidth="1"/>
    <col min="34" max="34" width="7.21875" customWidth="1"/>
    <col min="35" max="36" width="7.21875" style="72" customWidth="1"/>
    <col min="37" max="37" width="8.77734375" style="72" customWidth="1"/>
    <col min="38" max="38" width="11.109375" customWidth="1"/>
    <col min="39" max="44" width="5.44140625" customWidth="1"/>
    <col min="45" max="45" width="5.6640625" bestFit="1" customWidth="1"/>
    <col min="46" max="51" width="5.44140625" customWidth="1"/>
    <col min="52" max="52" width="5.6640625" bestFit="1" customWidth="1"/>
    <col min="53" max="58" width="5.44140625" customWidth="1"/>
    <col min="59" max="59" width="6.21875" customWidth="1"/>
    <col min="60" max="64" width="6.44140625" customWidth="1"/>
    <col min="65" max="97" width="5.44140625" customWidth="1"/>
    <col min="98" max="98" width="19" hidden="1" customWidth="1"/>
    <col min="99" max="104" width="5.44140625" customWidth="1"/>
    <col min="105" max="105" width="8.21875" customWidth="1"/>
    <col min="106" max="106" width="18.21875" customWidth="1"/>
    <col min="109" max="109" width="21.21875" customWidth="1"/>
    <col min="117" max="117" width="26.21875" customWidth="1"/>
  </cols>
  <sheetData>
    <row r="1" spans="1:122" ht="24" customHeight="1" thickBot="1">
      <c r="A1" t="s">
        <v>332</v>
      </c>
      <c r="P1" s="17"/>
      <c r="AE1" s="17"/>
    </row>
    <row r="2" spans="1:122" ht="15" thickBot="1">
      <c r="A2" s="2292" t="s">
        <v>333</v>
      </c>
      <c r="B2" s="2293"/>
      <c r="C2" s="2293"/>
      <c r="D2" s="2293"/>
      <c r="E2" s="2293"/>
      <c r="F2" s="2293"/>
      <c r="G2" s="2293"/>
      <c r="H2" s="2293"/>
      <c r="I2" s="2293"/>
      <c r="J2" s="2293"/>
      <c r="K2" s="2293"/>
      <c r="L2" s="2294"/>
      <c r="M2" s="2236" t="s">
        <v>334</v>
      </c>
      <c r="N2" s="2237"/>
      <c r="O2" s="2237"/>
      <c r="P2" s="2237"/>
      <c r="Q2" s="2237"/>
      <c r="R2" s="2236" t="s">
        <v>335</v>
      </c>
      <c r="S2" s="2237"/>
      <c r="T2" s="2237"/>
      <c r="U2" s="2237"/>
      <c r="V2" s="2237"/>
      <c r="W2" s="2238"/>
      <c r="X2" s="1373"/>
      <c r="Y2" s="2292" t="s">
        <v>336</v>
      </c>
      <c r="Z2" s="2293"/>
      <c r="AA2" s="2293"/>
      <c r="AB2" s="2293"/>
      <c r="AC2" s="2293"/>
      <c r="AD2" s="2294"/>
      <c r="AM2" s="2388" t="s">
        <v>337</v>
      </c>
      <c r="AN2" s="2389"/>
      <c r="AO2" s="2389"/>
      <c r="AP2" s="2389"/>
      <c r="AQ2" s="2389"/>
      <c r="AR2" s="2390"/>
      <c r="AS2" s="2394" t="s">
        <v>338</v>
      </c>
      <c r="AT2" s="2394"/>
      <c r="AU2" s="2394"/>
      <c r="AV2" s="2394"/>
      <c r="AW2" s="2394"/>
      <c r="AX2" s="2394"/>
      <c r="AY2" s="66"/>
      <c r="AZ2" s="2394" t="s">
        <v>339</v>
      </c>
      <c r="BA2" s="2394"/>
      <c r="BB2" s="2394"/>
      <c r="BC2" s="2394"/>
      <c r="BD2" s="2394"/>
      <c r="BE2" s="2394"/>
      <c r="BF2" s="66"/>
      <c r="BG2" s="2394" t="s">
        <v>340</v>
      </c>
      <c r="BH2" s="2394"/>
      <c r="BI2" s="2394"/>
      <c r="BJ2" s="2394"/>
      <c r="BK2" s="2394"/>
      <c r="BL2" s="2394"/>
      <c r="BM2" s="66"/>
      <c r="BN2" s="66"/>
      <c r="BO2" s="2394" t="s">
        <v>341</v>
      </c>
      <c r="BP2" s="2394"/>
      <c r="BQ2" s="2394"/>
      <c r="BR2" s="2394"/>
      <c r="BS2" s="2394"/>
      <c r="BT2" s="2394"/>
      <c r="BV2" s="2394" t="s">
        <v>342</v>
      </c>
      <c r="BW2" s="2394"/>
      <c r="BX2" s="2394"/>
      <c r="BY2" s="2394"/>
      <c r="BZ2" s="2394"/>
      <c r="CA2" s="2394"/>
      <c r="CB2" s="2388" t="s">
        <v>343</v>
      </c>
      <c r="CC2" s="2389"/>
      <c r="CD2" s="2389"/>
      <c r="CE2" s="2389"/>
      <c r="CF2" s="2389"/>
      <c r="CG2" s="2390"/>
      <c r="CH2" s="2391" t="s">
        <v>344</v>
      </c>
      <c r="CI2" s="2392"/>
      <c r="CJ2" s="2392"/>
      <c r="CK2" s="2392"/>
      <c r="CL2" s="2392"/>
      <c r="CM2" s="2393"/>
      <c r="CN2" s="2388" t="s">
        <v>345</v>
      </c>
      <c r="CO2" s="2389"/>
      <c r="CP2" s="2389"/>
      <c r="CQ2" s="2389"/>
      <c r="CR2" s="2389"/>
      <c r="CS2" s="2390"/>
      <c r="CT2" s="222"/>
      <c r="CU2" s="2391" t="s">
        <v>346</v>
      </c>
      <c r="CV2" s="2392"/>
      <c r="CW2" s="2392"/>
      <c r="CX2" s="2392"/>
      <c r="CY2" s="2392"/>
      <c r="CZ2" s="2393"/>
    </row>
    <row r="3" spans="1:122" ht="58.2" thickBot="1">
      <c r="A3" s="1921" t="s">
        <v>347</v>
      </c>
      <c r="B3" s="136" t="s">
        <v>348</v>
      </c>
      <c r="C3" s="136" t="s">
        <v>286</v>
      </c>
      <c r="D3" s="136"/>
      <c r="E3" s="136" t="s">
        <v>349</v>
      </c>
      <c r="F3" s="125" t="s">
        <v>350</v>
      </c>
      <c r="G3" s="1920" t="s">
        <v>351</v>
      </c>
      <c r="H3" s="125" t="s">
        <v>352</v>
      </c>
      <c r="I3" s="125" t="s">
        <v>353</v>
      </c>
      <c r="J3" s="125" t="s">
        <v>354</v>
      </c>
      <c r="K3" s="125" t="s">
        <v>355</v>
      </c>
      <c r="L3" s="126" t="s">
        <v>356</v>
      </c>
      <c r="M3" s="15" t="s">
        <v>357</v>
      </c>
      <c r="N3" s="15" t="s">
        <v>358</v>
      </c>
      <c r="O3" s="15" t="s">
        <v>359</v>
      </c>
      <c r="P3" s="13" t="s">
        <v>360</v>
      </c>
      <c r="Q3" s="111" t="s">
        <v>361</v>
      </c>
      <c r="R3" s="124">
        <v>5</v>
      </c>
      <c r="S3" s="125" t="s">
        <v>362</v>
      </c>
      <c r="T3" s="125" t="s">
        <v>363</v>
      </c>
      <c r="U3" s="125" t="s">
        <v>364</v>
      </c>
      <c r="V3" s="125" t="s">
        <v>365</v>
      </c>
      <c r="W3" s="126" t="s">
        <v>366</v>
      </c>
      <c r="X3" s="1380" t="s">
        <v>367</v>
      </c>
      <c r="Y3" s="124" t="s">
        <v>368</v>
      </c>
      <c r="Z3" s="125" t="s">
        <v>369</v>
      </c>
      <c r="AA3" s="125" t="s">
        <v>370</v>
      </c>
      <c r="AB3" s="125" t="s">
        <v>364</v>
      </c>
      <c r="AC3" s="125" t="s">
        <v>365</v>
      </c>
      <c r="AD3" s="126" t="s">
        <v>371</v>
      </c>
      <c r="AE3" s="15" t="s">
        <v>372</v>
      </c>
      <c r="AF3" s="13" t="s">
        <v>373</v>
      </c>
      <c r="AG3" s="127" t="s">
        <v>374</v>
      </c>
      <c r="AH3" s="151" t="s">
        <v>375</v>
      </c>
      <c r="AI3" s="152" t="s">
        <v>376</v>
      </c>
      <c r="AJ3" s="153" t="s">
        <v>377</v>
      </c>
      <c r="AK3" s="15" t="s">
        <v>378</v>
      </c>
      <c r="AL3" s="127" t="s">
        <v>329</v>
      </c>
      <c r="AM3" s="1169">
        <f>+'RFQ Data'!C30</f>
        <v>2024</v>
      </c>
      <c r="AN3" s="1887">
        <f>+'RFQ Data'!D30</f>
        <v>2025</v>
      </c>
      <c r="AO3" s="1887">
        <f>+'RFQ Data'!E30</f>
        <v>2026</v>
      </c>
      <c r="AP3" s="1887">
        <f>+'RFQ Data'!F30</f>
        <v>2027</v>
      </c>
      <c r="AQ3" s="1887">
        <f>+'RFQ Data'!G30</f>
        <v>2028</v>
      </c>
      <c r="AR3" s="1170">
        <f>+'RFQ Data'!H30</f>
        <v>2029</v>
      </c>
      <c r="AS3" s="14">
        <f t="shared" ref="AS3" si="0">+AM3</f>
        <v>2024</v>
      </c>
      <c r="AT3" s="14">
        <f t="shared" ref="AT3:AX3" si="1">+AN3</f>
        <v>2025</v>
      </c>
      <c r="AU3" s="14">
        <f t="shared" si="1"/>
        <v>2026</v>
      </c>
      <c r="AV3" s="14">
        <f t="shared" si="1"/>
        <v>2027</v>
      </c>
      <c r="AW3" s="14">
        <f t="shared" si="1"/>
        <v>2028</v>
      </c>
      <c r="AX3" s="14">
        <f t="shared" si="1"/>
        <v>2029</v>
      </c>
      <c r="AY3" s="14"/>
      <c r="AZ3" s="14">
        <f>+AS3</f>
        <v>2024</v>
      </c>
      <c r="BA3" s="14">
        <f t="shared" ref="BA3:BE3" si="2">+AT3</f>
        <v>2025</v>
      </c>
      <c r="BB3" s="14">
        <f t="shared" si="2"/>
        <v>2026</v>
      </c>
      <c r="BC3" s="14">
        <f t="shared" si="2"/>
        <v>2027</v>
      </c>
      <c r="BD3" s="14">
        <f t="shared" si="2"/>
        <v>2028</v>
      </c>
      <c r="BE3" s="14">
        <f t="shared" si="2"/>
        <v>2029</v>
      </c>
      <c r="BF3" s="14"/>
      <c r="BG3" s="14">
        <f t="shared" ref="BG3:BL3" si="3">+AS3</f>
        <v>2024</v>
      </c>
      <c r="BH3" s="14">
        <f t="shared" si="3"/>
        <v>2025</v>
      </c>
      <c r="BI3" s="14">
        <f t="shared" si="3"/>
        <v>2026</v>
      </c>
      <c r="BJ3" s="14">
        <f t="shared" si="3"/>
        <v>2027</v>
      </c>
      <c r="BK3" s="14">
        <f t="shared" si="3"/>
        <v>2028</v>
      </c>
      <c r="BL3" s="14">
        <f t="shared" si="3"/>
        <v>2029</v>
      </c>
      <c r="BM3" s="14"/>
      <c r="BN3" s="14"/>
      <c r="BO3" s="69">
        <f t="shared" ref="BO3:BT3" si="4">+AM3</f>
        <v>2024</v>
      </c>
      <c r="BP3" s="69">
        <f t="shared" si="4"/>
        <v>2025</v>
      </c>
      <c r="BQ3" s="69">
        <f t="shared" si="4"/>
        <v>2026</v>
      </c>
      <c r="BR3" s="69">
        <f t="shared" si="4"/>
        <v>2027</v>
      </c>
      <c r="BS3" s="69">
        <f t="shared" si="4"/>
        <v>2028</v>
      </c>
      <c r="BT3" s="69">
        <f t="shared" si="4"/>
        <v>2029</v>
      </c>
      <c r="BU3" s="69"/>
      <c r="BV3" s="69">
        <f>+BO3</f>
        <v>2024</v>
      </c>
      <c r="BW3" s="69">
        <f t="shared" ref="BW3:CA3" si="5">+BP3</f>
        <v>2025</v>
      </c>
      <c r="BX3" s="69">
        <f t="shared" si="5"/>
        <v>2026</v>
      </c>
      <c r="BY3" s="69">
        <f t="shared" si="5"/>
        <v>2027</v>
      </c>
      <c r="BZ3" s="69">
        <f t="shared" si="5"/>
        <v>2028</v>
      </c>
      <c r="CA3" s="69">
        <f t="shared" si="5"/>
        <v>2029</v>
      </c>
      <c r="CB3" s="1160">
        <f t="shared" ref="CB3:CG3" si="6">+BO3</f>
        <v>2024</v>
      </c>
      <c r="CC3" s="1161">
        <f t="shared" si="6"/>
        <v>2025</v>
      </c>
      <c r="CD3" s="1161">
        <f t="shared" si="6"/>
        <v>2026</v>
      </c>
      <c r="CE3" s="1161">
        <f t="shared" si="6"/>
        <v>2027</v>
      </c>
      <c r="CF3" s="1161">
        <f t="shared" si="6"/>
        <v>2028</v>
      </c>
      <c r="CG3" s="1162">
        <f t="shared" si="6"/>
        <v>2029</v>
      </c>
      <c r="CH3" s="1160">
        <f t="shared" ref="CH3:CM3" si="7">+CU3</f>
        <v>2024</v>
      </c>
      <c r="CI3" s="1161">
        <f t="shared" si="7"/>
        <v>2025</v>
      </c>
      <c r="CJ3" s="1161">
        <f t="shared" si="7"/>
        <v>2026</v>
      </c>
      <c r="CK3" s="1161">
        <f t="shared" si="7"/>
        <v>2027</v>
      </c>
      <c r="CL3" s="1161">
        <f t="shared" si="7"/>
        <v>2028</v>
      </c>
      <c r="CM3" s="1162">
        <f t="shared" si="7"/>
        <v>2029</v>
      </c>
      <c r="CN3" s="1160">
        <f>+CH3</f>
        <v>2024</v>
      </c>
      <c r="CO3" s="1161">
        <f t="shared" ref="CO3:CS3" si="8">+BW3</f>
        <v>2025</v>
      </c>
      <c r="CP3" s="1161">
        <f t="shared" si="8"/>
        <v>2026</v>
      </c>
      <c r="CQ3" s="1161">
        <f t="shared" si="8"/>
        <v>2027</v>
      </c>
      <c r="CR3" s="1161">
        <f t="shared" si="8"/>
        <v>2028</v>
      </c>
      <c r="CS3" s="1162">
        <f t="shared" si="8"/>
        <v>2029</v>
      </c>
      <c r="CT3" s="317"/>
      <c r="CU3" s="1160">
        <f t="shared" ref="CU3:CZ3" si="9">+CB3</f>
        <v>2024</v>
      </c>
      <c r="CV3" s="1161">
        <f t="shared" si="9"/>
        <v>2025</v>
      </c>
      <c r="CW3" s="1161">
        <f t="shared" si="9"/>
        <v>2026</v>
      </c>
      <c r="CX3" s="1161">
        <f t="shared" si="9"/>
        <v>2027</v>
      </c>
      <c r="CY3" s="1161">
        <f t="shared" si="9"/>
        <v>2028</v>
      </c>
      <c r="CZ3" s="1162">
        <f t="shared" si="9"/>
        <v>2029</v>
      </c>
      <c r="DA3" s="1169" t="s">
        <v>379</v>
      </c>
      <c r="DB3" s="1170" t="s">
        <v>380</v>
      </c>
      <c r="DG3" t="s">
        <v>381</v>
      </c>
      <c r="DH3" t="s">
        <v>382</v>
      </c>
      <c r="DJ3" t="s">
        <v>266</v>
      </c>
      <c r="DK3" t="s">
        <v>383</v>
      </c>
    </row>
    <row r="4" spans="1:122" ht="15" thickBot="1">
      <c r="A4" s="1360" t="s">
        <v>384</v>
      </c>
      <c r="B4" s="1393" t="str">
        <f>+VLOOKUP(A4,'Financials Parameters'!$I$5:$K$15,2,FALSE)</f>
        <v>RMB</v>
      </c>
      <c r="C4" s="1394" t="str">
        <f>+'RFQ Data'!H16</f>
        <v>RMB</v>
      </c>
      <c r="D4" s="1394" t="str">
        <f>+B4&amp;C4</f>
        <v>RMBRMB</v>
      </c>
      <c r="E4" s="1394">
        <f>+SUMIF('Financials Parameters'!$D$29:$D$53,'Product Added value'!D4,'Financials Parameters'!$E$29:$E$53)</f>
        <v>0.99999999999999989</v>
      </c>
      <c r="F4" s="2215" t="str">
        <f xml:space="preserve"> "OP "&amp;10</f>
        <v>OP 10</v>
      </c>
      <c r="G4" s="2210" t="s">
        <v>385</v>
      </c>
      <c r="H4" s="1361">
        <v>1</v>
      </c>
      <c r="I4" s="1361">
        <v>1</v>
      </c>
      <c r="J4" s="1361">
        <v>450</v>
      </c>
      <c r="K4" s="1396">
        <v>0.15</v>
      </c>
      <c r="L4" s="1397" t="s">
        <v>300</v>
      </c>
      <c r="M4" s="118">
        <f>+IF(H4&lt;&gt;0,J4*I4/H4,0)</f>
        <v>450</v>
      </c>
      <c r="N4" s="122">
        <f>+IF(M4&lt;&gt;0,INT('RFQ Data'!$M$48/M4)+1,0)</f>
        <v>1</v>
      </c>
      <c r="O4" s="121">
        <f>+IF(N4*M4&lt;&gt;0,'RFQ Data'!$M$48/(N4*M4),0)</f>
        <v>0.26936026936026936</v>
      </c>
      <c r="P4" s="109">
        <f>IF(H4*I4=0,0,1000/J4/I4*H4)</f>
        <v>2.2222222222222223</v>
      </c>
      <c r="Q4" s="112">
        <f t="shared" ref="Q4:Q14" si="10">+K4*P4</f>
        <v>0.33333333333333331</v>
      </c>
      <c r="R4" s="1375">
        <v>150</v>
      </c>
      <c r="S4" s="2062" t="str">
        <f>IF(R4&lt;&gt;0,G4&amp;" station","")</f>
        <v>Winding station</v>
      </c>
      <c r="T4" s="1376" t="s">
        <v>300</v>
      </c>
      <c r="U4" s="1377" t="s">
        <v>386</v>
      </c>
      <c r="V4" s="1378">
        <v>0</v>
      </c>
      <c r="W4" s="1379">
        <f t="shared" ref="W4:W31" si="11">100%-V4</f>
        <v>1</v>
      </c>
      <c r="X4" s="1381">
        <f>+M4*VLOOKUP($A4,'Financials Parameters'!$I$5:$AM$16,20,FALSE)/1000</f>
        <v>2475</v>
      </c>
      <c r="Y4" s="1360">
        <v>5</v>
      </c>
      <c r="Z4" s="2065" t="str">
        <f>IF(Y4&lt;&gt;0,G4&amp;" tool","")</f>
        <v>Winding tool</v>
      </c>
      <c r="AA4" s="1387"/>
      <c r="AB4" s="1368" t="s">
        <v>149</v>
      </c>
      <c r="AC4" s="1378">
        <v>1</v>
      </c>
      <c r="AD4" s="1357">
        <f t="shared" ref="AD4:AD31" si="12">100%-AC4</f>
        <v>0</v>
      </c>
      <c r="AE4" s="149">
        <f>+VLOOKUP($A4,'Financials Parameters'!$I$5:$AM$16,18,FALSE)</f>
        <v>20</v>
      </c>
      <c r="AF4" s="134">
        <f>+'VOH cost per h'!V5</f>
        <v>2.7272727272727275</v>
      </c>
      <c r="AG4" s="1657">
        <f>+(AF4+AE4)*P4/1000*E4</f>
        <v>5.0505050505050497E-2</v>
      </c>
      <c r="AH4" s="155">
        <f>+VLOOKUP($A4,'Financials Parameters'!$I$5:$AM$16,17,FALSE)</f>
        <v>34</v>
      </c>
      <c r="AI4" s="156">
        <f>IF(L4="YES",+'RFQ Data'!$J$61,0)</f>
        <v>0</v>
      </c>
      <c r="AJ4" s="157">
        <f t="shared" ref="AJ4:AJ30" si="13">+AH4*Q4/1000*E4/(1-AI4)</f>
        <v>1.1333333333333331E-2</v>
      </c>
      <c r="AK4" s="149">
        <f t="shared" ref="AK4:AK30" si="14">+AG4+AJ4</f>
        <v>6.1838383838383831E-2</v>
      </c>
      <c r="AL4" s="128" t="str">
        <f>+VLOOKUP($A4,'Financials Parameters'!$I$5:$AM$16,3,FALSE)</f>
        <v>China + South pacific</v>
      </c>
      <c r="AM4" s="1884">
        <f>+IF($X4&lt;&gt;0,IF($T4="YES",ROUNDUP('RFQ Data'!D$47/$X4,0),'RFQ Data'!D$47/$X4),0)</f>
        <v>0</v>
      </c>
      <c r="AN4" s="1885">
        <f>+IF($X4&lt;&gt;0,IF($T4="YES",ROUNDUP('RFQ Data'!E$47/$X4,0),'RFQ Data'!E$47/$X4),0)</f>
        <v>0.26936026936026936</v>
      </c>
      <c r="AO4" s="1885">
        <f>+IF($X4&lt;&gt;0,IF($T4="YES",ROUNDUP('RFQ Data'!F$47/$X4,0),'RFQ Data'!F$47/$X4),0)</f>
        <v>0.26936026936026936</v>
      </c>
      <c r="AP4" s="1885">
        <f>+IF($X4&lt;&gt;0,IF($T4="YES",ROUNDUP('RFQ Data'!G$47/$X4,0),'RFQ Data'!G$47/$X4),0)</f>
        <v>0.26936026936026936</v>
      </c>
      <c r="AQ4" s="1885">
        <f>+IF($X4&lt;&gt;0,IF($T4="YES",ROUNDUP('RFQ Data'!H$47/$X4,0),'RFQ Data'!H$47/$X4),0)</f>
        <v>0.26936026936026936</v>
      </c>
      <c r="AR4" s="1886">
        <f>+IF($X4&lt;&gt;0,IF($T4="YES",ROUNDUP('RFQ Data'!I$47/$X4,0),'RFQ Data'!I$47/$X4),0)</f>
        <v>0.26936026936026936</v>
      </c>
      <c r="AS4" s="9">
        <f>+AN4</f>
        <v>0.26936026936026936</v>
      </c>
      <c r="AT4" s="9">
        <f>IF(AO4&lt;AN4,AN4,AO4)</f>
        <v>0.26936026936026936</v>
      </c>
      <c r="AU4" s="9">
        <f>IF(AP4&lt;AO4,AO4,AP4)</f>
        <v>0.26936026936026936</v>
      </c>
      <c r="AV4" s="9">
        <f t="shared" ref="AV4:AW4" si="15">IF(AQ4&lt;AP4,AP4,AQ4)</f>
        <v>0.26936026936026936</v>
      </c>
      <c r="AW4" s="9">
        <f t="shared" si="15"/>
        <v>0.26936026936026936</v>
      </c>
      <c r="AX4" s="9">
        <f>AW4</f>
        <v>0.26936026936026936</v>
      </c>
      <c r="AZ4" s="9">
        <f>ROUNDUP(+AN4,0)</f>
        <v>1</v>
      </c>
      <c r="BA4" s="9">
        <f>ROUNDUP(IF(AO4&lt;AN4,AN4,AO4),0)</f>
        <v>1</v>
      </c>
      <c r="BB4" s="9">
        <f t="shared" ref="BB4:BD4" si="16">ROUNDUP(IF(AP4&lt;AO4,AO4,AP4),0)</f>
        <v>1</v>
      </c>
      <c r="BC4" s="9">
        <f t="shared" si="16"/>
        <v>1</v>
      </c>
      <c r="BD4" s="9">
        <f t="shared" si="16"/>
        <v>1</v>
      </c>
      <c r="BE4" s="9">
        <f>BD4</f>
        <v>1</v>
      </c>
      <c r="BF4" s="9"/>
      <c r="BG4">
        <f t="shared" ref="BG4:BG31" si="17">+IF(AS4*$X4=0,100000000,AS4*$X4)</f>
        <v>666.66666666666663</v>
      </c>
      <c r="BH4">
        <f t="shared" ref="BH4:BH31" si="18">+IF(AT4*$X4=0,100000000,AT4*$X4)</f>
        <v>666.66666666666663</v>
      </c>
      <c r="BI4">
        <f t="shared" ref="BI4:BI31" si="19">+IF(AU4*$X4=0,100000000,AU4*$X4)</f>
        <v>666.66666666666663</v>
      </c>
      <c r="BJ4">
        <f t="shared" ref="BJ4:BJ31" si="20">+IF(AV4*$X4=0,100000000,AV4*$X4)</f>
        <v>666.66666666666663</v>
      </c>
      <c r="BK4">
        <f t="shared" ref="BK4:BK31" si="21">+IF(AW4*$X4=0,100000000,AW4*$X4)</f>
        <v>666.66666666666663</v>
      </c>
      <c r="BL4">
        <f t="shared" ref="BL4:BL31" si="22">+IF(AX4*$X4=0,100000000,AX4*$X4)</f>
        <v>666.66666666666663</v>
      </c>
      <c r="BO4" s="2">
        <f>+AS4*$R4</f>
        <v>40.404040404040401</v>
      </c>
      <c r="BP4" s="2">
        <f t="shared" ref="BP4:BP31" si="23">+AT4*$R4</f>
        <v>40.404040404040401</v>
      </c>
      <c r="BQ4" s="2">
        <f>+AU4*$R4</f>
        <v>40.404040404040401</v>
      </c>
      <c r="BR4" s="2">
        <f t="shared" ref="BR4:BR31" si="24">+AV4*$R4</f>
        <v>40.404040404040401</v>
      </c>
      <c r="BS4" s="2">
        <f t="shared" ref="BS4:BS31" si="25">+AW4*$R4</f>
        <v>40.404040404040401</v>
      </c>
      <c r="BT4" s="2">
        <f t="shared" ref="BT4:BT31" si="26">+AX4*$R4</f>
        <v>40.404040404040401</v>
      </c>
      <c r="BU4" s="2"/>
      <c r="BV4" s="2">
        <f t="shared" ref="BV4" si="27">+BO4</f>
        <v>40.404040404040401</v>
      </c>
      <c r="BW4" s="2">
        <f>+IF(BP4-SUM($BO4:BO4)&lt;0,0,BP4-SUM($BO4:BO4))</f>
        <v>0</v>
      </c>
      <c r="BX4" s="2">
        <f>+IF(BQ4-SUM($BV4:BW4)&lt;0,0,BQ4-SUM($BV4:BW4))</f>
        <v>0</v>
      </c>
      <c r="BY4" s="2">
        <f>+IF(BR4-SUM($BV4:BX4)&lt;0,0,BR4-SUM($BV4:BX4))</f>
        <v>0</v>
      </c>
      <c r="BZ4" s="2">
        <f>+IF(BS4-SUM($BV4:BY4)&lt;0,0,BS4-SUM($BV4:BY4))</f>
        <v>0</v>
      </c>
      <c r="CA4" s="2">
        <f>+IF(BT4-SUM($BV4:BZ4)&lt;0,0,BT4-SUM($BV4:BZ4))</f>
        <v>0</v>
      </c>
      <c r="CB4" s="1163">
        <f>+BV4*$W4</f>
        <v>40.404040404040401</v>
      </c>
      <c r="CC4" s="1164">
        <f t="shared" ref="CC4:CC31" si="28">+BW4*$W4</f>
        <v>0</v>
      </c>
      <c r="CD4" s="1164">
        <f t="shared" ref="CD4:CD31" si="29">+BX4*$W4</f>
        <v>0</v>
      </c>
      <c r="CE4" s="1164">
        <f t="shared" ref="CE4:CE31" si="30">+BY4*$W4</f>
        <v>0</v>
      </c>
      <c r="CF4" s="1164">
        <f t="shared" ref="CF4:CF31" si="31">+BZ4*$W4</f>
        <v>0</v>
      </c>
      <c r="CG4" s="1165">
        <f t="shared" ref="CG4:CG31" si="32">+CA4*$W4</f>
        <v>0</v>
      </c>
      <c r="CH4" s="1862">
        <f>$V4*BV4</f>
        <v>0</v>
      </c>
      <c r="CI4" s="1863">
        <f>$V4*BW4</f>
        <v>0</v>
      </c>
      <c r="CJ4" s="1863">
        <f t="shared" ref="CJ4:CJ31" si="33">$V4*BX4</f>
        <v>0</v>
      </c>
      <c r="CK4" s="1863">
        <f t="shared" ref="CK4:CK31" si="34">$V4*BY4</f>
        <v>0</v>
      </c>
      <c r="CL4" s="1863">
        <f t="shared" ref="CL4:CL31" si="35">$V4*BZ4</f>
        <v>0</v>
      </c>
      <c r="CM4" s="1864">
        <f t="shared" ref="CM4:CM31" si="36">$V4*CA4</f>
        <v>0</v>
      </c>
      <c r="CN4" s="1862">
        <f>+AZ4*$Y4*$AD4</f>
        <v>0</v>
      </c>
      <c r="CO4" s="1863">
        <f>IF(BA4*$Y4*$AD4-SUM($CN4:CN4)&lt;0,0,BA4*$Y4*$AD4-SUM($CN4:CN4))</f>
        <v>0</v>
      </c>
      <c r="CP4" s="1863">
        <f>IF(BB4*$Y4*$AD4-SUM($CN4:CO4)&lt;0,0,BB4*$Y4*$AD4-SUM($CN4:CO4))</f>
        <v>0</v>
      </c>
      <c r="CQ4" s="1863">
        <f>IF(BC4*$Y4*$AD4-SUM($CN4:CP4)&lt;0,0,BC4*$Y4*$AD4-SUM($CN4:CP4))</f>
        <v>0</v>
      </c>
      <c r="CR4" s="1863">
        <f>IF(BD4*$Y4*$AD4-SUM($CN4:CQ4)&lt;0,0,BD4*$Y4*$AD4-SUM($CN4:CQ4))</f>
        <v>0</v>
      </c>
      <c r="CS4" s="1864">
        <f>IF(BE4*$Y4*$AD4-SUM($CN4:CR4)&lt;0,0,BE4*$Y4*$AD4-SUM($CN4:CR4))</f>
        <v>0</v>
      </c>
      <c r="CT4" s="1873" t="str">
        <f t="shared" ref="CT4:CT31" si="37">+G4</f>
        <v>Winding</v>
      </c>
      <c r="CU4" s="1862">
        <f>+AZ4*$Y4*$AC4</f>
        <v>5</v>
      </c>
      <c r="CV4" s="1863">
        <f>IF(BA4*$Y4*$AC4-SUM($CU4:CU4)&lt;0,0,BA4*$Y4*$AC4-SUM($CU4:CU4))</f>
        <v>0</v>
      </c>
      <c r="CW4" s="1863">
        <f>IF(BB4*$Y4*$AC4-SUM($CU4:CV4)&lt;0,0,BB4*$Y4*$AC4-SUM($CU4:CV4))</f>
        <v>0</v>
      </c>
      <c r="CX4" s="1863">
        <f>IF(BC4*$Y4*$AC4-SUM($CU4:CW4)&lt;0,0,BC4*$Y4*$AC4-SUM($CU4:CW4))</f>
        <v>0</v>
      </c>
      <c r="CY4" s="1863">
        <f>IF(BD4*$Y4*$AC4-SUM($CU4:CX4)&lt;0,0,BD4*$Y4*$AC4-SUM($CU4:CX4))</f>
        <v>0</v>
      </c>
      <c r="CZ4" s="1864">
        <f>IF(BE4*$Y4*$AC4-SUM($CU4:CY4)&lt;0,0,BE4*$Y4*$AC4-SUM($CU4:CY4))</f>
        <v>0</v>
      </c>
      <c r="DA4" s="1171">
        <f>+IF(X4&lt;&gt;0,R4/X4,0)</f>
        <v>6.0606060606060608E-2</v>
      </c>
      <c r="DB4" s="1172">
        <f t="shared" ref="DB4:DB31" si="38">+DA4*M4</f>
        <v>27.272727272727273</v>
      </c>
      <c r="DC4" s="2"/>
      <c r="DE4" t="str">
        <f t="shared" ref="DE4:DE31" si="39">+"Operation - "&amp;G4</f>
        <v>Operation - Winding</v>
      </c>
      <c r="DF4" s="16">
        <f t="shared" ref="DF4:DF31" si="40">+DG4+DH4</f>
        <v>6.1838383838383831E-2</v>
      </c>
      <c r="DG4" s="16">
        <f t="shared" ref="DG4:DG31" si="41">+AG4</f>
        <v>5.0505050505050497E-2</v>
      </c>
      <c r="DH4" s="16">
        <f t="shared" ref="DH4:DH31" si="42">+AJ4</f>
        <v>1.1333333333333331E-2</v>
      </c>
      <c r="DJ4" t="str">
        <f t="shared" ref="DJ4:DJ31" si="43">+B4</f>
        <v>RMB</v>
      </c>
      <c r="DK4" s="2">
        <f t="shared" ref="DK4:DK31" si="44">+SUM(CB4:CM4)</f>
        <v>40.404040404040401</v>
      </c>
      <c r="DM4" s="3" t="s">
        <v>387</v>
      </c>
      <c r="DN4" s="4">
        <v>2.5245098039215683E-2</v>
      </c>
      <c r="DO4" s="4">
        <v>3.125E-2</v>
      </c>
      <c r="DP4" s="4">
        <v>5.649509803921568E-2</v>
      </c>
      <c r="DQ4" s="138">
        <f>+DP4/SUM($DP$4:$DP$31)</f>
        <v>0.27451849099388792</v>
      </c>
      <c r="DR4" s="139">
        <f>+DQ4</f>
        <v>0.27451849099388792</v>
      </c>
    </row>
    <row r="5" spans="1:122" ht="15" thickBot="1">
      <c r="A5" s="1360" t="s">
        <v>388</v>
      </c>
      <c r="B5" s="1393" t="str">
        <f>+VLOOKUP(A5,'Financials Parameters'!$I$5:$K$15,2,FALSE)</f>
        <v>RMB</v>
      </c>
      <c r="C5" s="1394" t="str">
        <f>+C4</f>
        <v>RMB</v>
      </c>
      <c r="D5" s="1394" t="str">
        <f t="shared" ref="D5:D31" si="45">+B5&amp;C5</f>
        <v>RMBRMB</v>
      </c>
      <c r="E5" s="1394">
        <f>+SUMIF('Financials Parameters'!$D$29:$D$53,'Product Added value'!D5,'Financials Parameters'!$E$29:$E$53)</f>
        <v>0.99999999999999989</v>
      </c>
      <c r="F5" s="2216" t="s">
        <v>389</v>
      </c>
      <c r="G5" s="2211" t="s">
        <v>390</v>
      </c>
      <c r="H5" s="1363">
        <v>1</v>
      </c>
      <c r="I5" s="1363">
        <v>1</v>
      </c>
      <c r="J5" s="1363">
        <v>600</v>
      </c>
      <c r="K5" s="1388">
        <v>1</v>
      </c>
      <c r="L5" s="1389" t="s">
        <v>300</v>
      </c>
      <c r="M5" s="119">
        <f t="shared" ref="M5:M31" si="46">+IF(H5&lt;&gt;0,J5*I5/H5,0)</f>
        <v>600</v>
      </c>
      <c r="N5" s="122">
        <f>+IF(M5&lt;&gt;0,INT('RFQ Data'!$M$48/M5)+1,0)</f>
        <v>1</v>
      </c>
      <c r="O5" s="121">
        <f>+IF(N5*M5&lt;&gt;0,'RFQ Data'!$M$48/(N5*M5),0)</f>
        <v>0.20202020202020202</v>
      </c>
      <c r="P5" s="110">
        <f>IF(H5*I5=0,0,1000/J5/I5*H5)</f>
        <v>1.6666666666666667</v>
      </c>
      <c r="Q5" s="113">
        <f t="shared" si="10"/>
        <v>1.6666666666666667</v>
      </c>
      <c r="R5" s="1362"/>
      <c r="S5" s="2063" t="str">
        <f t="shared" ref="S5:S30" si="47">IF(R5&lt;&gt;0,G5&amp;" station","")</f>
        <v/>
      </c>
      <c r="T5" s="1364" t="s">
        <v>300</v>
      </c>
      <c r="U5" s="1369" t="s">
        <v>386</v>
      </c>
      <c r="V5" s="1378">
        <v>0</v>
      </c>
      <c r="W5" s="1358">
        <f t="shared" si="11"/>
        <v>1</v>
      </c>
      <c r="X5" s="1382">
        <f>+M5*VLOOKUP($A5,'Financials Parameters'!$I$5:$AM$16,20,FALSE)/1000</f>
        <v>3300</v>
      </c>
      <c r="Y5" s="1362"/>
      <c r="Z5" s="2063" t="str">
        <f t="shared" ref="Z5:Z30" si="48">IF(Y5&lt;&gt;0,G5&amp;" tool","")</f>
        <v/>
      </c>
      <c r="AA5" s="1384"/>
      <c r="AB5" s="1369" t="s">
        <v>149</v>
      </c>
      <c r="AC5" s="1370">
        <v>1</v>
      </c>
      <c r="AD5" s="1358">
        <f t="shared" si="12"/>
        <v>0</v>
      </c>
      <c r="AE5" s="150">
        <f>+VLOOKUP($A5,'Financials Parameters'!$I$5:$AM$16,18,FALSE)</f>
        <v>7.9458041958041958</v>
      </c>
      <c r="AF5" s="135">
        <f>+'VOH cost per h'!V6</f>
        <v>0</v>
      </c>
      <c r="AG5" s="1657">
        <f t="shared" ref="AG5:AG30" si="49">+(AF5+AE5)*P5/1000*E5</f>
        <v>1.3243006993006992E-2</v>
      </c>
      <c r="AH5" s="129">
        <f>+VLOOKUP($A5,'Financials Parameters'!$I$5:$AM$16,17,FALSE)</f>
        <v>19.861778846153847</v>
      </c>
      <c r="AI5" s="154">
        <f>IF(L5="YES",+'RFQ Data'!$J$61,0)</f>
        <v>0</v>
      </c>
      <c r="AJ5" s="131">
        <f t="shared" si="13"/>
        <v>3.3102964743589737E-2</v>
      </c>
      <c r="AK5" s="150">
        <f t="shared" si="14"/>
        <v>4.6345971736596728E-2</v>
      </c>
      <c r="AL5" s="130" t="str">
        <f>+VLOOKUP($A5,'Financials Parameters'!$I$5:$AM$16,3,FALSE)</f>
        <v>China + South pacific</v>
      </c>
      <c r="AM5" s="1157">
        <f>+IF($X5&lt;&gt;0,IF($T5="YES",ROUNDUP('RFQ Data'!D$47/$X5,0),'RFQ Data'!D$47/$X5),0)</f>
        <v>0</v>
      </c>
      <c r="AN5" s="1158">
        <f>+IF($X5&lt;&gt;0,IF($T5="YES",ROUNDUP('RFQ Data'!E$47/$X5,0),'RFQ Data'!E$47/$X5),0)</f>
        <v>0.20202020202020202</v>
      </c>
      <c r="AO5" s="1158">
        <f>+IF($X5&lt;&gt;0,IF($T5="YES",ROUNDUP('RFQ Data'!F$47/$X5,0),'RFQ Data'!F$47/$X5),0)</f>
        <v>0.20202020202020202</v>
      </c>
      <c r="AP5" s="1158">
        <f>+IF($X5&lt;&gt;0,IF($T5="YES",ROUNDUP('RFQ Data'!G$47/$X5,0),'RFQ Data'!G$47/$X5),0)</f>
        <v>0.20202020202020202</v>
      </c>
      <c r="AQ5" s="1158">
        <f>+IF($X5&lt;&gt;0,IF($T5="YES",ROUNDUP('RFQ Data'!H$47/$X5,0),'RFQ Data'!H$47/$X5),0)</f>
        <v>0.20202020202020202</v>
      </c>
      <c r="AR5" s="1159">
        <f>+IF($X5&lt;&gt;0,IF($T5="YES",ROUNDUP('RFQ Data'!I$47/$X5,0),'RFQ Data'!I$47/$X5),0)</f>
        <v>0.20202020202020202</v>
      </c>
      <c r="AS5" s="9">
        <f t="shared" ref="AS5:AS31" si="50">+AN5</f>
        <v>0.20202020202020202</v>
      </c>
      <c r="AT5" s="9">
        <f t="shared" ref="AT5:AT31" si="51">IF(AO5&lt;AN5,AN5,AO5)</f>
        <v>0.20202020202020202</v>
      </c>
      <c r="AU5" s="9">
        <f t="shared" ref="AU5:AU31" si="52">IF(AP5&lt;AO5,AO5,AP5)</f>
        <v>0.20202020202020202</v>
      </c>
      <c r="AV5" s="9">
        <f t="shared" ref="AV5:AV31" si="53">IF(AQ5&lt;AP5,AP5,AQ5)</f>
        <v>0.20202020202020202</v>
      </c>
      <c r="AW5" s="9">
        <f t="shared" ref="AW5:AW31" si="54">IF(AR5&lt;AQ5,AQ5,AR5)</f>
        <v>0.20202020202020202</v>
      </c>
      <c r="AX5" s="9">
        <f t="shared" ref="AX5:AX31" si="55">AW5</f>
        <v>0.20202020202020202</v>
      </c>
      <c r="AZ5" s="9">
        <f t="shared" ref="AZ5:AZ31" si="56">ROUNDUP(+AN5,0)</f>
        <v>1</v>
      </c>
      <c r="BA5" s="9">
        <f t="shared" ref="BA5:BA31" si="57">ROUNDUP(IF(AO5&lt;AN5,AN5,AO5),0)</f>
        <v>1</v>
      </c>
      <c r="BB5" s="9">
        <f t="shared" ref="BB5:BB31" si="58">ROUNDUP(IF(AP5&lt;AO5,AO5,AP5),0)</f>
        <v>1</v>
      </c>
      <c r="BC5" s="9">
        <f t="shared" ref="BC5:BC31" si="59">ROUNDUP(IF(AQ5&lt;AP5,AP5,AQ5),0)</f>
        <v>1</v>
      </c>
      <c r="BD5" s="9">
        <f t="shared" ref="BD5:BD31" si="60">ROUNDUP(IF(AR5&lt;AQ5,AQ5,AR5),0)</f>
        <v>1</v>
      </c>
      <c r="BE5" s="9">
        <f t="shared" ref="BE5:BE31" si="61">BD5</f>
        <v>1</v>
      </c>
      <c r="BF5" s="9"/>
      <c r="BG5">
        <f t="shared" si="17"/>
        <v>666.66666666666663</v>
      </c>
      <c r="BH5">
        <f t="shared" si="18"/>
        <v>666.66666666666663</v>
      </c>
      <c r="BI5">
        <f t="shared" si="19"/>
        <v>666.66666666666663</v>
      </c>
      <c r="BJ5">
        <f t="shared" si="20"/>
        <v>666.66666666666663</v>
      </c>
      <c r="BK5">
        <f t="shared" si="21"/>
        <v>666.66666666666663</v>
      </c>
      <c r="BL5">
        <f t="shared" si="22"/>
        <v>666.66666666666663</v>
      </c>
      <c r="BO5" s="2">
        <f t="shared" ref="BO5:BO31" si="62">+AS5*$R5</f>
        <v>0</v>
      </c>
      <c r="BP5" s="2">
        <f t="shared" si="23"/>
        <v>0</v>
      </c>
      <c r="BQ5" s="2">
        <f t="shared" ref="BQ5:BQ31" si="63">+AU5*$R5</f>
        <v>0</v>
      </c>
      <c r="BR5" s="2">
        <f t="shared" si="24"/>
        <v>0</v>
      </c>
      <c r="BS5" s="2">
        <f t="shared" si="25"/>
        <v>0</v>
      </c>
      <c r="BT5" s="2">
        <f t="shared" si="26"/>
        <v>0</v>
      </c>
      <c r="BU5" s="2"/>
      <c r="BV5" s="2">
        <f t="shared" ref="BV5:BV31" si="64">+BO5</f>
        <v>0</v>
      </c>
      <c r="BW5" s="2">
        <f>+IF(BP5-SUM($BO5:BO5)&lt;0,0,BP5-SUM($BO5:BO5))</f>
        <v>0</v>
      </c>
      <c r="BX5" s="2">
        <f>+IF(BQ5-SUM($BV5:BW5)&lt;0,0,BQ5-SUM($BV5:BW5))</f>
        <v>0</v>
      </c>
      <c r="BY5" s="2">
        <f>+IF(BR5-SUM($BV5:BX5)&lt;0,0,BR5-SUM($BV5:BX5))</f>
        <v>0</v>
      </c>
      <c r="BZ5" s="2">
        <f>+IF(BS5-SUM($BV5:BY5)&lt;0,0,BS5-SUM($BV5:BY5))</f>
        <v>0</v>
      </c>
      <c r="CA5" s="2">
        <f>+IF(BT5-SUM($BV5:BZ5)&lt;0,0,BT5-SUM($BV5:BZ5))</f>
        <v>0</v>
      </c>
      <c r="CB5" s="1166">
        <f t="shared" ref="CB5:CB31" si="65">+BV5*$W5</f>
        <v>0</v>
      </c>
      <c r="CC5" s="1167">
        <f t="shared" si="28"/>
        <v>0</v>
      </c>
      <c r="CD5" s="1167">
        <f t="shared" si="29"/>
        <v>0</v>
      </c>
      <c r="CE5" s="1167">
        <f t="shared" si="30"/>
        <v>0</v>
      </c>
      <c r="CF5" s="1167">
        <f t="shared" si="31"/>
        <v>0</v>
      </c>
      <c r="CG5" s="1168">
        <f t="shared" si="32"/>
        <v>0</v>
      </c>
      <c r="CH5" s="1861">
        <f>$V5*BV5</f>
        <v>0</v>
      </c>
      <c r="CI5" s="1865">
        <f t="shared" ref="CI5:CI31" si="66">$V5*BW5</f>
        <v>0</v>
      </c>
      <c r="CJ5" s="1865">
        <f t="shared" si="33"/>
        <v>0</v>
      </c>
      <c r="CK5" s="1865">
        <f t="shared" si="34"/>
        <v>0</v>
      </c>
      <c r="CL5" s="1865">
        <f t="shared" si="35"/>
        <v>0</v>
      </c>
      <c r="CM5" s="1173">
        <f t="shared" si="36"/>
        <v>0</v>
      </c>
      <c r="CN5" s="1861">
        <f t="shared" ref="CN5:CN31" si="67">+AZ5*$Y5*$AD5</f>
        <v>0</v>
      </c>
      <c r="CO5" s="1865">
        <f>IF(BA5*$Y5*$AD5-SUM($CN5:CN5)&lt;0,0,BA5*$Y5*$AD5-SUM($CN5:CN5))</f>
        <v>0</v>
      </c>
      <c r="CP5" s="1865">
        <f>IF(BB5*$Y5*$AD5-SUM($CN5:CO5)&lt;0,0,BB5*$Y5*$AD5-SUM($CN5:CO5))</f>
        <v>0</v>
      </c>
      <c r="CQ5" s="1865">
        <f>IF(BC5*$Y5*$AD5-SUM($CN5:CP5)&lt;0,0,BC5*$Y5*$AD5-SUM($CN5:CP5))</f>
        <v>0</v>
      </c>
      <c r="CR5" s="1865">
        <f>IF(BD5*$Y5*$AD5-SUM($CN5:CQ5)&lt;0,0,BD5*$Y5*$AD5-SUM($CN5:CQ5))</f>
        <v>0</v>
      </c>
      <c r="CS5" s="1173">
        <f>IF(BE5*$Y5*$AD5-SUM($CN5:CR5)&lt;0,0,BE5*$Y5*$AD5-SUM($CN5:CR5))</f>
        <v>0</v>
      </c>
      <c r="CT5" s="1873" t="str">
        <f t="shared" si="37"/>
        <v>Assembly core</v>
      </c>
      <c r="CU5" s="1861">
        <f t="shared" ref="CU5:CU31" si="68">+AZ5*$Y5*$AC5</f>
        <v>0</v>
      </c>
      <c r="CV5" s="1865">
        <f>IF(BA5*$Y5*$AC5-SUM($CU5:CU5)&lt;0,0,BA5*$Y5*$AC5-SUM($CU5:CU5))</f>
        <v>0</v>
      </c>
      <c r="CW5" s="1865">
        <f>IF(BB5*$Y5*$AC5-SUM($CU5:CV5)&lt;0,0,BB5*$Y5*$AC5-SUM($CU5:CV5))</f>
        <v>0</v>
      </c>
      <c r="CX5" s="1865">
        <f>IF(BC5*$Y5*$AC5-SUM($CU5:CW5)&lt;0,0,BC5*$Y5*$AC5-SUM($CU5:CW5))</f>
        <v>0</v>
      </c>
      <c r="CY5" s="1865">
        <f>IF(BD5*$Y5*$AC5-SUM($CU5:CX5)&lt;0,0,BD5*$Y5*$AC5-SUM($CU5:CX5))</f>
        <v>0</v>
      </c>
      <c r="CZ5" s="1173">
        <f>IF(BE5*$Y5*$AC5-SUM($CU5:CY5)&lt;0,0,BE5*$Y5*$AC5-SUM($CU5:CY5))</f>
        <v>0</v>
      </c>
      <c r="DA5" s="1171">
        <f t="shared" ref="DA5:DA31" si="69">+IF(X5&lt;&gt;0,R5/X5,0)</f>
        <v>0</v>
      </c>
      <c r="DB5" s="1173">
        <f t="shared" si="38"/>
        <v>0</v>
      </c>
      <c r="DC5" s="2"/>
      <c r="DE5" t="str">
        <f t="shared" si="39"/>
        <v>Operation - Assembly core</v>
      </c>
      <c r="DF5" s="16">
        <f t="shared" si="40"/>
        <v>4.6345971736596728E-2</v>
      </c>
      <c r="DG5" s="16">
        <f t="shared" si="41"/>
        <v>1.3243006993006992E-2</v>
      </c>
      <c r="DH5" s="16">
        <f t="shared" si="42"/>
        <v>3.3102964743589737E-2</v>
      </c>
      <c r="DJ5" t="str">
        <f t="shared" si="43"/>
        <v>RMB</v>
      </c>
      <c r="DK5" s="2">
        <f t="shared" si="44"/>
        <v>0</v>
      </c>
      <c r="DM5" s="6" t="s">
        <v>391</v>
      </c>
      <c r="DN5">
        <v>2.1176470588235293E-2</v>
      </c>
      <c r="DO5">
        <v>2.4999999999999998E-2</v>
      </c>
      <c r="DP5">
        <v>4.6176470588235291E-2</v>
      </c>
      <c r="DQ5" s="140">
        <f t="shared" ref="DQ5:DQ23" si="70">+DP5/SUM($DP$4:$DP$31)</f>
        <v>0.22437867116376783</v>
      </c>
      <c r="DR5" s="141">
        <f>+DQ5+DR4</f>
        <v>0.49889716215765578</v>
      </c>
    </row>
    <row r="6" spans="1:122" ht="15" thickBot="1">
      <c r="A6" s="1360" t="s">
        <v>384</v>
      </c>
      <c r="B6" s="1393" t="str">
        <f>+VLOOKUP(A6,'Financials Parameters'!$I$5:$K$15,2,FALSE)</f>
        <v>RMB</v>
      </c>
      <c r="C6" s="1394" t="str">
        <f t="shared" ref="C6:C31" si="71">+C5</f>
        <v>RMB</v>
      </c>
      <c r="D6" s="1394" t="str">
        <f t="shared" si="45"/>
        <v>RMBRMB</v>
      </c>
      <c r="E6" s="1394">
        <f>+SUMIF('Financials Parameters'!$D$29:$D$53,'Product Added value'!D6,'Financials Parameters'!$E$29:$E$53)</f>
        <v>0.99999999999999989</v>
      </c>
      <c r="F6" s="2216" t="s">
        <v>392</v>
      </c>
      <c r="G6" s="2211" t="s">
        <v>393</v>
      </c>
      <c r="H6" s="1363">
        <v>1</v>
      </c>
      <c r="I6" s="1363">
        <v>1</v>
      </c>
      <c r="J6" s="1369">
        <v>600</v>
      </c>
      <c r="K6" s="1388">
        <v>0.5</v>
      </c>
      <c r="L6" s="1389" t="s">
        <v>300</v>
      </c>
      <c r="M6" s="119">
        <f t="shared" si="46"/>
        <v>600</v>
      </c>
      <c r="N6" s="122">
        <f>+IF(M6&lt;&gt;0,INT('RFQ Data'!$M$48/M6)+1,0)</f>
        <v>1</v>
      </c>
      <c r="O6" s="121">
        <f>+IF(N6*M6&lt;&gt;0,'RFQ Data'!$M$48/(N6*M6),0)</f>
        <v>0.20202020202020202</v>
      </c>
      <c r="P6" s="110">
        <f>IF(H6*I6=0,0,1000/J6/I6*H6)</f>
        <v>1.6666666666666667</v>
      </c>
      <c r="Q6" s="113">
        <f t="shared" si="10"/>
        <v>0.83333333333333337</v>
      </c>
      <c r="R6" s="1362">
        <v>150</v>
      </c>
      <c r="S6" s="2063" t="str">
        <f t="shared" si="47"/>
        <v>Auto Soldering station</v>
      </c>
      <c r="T6" s="1364" t="s">
        <v>300</v>
      </c>
      <c r="U6" s="1369" t="s">
        <v>386</v>
      </c>
      <c r="V6" s="1378">
        <v>0</v>
      </c>
      <c r="W6" s="1358">
        <f t="shared" si="11"/>
        <v>1</v>
      </c>
      <c r="X6" s="1382">
        <f>+M6*VLOOKUP($A6,'Financials Parameters'!$I$5:$AM$16,20,FALSE)/1000</f>
        <v>3300</v>
      </c>
      <c r="Y6" s="1362"/>
      <c r="Z6" s="2063" t="str">
        <f t="shared" si="48"/>
        <v/>
      </c>
      <c r="AA6" s="1384"/>
      <c r="AB6" s="1369" t="s">
        <v>149</v>
      </c>
      <c r="AC6" s="1370">
        <v>1</v>
      </c>
      <c r="AD6" s="1358">
        <f t="shared" si="12"/>
        <v>0</v>
      </c>
      <c r="AE6" s="150">
        <f>+VLOOKUP($A6,'Financials Parameters'!$I$5:$AM$16,18,FALSE)</f>
        <v>20</v>
      </c>
      <c r="AF6" s="135">
        <f>+'VOH cost per h'!V7</f>
        <v>2.7272727272727275</v>
      </c>
      <c r="AG6" s="1657">
        <f t="shared" si="49"/>
        <v>3.7878787878787873E-2</v>
      </c>
      <c r="AH6" s="129">
        <f>+VLOOKUP($A6,'Financials Parameters'!$I$5:$AM$16,17,FALSE)</f>
        <v>34</v>
      </c>
      <c r="AI6" s="154">
        <f>IF(L6="YES",+'RFQ Data'!$J$61,0)</f>
        <v>0</v>
      </c>
      <c r="AJ6" s="131">
        <f t="shared" si="13"/>
        <v>2.8333333333333332E-2</v>
      </c>
      <c r="AK6" s="150">
        <f t="shared" si="14"/>
        <v>6.6212121212121208E-2</v>
      </c>
      <c r="AL6" s="130" t="str">
        <f>+VLOOKUP($A6,'Financials Parameters'!$I$5:$AM$16,3,FALSE)</f>
        <v>China + South pacific</v>
      </c>
      <c r="AM6" s="1157">
        <f>+IF($X6&lt;&gt;0,IF($T6="YES",ROUNDUP('RFQ Data'!D$47/$X6,0),'RFQ Data'!D$47/$X6),0)</f>
        <v>0</v>
      </c>
      <c r="AN6" s="1158">
        <f>+IF($X6&lt;&gt;0,IF($T6="YES",ROUNDUP('RFQ Data'!E$47/$X6,0),'RFQ Data'!E$47/$X6),0)</f>
        <v>0.20202020202020202</v>
      </c>
      <c r="AO6" s="1158">
        <f>+IF($X6&lt;&gt;0,IF($T6="YES",ROUNDUP('RFQ Data'!F$47/$X6,0),'RFQ Data'!F$47/$X6),0)</f>
        <v>0.20202020202020202</v>
      </c>
      <c r="AP6" s="1158">
        <f>+IF($X6&lt;&gt;0,IF($T6="YES",ROUNDUP('RFQ Data'!G$47/$X6,0),'RFQ Data'!G$47/$X6),0)</f>
        <v>0.20202020202020202</v>
      </c>
      <c r="AQ6" s="1158">
        <f>+IF($X6&lt;&gt;0,IF($T6="YES",ROUNDUP('RFQ Data'!H$47/$X6,0),'RFQ Data'!H$47/$X6),0)</f>
        <v>0.20202020202020202</v>
      </c>
      <c r="AR6" s="1159">
        <f>+IF($X6&lt;&gt;0,IF($T6="YES",ROUNDUP('RFQ Data'!I$47/$X6,0),'RFQ Data'!I$47/$X6),0)</f>
        <v>0.20202020202020202</v>
      </c>
      <c r="AS6" s="9">
        <f t="shared" si="50"/>
        <v>0.20202020202020202</v>
      </c>
      <c r="AT6" s="9">
        <f t="shared" si="51"/>
        <v>0.20202020202020202</v>
      </c>
      <c r="AU6" s="9">
        <f t="shared" si="52"/>
        <v>0.20202020202020202</v>
      </c>
      <c r="AV6" s="9">
        <f t="shared" si="53"/>
        <v>0.20202020202020202</v>
      </c>
      <c r="AW6" s="9">
        <f t="shared" si="54"/>
        <v>0.20202020202020202</v>
      </c>
      <c r="AX6" s="9">
        <f t="shared" si="55"/>
        <v>0.20202020202020202</v>
      </c>
      <c r="AZ6" s="9">
        <f t="shared" si="56"/>
        <v>1</v>
      </c>
      <c r="BA6" s="9">
        <f t="shared" si="57"/>
        <v>1</v>
      </c>
      <c r="BB6" s="9">
        <f t="shared" si="58"/>
        <v>1</v>
      </c>
      <c r="BC6" s="9">
        <f t="shared" si="59"/>
        <v>1</v>
      </c>
      <c r="BD6" s="9">
        <f t="shared" si="60"/>
        <v>1</v>
      </c>
      <c r="BE6" s="9">
        <f t="shared" si="61"/>
        <v>1</v>
      </c>
      <c r="BF6" s="9"/>
      <c r="BG6">
        <f t="shared" si="17"/>
        <v>666.66666666666663</v>
      </c>
      <c r="BH6">
        <f t="shared" si="18"/>
        <v>666.66666666666663</v>
      </c>
      <c r="BI6">
        <f t="shared" si="19"/>
        <v>666.66666666666663</v>
      </c>
      <c r="BJ6">
        <f t="shared" si="20"/>
        <v>666.66666666666663</v>
      </c>
      <c r="BK6">
        <f t="shared" si="21"/>
        <v>666.66666666666663</v>
      </c>
      <c r="BL6">
        <f t="shared" si="22"/>
        <v>666.66666666666663</v>
      </c>
      <c r="BO6" s="2">
        <f t="shared" si="62"/>
        <v>30.303030303030301</v>
      </c>
      <c r="BP6" s="2">
        <f t="shared" si="23"/>
        <v>30.303030303030301</v>
      </c>
      <c r="BQ6" s="2">
        <f t="shared" si="63"/>
        <v>30.303030303030301</v>
      </c>
      <c r="BR6" s="2">
        <f t="shared" si="24"/>
        <v>30.303030303030301</v>
      </c>
      <c r="BS6" s="2">
        <f t="shared" si="25"/>
        <v>30.303030303030301</v>
      </c>
      <c r="BT6" s="2">
        <f t="shared" si="26"/>
        <v>30.303030303030301</v>
      </c>
      <c r="BU6" s="2"/>
      <c r="BV6" s="2">
        <f t="shared" si="64"/>
        <v>30.303030303030301</v>
      </c>
      <c r="BW6" s="2">
        <f>+IF(BP6-SUM($BO6:BO6)&lt;0,0,BP6-SUM($BO6:BO6))</f>
        <v>0</v>
      </c>
      <c r="BX6" s="2">
        <f>+IF(BQ6-SUM($BV6:BW6)&lt;0,0,BQ6-SUM($BV6:BW6))</f>
        <v>0</v>
      </c>
      <c r="BY6" s="2">
        <f>+IF(BR6-SUM($BV6:BX6)&lt;0,0,BR6-SUM($BV6:BX6))</f>
        <v>0</v>
      </c>
      <c r="BZ6" s="2">
        <f>+IF(BS6-SUM($BV6:BY6)&lt;0,0,BS6-SUM($BV6:BY6))</f>
        <v>0</v>
      </c>
      <c r="CA6" s="2">
        <f>+IF(BT6-SUM($BV6:BZ6)&lt;0,0,BT6-SUM($BV6:BZ6))</f>
        <v>0</v>
      </c>
      <c r="CB6" s="1166">
        <f t="shared" si="65"/>
        <v>30.303030303030301</v>
      </c>
      <c r="CC6" s="1167">
        <f t="shared" si="28"/>
        <v>0</v>
      </c>
      <c r="CD6" s="1167">
        <f t="shared" si="29"/>
        <v>0</v>
      </c>
      <c r="CE6" s="1167">
        <f t="shared" si="30"/>
        <v>0</v>
      </c>
      <c r="CF6" s="1167">
        <f t="shared" si="31"/>
        <v>0</v>
      </c>
      <c r="CG6" s="1168">
        <f t="shared" si="32"/>
        <v>0</v>
      </c>
      <c r="CH6" s="1861">
        <f t="shared" ref="CH6:CH31" si="72">$V6*BV6</f>
        <v>0</v>
      </c>
      <c r="CI6" s="1865">
        <f t="shared" si="66"/>
        <v>0</v>
      </c>
      <c r="CJ6" s="1865">
        <f t="shared" si="33"/>
        <v>0</v>
      </c>
      <c r="CK6" s="1865">
        <f t="shared" si="34"/>
        <v>0</v>
      </c>
      <c r="CL6" s="1865">
        <f t="shared" si="35"/>
        <v>0</v>
      </c>
      <c r="CM6" s="1173">
        <f t="shared" si="36"/>
        <v>0</v>
      </c>
      <c r="CN6" s="1861">
        <f t="shared" si="67"/>
        <v>0</v>
      </c>
      <c r="CO6" s="1865">
        <f>IF(BA6*$Y6*$AD6-SUM($CN6:CN6)&lt;0,0,BA6*$Y6*$AD6-SUM($CN6:CN6))</f>
        <v>0</v>
      </c>
      <c r="CP6" s="1865">
        <f>IF(BB6*$Y6*$AD6-SUM($CN6:CO6)&lt;0,0,BB6*$Y6*$AD6-SUM($CN6:CO6))</f>
        <v>0</v>
      </c>
      <c r="CQ6" s="1865">
        <f>IF(BC6*$Y6*$AD6-SUM($CN6:CP6)&lt;0,0,BC6*$Y6*$AD6-SUM($CN6:CP6))</f>
        <v>0</v>
      </c>
      <c r="CR6" s="1865">
        <f>IF(BD6*$Y6*$AD6-SUM($CN6:CQ6)&lt;0,0,BD6*$Y6*$AD6-SUM($CN6:CQ6))</f>
        <v>0</v>
      </c>
      <c r="CS6" s="1173">
        <f>IF(BE6*$Y6*$AD6-SUM($CN6:CR6)&lt;0,0,BE6*$Y6*$AD6-SUM($CN6:CR6))</f>
        <v>0</v>
      </c>
      <c r="CT6" s="1873" t="str">
        <f t="shared" si="37"/>
        <v>Auto Soldering</v>
      </c>
      <c r="CU6" s="1861">
        <f t="shared" si="68"/>
        <v>0</v>
      </c>
      <c r="CV6" s="1865">
        <f>IF(BA6*$Y6*$AC6-SUM($CU6:CU6)&lt;0,0,BA6*$Y6*$AC6-SUM($CU6:CU6))</f>
        <v>0</v>
      </c>
      <c r="CW6" s="1865">
        <f>IF(BB6*$Y6*$AC6-SUM($CU6:CV6)&lt;0,0,BB6*$Y6*$AC6-SUM($CU6:CV6))</f>
        <v>0</v>
      </c>
      <c r="CX6" s="1865">
        <f>IF(BC6*$Y6*$AC6-SUM($CU6:CW6)&lt;0,0,BC6*$Y6*$AC6-SUM($CU6:CW6))</f>
        <v>0</v>
      </c>
      <c r="CY6" s="1865">
        <f>IF(BD6*$Y6*$AC6-SUM($CU6:CX6)&lt;0,0,BD6*$Y6*$AC6-SUM($CU6:CX6))</f>
        <v>0</v>
      </c>
      <c r="CZ6" s="1173">
        <f>IF(BE6*$Y6*$AC6-SUM($CU6:CY6)&lt;0,0,BE6*$Y6*$AC6-SUM($CU6:CY6))</f>
        <v>0</v>
      </c>
      <c r="DA6" s="1171">
        <f t="shared" si="69"/>
        <v>4.5454545454545456E-2</v>
      </c>
      <c r="DB6" s="1173">
        <f t="shared" si="38"/>
        <v>27.272727272727273</v>
      </c>
      <c r="DC6" s="2"/>
      <c r="DE6" t="str">
        <f t="shared" si="39"/>
        <v>Operation - Auto Soldering</v>
      </c>
      <c r="DF6" s="16">
        <f t="shared" si="40"/>
        <v>6.6212121212121208E-2</v>
      </c>
      <c r="DG6" s="16">
        <f t="shared" si="41"/>
        <v>3.7878787878787873E-2</v>
      </c>
      <c r="DH6" s="16">
        <f t="shared" si="42"/>
        <v>2.8333333333333332E-2</v>
      </c>
      <c r="DJ6" t="str">
        <f t="shared" si="43"/>
        <v>RMB</v>
      </c>
      <c r="DK6" s="2">
        <f t="shared" si="44"/>
        <v>30.303030303030301</v>
      </c>
      <c r="DM6" s="6" t="s">
        <v>394</v>
      </c>
      <c r="DN6">
        <v>1.0058823529411764E-2</v>
      </c>
      <c r="DO6">
        <v>1.2499999999999999E-2</v>
      </c>
      <c r="DP6">
        <v>2.2558823529411763E-2</v>
      </c>
      <c r="DQ6" s="140">
        <f t="shared" si="70"/>
        <v>0.10961684126280886</v>
      </c>
      <c r="DR6" s="141">
        <f t="shared" ref="DR6:DR13" si="73">+DQ6+DR5</f>
        <v>0.60851400342046469</v>
      </c>
    </row>
    <row r="7" spans="1:122" ht="15" thickBot="1">
      <c r="A7" s="1360" t="s">
        <v>384</v>
      </c>
      <c r="B7" s="1393" t="str">
        <f>+VLOOKUP(A7,'Financials Parameters'!$I$5:$K$15,2,FALSE)</f>
        <v>RMB</v>
      </c>
      <c r="C7" s="1394" t="str">
        <f t="shared" si="71"/>
        <v>RMB</v>
      </c>
      <c r="D7" s="1394" t="str">
        <f t="shared" si="45"/>
        <v>RMBRMB</v>
      </c>
      <c r="E7" s="1394">
        <f>+SUMIF('Financials Parameters'!$D$29:$D$53,'Product Added value'!D7,'Financials Parameters'!$E$29:$E$53)</f>
        <v>0.99999999999999989</v>
      </c>
      <c r="F7" s="2216" t="s">
        <v>395</v>
      </c>
      <c r="G7" s="2211" t="s">
        <v>396</v>
      </c>
      <c r="H7" s="1363">
        <v>1</v>
      </c>
      <c r="I7" s="1363">
        <v>1</v>
      </c>
      <c r="J7" s="1369">
        <v>10000</v>
      </c>
      <c r="K7" s="1388">
        <v>1</v>
      </c>
      <c r="L7" s="1389" t="s">
        <v>300</v>
      </c>
      <c r="M7" s="119">
        <f t="shared" si="46"/>
        <v>10000</v>
      </c>
      <c r="N7" s="122">
        <f>+IF(M7&lt;&gt;0,INT('RFQ Data'!$M$48/M7)+1,0)</f>
        <v>1</v>
      </c>
      <c r="O7" s="121">
        <f>+IF(N7*M7&lt;&gt;0,'RFQ Data'!$M$48/(N7*M7),0)</f>
        <v>1.2121212121212121E-2</v>
      </c>
      <c r="P7" s="110">
        <f>IF(H7*I7=0,0,1000/J7/I7*H7)</f>
        <v>0.1</v>
      </c>
      <c r="Q7" s="113">
        <f t="shared" si="10"/>
        <v>0.1</v>
      </c>
      <c r="R7" s="1362"/>
      <c r="S7" s="2063" t="str">
        <f t="shared" si="47"/>
        <v/>
      </c>
      <c r="T7" s="1364" t="s">
        <v>300</v>
      </c>
      <c r="U7" s="1369" t="s">
        <v>386</v>
      </c>
      <c r="V7" s="1378">
        <v>0</v>
      </c>
      <c r="W7" s="1358">
        <f t="shared" si="11"/>
        <v>1</v>
      </c>
      <c r="X7" s="1382">
        <f>+M7*VLOOKUP($A7,'Financials Parameters'!$I$5:$AM$16,20,FALSE)/1000</f>
        <v>55000</v>
      </c>
      <c r="Y7" s="1362"/>
      <c r="Z7" s="2063" t="str">
        <f t="shared" si="48"/>
        <v/>
      </c>
      <c r="AA7" s="1369"/>
      <c r="AB7" s="1369" t="s">
        <v>149</v>
      </c>
      <c r="AC7" s="1370">
        <v>1</v>
      </c>
      <c r="AD7" s="1358">
        <f t="shared" si="12"/>
        <v>0</v>
      </c>
      <c r="AE7" s="150">
        <f>+VLOOKUP($A7,'Financials Parameters'!$I$5:$AM$16,18,FALSE)</f>
        <v>20</v>
      </c>
      <c r="AF7" s="135">
        <f>+'VOH cost per h'!V8</f>
        <v>0</v>
      </c>
      <c r="AG7" s="1657">
        <f>+(AF7+AE7)*P7/1000*E7</f>
        <v>1.9999999999999996E-3</v>
      </c>
      <c r="AH7" s="129">
        <f>+VLOOKUP($A7,'Financials Parameters'!$I$5:$AM$16,17,FALSE)</f>
        <v>34</v>
      </c>
      <c r="AI7" s="154">
        <f>IF(L7="YES",+'RFQ Data'!$J$61,0)</f>
        <v>0</v>
      </c>
      <c r="AJ7" s="131">
        <f t="shared" si="13"/>
        <v>3.3999999999999998E-3</v>
      </c>
      <c r="AK7" s="150">
        <f t="shared" si="14"/>
        <v>5.3999999999999994E-3</v>
      </c>
      <c r="AL7" s="130" t="str">
        <f>+VLOOKUP($A7,'Financials Parameters'!$I$5:$AM$16,3,FALSE)</f>
        <v>China + South pacific</v>
      </c>
      <c r="AM7" s="1157">
        <f>+IF($X7&lt;&gt;0,IF($T7="YES",ROUNDUP('RFQ Data'!D$47/$X7,0),'RFQ Data'!D$47/$X7),0)</f>
        <v>0</v>
      </c>
      <c r="AN7" s="1158">
        <f>+IF($X7&lt;&gt;0,IF($T7="YES",ROUNDUP('RFQ Data'!E$47/$X7,0),'RFQ Data'!E$47/$X7),0)</f>
        <v>1.2121212121212121E-2</v>
      </c>
      <c r="AO7" s="1158">
        <f>+IF($X7&lt;&gt;0,IF($T7="YES",ROUNDUP('RFQ Data'!F$47/$X7,0),'RFQ Data'!F$47/$X7),0)</f>
        <v>1.2121212121212121E-2</v>
      </c>
      <c r="AP7" s="1158">
        <f>+IF($X7&lt;&gt;0,IF($T7="YES",ROUNDUP('RFQ Data'!G$47/$X7,0),'RFQ Data'!G$47/$X7),0)</f>
        <v>1.2121212121212121E-2</v>
      </c>
      <c r="AQ7" s="1158">
        <f>+IF($X7&lt;&gt;0,IF($T7="YES",ROUNDUP('RFQ Data'!H$47/$X7,0),'RFQ Data'!H$47/$X7),0)</f>
        <v>1.2121212121212121E-2</v>
      </c>
      <c r="AR7" s="1159">
        <f>+IF($X7&lt;&gt;0,IF($T7="YES",ROUNDUP('RFQ Data'!I$47/$X7,0),'RFQ Data'!I$47/$X7),0)</f>
        <v>1.2121212121212121E-2</v>
      </c>
      <c r="AS7" s="9">
        <f t="shared" si="50"/>
        <v>1.2121212121212121E-2</v>
      </c>
      <c r="AT7" s="9">
        <f t="shared" si="51"/>
        <v>1.2121212121212121E-2</v>
      </c>
      <c r="AU7" s="9">
        <f t="shared" si="52"/>
        <v>1.2121212121212121E-2</v>
      </c>
      <c r="AV7" s="9">
        <f t="shared" si="53"/>
        <v>1.2121212121212121E-2</v>
      </c>
      <c r="AW7" s="9">
        <f t="shared" si="54"/>
        <v>1.2121212121212121E-2</v>
      </c>
      <c r="AX7" s="9">
        <f t="shared" si="55"/>
        <v>1.2121212121212121E-2</v>
      </c>
      <c r="AZ7" s="9">
        <f t="shared" si="56"/>
        <v>1</v>
      </c>
      <c r="BA7" s="9">
        <f t="shared" si="57"/>
        <v>1</v>
      </c>
      <c r="BB7" s="9">
        <f t="shared" si="58"/>
        <v>1</v>
      </c>
      <c r="BC7" s="9">
        <f t="shared" si="59"/>
        <v>1</v>
      </c>
      <c r="BD7" s="9">
        <f t="shared" si="60"/>
        <v>1</v>
      </c>
      <c r="BE7" s="9">
        <f t="shared" si="61"/>
        <v>1</v>
      </c>
      <c r="BF7" s="9"/>
      <c r="BG7">
        <f t="shared" si="17"/>
        <v>666.66666666666663</v>
      </c>
      <c r="BH7">
        <f t="shared" si="18"/>
        <v>666.66666666666663</v>
      </c>
      <c r="BI7">
        <f t="shared" si="19"/>
        <v>666.66666666666663</v>
      </c>
      <c r="BJ7">
        <f t="shared" si="20"/>
        <v>666.66666666666663</v>
      </c>
      <c r="BK7">
        <f t="shared" si="21"/>
        <v>666.66666666666663</v>
      </c>
      <c r="BL7">
        <f t="shared" si="22"/>
        <v>666.66666666666663</v>
      </c>
      <c r="BO7" s="2">
        <f t="shared" si="62"/>
        <v>0</v>
      </c>
      <c r="BP7" s="2">
        <f t="shared" si="23"/>
        <v>0</v>
      </c>
      <c r="BQ7" s="2">
        <f>+AU7*$R7</f>
        <v>0</v>
      </c>
      <c r="BR7" s="2">
        <f t="shared" si="24"/>
        <v>0</v>
      </c>
      <c r="BS7" s="2">
        <f t="shared" si="25"/>
        <v>0</v>
      </c>
      <c r="BT7" s="2">
        <f t="shared" si="26"/>
        <v>0</v>
      </c>
      <c r="BU7" s="2"/>
      <c r="BV7" s="2">
        <f t="shared" si="64"/>
        <v>0</v>
      </c>
      <c r="BW7" s="2">
        <f>+IF(BP7-SUM($BO7:BO7)&lt;0,0,BP7-SUM($BO7:BO7))</f>
        <v>0</v>
      </c>
      <c r="BX7" s="2">
        <f>+IF(BQ7-SUM($BV7:BW7)&lt;0,0,BQ7-SUM($BV7:BW7))</f>
        <v>0</v>
      </c>
      <c r="BY7" s="2">
        <f>+IF(BR7-SUM($BV7:BX7)&lt;0,0,BR7-SUM($BV7:BX7))</f>
        <v>0</v>
      </c>
      <c r="BZ7" s="2">
        <f>+IF(BS7-SUM($BV7:BY7)&lt;0,0,BS7-SUM($BV7:BY7))</f>
        <v>0</v>
      </c>
      <c r="CA7" s="2">
        <f>+IF(BT7-SUM($BV7:BZ7)&lt;0,0,BT7-SUM($BV7:BZ7))</f>
        <v>0</v>
      </c>
      <c r="CB7" s="1166">
        <f t="shared" si="65"/>
        <v>0</v>
      </c>
      <c r="CC7" s="1167">
        <f t="shared" si="28"/>
        <v>0</v>
      </c>
      <c r="CD7" s="1167">
        <f t="shared" si="29"/>
        <v>0</v>
      </c>
      <c r="CE7" s="1167">
        <f t="shared" si="30"/>
        <v>0</v>
      </c>
      <c r="CF7" s="1167">
        <f t="shared" si="31"/>
        <v>0</v>
      </c>
      <c r="CG7" s="1168">
        <f t="shared" si="32"/>
        <v>0</v>
      </c>
      <c r="CH7" s="1861">
        <f t="shared" si="72"/>
        <v>0</v>
      </c>
      <c r="CI7" s="1865">
        <f t="shared" si="66"/>
        <v>0</v>
      </c>
      <c r="CJ7" s="1865">
        <f t="shared" si="33"/>
        <v>0</v>
      </c>
      <c r="CK7" s="1865">
        <f t="shared" si="34"/>
        <v>0</v>
      </c>
      <c r="CL7" s="1865">
        <f t="shared" si="35"/>
        <v>0</v>
      </c>
      <c r="CM7" s="1173">
        <f t="shared" si="36"/>
        <v>0</v>
      </c>
      <c r="CN7" s="1861">
        <f t="shared" si="67"/>
        <v>0</v>
      </c>
      <c r="CO7" s="1865">
        <f>IF(BA7*$Y7*$AD7-SUM($CN7:CN7)&lt;0,0,BA7*$Y7*$AD7-SUM($CN7:CN7))</f>
        <v>0</v>
      </c>
      <c r="CP7" s="1865">
        <f>IF(BB7*$Y7*$AD7-SUM($CN7:CO7)&lt;0,0,BB7*$Y7*$AD7-SUM($CN7:CO7))</f>
        <v>0</v>
      </c>
      <c r="CQ7" s="1865">
        <f>IF(BC7*$Y7*$AD7-SUM($CN7:CP7)&lt;0,0,BC7*$Y7*$AD7-SUM($CN7:CP7))</f>
        <v>0</v>
      </c>
      <c r="CR7" s="1865">
        <f>IF(BD7*$Y7*$AD7-SUM($CN7:CQ7)&lt;0,0,BD7*$Y7*$AD7-SUM($CN7:CQ7))</f>
        <v>0</v>
      </c>
      <c r="CS7" s="1173">
        <f>IF(BE7*$Y7*$AD7-SUM($CN7:CR7)&lt;0,0,BE7*$Y7*$AD7-SUM($CN7:CR7))</f>
        <v>0</v>
      </c>
      <c r="CT7" s="1873" t="str">
        <f t="shared" si="37"/>
        <v>Inspection + Packaging</v>
      </c>
      <c r="CU7" s="1861">
        <f t="shared" si="68"/>
        <v>0</v>
      </c>
      <c r="CV7" s="1865">
        <f>IF(BA7*$Y7*$AC7-SUM($CU7:CU7)&lt;0,0,BA7*$Y7*$AC7-SUM($CU7:CU7))</f>
        <v>0</v>
      </c>
      <c r="CW7" s="1865">
        <f>IF(BB7*$Y7*$AC7-SUM($CU7:CV7)&lt;0,0,BB7*$Y7*$AC7-SUM($CU7:CV7))</f>
        <v>0</v>
      </c>
      <c r="CX7" s="1865">
        <f>IF(BC7*$Y7*$AC7-SUM($CU7:CW7)&lt;0,0,BC7*$Y7*$AC7-SUM($CU7:CW7))</f>
        <v>0</v>
      </c>
      <c r="CY7" s="1865">
        <f>IF(BD7*$Y7*$AC7-SUM($CU7:CX7)&lt;0,0,BD7*$Y7*$AC7-SUM($CU7:CX7))</f>
        <v>0</v>
      </c>
      <c r="CZ7" s="1173">
        <f>IF(BE7*$Y7*$AC7-SUM($CU7:CY7)&lt;0,0,BE7*$Y7*$AC7-SUM($CU7:CY7))</f>
        <v>0</v>
      </c>
      <c r="DA7" s="1171">
        <f t="shared" si="69"/>
        <v>0</v>
      </c>
      <c r="DB7" s="1173">
        <f t="shared" si="38"/>
        <v>0</v>
      </c>
      <c r="DC7" s="2"/>
      <c r="DE7" t="str">
        <f t="shared" si="39"/>
        <v>Operation - Inspection + Packaging</v>
      </c>
      <c r="DF7" s="16">
        <f t="shared" si="40"/>
        <v>5.3999999999999994E-3</v>
      </c>
      <c r="DG7" s="16">
        <f t="shared" si="41"/>
        <v>1.9999999999999996E-3</v>
      </c>
      <c r="DH7" s="16">
        <f t="shared" si="42"/>
        <v>3.3999999999999998E-3</v>
      </c>
      <c r="DJ7" t="str">
        <f t="shared" si="43"/>
        <v>RMB</v>
      </c>
      <c r="DK7" s="2">
        <f t="shared" si="44"/>
        <v>0</v>
      </c>
      <c r="DM7" s="6" t="s">
        <v>397</v>
      </c>
      <c r="DN7">
        <v>1.074074074074074E-2</v>
      </c>
      <c r="DO7">
        <v>1.1805555555555555E-2</v>
      </c>
      <c r="DP7">
        <v>2.2546296296296293E-2</v>
      </c>
      <c r="DQ7" s="140">
        <f t="shared" si="70"/>
        <v>0.1095559694836538</v>
      </c>
      <c r="DR7" s="141">
        <f t="shared" si="73"/>
        <v>0.71806997290411845</v>
      </c>
    </row>
    <row r="8" spans="1:122" ht="15" thickBot="1">
      <c r="A8" s="1360" t="s">
        <v>384</v>
      </c>
      <c r="B8" s="1393" t="str">
        <f>+VLOOKUP(A8,'Financials Parameters'!$I$5:$K$15,2,FALSE)</f>
        <v>RMB</v>
      </c>
      <c r="C8" s="1394" t="str">
        <f t="shared" si="71"/>
        <v>RMB</v>
      </c>
      <c r="D8" s="1394" t="str">
        <f t="shared" si="45"/>
        <v>RMBRMB</v>
      </c>
      <c r="E8" s="1394">
        <f>+SUMIF('Financials Parameters'!$D$29:$D$53,'Product Added value'!D8,'Financials Parameters'!$E$29:$E$53)</f>
        <v>0.99999999999999989</v>
      </c>
      <c r="F8" s="2216" t="s">
        <v>398</v>
      </c>
      <c r="G8" s="2211"/>
      <c r="H8" s="1363"/>
      <c r="I8" s="1363"/>
      <c r="J8" s="1369"/>
      <c r="K8" s="1388"/>
      <c r="L8" s="1389"/>
      <c r="M8" s="119">
        <f t="shared" si="46"/>
        <v>0</v>
      </c>
      <c r="N8" s="122">
        <f>+IF(M8&lt;&gt;0,INT('RFQ Data'!$M$48/M8)+1,0)</f>
        <v>0</v>
      </c>
      <c r="O8" s="121">
        <f>+IF(N8*M8&lt;&gt;0,'RFQ Data'!$M$48/(N8*M8),0)</f>
        <v>0</v>
      </c>
      <c r="P8" s="110">
        <f>IF(H8*I8=0,0,1000/J8/I8*H8)</f>
        <v>0</v>
      </c>
      <c r="Q8" s="113">
        <f t="shared" si="10"/>
        <v>0</v>
      </c>
      <c r="R8" s="1362"/>
      <c r="S8" s="2063" t="str">
        <f t="shared" si="47"/>
        <v/>
      </c>
      <c r="T8" s="1364" t="s">
        <v>300</v>
      </c>
      <c r="U8" s="1369" t="s">
        <v>386</v>
      </c>
      <c r="V8" s="1370">
        <v>1</v>
      </c>
      <c r="W8" s="1358">
        <f t="shared" si="11"/>
        <v>0</v>
      </c>
      <c r="X8" s="1382">
        <f>+M8*VLOOKUP($A8,'Financials Parameters'!$I$5:$AM$16,20,FALSE)/1000</f>
        <v>0</v>
      </c>
      <c r="Y8" s="1362"/>
      <c r="Z8" s="2063" t="str">
        <f t="shared" si="48"/>
        <v/>
      </c>
      <c r="AA8" s="1384"/>
      <c r="AB8" s="1369" t="s">
        <v>149</v>
      </c>
      <c r="AC8" s="1370">
        <v>1</v>
      </c>
      <c r="AD8" s="1358">
        <f t="shared" si="12"/>
        <v>0</v>
      </c>
      <c r="AE8" s="150">
        <f>+VLOOKUP($A8,'Financials Parameters'!$I$5:$AM$16,18,FALSE)</f>
        <v>20</v>
      </c>
      <c r="AF8" s="135">
        <f>+'VOH cost per h'!V9</f>
        <v>0</v>
      </c>
      <c r="AG8" s="1657">
        <f t="shared" si="49"/>
        <v>0</v>
      </c>
      <c r="AH8" s="129">
        <f>+VLOOKUP($A8,'Financials Parameters'!$I$5:$AM$16,17,FALSE)</f>
        <v>34</v>
      </c>
      <c r="AI8" s="154">
        <f>IF(L8="YES",+'RFQ Data'!$J$61,0)</f>
        <v>0</v>
      </c>
      <c r="AJ8" s="131">
        <f t="shared" si="13"/>
        <v>0</v>
      </c>
      <c r="AK8" s="150">
        <f t="shared" si="14"/>
        <v>0</v>
      </c>
      <c r="AL8" s="130" t="str">
        <f>+VLOOKUP($A8,'Financials Parameters'!$I$5:$AM$16,3,FALSE)</f>
        <v>China + South pacific</v>
      </c>
      <c r="AM8" s="1157">
        <f>+IF($X8&lt;&gt;0,IF($T8="YES",ROUNDUP('RFQ Data'!D$47/$X8,0),'RFQ Data'!D$47/$X8),0)</f>
        <v>0</v>
      </c>
      <c r="AN8" s="1158">
        <f>+IF($X8&lt;&gt;0,IF($T8="YES",ROUNDUP('RFQ Data'!E$47/$X8,0),'RFQ Data'!E$47/$X8),0)</f>
        <v>0</v>
      </c>
      <c r="AO8" s="1158">
        <f>+IF($X8&lt;&gt;0,IF($T8="YES",ROUNDUP('RFQ Data'!F$47/$X8,0),'RFQ Data'!F$47/$X8),0)</f>
        <v>0</v>
      </c>
      <c r="AP8" s="1158">
        <f>+IF($X8&lt;&gt;0,IF($T8="YES",ROUNDUP('RFQ Data'!G$47/$X8,0),'RFQ Data'!G$47/$X8),0)</f>
        <v>0</v>
      </c>
      <c r="AQ8" s="1158">
        <f>+IF($X8&lt;&gt;0,IF($T8="YES",ROUNDUP('RFQ Data'!H$47/$X8,0),'RFQ Data'!H$47/$X8),0)</f>
        <v>0</v>
      </c>
      <c r="AR8" s="1159">
        <f>+IF($X8&lt;&gt;0,IF($T8="YES",ROUNDUP('RFQ Data'!I$47/$X8,0),'RFQ Data'!I$47/$X8),0)</f>
        <v>0</v>
      </c>
      <c r="AS8" s="9">
        <f t="shared" si="50"/>
        <v>0</v>
      </c>
      <c r="AT8" s="9">
        <f t="shared" si="51"/>
        <v>0</v>
      </c>
      <c r="AU8" s="9">
        <f t="shared" si="52"/>
        <v>0</v>
      </c>
      <c r="AV8" s="9">
        <f t="shared" si="53"/>
        <v>0</v>
      </c>
      <c r="AW8" s="9">
        <f t="shared" si="54"/>
        <v>0</v>
      </c>
      <c r="AX8" s="9">
        <f t="shared" si="55"/>
        <v>0</v>
      </c>
      <c r="AZ8" s="9">
        <f t="shared" si="56"/>
        <v>0</v>
      </c>
      <c r="BA8" s="9">
        <f t="shared" si="57"/>
        <v>0</v>
      </c>
      <c r="BB8" s="9">
        <f t="shared" si="58"/>
        <v>0</v>
      </c>
      <c r="BC8" s="9">
        <f t="shared" si="59"/>
        <v>0</v>
      </c>
      <c r="BD8" s="9">
        <f t="shared" si="60"/>
        <v>0</v>
      </c>
      <c r="BE8" s="9">
        <f t="shared" si="61"/>
        <v>0</v>
      </c>
      <c r="BF8" s="9"/>
      <c r="BG8">
        <f t="shared" si="17"/>
        <v>100000000</v>
      </c>
      <c r="BH8">
        <f t="shared" si="18"/>
        <v>100000000</v>
      </c>
      <c r="BI8">
        <f t="shared" si="19"/>
        <v>100000000</v>
      </c>
      <c r="BJ8">
        <f t="shared" si="20"/>
        <v>100000000</v>
      </c>
      <c r="BK8">
        <f t="shared" si="21"/>
        <v>100000000</v>
      </c>
      <c r="BL8">
        <f t="shared" si="22"/>
        <v>100000000</v>
      </c>
      <c r="BO8" s="2">
        <f t="shared" si="62"/>
        <v>0</v>
      </c>
      <c r="BP8" s="2">
        <f t="shared" si="23"/>
        <v>0</v>
      </c>
      <c r="BQ8" s="2">
        <f t="shared" si="63"/>
        <v>0</v>
      </c>
      <c r="BR8" s="2">
        <f t="shared" si="24"/>
        <v>0</v>
      </c>
      <c r="BS8" s="2">
        <f t="shared" si="25"/>
        <v>0</v>
      </c>
      <c r="BT8" s="2">
        <f t="shared" si="26"/>
        <v>0</v>
      </c>
      <c r="BU8" s="2"/>
      <c r="BV8" s="2">
        <f t="shared" si="64"/>
        <v>0</v>
      </c>
      <c r="BW8" s="2">
        <f>+IF(BP8-SUM($BO8:BO8)&lt;0,0,BP8-SUM($BO8:BO8))</f>
        <v>0</v>
      </c>
      <c r="BX8" s="2">
        <f>+IF(BQ8-SUM($BV8:BW8)&lt;0,0,BQ8-SUM($BV8:BW8))</f>
        <v>0</v>
      </c>
      <c r="BY8" s="2">
        <f>+IF(BR8-SUM($BV8:BX8)&lt;0,0,BR8-SUM($BV8:BX8))</f>
        <v>0</v>
      </c>
      <c r="BZ8" s="2">
        <f>+IF(BS8-SUM($BV8:BY8)&lt;0,0,BS8-SUM($BV8:BY8))</f>
        <v>0</v>
      </c>
      <c r="CA8" s="2">
        <f>+IF(BT8-SUM($BV8:BZ8)&lt;0,0,BT8-SUM($BV8:BZ8))</f>
        <v>0</v>
      </c>
      <c r="CB8" s="1166">
        <f t="shared" si="65"/>
        <v>0</v>
      </c>
      <c r="CC8" s="1167">
        <f t="shared" si="28"/>
        <v>0</v>
      </c>
      <c r="CD8" s="1167">
        <f t="shared" si="29"/>
        <v>0</v>
      </c>
      <c r="CE8" s="1167">
        <f t="shared" si="30"/>
        <v>0</v>
      </c>
      <c r="CF8" s="1167">
        <f t="shared" si="31"/>
        <v>0</v>
      </c>
      <c r="CG8" s="1168">
        <f t="shared" si="32"/>
        <v>0</v>
      </c>
      <c r="CH8" s="1861">
        <f t="shared" si="72"/>
        <v>0</v>
      </c>
      <c r="CI8" s="1865">
        <f t="shared" si="66"/>
        <v>0</v>
      </c>
      <c r="CJ8" s="1865">
        <f t="shared" si="33"/>
        <v>0</v>
      </c>
      <c r="CK8" s="1865">
        <f t="shared" si="34"/>
        <v>0</v>
      </c>
      <c r="CL8" s="1865">
        <f t="shared" si="35"/>
        <v>0</v>
      </c>
      <c r="CM8" s="1173">
        <f t="shared" si="36"/>
        <v>0</v>
      </c>
      <c r="CN8" s="1861">
        <f t="shared" si="67"/>
        <v>0</v>
      </c>
      <c r="CO8" s="1865">
        <f>IF(BA8*$Y8*$AD8-SUM($CN8:CN8)&lt;0,0,BA8*$Y8*$AD8-SUM($CN8:CN8))</f>
        <v>0</v>
      </c>
      <c r="CP8" s="1865">
        <f>IF(BB8*$Y8*$AD8-SUM($CN8:CO8)&lt;0,0,BB8*$Y8*$AD8-SUM($CN8:CO8))</f>
        <v>0</v>
      </c>
      <c r="CQ8" s="1865">
        <f>IF(BC8*$Y8*$AD8-SUM($CN8:CP8)&lt;0,0,BC8*$Y8*$AD8-SUM($CN8:CP8))</f>
        <v>0</v>
      </c>
      <c r="CR8" s="1865">
        <f>IF(BD8*$Y8*$AD8-SUM($CN8:CQ8)&lt;0,0,BD8*$Y8*$AD8-SUM($CN8:CQ8))</f>
        <v>0</v>
      </c>
      <c r="CS8" s="1173">
        <f>IF(BE8*$Y8*$AD8-SUM($CN8:CR8)&lt;0,0,BE8*$Y8*$AD8-SUM($CN8:CR8))</f>
        <v>0</v>
      </c>
      <c r="CT8" s="1873">
        <f t="shared" si="37"/>
        <v>0</v>
      </c>
      <c r="CU8" s="1861">
        <f t="shared" si="68"/>
        <v>0</v>
      </c>
      <c r="CV8" s="1865">
        <f>IF(BA8*$Y8*$AC8-SUM($CU8:CU8)&lt;0,0,BA8*$Y8*$AC8-SUM($CU8:CU8))</f>
        <v>0</v>
      </c>
      <c r="CW8" s="1865">
        <f>IF(BB8*$Y8*$AC8-SUM($CU8:CV8)&lt;0,0,BB8*$Y8*$AC8-SUM($CU8:CV8))</f>
        <v>0</v>
      </c>
      <c r="CX8" s="1865">
        <f>IF(BC8*$Y8*$AC8-SUM($CU8:CW8)&lt;0,0,BC8*$Y8*$AC8-SUM($CU8:CW8))</f>
        <v>0</v>
      </c>
      <c r="CY8" s="1865">
        <f>IF(BD8*$Y8*$AC8-SUM($CU8:CX8)&lt;0,0,BD8*$Y8*$AC8-SUM($CU8:CX8))</f>
        <v>0</v>
      </c>
      <c r="CZ8" s="1173">
        <f>IF(BE8*$Y8*$AC8-SUM($CU8:CY8)&lt;0,0,BE8*$Y8*$AC8-SUM($CU8:CY8))</f>
        <v>0</v>
      </c>
      <c r="DA8" s="1171">
        <f t="shared" si="69"/>
        <v>0</v>
      </c>
      <c r="DB8" s="1173">
        <f t="shared" si="38"/>
        <v>0</v>
      </c>
      <c r="DC8" s="2"/>
      <c r="DE8" t="str">
        <f t="shared" si="39"/>
        <v xml:space="preserve">Operation - </v>
      </c>
      <c r="DF8" s="16">
        <f t="shared" si="40"/>
        <v>0</v>
      </c>
      <c r="DG8" s="16">
        <f t="shared" si="41"/>
        <v>0</v>
      </c>
      <c r="DH8" s="16">
        <f t="shared" si="42"/>
        <v>0</v>
      </c>
      <c r="DJ8" t="str">
        <f t="shared" si="43"/>
        <v>RMB</v>
      </c>
      <c r="DK8" s="2">
        <f t="shared" si="44"/>
        <v>0</v>
      </c>
      <c r="DM8" s="10" t="s">
        <v>399</v>
      </c>
      <c r="DN8" s="11">
        <v>5.0098039215686271E-3</v>
      </c>
      <c r="DO8" s="11">
        <v>6.2499999999999995E-3</v>
      </c>
      <c r="DP8" s="11">
        <v>1.1259803921568626E-2</v>
      </c>
      <c r="DQ8" s="142">
        <f t="shared" si="70"/>
        <v>5.4713143064031279E-2</v>
      </c>
      <c r="DR8" s="143">
        <f t="shared" si="73"/>
        <v>0.77278311596814975</v>
      </c>
    </row>
    <row r="9" spans="1:122" ht="15" thickBot="1">
      <c r="A9" s="1360" t="s">
        <v>384</v>
      </c>
      <c r="B9" s="1393" t="str">
        <f>+VLOOKUP(A9,'Financials Parameters'!$I$5:$K$15,2,FALSE)</f>
        <v>RMB</v>
      </c>
      <c r="C9" s="1394" t="str">
        <f t="shared" si="71"/>
        <v>RMB</v>
      </c>
      <c r="D9" s="1394" t="str">
        <f t="shared" si="45"/>
        <v>RMBRMB</v>
      </c>
      <c r="E9" s="1394">
        <f>+SUMIF('Financials Parameters'!$D$29:$D$53,'Product Added value'!D9,'Financials Parameters'!$E$29:$E$53)</f>
        <v>0.99999999999999989</v>
      </c>
      <c r="F9" s="2216" t="s">
        <v>400</v>
      </c>
      <c r="G9" s="2211"/>
      <c r="H9" s="1363"/>
      <c r="I9" s="1363"/>
      <c r="J9" s="1369"/>
      <c r="K9" s="1388"/>
      <c r="L9" s="1389"/>
      <c r="M9" s="1305">
        <f>+IF(H9&lt;&gt;0,J9*I9/H9,0)</f>
        <v>0</v>
      </c>
      <c r="N9" s="122">
        <f>+IF(M9&lt;&gt;0,INT('RFQ Data'!$M$48/M9)+1,0)</f>
        <v>0</v>
      </c>
      <c r="O9" s="121">
        <f>+IF(N9*M9&lt;&gt;0,'RFQ Data'!$M$48/(N9*M9),0)</f>
        <v>0</v>
      </c>
      <c r="P9" s="110">
        <f>IF(H9*I9=0,0,1000/(J9/I9)*H9)</f>
        <v>0</v>
      </c>
      <c r="Q9" s="113">
        <f t="shared" si="10"/>
        <v>0</v>
      </c>
      <c r="R9" s="1362"/>
      <c r="S9" s="2063" t="str">
        <f t="shared" si="47"/>
        <v/>
      </c>
      <c r="T9" s="1364" t="s">
        <v>300</v>
      </c>
      <c r="U9" s="1369" t="s">
        <v>386</v>
      </c>
      <c r="V9" s="1370">
        <v>1</v>
      </c>
      <c r="W9" s="1358">
        <f t="shared" si="11"/>
        <v>0</v>
      </c>
      <c r="X9" s="1382">
        <f>+M9*VLOOKUP($A9,'Financials Parameters'!$I$5:$AM$16,20,FALSE)/1000</f>
        <v>0</v>
      </c>
      <c r="Y9" s="1385"/>
      <c r="Z9" s="2063" t="str">
        <f t="shared" si="48"/>
        <v/>
      </c>
      <c r="AA9" s="1384"/>
      <c r="AB9" s="1369" t="s">
        <v>149</v>
      </c>
      <c r="AC9" s="1370">
        <v>1</v>
      </c>
      <c r="AD9" s="1358">
        <f t="shared" si="12"/>
        <v>0</v>
      </c>
      <c r="AE9" s="150">
        <f>+VLOOKUP($A9,'Financials Parameters'!$I$5:$AM$16,18,FALSE)</f>
        <v>20</v>
      </c>
      <c r="AF9" s="135">
        <f>+'VOH cost per h'!V10</f>
        <v>0</v>
      </c>
      <c r="AG9" s="1657">
        <f t="shared" si="49"/>
        <v>0</v>
      </c>
      <c r="AH9" s="129">
        <f>+VLOOKUP($A9,'Financials Parameters'!$I$5:$AM$16,17,FALSE)</f>
        <v>34</v>
      </c>
      <c r="AI9" s="154">
        <f>IF(L9="YES",+'RFQ Data'!$J$61,0)</f>
        <v>0</v>
      </c>
      <c r="AJ9" s="131">
        <f t="shared" si="13"/>
        <v>0</v>
      </c>
      <c r="AK9" s="150">
        <f t="shared" si="14"/>
        <v>0</v>
      </c>
      <c r="AL9" s="130" t="str">
        <f>+VLOOKUP($A9,'Financials Parameters'!$I$5:$AM$16,3,FALSE)</f>
        <v>China + South pacific</v>
      </c>
      <c r="AM9" s="1157">
        <f>+IF($X9&lt;&gt;0,IF($T9="YES",ROUNDUP('RFQ Data'!D$47/$X9,0),'RFQ Data'!D$47/$X9),0)</f>
        <v>0</v>
      </c>
      <c r="AN9" s="1158">
        <f>+IF($X9&lt;&gt;0,IF($T9="YES",ROUNDUP('RFQ Data'!E$47/$X9,0),'RFQ Data'!E$47/$X9),0)</f>
        <v>0</v>
      </c>
      <c r="AO9" s="1158">
        <f>+IF($X9&lt;&gt;0,IF($T9="YES",ROUNDUP('RFQ Data'!F$47/$X9,0),'RFQ Data'!F$47/$X9),0)</f>
        <v>0</v>
      </c>
      <c r="AP9" s="1158">
        <f>+IF($X9&lt;&gt;0,IF($T9="YES",ROUNDUP('RFQ Data'!G$47/$X9,0),'RFQ Data'!G$47/$X9),0)</f>
        <v>0</v>
      </c>
      <c r="AQ9" s="1158">
        <f>+IF($X9&lt;&gt;0,IF($T9="YES",ROUNDUP('RFQ Data'!H$47/$X9,0),'RFQ Data'!H$47/$X9),0)</f>
        <v>0</v>
      </c>
      <c r="AR9" s="1159">
        <f>+IF($X9&lt;&gt;0,IF($T9="YES",ROUNDUP('RFQ Data'!I$47/$X9,0),'RFQ Data'!I$47/$X9),0)</f>
        <v>0</v>
      </c>
      <c r="AS9" s="9">
        <f t="shared" si="50"/>
        <v>0</v>
      </c>
      <c r="AT9" s="9">
        <f t="shared" si="51"/>
        <v>0</v>
      </c>
      <c r="AU9" s="9">
        <f t="shared" si="52"/>
        <v>0</v>
      </c>
      <c r="AV9" s="9">
        <f t="shared" si="53"/>
        <v>0</v>
      </c>
      <c r="AW9" s="9">
        <f t="shared" si="54"/>
        <v>0</v>
      </c>
      <c r="AX9" s="9">
        <f t="shared" si="55"/>
        <v>0</v>
      </c>
      <c r="AZ9" s="9">
        <f t="shared" si="56"/>
        <v>0</v>
      </c>
      <c r="BA9" s="9">
        <f t="shared" si="57"/>
        <v>0</v>
      </c>
      <c r="BB9" s="9">
        <f t="shared" si="58"/>
        <v>0</v>
      </c>
      <c r="BC9" s="9">
        <f t="shared" si="59"/>
        <v>0</v>
      </c>
      <c r="BD9" s="9">
        <f t="shared" si="60"/>
        <v>0</v>
      </c>
      <c r="BE9" s="9">
        <f t="shared" si="61"/>
        <v>0</v>
      </c>
      <c r="BF9" s="9"/>
      <c r="BG9">
        <f t="shared" si="17"/>
        <v>100000000</v>
      </c>
      <c r="BH9">
        <f t="shared" si="18"/>
        <v>100000000</v>
      </c>
      <c r="BI9">
        <f t="shared" si="19"/>
        <v>100000000</v>
      </c>
      <c r="BJ9">
        <f t="shared" si="20"/>
        <v>100000000</v>
      </c>
      <c r="BK9">
        <f t="shared" si="21"/>
        <v>100000000</v>
      </c>
      <c r="BL9">
        <f t="shared" si="22"/>
        <v>100000000</v>
      </c>
      <c r="BO9" s="2">
        <f t="shared" si="62"/>
        <v>0</v>
      </c>
      <c r="BP9" s="2">
        <f t="shared" si="23"/>
        <v>0</v>
      </c>
      <c r="BQ9" s="2">
        <f t="shared" si="63"/>
        <v>0</v>
      </c>
      <c r="BR9" s="2">
        <f t="shared" si="24"/>
        <v>0</v>
      </c>
      <c r="BS9" s="2">
        <f t="shared" si="25"/>
        <v>0</v>
      </c>
      <c r="BT9" s="2">
        <f t="shared" si="26"/>
        <v>0</v>
      </c>
      <c r="BU9" s="2"/>
      <c r="BV9" s="2">
        <f t="shared" si="64"/>
        <v>0</v>
      </c>
      <c r="BW9" s="2">
        <f>+IF(BP9-SUM($BO9:BO9)&lt;0,0,BP9-SUM($BO9:BO9))</f>
        <v>0</v>
      </c>
      <c r="BX9" s="2">
        <f>+IF(BQ9-SUM($BV9:BW9)&lt;0,0,BQ9-SUM($BV9:BW9))</f>
        <v>0</v>
      </c>
      <c r="BY9" s="2">
        <f>+IF(BR9-SUM($BV9:BX9)&lt;0,0,BR9-SUM($BV9:BX9))</f>
        <v>0</v>
      </c>
      <c r="BZ9" s="2">
        <f>+IF(BS9-SUM($BV9:BY9)&lt;0,0,BS9-SUM($BV9:BY9))</f>
        <v>0</v>
      </c>
      <c r="CA9" s="2">
        <f>+IF(BT9-SUM($BV9:BZ9)&lt;0,0,BT9-SUM($BV9:BZ9))</f>
        <v>0</v>
      </c>
      <c r="CB9" s="1166">
        <f t="shared" si="65"/>
        <v>0</v>
      </c>
      <c r="CC9" s="1167">
        <f t="shared" si="28"/>
        <v>0</v>
      </c>
      <c r="CD9" s="1167">
        <f t="shared" si="29"/>
        <v>0</v>
      </c>
      <c r="CE9" s="1167">
        <f t="shared" si="30"/>
        <v>0</v>
      </c>
      <c r="CF9" s="1167">
        <f t="shared" si="31"/>
        <v>0</v>
      </c>
      <c r="CG9" s="1168">
        <f t="shared" si="32"/>
        <v>0</v>
      </c>
      <c r="CH9" s="1861">
        <f t="shared" si="72"/>
        <v>0</v>
      </c>
      <c r="CI9" s="1865">
        <f t="shared" si="66"/>
        <v>0</v>
      </c>
      <c r="CJ9" s="1865">
        <f t="shared" si="33"/>
        <v>0</v>
      </c>
      <c r="CK9" s="1865">
        <f t="shared" si="34"/>
        <v>0</v>
      </c>
      <c r="CL9" s="1865">
        <f t="shared" si="35"/>
        <v>0</v>
      </c>
      <c r="CM9" s="1173">
        <f t="shared" si="36"/>
        <v>0</v>
      </c>
      <c r="CN9" s="1861">
        <f t="shared" si="67"/>
        <v>0</v>
      </c>
      <c r="CO9" s="1865">
        <f>IF(BA9*$Y9*$AD9-SUM($CN9:CN9)&lt;0,0,BA9*$Y9*$AD9-SUM($CN9:CN9))</f>
        <v>0</v>
      </c>
      <c r="CP9" s="1865">
        <f>IF(BB9*$Y9*$AD9-SUM($CN9:CO9)&lt;0,0,BB9*$Y9*$AD9-SUM($CN9:CO9))</f>
        <v>0</v>
      </c>
      <c r="CQ9" s="1865">
        <f>IF(BC9*$Y9*$AD9-SUM($CN9:CP9)&lt;0,0,BC9*$Y9*$AD9-SUM($CN9:CP9))</f>
        <v>0</v>
      </c>
      <c r="CR9" s="1865">
        <f>IF(BD9*$Y9*$AD9-SUM($CN9:CQ9)&lt;0,0,BD9*$Y9*$AD9-SUM($CN9:CQ9))</f>
        <v>0</v>
      </c>
      <c r="CS9" s="1173">
        <f>IF(BE9*$Y9*$AD9-SUM($CN9:CR9)&lt;0,0,BE9*$Y9*$AD9-SUM($CN9:CR9))</f>
        <v>0</v>
      </c>
      <c r="CT9" s="1873">
        <f t="shared" si="37"/>
        <v>0</v>
      </c>
      <c r="CU9" s="1861">
        <f t="shared" si="68"/>
        <v>0</v>
      </c>
      <c r="CV9" s="1865">
        <f>IF(BA9*$Y9*$AC9-SUM($CU9:CU9)&lt;0,0,BA9*$Y9*$AC9-SUM($CU9:CU9))</f>
        <v>0</v>
      </c>
      <c r="CW9" s="1865">
        <f>IF(BB9*$Y9*$AC9-SUM($CU9:CV9)&lt;0,0,BB9*$Y9*$AC9-SUM($CU9:CV9))</f>
        <v>0</v>
      </c>
      <c r="CX9" s="1865">
        <f>IF(BC9*$Y9*$AC9-SUM($CU9:CW9)&lt;0,0,BC9*$Y9*$AC9-SUM($CU9:CW9))</f>
        <v>0</v>
      </c>
      <c r="CY9" s="1865">
        <f>IF(BD9*$Y9*$AC9-SUM($CU9:CX9)&lt;0,0,BD9*$Y9*$AC9-SUM($CU9:CX9))</f>
        <v>0</v>
      </c>
      <c r="CZ9" s="1173">
        <f>IF(BE9*$Y9*$AC9-SUM($CU9:CY9)&lt;0,0,BE9*$Y9*$AC9-SUM($CU9:CY9))</f>
        <v>0</v>
      </c>
      <c r="DA9" s="1171">
        <f t="shared" si="69"/>
        <v>0</v>
      </c>
      <c r="DB9" s="1173">
        <f t="shared" si="38"/>
        <v>0</v>
      </c>
      <c r="DC9" s="2"/>
      <c r="DE9" t="str">
        <f t="shared" si="39"/>
        <v xml:space="preserve">Operation - </v>
      </c>
      <c r="DF9" s="16">
        <f t="shared" si="40"/>
        <v>0</v>
      </c>
      <c r="DG9" s="16">
        <f t="shared" si="41"/>
        <v>0</v>
      </c>
      <c r="DH9" s="16">
        <f t="shared" si="42"/>
        <v>0</v>
      </c>
      <c r="DJ9" t="str">
        <f t="shared" si="43"/>
        <v>RMB</v>
      </c>
      <c r="DK9" s="2">
        <f t="shared" si="44"/>
        <v>0</v>
      </c>
      <c r="DM9" t="s">
        <v>401</v>
      </c>
      <c r="DN9">
        <v>5.0000000000000001E-3</v>
      </c>
      <c r="DO9">
        <v>6.2499999999999995E-3</v>
      </c>
      <c r="DP9">
        <v>1.125E-2</v>
      </c>
      <c r="DQ9">
        <f t="shared" si="70"/>
        <v>5.4665504280344709E-2</v>
      </c>
      <c r="DR9">
        <f t="shared" si="73"/>
        <v>0.82744862024849442</v>
      </c>
    </row>
    <row r="10" spans="1:122" ht="15" thickBot="1">
      <c r="A10" s="1360" t="s">
        <v>384</v>
      </c>
      <c r="B10" s="1393" t="str">
        <f>+VLOOKUP(A10,'Financials Parameters'!$I$5:$K$15,2,FALSE)</f>
        <v>RMB</v>
      </c>
      <c r="C10" s="1394" t="str">
        <f t="shared" si="71"/>
        <v>RMB</v>
      </c>
      <c r="D10" s="1394" t="str">
        <f t="shared" si="45"/>
        <v>RMBRMB</v>
      </c>
      <c r="E10" s="1394">
        <f>+SUMIF('Financials Parameters'!$D$29:$D$53,'Product Added value'!D10,'Financials Parameters'!$E$29:$E$53)</f>
        <v>0.99999999999999989</v>
      </c>
      <c r="F10" s="2216" t="s">
        <v>402</v>
      </c>
      <c r="G10" s="2212"/>
      <c r="H10" s="1363"/>
      <c r="I10" s="1363"/>
      <c r="J10" s="1363"/>
      <c r="K10" s="1388"/>
      <c r="L10" s="1389"/>
      <c r="M10" s="119">
        <f t="shared" si="46"/>
        <v>0</v>
      </c>
      <c r="N10" s="122">
        <f>+IF(M10&lt;&gt;0,INT('RFQ Data'!$M$48/M10)+1,0)</f>
        <v>0</v>
      </c>
      <c r="O10" s="121">
        <f>+IF(N10*M10&lt;&gt;0,'RFQ Data'!$M$48/(N10*M10),0)</f>
        <v>0</v>
      </c>
      <c r="P10" s="110">
        <f>IF(H10*I10=0,0,1000/J10/I10*H10)</f>
        <v>0</v>
      </c>
      <c r="Q10" s="113">
        <f t="shared" si="10"/>
        <v>0</v>
      </c>
      <c r="R10" s="1365"/>
      <c r="S10" s="2063" t="str">
        <f t="shared" si="47"/>
        <v/>
      </c>
      <c r="T10" s="1364" t="s">
        <v>300</v>
      </c>
      <c r="U10" s="1369" t="s">
        <v>386</v>
      </c>
      <c r="V10" s="1370">
        <v>1</v>
      </c>
      <c r="W10" s="1358">
        <f t="shared" si="11"/>
        <v>0</v>
      </c>
      <c r="X10" s="1382">
        <f>+M10*VLOOKUP($A10,'Financials Parameters'!$I$5:$AM$16,20,FALSE)/1000</f>
        <v>0</v>
      </c>
      <c r="Y10" s="1362"/>
      <c r="Z10" s="2063" t="str">
        <f t="shared" si="48"/>
        <v/>
      </c>
      <c r="AA10" s="1384"/>
      <c r="AB10" s="1369" t="s">
        <v>149</v>
      </c>
      <c r="AC10" s="1370">
        <v>1</v>
      </c>
      <c r="AD10" s="1358">
        <f t="shared" si="12"/>
        <v>0</v>
      </c>
      <c r="AE10" s="150">
        <f>+VLOOKUP($A10,'Financials Parameters'!$I$5:$AM$16,18,FALSE)</f>
        <v>20</v>
      </c>
      <c r="AF10" s="135">
        <f>+'VOH cost per h'!V11</f>
        <v>0</v>
      </c>
      <c r="AG10" s="1657">
        <f t="shared" si="49"/>
        <v>0</v>
      </c>
      <c r="AH10" s="129">
        <f>+VLOOKUP($A10,'Financials Parameters'!$I$5:$AM$16,17,FALSE)</f>
        <v>34</v>
      </c>
      <c r="AI10" s="154">
        <f>IF(L10="YES",+'RFQ Data'!$J$61,0)</f>
        <v>0</v>
      </c>
      <c r="AJ10" s="131">
        <f t="shared" si="13"/>
        <v>0</v>
      </c>
      <c r="AK10" s="150">
        <f t="shared" si="14"/>
        <v>0</v>
      </c>
      <c r="AL10" s="130" t="str">
        <f>+VLOOKUP($A10,'Financials Parameters'!$I$5:$AM$16,3,FALSE)</f>
        <v>China + South pacific</v>
      </c>
      <c r="AM10" s="1157">
        <f>+IF($X10&lt;&gt;0,IF($T10="YES",ROUNDUP('RFQ Data'!D$47/$X10,0),'RFQ Data'!D$47/$X10),0)</f>
        <v>0</v>
      </c>
      <c r="AN10" s="1158">
        <f>+IF($X10&lt;&gt;0,IF($T10="YES",ROUNDUP('RFQ Data'!E$47/$X10,0),'RFQ Data'!E$47/$X10),0)</f>
        <v>0</v>
      </c>
      <c r="AO10" s="1158">
        <f>+IF($X10&lt;&gt;0,IF($T10="YES",ROUNDUP('RFQ Data'!F$47/$X10,0),'RFQ Data'!F$47/$X10),0)</f>
        <v>0</v>
      </c>
      <c r="AP10" s="1158">
        <f>+IF($X10&lt;&gt;0,IF($T10="YES",ROUNDUP('RFQ Data'!G$47/$X10,0),'RFQ Data'!G$47/$X10),0)</f>
        <v>0</v>
      </c>
      <c r="AQ10" s="1158">
        <f>+IF($X10&lt;&gt;0,IF($T10="YES",ROUNDUP('RFQ Data'!H$47/$X10,0),'RFQ Data'!H$47/$X10),0)</f>
        <v>0</v>
      </c>
      <c r="AR10" s="1159">
        <f>+IF($X10&lt;&gt;0,IF($T10="YES",ROUNDUP('RFQ Data'!I$47/$X10,0),'RFQ Data'!I$47/$X10),0)</f>
        <v>0</v>
      </c>
      <c r="AS10" s="9">
        <f t="shared" si="50"/>
        <v>0</v>
      </c>
      <c r="AT10" s="9">
        <f t="shared" si="51"/>
        <v>0</v>
      </c>
      <c r="AU10" s="9">
        <f t="shared" si="52"/>
        <v>0</v>
      </c>
      <c r="AV10" s="9">
        <f t="shared" si="53"/>
        <v>0</v>
      </c>
      <c r="AW10" s="9">
        <f t="shared" si="54"/>
        <v>0</v>
      </c>
      <c r="AX10" s="9">
        <f t="shared" si="55"/>
        <v>0</v>
      </c>
      <c r="AZ10" s="9">
        <f t="shared" si="56"/>
        <v>0</v>
      </c>
      <c r="BA10" s="9">
        <f t="shared" si="57"/>
        <v>0</v>
      </c>
      <c r="BB10" s="9">
        <f t="shared" si="58"/>
        <v>0</v>
      </c>
      <c r="BC10" s="9">
        <f t="shared" si="59"/>
        <v>0</v>
      </c>
      <c r="BD10" s="9">
        <f t="shared" si="60"/>
        <v>0</v>
      </c>
      <c r="BE10" s="9">
        <f t="shared" si="61"/>
        <v>0</v>
      </c>
      <c r="BF10" s="9"/>
      <c r="BG10">
        <f t="shared" si="17"/>
        <v>100000000</v>
      </c>
      <c r="BH10">
        <f t="shared" si="18"/>
        <v>100000000</v>
      </c>
      <c r="BI10">
        <f t="shared" si="19"/>
        <v>100000000</v>
      </c>
      <c r="BJ10">
        <f t="shared" si="20"/>
        <v>100000000</v>
      </c>
      <c r="BK10">
        <f t="shared" si="21"/>
        <v>100000000</v>
      </c>
      <c r="BL10">
        <f t="shared" si="22"/>
        <v>100000000</v>
      </c>
      <c r="BO10" s="2">
        <f t="shared" si="62"/>
        <v>0</v>
      </c>
      <c r="BP10" s="2">
        <f t="shared" si="23"/>
        <v>0</v>
      </c>
      <c r="BQ10" s="2">
        <f t="shared" si="63"/>
        <v>0</v>
      </c>
      <c r="BR10" s="2">
        <f t="shared" si="24"/>
        <v>0</v>
      </c>
      <c r="BS10" s="2">
        <f t="shared" si="25"/>
        <v>0</v>
      </c>
      <c r="BT10" s="2">
        <f t="shared" si="26"/>
        <v>0</v>
      </c>
      <c r="BU10" s="2"/>
      <c r="BV10" s="2">
        <f t="shared" si="64"/>
        <v>0</v>
      </c>
      <c r="BW10" s="2">
        <f>+IF(BP10-SUM($BO10:BO10)&lt;0,0,BP10-SUM($BO10:BO10))</f>
        <v>0</v>
      </c>
      <c r="BX10" s="2">
        <f>+IF(BQ10-SUM($BV10:BW10)&lt;0,0,BQ10-SUM($BV10:BW10))</f>
        <v>0</v>
      </c>
      <c r="BY10" s="2">
        <f>+IF(BR10-SUM($BV10:BX10)&lt;0,0,BR10-SUM($BV10:BX10))</f>
        <v>0</v>
      </c>
      <c r="BZ10" s="2">
        <f>+IF(BS10-SUM($BV10:BY10)&lt;0,0,BS10-SUM($BV10:BY10))</f>
        <v>0</v>
      </c>
      <c r="CA10" s="2">
        <f>+IF(BT10-SUM($BV10:BZ10)&lt;0,0,BT10-SUM($BV10:BZ10))</f>
        <v>0</v>
      </c>
      <c r="CB10" s="1166">
        <f t="shared" si="65"/>
        <v>0</v>
      </c>
      <c r="CC10" s="1167">
        <f t="shared" si="28"/>
        <v>0</v>
      </c>
      <c r="CD10" s="1167">
        <f t="shared" si="29"/>
        <v>0</v>
      </c>
      <c r="CE10" s="1167">
        <f t="shared" si="30"/>
        <v>0</v>
      </c>
      <c r="CF10" s="1167">
        <f t="shared" si="31"/>
        <v>0</v>
      </c>
      <c r="CG10" s="1168">
        <f t="shared" si="32"/>
        <v>0</v>
      </c>
      <c r="CH10" s="1861">
        <f t="shared" si="72"/>
        <v>0</v>
      </c>
      <c r="CI10" s="1865">
        <f t="shared" si="66"/>
        <v>0</v>
      </c>
      <c r="CJ10" s="1865">
        <f t="shared" si="33"/>
        <v>0</v>
      </c>
      <c r="CK10" s="1865">
        <f t="shared" si="34"/>
        <v>0</v>
      </c>
      <c r="CL10" s="1865">
        <f t="shared" si="35"/>
        <v>0</v>
      </c>
      <c r="CM10" s="1173">
        <f t="shared" si="36"/>
        <v>0</v>
      </c>
      <c r="CN10" s="1861">
        <f t="shared" si="67"/>
        <v>0</v>
      </c>
      <c r="CO10" s="1865">
        <f>IF(BA10*$Y10*$AD10-SUM($CN10:CN10)&lt;0,0,BA10*$Y10*$AD10-SUM($CN10:CN10))</f>
        <v>0</v>
      </c>
      <c r="CP10" s="1865">
        <f>IF(BB10*$Y10*$AD10-SUM($CN10:CO10)&lt;0,0,BB10*$Y10*$AD10-SUM($CN10:CO10))</f>
        <v>0</v>
      </c>
      <c r="CQ10" s="1865">
        <f>IF(BC10*$Y10*$AD10-SUM($CN10:CP10)&lt;0,0,BC10*$Y10*$AD10-SUM($CN10:CP10))</f>
        <v>0</v>
      </c>
      <c r="CR10" s="1865">
        <f>IF(BD10*$Y10*$AD10-SUM($CN10:CQ10)&lt;0,0,BD10*$Y10*$AD10-SUM($CN10:CQ10))</f>
        <v>0</v>
      </c>
      <c r="CS10" s="1173">
        <f>IF(BE10*$Y10*$AD10-SUM($CN10:CR10)&lt;0,0,BE10*$Y10*$AD10-SUM($CN10:CR10))</f>
        <v>0</v>
      </c>
      <c r="CT10" s="1873">
        <f t="shared" si="37"/>
        <v>0</v>
      </c>
      <c r="CU10" s="1861">
        <f t="shared" si="68"/>
        <v>0</v>
      </c>
      <c r="CV10" s="1865">
        <f>IF(BA10*$Y10*$AC10-SUM($CU10:CU10)&lt;0,0,BA10*$Y10*$AC10-SUM($CU10:CU10))</f>
        <v>0</v>
      </c>
      <c r="CW10" s="1865">
        <f>IF(BB10*$Y10*$AC10-SUM($CU10:CV10)&lt;0,0,BB10*$Y10*$AC10-SUM($CU10:CV10))</f>
        <v>0</v>
      </c>
      <c r="CX10" s="1865">
        <f>IF(BC10*$Y10*$AC10-SUM($CU10:CW10)&lt;0,0,BC10*$Y10*$AC10-SUM($CU10:CW10))</f>
        <v>0</v>
      </c>
      <c r="CY10" s="1865">
        <f>IF(BD10*$Y10*$AC10-SUM($CU10:CX10)&lt;0,0,BD10*$Y10*$AC10-SUM($CU10:CX10))</f>
        <v>0</v>
      </c>
      <c r="CZ10" s="1173">
        <f>IF(BE10*$Y10*$AC10-SUM($CU10:CY10)&lt;0,0,BE10*$Y10*$AC10-SUM($CU10:CY10))</f>
        <v>0</v>
      </c>
      <c r="DA10" s="1171">
        <f t="shared" si="69"/>
        <v>0</v>
      </c>
      <c r="DB10" s="1173">
        <f t="shared" si="38"/>
        <v>0</v>
      </c>
      <c r="DC10" s="2"/>
      <c r="DE10" t="str">
        <f t="shared" si="39"/>
        <v xml:space="preserve">Operation - </v>
      </c>
      <c r="DF10" s="16">
        <f t="shared" si="40"/>
        <v>0</v>
      </c>
      <c r="DG10" s="16">
        <f t="shared" si="41"/>
        <v>0</v>
      </c>
      <c r="DH10" s="16">
        <f t="shared" si="42"/>
        <v>0</v>
      </c>
      <c r="DJ10" t="str">
        <f t="shared" si="43"/>
        <v>RMB</v>
      </c>
      <c r="DK10" s="2">
        <f t="shared" si="44"/>
        <v>0</v>
      </c>
      <c r="DM10" t="s">
        <v>403</v>
      </c>
      <c r="DN10">
        <v>5.0000000000000001E-3</v>
      </c>
      <c r="DO10">
        <v>5.0000000000000001E-3</v>
      </c>
      <c r="DP10">
        <v>0.01</v>
      </c>
      <c r="DQ10">
        <f t="shared" si="70"/>
        <v>4.8591559360306409E-2</v>
      </c>
      <c r="DR10">
        <f t="shared" si="73"/>
        <v>0.87604017960880087</v>
      </c>
    </row>
    <row r="11" spans="1:122" ht="15" thickBot="1">
      <c r="A11" s="1360" t="s">
        <v>384</v>
      </c>
      <c r="B11" s="1393" t="str">
        <f>+VLOOKUP(A11,'Financials Parameters'!$I$5:$K$15,2,FALSE)</f>
        <v>RMB</v>
      </c>
      <c r="C11" s="1394" t="str">
        <f t="shared" si="71"/>
        <v>RMB</v>
      </c>
      <c r="D11" s="1394" t="str">
        <f t="shared" si="45"/>
        <v>RMBRMB</v>
      </c>
      <c r="E11" s="1394">
        <f>+SUMIF('Financials Parameters'!$D$29:$D$53,'Product Added value'!D11,'Financials Parameters'!$E$29:$E$53)</f>
        <v>0.99999999999999989</v>
      </c>
      <c r="F11" s="2216" t="s">
        <v>404</v>
      </c>
      <c r="G11" s="2211"/>
      <c r="H11" s="1363"/>
      <c r="I11" s="1363"/>
      <c r="J11" s="1363"/>
      <c r="K11" s="1388"/>
      <c r="L11" s="1389"/>
      <c r="M11" s="119">
        <f t="shared" ref="M11:M14" si="74">+IF(H11&lt;&gt;0,J11*I11/H11,0)</f>
        <v>0</v>
      </c>
      <c r="N11" s="122">
        <f>+IF(M11&lt;&gt;0,INT('RFQ Data'!$M$48/M11)+1,0)</f>
        <v>0</v>
      </c>
      <c r="O11" s="121">
        <f>+IF(N11*M11&lt;&gt;0,'RFQ Data'!$M$48/(N11*M11),0)</f>
        <v>0</v>
      </c>
      <c r="P11" s="110">
        <f t="shared" ref="P11:P14" si="75">IF(H11*I11=0,0,1000/J11/I11*H11)</f>
        <v>0</v>
      </c>
      <c r="Q11" s="113">
        <f t="shared" si="10"/>
        <v>0</v>
      </c>
      <c r="R11" s="1362"/>
      <c r="S11" s="2063" t="str">
        <f t="shared" si="47"/>
        <v/>
      </c>
      <c r="T11" s="1364" t="s">
        <v>300</v>
      </c>
      <c r="U11" s="1369" t="s">
        <v>386</v>
      </c>
      <c r="V11" s="1370">
        <v>1</v>
      </c>
      <c r="W11" s="1358">
        <f t="shared" si="11"/>
        <v>0</v>
      </c>
      <c r="X11" s="1382">
        <f>+M11*VLOOKUP($A11,'Financials Parameters'!$I$5:$AM$16,20,FALSE)/1000</f>
        <v>0</v>
      </c>
      <c r="Y11" s="1362"/>
      <c r="Z11" s="2063" t="str">
        <f t="shared" si="48"/>
        <v/>
      </c>
      <c r="AA11" s="1384"/>
      <c r="AB11" s="1369" t="s">
        <v>149</v>
      </c>
      <c r="AC11" s="1370">
        <v>1</v>
      </c>
      <c r="AD11" s="1358">
        <f t="shared" si="12"/>
        <v>0</v>
      </c>
      <c r="AE11" s="150">
        <f>+VLOOKUP($A11,'Financials Parameters'!$I$5:$AM$16,18,FALSE)</f>
        <v>20</v>
      </c>
      <c r="AF11" s="135">
        <f>+'VOH cost per h'!V12</f>
        <v>0</v>
      </c>
      <c r="AG11" s="1657">
        <f>+(AF11+AE11)*P11/1000*E11</f>
        <v>0</v>
      </c>
      <c r="AH11" s="129">
        <f>+VLOOKUP($A11,'Financials Parameters'!$I$5:$AM$16,17,FALSE)</f>
        <v>34</v>
      </c>
      <c r="AI11" s="154">
        <f>IF(L11="YES",+'RFQ Data'!$J$61,0)</f>
        <v>0</v>
      </c>
      <c r="AJ11" s="131">
        <f t="shared" si="13"/>
        <v>0</v>
      </c>
      <c r="AK11" s="150">
        <f t="shared" si="14"/>
        <v>0</v>
      </c>
      <c r="AL11" s="130" t="str">
        <f>+VLOOKUP($A11,'Financials Parameters'!$I$5:$AM$16,3,FALSE)</f>
        <v>China + South pacific</v>
      </c>
      <c r="AM11" s="1157">
        <f>+IF($X11&lt;&gt;0,IF($T11="YES",ROUNDUP('RFQ Data'!D$47/$X11,0),'RFQ Data'!D$47/$X11),0)</f>
        <v>0</v>
      </c>
      <c r="AN11" s="1158">
        <f>+IF($X11&lt;&gt;0,IF($T11="YES",ROUNDUP('RFQ Data'!E$47/$X11,0),'RFQ Data'!E$47/$X11),0)</f>
        <v>0</v>
      </c>
      <c r="AO11" s="1158">
        <f>+IF($X11&lt;&gt;0,IF($T11="YES",ROUNDUP('RFQ Data'!F$47/$X11,0),'RFQ Data'!F$47/$X11),0)</f>
        <v>0</v>
      </c>
      <c r="AP11" s="1158">
        <f>+IF($X11&lt;&gt;0,IF($T11="YES",ROUNDUP('RFQ Data'!G$47/$X11,0),'RFQ Data'!G$47/$X11),0)</f>
        <v>0</v>
      </c>
      <c r="AQ11" s="1158">
        <f>+IF($X11&lt;&gt;0,IF($T11="YES",ROUNDUP('RFQ Data'!H$47/$X11,0),'RFQ Data'!H$47/$X11),0)</f>
        <v>0</v>
      </c>
      <c r="AR11" s="1159">
        <f>+IF($X11&lt;&gt;0,IF($T11="YES",ROUNDUP('RFQ Data'!I$47/$X11,0),'RFQ Data'!I$47/$X11),0)</f>
        <v>0</v>
      </c>
      <c r="AS11" s="9">
        <f t="shared" si="50"/>
        <v>0</v>
      </c>
      <c r="AT11" s="9">
        <f t="shared" si="51"/>
        <v>0</v>
      </c>
      <c r="AU11" s="9">
        <f t="shared" si="52"/>
        <v>0</v>
      </c>
      <c r="AV11" s="9">
        <f t="shared" si="53"/>
        <v>0</v>
      </c>
      <c r="AW11" s="9">
        <f t="shared" si="54"/>
        <v>0</v>
      </c>
      <c r="AX11" s="9">
        <f t="shared" si="55"/>
        <v>0</v>
      </c>
      <c r="AZ11" s="9">
        <f t="shared" si="56"/>
        <v>0</v>
      </c>
      <c r="BA11" s="9">
        <f t="shared" si="57"/>
        <v>0</v>
      </c>
      <c r="BB11" s="9">
        <f t="shared" si="58"/>
        <v>0</v>
      </c>
      <c r="BC11" s="9">
        <f t="shared" si="59"/>
        <v>0</v>
      </c>
      <c r="BD11" s="9">
        <f t="shared" si="60"/>
        <v>0</v>
      </c>
      <c r="BE11" s="9">
        <f t="shared" si="61"/>
        <v>0</v>
      </c>
      <c r="BF11" s="9"/>
      <c r="BG11">
        <f t="shared" si="17"/>
        <v>100000000</v>
      </c>
      <c r="BH11">
        <f t="shared" si="18"/>
        <v>100000000</v>
      </c>
      <c r="BI11">
        <f t="shared" si="19"/>
        <v>100000000</v>
      </c>
      <c r="BJ11">
        <f t="shared" si="20"/>
        <v>100000000</v>
      </c>
      <c r="BK11">
        <f t="shared" si="21"/>
        <v>100000000</v>
      </c>
      <c r="BL11">
        <f t="shared" si="22"/>
        <v>100000000</v>
      </c>
      <c r="BO11" s="2">
        <f t="shared" si="62"/>
        <v>0</v>
      </c>
      <c r="BP11" s="2">
        <f t="shared" si="23"/>
        <v>0</v>
      </c>
      <c r="BQ11" s="2">
        <f t="shared" si="63"/>
        <v>0</v>
      </c>
      <c r="BR11" s="2">
        <f t="shared" si="24"/>
        <v>0</v>
      </c>
      <c r="BS11" s="2">
        <f t="shared" si="25"/>
        <v>0</v>
      </c>
      <c r="BT11" s="2">
        <f t="shared" si="26"/>
        <v>0</v>
      </c>
      <c r="BU11" s="2"/>
      <c r="BV11" s="2">
        <f t="shared" ref="BV11:BV14" si="76">+BO11</f>
        <v>0</v>
      </c>
      <c r="BW11" s="2">
        <f>+IF(BP11-SUM($BO11:BO11)&lt;0,0,BP11-SUM($BO11:BO11))</f>
        <v>0</v>
      </c>
      <c r="BX11" s="2">
        <f>+IF(BQ11-SUM($BV11:BW11)&lt;0,0,BQ11-SUM($BV11:BW11))</f>
        <v>0</v>
      </c>
      <c r="BY11" s="2">
        <f>+IF(BR11-SUM($BV11:BX11)&lt;0,0,BR11-SUM($BV11:BX11))</f>
        <v>0</v>
      </c>
      <c r="BZ11" s="2">
        <f>+IF(BS11-SUM($BV11:BY11)&lt;0,0,BS11-SUM($BV11:BY11))</f>
        <v>0</v>
      </c>
      <c r="CA11" s="2">
        <f>+IF(BT11-SUM($BV11:BZ11)&lt;0,0,BT11-SUM($BV11:BZ11))</f>
        <v>0</v>
      </c>
      <c r="CB11" s="1166">
        <f t="shared" si="65"/>
        <v>0</v>
      </c>
      <c r="CC11" s="1167">
        <f t="shared" si="28"/>
        <v>0</v>
      </c>
      <c r="CD11" s="1167">
        <f t="shared" si="29"/>
        <v>0</v>
      </c>
      <c r="CE11" s="1167">
        <f t="shared" si="30"/>
        <v>0</v>
      </c>
      <c r="CF11" s="1167">
        <f t="shared" si="31"/>
        <v>0</v>
      </c>
      <c r="CG11" s="1168">
        <f t="shared" si="32"/>
        <v>0</v>
      </c>
      <c r="CH11" s="1861">
        <f t="shared" si="72"/>
        <v>0</v>
      </c>
      <c r="CI11" s="1865">
        <f t="shared" si="66"/>
        <v>0</v>
      </c>
      <c r="CJ11" s="1865">
        <f t="shared" si="33"/>
        <v>0</v>
      </c>
      <c r="CK11" s="1865">
        <f t="shared" si="34"/>
        <v>0</v>
      </c>
      <c r="CL11" s="1865">
        <f t="shared" si="35"/>
        <v>0</v>
      </c>
      <c r="CM11" s="1173">
        <f t="shared" si="36"/>
        <v>0</v>
      </c>
      <c r="CN11" s="1861">
        <f t="shared" si="67"/>
        <v>0</v>
      </c>
      <c r="CO11" s="1865">
        <f>IF(BA11*$Y11*$AD11-SUM($CN11:CN11)&lt;0,0,BA11*$Y11*$AD11-SUM($CN11:CN11))</f>
        <v>0</v>
      </c>
      <c r="CP11" s="1865">
        <f>IF(BB11*$Y11*$AD11-SUM($CN11:CO11)&lt;0,0,BB11*$Y11*$AD11-SUM($CN11:CO11))</f>
        <v>0</v>
      </c>
      <c r="CQ11" s="1865">
        <f>IF(BC11*$Y11*$AD11-SUM($CN11:CP11)&lt;0,0,BC11*$Y11*$AD11-SUM($CN11:CP11))</f>
        <v>0</v>
      </c>
      <c r="CR11" s="1865">
        <f>IF(BD11*$Y11*$AD11-SUM($CN11:CQ11)&lt;0,0,BD11*$Y11*$AD11-SUM($CN11:CQ11))</f>
        <v>0</v>
      </c>
      <c r="CS11" s="1173">
        <f>IF(BE11*$Y11*$AD11-SUM($CN11:CR11)&lt;0,0,BE11*$Y11*$AD11-SUM($CN11:CR11))</f>
        <v>0</v>
      </c>
      <c r="CT11" s="1873">
        <f t="shared" si="37"/>
        <v>0</v>
      </c>
      <c r="CU11" s="1861">
        <f t="shared" si="68"/>
        <v>0</v>
      </c>
      <c r="CV11" s="1865">
        <f>IF(BA11*$Y11*$AC11-SUM($CU11:CU11)&lt;0,0,BA11*$Y11*$AC11-SUM($CU11:CU11))</f>
        <v>0</v>
      </c>
      <c r="CW11" s="1865">
        <f>IF(BB11*$Y11*$AC11-SUM($CU11:CV11)&lt;0,0,BB11*$Y11*$AC11-SUM($CU11:CV11))</f>
        <v>0</v>
      </c>
      <c r="CX11" s="1865">
        <f>IF(BC11*$Y11*$AC11-SUM($CU11:CW11)&lt;0,0,BC11*$Y11*$AC11-SUM($CU11:CW11))</f>
        <v>0</v>
      </c>
      <c r="CY11" s="1865">
        <f>IF(BD11*$Y11*$AC11-SUM($CU11:CX11)&lt;0,0,BD11*$Y11*$AC11-SUM($CU11:CX11))</f>
        <v>0</v>
      </c>
      <c r="CZ11" s="1173">
        <f>IF(BE11*$Y11*$AC11-SUM($CU11:CY11)&lt;0,0,BE11*$Y11*$AC11-SUM($CU11:CY11))</f>
        <v>0</v>
      </c>
      <c r="DA11" s="1171">
        <f t="shared" si="69"/>
        <v>0</v>
      </c>
      <c r="DB11" s="1173">
        <f t="shared" si="38"/>
        <v>0</v>
      </c>
      <c r="DC11" s="2"/>
      <c r="DE11" t="str">
        <f t="shared" si="39"/>
        <v xml:space="preserve">Operation - </v>
      </c>
      <c r="DF11" s="16">
        <f t="shared" si="40"/>
        <v>0</v>
      </c>
      <c r="DG11" s="16">
        <f t="shared" si="41"/>
        <v>0</v>
      </c>
      <c r="DH11" s="16">
        <f t="shared" si="42"/>
        <v>0</v>
      </c>
      <c r="DJ11" t="str">
        <f t="shared" si="43"/>
        <v>RMB</v>
      </c>
      <c r="DK11" s="2">
        <f t="shared" si="44"/>
        <v>0</v>
      </c>
      <c r="DM11" t="s">
        <v>405</v>
      </c>
      <c r="DN11">
        <v>4.4618736383442272E-3</v>
      </c>
      <c r="DO11">
        <v>2.7777777777777775E-3</v>
      </c>
      <c r="DP11">
        <v>7.2396514161220046E-3</v>
      </c>
      <c r="DQ11">
        <f t="shared" si="70"/>
        <v>3.5178595153441877E-2</v>
      </c>
      <c r="DR11">
        <f t="shared" si="73"/>
        <v>0.91121877476224278</v>
      </c>
    </row>
    <row r="12" spans="1:122" ht="15" thickBot="1">
      <c r="A12" s="1360" t="s">
        <v>384</v>
      </c>
      <c r="B12" s="1393" t="str">
        <f>+VLOOKUP(A12,'Financials Parameters'!$I$5:$K$15,2,FALSE)</f>
        <v>RMB</v>
      </c>
      <c r="C12" s="1394" t="str">
        <f t="shared" si="71"/>
        <v>RMB</v>
      </c>
      <c r="D12" s="1394" t="str">
        <f t="shared" si="45"/>
        <v>RMBRMB</v>
      </c>
      <c r="E12" s="1394">
        <f>+SUMIF('Financials Parameters'!$D$29:$D$53,'Product Added value'!D12,'Financials Parameters'!$E$29:$E$53)</f>
        <v>0.99999999999999989</v>
      </c>
      <c r="F12" s="2216" t="s">
        <v>406</v>
      </c>
      <c r="G12" s="2211"/>
      <c r="H12" s="1363"/>
      <c r="I12" s="1363"/>
      <c r="J12" s="1363"/>
      <c r="K12" s="1388"/>
      <c r="L12" s="1389"/>
      <c r="M12" s="119">
        <f t="shared" si="74"/>
        <v>0</v>
      </c>
      <c r="N12" s="122">
        <f>+IF(M12&lt;&gt;0,INT('RFQ Data'!$M$48/M12)+1,0)</f>
        <v>0</v>
      </c>
      <c r="O12" s="121">
        <f>+IF(N12*M12&lt;&gt;0,'RFQ Data'!$M$48/(N12*M12),0)</f>
        <v>0</v>
      </c>
      <c r="P12" s="110">
        <f t="shared" si="75"/>
        <v>0</v>
      </c>
      <c r="Q12" s="113">
        <f t="shared" si="10"/>
        <v>0</v>
      </c>
      <c r="R12" s="1362"/>
      <c r="S12" s="2063" t="str">
        <f t="shared" si="47"/>
        <v/>
      </c>
      <c r="T12" s="1364" t="s">
        <v>300</v>
      </c>
      <c r="U12" s="1369" t="s">
        <v>386</v>
      </c>
      <c r="V12" s="1370">
        <v>1</v>
      </c>
      <c r="W12" s="1358">
        <f t="shared" si="11"/>
        <v>0</v>
      </c>
      <c r="X12" s="1382">
        <f>+M12*VLOOKUP($A12,'Financials Parameters'!$I$5:$AM$16,20,FALSE)/1000</f>
        <v>0</v>
      </c>
      <c r="Y12" s="1362"/>
      <c r="Z12" s="2063" t="str">
        <f t="shared" si="48"/>
        <v/>
      </c>
      <c r="AA12" s="1384"/>
      <c r="AB12" s="1369" t="s">
        <v>149</v>
      </c>
      <c r="AC12" s="1370">
        <v>1</v>
      </c>
      <c r="AD12" s="1358">
        <f t="shared" si="12"/>
        <v>0</v>
      </c>
      <c r="AE12" s="150">
        <f>+VLOOKUP($A12,'Financials Parameters'!$I$5:$AM$16,18,FALSE)</f>
        <v>20</v>
      </c>
      <c r="AF12" s="135">
        <f>+'VOH cost per h'!V13</f>
        <v>0</v>
      </c>
      <c r="AG12" s="1657">
        <f t="shared" si="49"/>
        <v>0</v>
      </c>
      <c r="AH12" s="129">
        <f>+VLOOKUP($A12,'Financials Parameters'!$I$5:$AM$16,17,FALSE)</f>
        <v>34</v>
      </c>
      <c r="AI12" s="154">
        <f>IF(L12="YES",+'RFQ Data'!$J$61,0)</f>
        <v>0</v>
      </c>
      <c r="AJ12" s="131">
        <f t="shared" si="13"/>
        <v>0</v>
      </c>
      <c r="AK12" s="150">
        <f t="shared" si="14"/>
        <v>0</v>
      </c>
      <c r="AL12" s="130" t="str">
        <f>+VLOOKUP($A12,'Financials Parameters'!$I$5:$AM$16,3,FALSE)</f>
        <v>China + South pacific</v>
      </c>
      <c r="AM12" s="1157">
        <f>+IF($X12&lt;&gt;0,IF($T12="YES",ROUNDUP('RFQ Data'!D$47/$X12,0),'RFQ Data'!D$47/$X12),0)</f>
        <v>0</v>
      </c>
      <c r="AN12" s="1158">
        <f>+IF($X12&lt;&gt;0,IF($T12="YES",ROUNDUP('RFQ Data'!E$47/$X12,0),'RFQ Data'!E$47/$X12),0)</f>
        <v>0</v>
      </c>
      <c r="AO12" s="1158">
        <f>+IF($X12&lt;&gt;0,IF($T12="YES",ROUNDUP('RFQ Data'!F$47/$X12,0),'RFQ Data'!F$47/$X12),0)</f>
        <v>0</v>
      </c>
      <c r="AP12" s="1158">
        <f>+IF($X12&lt;&gt;0,IF($T12="YES",ROUNDUP('RFQ Data'!G$47/$X12,0),'RFQ Data'!G$47/$X12),0)</f>
        <v>0</v>
      </c>
      <c r="AQ12" s="1158">
        <f>+IF($X12&lt;&gt;0,IF($T12="YES",ROUNDUP('RFQ Data'!H$47/$X12,0),'RFQ Data'!H$47/$X12),0)</f>
        <v>0</v>
      </c>
      <c r="AR12" s="1159">
        <f>+IF($X12&lt;&gt;0,IF($T12="YES",ROUNDUP('RFQ Data'!I$47/$X12,0),'RFQ Data'!I$47/$X12),0)</f>
        <v>0</v>
      </c>
      <c r="AS12" s="9">
        <f t="shared" si="50"/>
        <v>0</v>
      </c>
      <c r="AT12" s="9">
        <f t="shared" si="51"/>
        <v>0</v>
      </c>
      <c r="AU12" s="9">
        <f t="shared" si="52"/>
        <v>0</v>
      </c>
      <c r="AV12" s="9">
        <f t="shared" si="53"/>
        <v>0</v>
      </c>
      <c r="AW12" s="9">
        <f t="shared" si="54"/>
        <v>0</v>
      </c>
      <c r="AX12" s="9">
        <f t="shared" si="55"/>
        <v>0</v>
      </c>
      <c r="AZ12" s="9">
        <f t="shared" si="56"/>
        <v>0</v>
      </c>
      <c r="BA12" s="9">
        <f t="shared" si="57"/>
        <v>0</v>
      </c>
      <c r="BB12" s="9">
        <f t="shared" si="58"/>
        <v>0</v>
      </c>
      <c r="BC12" s="9">
        <f t="shared" si="59"/>
        <v>0</v>
      </c>
      <c r="BD12" s="9">
        <f t="shared" si="60"/>
        <v>0</v>
      </c>
      <c r="BE12" s="9">
        <f t="shared" si="61"/>
        <v>0</v>
      </c>
      <c r="BF12" s="9"/>
      <c r="BG12">
        <f t="shared" si="17"/>
        <v>100000000</v>
      </c>
      <c r="BH12">
        <f t="shared" si="18"/>
        <v>100000000</v>
      </c>
      <c r="BI12">
        <f t="shared" si="19"/>
        <v>100000000</v>
      </c>
      <c r="BJ12">
        <f t="shared" si="20"/>
        <v>100000000</v>
      </c>
      <c r="BK12">
        <f t="shared" si="21"/>
        <v>100000000</v>
      </c>
      <c r="BL12">
        <f t="shared" si="22"/>
        <v>100000000</v>
      </c>
      <c r="BO12" s="2">
        <f t="shared" si="62"/>
        <v>0</v>
      </c>
      <c r="BP12" s="2">
        <f t="shared" si="23"/>
        <v>0</v>
      </c>
      <c r="BQ12" s="2">
        <f t="shared" si="63"/>
        <v>0</v>
      </c>
      <c r="BR12" s="2">
        <f t="shared" si="24"/>
        <v>0</v>
      </c>
      <c r="BS12" s="2">
        <f t="shared" si="25"/>
        <v>0</v>
      </c>
      <c r="BT12" s="2">
        <f t="shared" si="26"/>
        <v>0</v>
      </c>
      <c r="BU12" s="2"/>
      <c r="BV12" s="2">
        <f t="shared" si="76"/>
        <v>0</v>
      </c>
      <c r="BW12" s="2">
        <f>+IF(BP12-SUM($BO12:BO12)&lt;0,0,BP12-SUM($BO12:BO12))</f>
        <v>0</v>
      </c>
      <c r="BX12" s="2">
        <f>+IF(BQ12-SUM($BV12:BW12)&lt;0,0,BQ12-SUM($BV12:BW12))</f>
        <v>0</v>
      </c>
      <c r="BY12" s="2">
        <f>+IF(BR12-SUM($BV12:BX12)&lt;0,0,BR12-SUM($BV12:BX12))</f>
        <v>0</v>
      </c>
      <c r="BZ12" s="2">
        <f>+IF(BS12-SUM($BV12:BY12)&lt;0,0,BS12-SUM($BV12:BY12))</f>
        <v>0</v>
      </c>
      <c r="CA12" s="2">
        <f>+IF(BT12-SUM($BV12:BZ12)&lt;0,0,BT12-SUM($BV12:BZ12))</f>
        <v>0</v>
      </c>
      <c r="CB12" s="1166">
        <f t="shared" si="65"/>
        <v>0</v>
      </c>
      <c r="CC12" s="1167">
        <f t="shared" si="28"/>
        <v>0</v>
      </c>
      <c r="CD12" s="1167">
        <f t="shared" si="29"/>
        <v>0</v>
      </c>
      <c r="CE12" s="1167">
        <f t="shared" si="30"/>
        <v>0</v>
      </c>
      <c r="CF12" s="1167">
        <f t="shared" si="31"/>
        <v>0</v>
      </c>
      <c r="CG12" s="1168">
        <f t="shared" si="32"/>
        <v>0</v>
      </c>
      <c r="CH12" s="1861">
        <f t="shared" si="72"/>
        <v>0</v>
      </c>
      <c r="CI12" s="1865">
        <f t="shared" si="66"/>
        <v>0</v>
      </c>
      <c r="CJ12" s="1865">
        <f>$V12*BX12</f>
        <v>0</v>
      </c>
      <c r="CK12" s="1865">
        <f t="shared" si="34"/>
        <v>0</v>
      </c>
      <c r="CL12" s="1865">
        <f t="shared" si="35"/>
        <v>0</v>
      </c>
      <c r="CM12" s="1173">
        <f t="shared" si="36"/>
        <v>0</v>
      </c>
      <c r="CN12" s="1861">
        <f t="shared" si="67"/>
        <v>0</v>
      </c>
      <c r="CO12" s="1865">
        <f>IF(BA12*$Y12*$AD12-SUM($CN12:CN12)&lt;0,0,BA12*$Y12*$AD12-SUM($CN12:CN12))</f>
        <v>0</v>
      </c>
      <c r="CP12" s="1865">
        <f>IF(BB12*$Y12*$AD12-SUM($CN12:CO12)&lt;0,0,BB12*$Y12*$AD12-SUM($CN12:CO12))</f>
        <v>0</v>
      </c>
      <c r="CQ12" s="1865">
        <f>IF(BC12*$Y12*$AD12-SUM($CN12:CP12)&lt;0,0,BC12*$Y12*$AD12-SUM($CN12:CP12))</f>
        <v>0</v>
      </c>
      <c r="CR12" s="1865">
        <f>IF(BD12*$Y12*$AD12-SUM($CN12:CQ12)&lt;0,0,BD12*$Y12*$AD12-SUM($CN12:CQ12))</f>
        <v>0</v>
      </c>
      <c r="CS12" s="1173">
        <f>IF(BE12*$Y12*$AD12-SUM($CN12:CR12)&lt;0,0,BE12*$Y12*$AD12-SUM($CN12:CR12))</f>
        <v>0</v>
      </c>
      <c r="CT12" s="1873">
        <f t="shared" si="37"/>
        <v>0</v>
      </c>
      <c r="CU12" s="1861">
        <f t="shared" si="68"/>
        <v>0</v>
      </c>
      <c r="CV12" s="1865">
        <f>IF(BA12*$Y12*$AC12-SUM($CU12:CU12)&lt;0,0,BA12*$Y12*$AC12-SUM($CU12:CU12))</f>
        <v>0</v>
      </c>
      <c r="CW12" s="1865">
        <f>IF(BB12*$Y12*$AC12-SUM($CU12:CV12)&lt;0,0,BB12*$Y12*$AC12-SUM($CU12:CV12))</f>
        <v>0</v>
      </c>
      <c r="CX12" s="1865">
        <f>IF(BC12*$Y12*$AC12-SUM($CU12:CW12)&lt;0,0,BC12*$Y12*$AC12-SUM($CU12:CW12))</f>
        <v>0</v>
      </c>
      <c r="CY12" s="1865">
        <f>IF(BD12*$Y12*$AC12-SUM($CU12:CX12)&lt;0,0,BD12*$Y12*$AC12-SUM($CU12:CX12))</f>
        <v>0</v>
      </c>
      <c r="CZ12" s="1173">
        <f>IF(BE12*$Y12*$AC12-SUM($CU12:CY12)&lt;0,0,BE12*$Y12*$AC12-SUM($CU12:CY12))</f>
        <v>0</v>
      </c>
      <c r="DA12" s="1171">
        <f t="shared" si="69"/>
        <v>0</v>
      </c>
      <c r="DB12" s="1173">
        <f t="shared" si="38"/>
        <v>0</v>
      </c>
      <c r="DC12" s="2"/>
      <c r="DE12" t="str">
        <f t="shared" si="39"/>
        <v xml:space="preserve">Operation - </v>
      </c>
      <c r="DF12" s="16">
        <f t="shared" si="40"/>
        <v>0</v>
      </c>
      <c r="DG12" s="16">
        <f t="shared" si="41"/>
        <v>0</v>
      </c>
      <c r="DH12" s="16">
        <f t="shared" si="42"/>
        <v>0</v>
      </c>
      <c r="DJ12" t="str">
        <f t="shared" si="43"/>
        <v>RMB</v>
      </c>
      <c r="DK12" s="2">
        <f t="shared" si="44"/>
        <v>0</v>
      </c>
      <c r="DM12" t="s">
        <v>407</v>
      </c>
      <c r="DN12">
        <v>5.0000000000000001E-3</v>
      </c>
      <c r="DO12">
        <v>1.25E-3</v>
      </c>
      <c r="DP12">
        <v>6.2500000000000003E-3</v>
      </c>
      <c r="DQ12">
        <f t="shared" si="70"/>
        <v>3.0369724600191508E-2</v>
      </c>
      <c r="DR12">
        <f t="shared" si="73"/>
        <v>0.94158849936243427</v>
      </c>
    </row>
    <row r="13" spans="1:122" ht="15" thickBot="1">
      <c r="A13" s="1360" t="s">
        <v>384</v>
      </c>
      <c r="B13" s="1393" t="str">
        <f>+VLOOKUP(A13,'Financials Parameters'!$I$5:$K$15,2,FALSE)</f>
        <v>RMB</v>
      </c>
      <c r="C13" s="1394" t="str">
        <f t="shared" si="71"/>
        <v>RMB</v>
      </c>
      <c r="D13" s="1394" t="str">
        <f t="shared" si="45"/>
        <v>RMBRMB</v>
      </c>
      <c r="E13" s="1394">
        <f>+SUMIF('Financials Parameters'!$D$29:$D$53,'Product Added value'!D13,'Financials Parameters'!$E$29:$E$53)</f>
        <v>0.99999999999999989</v>
      </c>
      <c r="F13" s="2216" t="s">
        <v>408</v>
      </c>
      <c r="G13" s="2211"/>
      <c r="H13" s="1363"/>
      <c r="I13" s="1363"/>
      <c r="J13" s="1363"/>
      <c r="K13" s="1388"/>
      <c r="L13" s="1389"/>
      <c r="M13" s="137">
        <f>+IF(H13&lt;&gt;0,J13*I13/H13,0)</f>
        <v>0</v>
      </c>
      <c r="N13" s="122">
        <f>+IF(M13&lt;&gt;0,INT('RFQ Data'!$M$48/M13)+1,0)</f>
        <v>0</v>
      </c>
      <c r="O13" s="121">
        <f>+IF(N13*M13&lt;&gt;0,'RFQ Data'!$M$48/(N13*M13),0)</f>
        <v>0</v>
      </c>
      <c r="P13" s="110">
        <f t="shared" si="75"/>
        <v>0</v>
      </c>
      <c r="Q13" s="113">
        <f t="shared" si="10"/>
        <v>0</v>
      </c>
      <c r="R13" s="1362"/>
      <c r="S13" s="2063" t="str">
        <f t="shared" si="47"/>
        <v/>
      </c>
      <c r="T13" s="1364" t="s">
        <v>300</v>
      </c>
      <c r="U13" s="1369" t="s">
        <v>386</v>
      </c>
      <c r="V13" s="1370">
        <v>1</v>
      </c>
      <c r="W13" s="1358">
        <f t="shared" si="11"/>
        <v>0</v>
      </c>
      <c r="X13" s="1382">
        <f>+M13*VLOOKUP($A13,'Financials Parameters'!$I$5:$AM$16,20,FALSE)/1000</f>
        <v>0</v>
      </c>
      <c r="Y13" s="1362"/>
      <c r="Z13" s="2063" t="str">
        <f t="shared" si="48"/>
        <v/>
      </c>
      <c r="AA13" s="1384"/>
      <c r="AB13" s="1369" t="s">
        <v>149</v>
      </c>
      <c r="AC13" s="1370">
        <v>1</v>
      </c>
      <c r="AD13" s="1358">
        <f t="shared" si="12"/>
        <v>0</v>
      </c>
      <c r="AE13" s="150">
        <f>+VLOOKUP($A13,'Financials Parameters'!$I$5:$AM$16,18,FALSE)</f>
        <v>20</v>
      </c>
      <c r="AF13" s="135">
        <f>+'VOH cost per h'!V14</f>
        <v>0</v>
      </c>
      <c r="AG13" s="1657">
        <f t="shared" si="49"/>
        <v>0</v>
      </c>
      <c r="AH13" s="129">
        <f>+VLOOKUP($A13,'Financials Parameters'!$I$5:$AM$16,17,FALSE)</f>
        <v>34</v>
      </c>
      <c r="AI13" s="154">
        <f>IF(L13="YES",+'RFQ Data'!$J$61,0)</f>
        <v>0</v>
      </c>
      <c r="AJ13" s="131">
        <f t="shared" si="13"/>
        <v>0</v>
      </c>
      <c r="AK13" s="150">
        <f t="shared" si="14"/>
        <v>0</v>
      </c>
      <c r="AL13" s="130" t="str">
        <f>+VLOOKUP($A13,'Financials Parameters'!$I$5:$AM$16,3,FALSE)</f>
        <v>China + South pacific</v>
      </c>
      <c r="AM13" s="1157">
        <f>+IF($X13&lt;&gt;0,IF($T13="YES",ROUNDUP('RFQ Data'!D$47/$X13,0),'RFQ Data'!D$47/$X13),0)</f>
        <v>0</v>
      </c>
      <c r="AN13" s="1158">
        <f>+IF($X13&lt;&gt;0,IF($T13="YES",ROUNDUP('RFQ Data'!E$47/$X13,0),'RFQ Data'!E$47/$X13),0)</f>
        <v>0</v>
      </c>
      <c r="AO13" s="1158">
        <f>+IF($X13&lt;&gt;0,IF($T13="YES",ROUNDUP('RFQ Data'!F$47/$X13,0),'RFQ Data'!F$47/$X13),0)</f>
        <v>0</v>
      </c>
      <c r="AP13" s="1158">
        <f>+IF($X13&lt;&gt;0,IF($T13="YES",ROUNDUP('RFQ Data'!G$47/$X13,0),'RFQ Data'!G$47/$X13),0)</f>
        <v>0</v>
      </c>
      <c r="AQ13" s="1158">
        <f>+IF($X13&lt;&gt;0,IF($T13="YES",ROUNDUP('RFQ Data'!H$47/$X13,0),'RFQ Data'!H$47/$X13),0)</f>
        <v>0</v>
      </c>
      <c r="AR13" s="1159">
        <f>+IF($X13&lt;&gt;0,IF($T13="YES",ROUNDUP('RFQ Data'!I$47/$X13,0),'RFQ Data'!I$47/$X13),0)</f>
        <v>0</v>
      </c>
      <c r="AS13" s="9">
        <f t="shared" si="50"/>
        <v>0</v>
      </c>
      <c r="AT13" s="9">
        <f t="shared" si="51"/>
        <v>0</v>
      </c>
      <c r="AU13" s="9">
        <f t="shared" si="52"/>
        <v>0</v>
      </c>
      <c r="AV13" s="9">
        <f t="shared" si="53"/>
        <v>0</v>
      </c>
      <c r="AW13" s="9">
        <f t="shared" si="54"/>
        <v>0</v>
      </c>
      <c r="AX13" s="9">
        <f t="shared" si="55"/>
        <v>0</v>
      </c>
      <c r="AZ13" s="9">
        <f t="shared" si="56"/>
        <v>0</v>
      </c>
      <c r="BA13" s="9">
        <f t="shared" si="57"/>
        <v>0</v>
      </c>
      <c r="BB13" s="9">
        <f t="shared" si="58"/>
        <v>0</v>
      </c>
      <c r="BC13" s="9">
        <f t="shared" si="59"/>
        <v>0</v>
      </c>
      <c r="BD13" s="9">
        <f t="shared" si="60"/>
        <v>0</v>
      </c>
      <c r="BE13" s="9">
        <f t="shared" si="61"/>
        <v>0</v>
      </c>
      <c r="BF13" s="9"/>
      <c r="BG13">
        <f t="shared" si="17"/>
        <v>100000000</v>
      </c>
      <c r="BH13">
        <f t="shared" si="18"/>
        <v>100000000</v>
      </c>
      <c r="BI13">
        <f t="shared" si="19"/>
        <v>100000000</v>
      </c>
      <c r="BJ13">
        <f t="shared" si="20"/>
        <v>100000000</v>
      </c>
      <c r="BK13">
        <f t="shared" si="21"/>
        <v>100000000</v>
      </c>
      <c r="BL13">
        <f t="shared" si="22"/>
        <v>100000000</v>
      </c>
      <c r="BO13" s="2">
        <f t="shared" si="62"/>
        <v>0</v>
      </c>
      <c r="BP13" s="2">
        <f t="shared" si="23"/>
        <v>0</v>
      </c>
      <c r="BQ13" s="2">
        <f t="shared" si="63"/>
        <v>0</v>
      </c>
      <c r="BR13" s="2">
        <f t="shared" si="24"/>
        <v>0</v>
      </c>
      <c r="BS13" s="2">
        <f t="shared" si="25"/>
        <v>0</v>
      </c>
      <c r="BT13" s="2">
        <f t="shared" si="26"/>
        <v>0</v>
      </c>
      <c r="BU13" s="2"/>
      <c r="BV13" s="2">
        <f t="shared" si="76"/>
        <v>0</v>
      </c>
      <c r="BW13" s="2">
        <f>+IF(BP13-SUM($BO13:BO13)&lt;0,0,BP13-SUM($BO13:BO13))</f>
        <v>0</v>
      </c>
      <c r="BX13" s="2">
        <f>+IF(BQ13-SUM($BV13:BW13)&lt;0,0,BQ13-SUM($BV13:BW13))</f>
        <v>0</v>
      </c>
      <c r="BY13" s="2">
        <f>+IF(BR13-SUM($BV13:BX13)&lt;0,0,BR13-SUM($BV13:BX13))</f>
        <v>0</v>
      </c>
      <c r="BZ13" s="2">
        <f>+IF(BS13-SUM($BV13:BY13)&lt;0,0,BS13-SUM($BV13:BY13))</f>
        <v>0</v>
      </c>
      <c r="CA13" s="2">
        <f>+IF(BT13-SUM($BV13:BZ13)&lt;0,0,BT13-SUM($BV13:BZ13))</f>
        <v>0</v>
      </c>
      <c r="CB13" s="1166">
        <f t="shared" si="65"/>
        <v>0</v>
      </c>
      <c r="CC13" s="1167">
        <f t="shared" si="28"/>
        <v>0</v>
      </c>
      <c r="CD13" s="1167">
        <f t="shared" si="29"/>
        <v>0</v>
      </c>
      <c r="CE13" s="1167">
        <f t="shared" si="30"/>
        <v>0</v>
      </c>
      <c r="CF13" s="1167">
        <f t="shared" si="31"/>
        <v>0</v>
      </c>
      <c r="CG13" s="1168">
        <f t="shared" si="32"/>
        <v>0</v>
      </c>
      <c r="CH13" s="1861">
        <f t="shared" si="72"/>
        <v>0</v>
      </c>
      <c r="CI13" s="1865">
        <f t="shared" si="66"/>
        <v>0</v>
      </c>
      <c r="CJ13" s="1865">
        <f t="shared" si="33"/>
        <v>0</v>
      </c>
      <c r="CK13" s="1865">
        <f t="shared" si="34"/>
        <v>0</v>
      </c>
      <c r="CL13" s="1865">
        <f t="shared" si="35"/>
        <v>0</v>
      </c>
      <c r="CM13" s="1173">
        <f t="shared" si="36"/>
        <v>0</v>
      </c>
      <c r="CN13" s="1861">
        <f t="shared" si="67"/>
        <v>0</v>
      </c>
      <c r="CO13" s="1865">
        <f>IF(BA13*$Y13*$AD13-SUM($CN13:CN13)&lt;0,0,BA13*$Y13*$AD13-SUM($CN13:CN13))</f>
        <v>0</v>
      </c>
      <c r="CP13" s="1865">
        <f>IF(BB13*$Y13*$AD13-SUM($CN13:CO13)&lt;0,0,BB13*$Y13*$AD13-SUM($CN13:CO13))</f>
        <v>0</v>
      </c>
      <c r="CQ13" s="1865">
        <f>IF(BC13*$Y13*$AD13-SUM($CN13:CP13)&lt;0,0,BC13*$Y13*$AD13-SUM($CN13:CP13))</f>
        <v>0</v>
      </c>
      <c r="CR13" s="1865">
        <f>IF(BD13*$Y13*$AD13-SUM($CN13:CQ13)&lt;0,0,BD13*$Y13*$AD13-SUM($CN13:CQ13))</f>
        <v>0</v>
      </c>
      <c r="CS13" s="1173">
        <f>IF(BE13*$Y13*$AD13-SUM($CN13:CR13)&lt;0,0,BE13*$Y13*$AD13-SUM($CN13:CR13))</f>
        <v>0</v>
      </c>
      <c r="CT13" s="1873">
        <f t="shared" si="37"/>
        <v>0</v>
      </c>
      <c r="CU13" s="1861">
        <f t="shared" si="68"/>
        <v>0</v>
      </c>
      <c r="CV13" s="1865">
        <f>IF(BA13*$Y13*$AC13-SUM($CU13:CU13)&lt;0,0,BA13*$Y13*$AC13-SUM($CU13:CU13))</f>
        <v>0</v>
      </c>
      <c r="CW13" s="1865">
        <f>IF(BB13*$Y13*$AC13-SUM($CU13:CV13)&lt;0,0,BB13*$Y13*$AC13-SUM($CU13:CV13))</f>
        <v>0</v>
      </c>
      <c r="CX13" s="1865">
        <f>IF(BC13*$Y13*$AC13-SUM($CU13:CW13)&lt;0,0,BC13*$Y13*$AC13-SUM($CU13:CW13))</f>
        <v>0</v>
      </c>
      <c r="CY13" s="1865">
        <f>IF(BD13*$Y13*$AC13-SUM($CU13:CX13)&lt;0,0,BD13*$Y13*$AC13-SUM($CU13:CX13))</f>
        <v>0</v>
      </c>
      <c r="CZ13" s="1173">
        <f>IF(BE13*$Y13*$AC13-SUM($CU13:CY13)&lt;0,0,BE13*$Y13*$AC13-SUM($CU13:CY13))</f>
        <v>0</v>
      </c>
      <c r="DA13" s="1171">
        <f t="shared" si="69"/>
        <v>0</v>
      </c>
      <c r="DB13" s="1173">
        <f t="shared" si="38"/>
        <v>0</v>
      </c>
      <c r="DC13" s="2"/>
      <c r="DE13" t="str">
        <f t="shared" si="39"/>
        <v xml:space="preserve">Operation - </v>
      </c>
      <c r="DF13" s="16">
        <f t="shared" si="40"/>
        <v>0</v>
      </c>
      <c r="DG13" s="16">
        <f t="shared" si="41"/>
        <v>0</v>
      </c>
      <c r="DH13" s="16">
        <f t="shared" si="42"/>
        <v>0</v>
      </c>
      <c r="DJ13" t="str">
        <f t="shared" si="43"/>
        <v>RMB</v>
      </c>
      <c r="DK13" s="2">
        <f t="shared" si="44"/>
        <v>0</v>
      </c>
      <c r="DM13" t="s">
        <v>409</v>
      </c>
      <c r="DN13">
        <v>2.6771241830065356E-3</v>
      </c>
      <c r="DO13">
        <v>3.3333333333333331E-3</v>
      </c>
      <c r="DP13">
        <v>6.0104575163398687E-3</v>
      </c>
      <c r="DQ13">
        <f t="shared" si="70"/>
        <v>2.9205750318782857E-2</v>
      </c>
      <c r="DR13">
        <f t="shared" si="73"/>
        <v>0.97079424968121708</v>
      </c>
    </row>
    <row r="14" spans="1:122" ht="15" thickBot="1">
      <c r="A14" s="1360" t="s">
        <v>384</v>
      </c>
      <c r="B14" s="1393" t="str">
        <f>+VLOOKUP(A14,'Financials Parameters'!$I$5:$K$15,2,FALSE)</f>
        <v>RMB</v>
      </c>
      <c r="C14" s="1394" t="str">
        <f t="shared" si="71"/>
        <v>RMB</v>
      </c>
      <c r="D14" s="1394" t="str">
        <f t="shared" si="45"/>
        <v>RMBRMB</v>
      </c>
      <c r="E14" s="1394">
        <f>+SUMIF('Financials Parameters'!$D$29:$D$53,'Product Added value'!D14,'Financials Parameters'!$E$29:$E$53)</f>
        <v>0.99999999999999989</v>
      </c>
      <c r="F14" s="2216" t="s">
        <v>410</v>
      </c>
      <c r="G14" s="2211"/>
      <c r="H14" s="1363"/>
      <c r="I14" s="1363"/>
      <c r="J14" s="1363"/>
      <c r="K14" s="1388"/>
      <c r="L14" s="1389"/>
      <c r="M14" s="119">
        <f t="shared" si="74"/>
        <v>0</v>
      </c>
      <c r="N14" s="122">
        <f>+IF(M14&lt;&gt;0,INT('RFQ Data'!$M$48/M14)+1,0)</f>
        <v>0</v>
      </c>
      <c r="O14" s="121">
        <f>+IF(N14*M14&lt;&gt;0,'RFQ Data'!$M$48/(N14*M14),0)</f>
        <v>0</v>
      </c>
      <c r="P14" s="110">
        <f t="shared" si="75"/>
        <v>0</v>
      </c>
      <c r="Q14" s="113">
        <f t="shared" si="10"/>
        <v>0</v>
      </c>
      <c r="R14" s="1362"/>
      <c r="S14" s="2063" t="str">
        <f t="shared" si="47"/>
        <v/>
      </c>
      <c r="T14" s="1364" t="s">
        <v>300</v>
      </c>
      <c r="U14" s="1369" t="s">
        <v>386</v>
      </c>
      <c r="V14" s="1370">
        <v>1</v>
      </c>
      <c r="W14" s="1358">
        <f t="shared" si="11"/>
        <v>0</v>
      </c>
      <c r="X14" s="1382">
        <f>+M14*VLOOKUP($A14,'Financials Parameters'!$I$5:$AM$16,20,FALSE)/1000</f>
        <v>0</v>
      </c>
      <c r="Y14" s="1362"/>
      <c r="Z14" s="2063" t="str">
        <f t="shared" si="48"/>
        <v/>
      </c>
      <c r="AA14" s="1384"/>
      <c r="AB14" s="1369" t="s">
        <v>149</v>
      </c>
      <c r="AC14" s="1370">
        <v>1</v>
      </c>
      <c r="AD14" s="1358">
        <f t="shared" si="12"/>
        <v>0</v>
      </c>
      <c r="AE14" s="150">
        <f>+VLOOKUP($A14,'Financials Parameters'!$I$5:$AM$16,18,FALSE)</f>
        <v>20</v>
      </c>
      <c r="AF14" s="135">
        <f>+'VOH cost per h'!V15</f>
        <v>0</v>
      </c>
      <c r="AG14" s="1657">
        <f t="shared" si="49"/>
        <v>0</v>
      </c>
      <c r="AH14" s="129">
        <f>+VLOOKUP($A14,'Financials Parameters'!$I$5:$AM$16,17,FALSE)</f>
        <v>34</v>
      </c>
      <c r="AI14" s="154">
        <f>IF(L14="YES",+'RFQ Data'!$J$61,0)</f>
        <v>0</v>
      </c>
      <c r="AJ14" s="131">
        <f t="shared" si="13"/>
        <v>0</v>
      </c>
      <c r="AK14" s="150">
        <f t="shared" si="14"/>
        <v>0</v>
      </c>
      <c r="AL14" s="130" t="str">
        <f>+VLOOKUP($A14,'Financials Parameters'!$I$5:$AM$16,3,FALSE)</f>
        <v>China + South pacific</v>
      </c>
      <c r="AM14" s="1157">
        <f>+IF($X14&lt;&gt;0,IF($T14="YES",ROUNDUP('RFQ Data'!D$47/$X14,0),'RFQ Data'!D$47/$X14),0)</f>
        <v>0</v>
      </c>
      <c r="AN14" s="1158">
        <f>+IF($X14&lt;&gt;0,IF($T14="YES",ROUNDUP('RFQ Data'!E$47/$X14,0),'RFQ Data'!E$47/$X14),0)</f>
        <v>0</v>
      </c>
      <c r="AO14" s="1158">
        <f>+IF($X14&lt;&gt;0,IF($T14="YES",ROUNDUP('RFQ Data'!F$47/$X14,0),'RFQ Data'!F$47/$X14),0)</f>
        <v>0</v>
      </c>
      <c r="AP14" s="1158">
        <f>+IF($X14&lt;&gt;0,IF($T14="YES",ROUNDUP('RFQ Data'!G$47/$X14,0),'RFQ Data'!G$47/$X14),0)</f>
        <v>0</v>
      </c>
      <c r="AQ14" s="1158">
        <f>+IF($X14&lt;&gt;0,IF($T14="YES",ROUNDUP('RFQ Data'!H$47/$X14,0),'RFQ Data'!H$47/$X14),0)</f>
        <v>0</v>
      </c>
      <c r="AR14" s="1159">
        <f>+IF($X14&lt;&gt;0,IF($T14="YES",ROUNDUP('RFQ Data'!I$47/$X14,0),'RFQ Data'!I$47/$X14),0)</f>
        <v>0</v>
      </c>
      <c r="AS14" s="9">
        <f t="shared" si="50"/>
        <v>0</v>
      </c>
      <c r="AT14" s="9">
        <f t="shared" si="51"/>
        <v>0</v>
      </c>
      <c r="AU14" s="9">
        <f t="shared" si="52"/>
        <v>0</v>
      </c>
      <c r="AV14" s="9">
        <f t="shared" si="53"/>
        <v>0</v>
      </c>
      <c r="AW14" s="9">
        <f t="shared" si="54"/>
        <v>0</v>
      </c>
      <c r="AX14" s="9">
        <f t="shared" si="55"/>
        <v>0</v>
      </c>
      <c r="AZ14" s="9">
        <f t="shared" si="56"/>
        <v>0</v>
      </c>
      <c r="BA14" s="9">
        <f t="shared" si="57"/>
        <v>0</v>
      </c>
      <c r="BB14" s="9">
        <f t="shared" si="58"/>
        <v>0</v>
      </c>
      <c r="BC14" s="9">
        <f t="shared" si="59"/>
        <v>0</v>
      </c>
      <c r="BD14" s="9">
        <f t="shared" si="60"/>
        <v>0</v>
      </c>
      <c r="BE14" s="9">
        <f t="shared" si="61"/>
        <v>0</v>
      </c>
      <c r="BF14" s="9"/>
      <c r="BG14">
        <f t="shared" si="17"/>
        <v>100000000</v>
      </c>
      <c r="BH14">
        <f t="shared" si="18"/>
        <v>100000000</v>
      </c>
      <c r="BI14">
        <f t="shared" si="19"/>
        <v>100000000</v>
      </c>
      <c r="BJ14">
        <f t="shared" si="20"/>
        <v>100000000</v>
      </c>
      <c r="BK14">
        <f t="shared" si="21"/>
        <v>100000000</v>
      </c>
      <c r="BL14">
        <f t="shared" si="22"/>
        <v>100000000</v>
      </c>
      <c r="BO14" s="2">
        <f t="shared" si="62"/>
        <v>0</v>
      </c>
      <c r="BP14" s="2">
        <f t="shared" si="23"/>
        <v>0</v>
      </c>
      <c r="BQ14" s="2">
        <f t="shared" si="63"/>
        <v>0</v>
      </c>
      <c r="BR14" s="2">
        <f t="shared" si="24"/>
        <v>0</v>
      </c>
      <c r="BS14" s="2">
        <f t="shared" si="25"/>
        <v>0</v>
      </c>
      <c r="BT14" s="2">
        <f t="shared" si="26"/>
        <v>0</v>
      </c>
      <c r="BU14" s="2"/>
      <c r="BV14" s="2">
        <f t="shared" si="76"/>
        <v>0</v>
      </c>
      <c r="BW14" s="2">
        <f>+IF(BP14-SUM($BO14:BO14)&lt;0,0,BP14-SUM($BO14:BO14))</f>
        <v>0</v>
      </c>
      <c r="BX14" s="2">
        <f>+IF(BQ14-SUM($BV14:BW14)&lt;0,0,BQ14-SUM($BV14:BW14))</f>
        <v>0</v>
      </c>
      <c r="BY14" s="2">
        <f>+IF(BR14-SUM($BV14:BX14)&lt;0,0,BR14-SUM($BV14:BX14))</f>
        <v>0</v>
      </c>
      <c r="BZ14" s="2">
        <f>+IF(BS14-SUM($BV14:BY14)&lt;0,0,BS14-SUM($BV14:BY14))</f>
        <v>0</v>
      </c>
      <c r="CA14" s="2">
        <f>+IF(BT14-SUM($BV14:BZ14)&lt;0,0,BT14-SUM($BV14:BZ14))</f>
        <v>0</v>
      </c>
      <c r="CB14" s="1166">
        <f t="shared" si="65"/>
        <v>0</v>
      </c>
      <c r="CC14" s="1167">
        <f t="shared" si="28"/>
        <v>0</v>
      </c>
      <c r="CD14" s="1167">
        <f t="shared" si="29"/>
        <v>0</v>
      </c>
      <c r="CE14" s="1167">
        <f t="shared" si="30"/>
        <v>0</v>
      </c>
      <c r="CF14" s="1167">
        <f t="shared" si="31"/>
        <v>0</v>
      </c>
      <c r="CG14" s="1168">
        <f t="shared" si="32"/>
        <v>0</v>
      </c>
      <c r="CH14" s="1861">
        <f t="shared" si="72"/>
        <v>0</v>
      </c>
      <c r="CI14" s="1865">
        <f t="shared" si="66"/>
        <v>0</v>
      </c>
      <c r="CJ14" s="1865">
        <f t="shared" si="33"/>
        <v>0</v>
      </c>
      <c r="CK14" s="1865">
        <f t="shared" si="34"/>
        <v>0</v>
      </c>
      <c r="CL14" s="1865">
        <f t="shared" si="35"/>
        <v>0</v>
      </c>
      <c r="CM14" s="1173">
        <f t="shared" si="36"/>
        <v>0</v>
      </c>
      <c r="CN14" s="1861">
        <f t="shared" si="67"/>
        <v>0</v>
      </c>
      <c r="CO14" s="1865">
        <f>IF(BA14*$Y14*$AD14-SUM($CN14:CN14)&lt;0,0,BA14*$Y14*$AD14-SUM($CN14:CN14))</f>
        <v>0</v>
      </c>
      <c r="CP14" s="1865">
        <f>IF(BB14*$Y14*$AD14-SUM($CN14:CO14)&lt;0,0,BB14*$Y14*$AD14-SUM($CN14:CO14))</f>
        <v>0</v>
      </c>
      <c r="CQ14" s="1865">
        <f>IF(BC14*$Y14*$AD14-SUM($CN14:CP14)&lt;0,0,BC14*$Y14*$AD14-SUM($CN14:CP14))</f>
        <v>0</v>
      </c>
      <c r="CR14" s="1865">
        <f>IF(BD14*$Y14*$AD14-SUM($CN14:CQ14)&lt;0,0,BD14*$Y14*$AD14-SUM($CN14:CQ14))</f>
        <v>0</v>
      </c>
      <c r="CS14" s="1173">
        <f>IF(BE14*$Y14*$AD14-SUM($CN14:CR14)&lt;0,0,BE14*$Y14*$AD14-SUM($CN14:CR14))</f>
        <v>0</v>
      </c>
      <c r="CT14" s="1873">
        <f t="shared" si="37"/>
        <v>0</v>
      </c>
      <c r="CU14" s="1861">
        <f t="shared" si="68"/>
        <v>0</v>
      </c>
      <c r="CV14" s="1865">
        <f>IF(BA14*$Y14*$AC14-SUM($CU14:CU14)&lt;0,0,BA14*$Y14*$AC14-SUM($CU14:CU14))</f>
        <v>0</v>
      </c>
      <c r="CW14" s="1865">
        <f>IF(BB14*$Y14*$AC14-SUM($CU14:CV14)&lt;0,0,BB14*$Y14*$AC14-SUM($CU14:CV14))</f>
        <v>0</v>
      </c>
      <c r="CX14" s="1865">
        <f>IF(BC14*$Y14*$AC14-SUM($CU14:CW14)&lt;0,0,BC14*$Y14*$AC14-SUM($CU14:CW14))</f>
        <v>0</v>
      </c>
      <c r="CY14" s="1865">
        <f>IF(BD14*$Y14*$AC14-SUM($CU14:CX14)&lt;0,0,BD14*$Y14*$AC14-SUM($CU14:CX14))</f>
        <v>0</v>
      </c>
      <c r="CZ14" s="1173">
        <f>IF(BE14*$Y14*$AC14-SUM($CU14:CY14)&lt;0,0,BE14*$Y14*$AC14-SUM($CU14:CY14))</f>
        <v>0</v>
      </c>
      <c r="DA14" s="1171">
        <f t="shared" si="69"/>
        <v>0</v>
      </c>
      <c r="DB14" s="1173">
        <f t="shared" si="38"/>
        <v>0</v>
      </c>
      <c r="DC14" s="2"/>
      <c r="DE14" t="str">
        <f t="shared" si="39"/>
        <v xml:space="preserve">Operation - </v>
      </c>
      <c r="DF14" s="16">
        <f t="shared" si="40"/>
        <v>0</v>
      </c>
      <c r="DG14" s="16">
        <f t="shared" si="41"/>
        <v>0</v>
      </c>
      <c r="DH14" s="16">
        <f t="shared" si="42"/>
        <v>0</v>
      </c>
      <c r="DJ14" t="str">
        <f t="shared" si="43"/>
        <v>RMB</v>
      </c>
      <c r="DK14" s="2">
        <f t="shared" si="44"/>
        <v>0</v>
      </c>
      <c r="DM14" t="s">
        <v>411</v>
      </c>
      <c r="DN14">
        <v>2.6771241830065356E-3</v>
      </c>
      <c r="DO14">
        <v>3.3333333333333331E-3</v>
      </c>
      <c r="DP14">
        <v>6.0104575163398687E-3</v>
      </c>
      <c r="DQ14">
        <f t="shared" si="70"/>
        <v>2.9205750318782857E-2</v>
      </c>
    </row>
    <row r="15" spans="1:122" ht="15" thickBot="1">
      <c r="A15" s="1360" t="s">
        <v>384</v>
      </c>
      <c r="B15" s="1393" t="str">
        <f>+VLOOKUP(A15,'Financials Parameters'!$I$5:$K$15,2,FALSE)</f>
        <v>RMB</v>
      </c>
      <c r="C15" s="1394" t="str">
        <f t="shared" si="71"/>
        <v>RMB</v>
      </c>
      <c r="D15" s="1394" t="str">
        <f t="shared" si="45"/>
        <v>RMBRMB</v>
      </c>
      <c r="E15" s="1394">
        <f>+SUMIF('Financials Parameters'!$D$29:$D$53,'Product Added value'!D15,'Financials Parameters'!$E$29:$E$53)</f>
        <v>0.99999999999999989</v>
      </c>
      <c r="F15" s="2216" t="s">
        <v>412</v>
      </c>
      <c r="G15" s="2211"/>
      <c r="H15" s="1363"/>
      <c r="I15" s="1363"/>
      <c r="J15" s="1363"/>
      <c r="K15" s="1388"/>
      <c r="L15" s="1389"/>
      <c r="M15" s="119">
        <f t="shared" ref="M15:M23" si="77">+IF(H15&lt;&gt;0,J15*I15/H15,0)</f>
        <v>0</v>
      </c>
      <c r="N15" s="122">
        <f>+IF(M15&lt;&gt;0,INT('RFQ Data'!$M$48/M15)+1,0)</f>
        <v>0</v>
      </c>
      <c r="O15" s="121">
        <f>+IF(N15*M15&lt;&gt;0,'RFQ Data'!$M$48/(N15*M15),0)</f>
        <v>0</v>
      </c>
      <c r="P15" s="110">
        <f t="shared" ref="P15:P23" si="78">IF(H15*I15=0,0,1000/J15/I15*H15)</f>
        <v>0</v>
      </c>
      <c r="Q15" s="113">
        <f t="shared" ref="Q15:Q23" si="79">+K15*P15</f>
        <v>0</v>
      </c>
      <c r="R15" s="1362"/>
      <c r="S15" s="2063" t="str">
        <f t="shared" si="47"/>
        <v/>
      </c>
      <c r="T15" s="1364" t="s">
        <v>300</v>
      </c>
      <c r="U15" s="1369" t="s">
        <v>386</v>
      </c>
      <c r="V15" s="1370">
        <v>1</v>
      </c>
      <c r="W15" s="1358">
        <f t="shared" si="11"/>
        <v>0</v>
      </c>
      <c r="X15" s="1382">
        <f>+M15*VLOOKUP($A15,'Financials Parameters'!$I$5:$AM$16,20,FALSE)/1000</f>
        <v>0</v>
      </c>
      <c r="Y15" s="1362"/>
      <c r="Z15" s="2063" t="str">
        <f t="shared" si="48"/>
        <v/>
      </c>
      <c r="AA15" s="1384"/>
      <c r="AB15" s="1369" t="s">
        <v>149</v>
      </c>
      <c r="AC15" s="1370">
        <v>1</v>
      </c>
      <c r="AD15" s="1358">
        <f t="shared" si="12"/>
        <v>0</v>
      </c>
      <c r="AE15" s="150">
        <f>+VLOOKUP($A15,'Financials Parameters'!$I$5:$AM$16,18,FALSE)</f>
        <v>20</v>
      </c>
      <c r="AF15" s="135">
        <f>+'VOH cost per h'!V16</f>
        <v>0</v>
      </c>
      <c r="AG15" s="1657">
        <f t="shared" si="49"/>
        <v>0</v>
      </c>
      <c r="AH15" s="129">
        <f>+VLOOKUP($A15,'Financials Parameters'!$I$5:$AM$16,17,FALSE)</f>
        <v>34</v>
      </c>
      <c r="AI15" s="154">
        <f>IF(L15="YES",+'RFQ Data'!$J$61,0)</f>
        <v>0</v>
      </c>
      <c r="AJ15" s="131">
        <f t="shared" si="13"/>
        <v>0</v>
      </c>
      <c r="AK15" s="150">
        <f t="shared" si="14"/>
        <v>0</v>
      </c>
      <c r="AL15" s="130" t="str">
        <f>+VLOOKUP($A15,'Financials Parameters'!$I$5:$AM$16,3,FALSE)</f>
        <v>China + South pacific</v>
      </c>
      <c r="AM15" s="1157">
        <f>+IF($X15&lt;&gt;0,IF($T15="YES",ROUNDUP('RFQ Data'!D$47/$X15,0),'RFQ Data'!D$47/$X15),0)</f>
        <v>0</v>
      </c>
      <c r="AN15" s="1158">
        <f>+IF($X15&lt;&gt;0,IF($T15="YES",ROUNDUP('RFQ Data'!E$47/$X15,0),'RFQ Data'!E$47/$X15),0)</f>
        <v>0</v>
      </c>
      <c r="AO15" s="1158">
        <f>+IF($X15&lt;&gt;0,IF($T15="YES",ROUNDUP('RFQ Data'!F$47/$X15,0),'RFQ Data'!F$47/$X15),0)</f>
        <v>0</v>
      </c>
      <c r="AP15" s="1158">
        <f>+IF($X15&lt;&gt;0,IF($T15="YES",ROUNDUP('RFQ Data'!G$47/$X15,0),'RFQ Data'!G$47/$X15),0)</f>
        <v>0</v>
      </c>
      <c r="AQ15" s="1158">
        <f>+IF($X15&lt;&gt;0,IF($T15="YES",ROUNDUP('RFQ Data'!H$47/$X15,0),'RFQ Data'!H$47/$X15),0)</f>
        <v>0</v>
      </c>
      <c r="AR15" s="1159">
        <f>+IF($X15&lt;&gt;0,IF($T15="YES",ROUNDUP('RFQ Data'!I$47/$X15,0),'RFQ Data'!I$47/$X15),0)</f>
        <v>0</v>
      </c>
      <c r="AS15" s="9">
        <f t="shared" si="50"/>
        <v>0</v>
      </c>
      <c r="AT15" s="9">
        <f t="shared" si="51"/>
        <v>0</v>
      </c>
      <c r="AU15" s="9">
        <f t="shared" si="52"/>
        <v>0</v>
      </c>
      <c r="AV15" s="9">
        <f t="shared" si="53"/>
        <v>0</v>
      </c>
      <c r="AW15" s="9">
        <f t="shared" si="54"/>
        <v>0</v>
      </c>
      <c r="AX15" s="9">
        <f t="shared" si="55"/>
        <v>0</v>
      </c>
      <c r="AZ15" s="9">
        <f t="shared" si="56"/>
        <v>0</v>
      </c>
      <c r="BA15" s="9">
        <f t="shared" si="57"/>
        <v>0</v>
      </c>
      <c r="BB15" s="9">
        <f t="shared" si="58"/>
        <v>0</v>
      </c>
      <c r="BC15" s="9">
        <f t="shared" si="59"/>
        <v>0</v>
      </c>
      <c r="BD15" s="9">
        <f t="shared" si="60"/>
        <v>0</v>
      </c>
      <c r="BE15" s="9">
        <f t="shared" si="61"/>
        <v>0</v>
      </c>
      <c r="BF15" s="9"/>
      <c r="BG15">
        <f t="shared" si="17"/>
        <v>100000000</v>
      </c>
      <c r="BH15">
        <f t="shared" si="18"/>
        <v>100000000</v>
      </c>
      <c r="BI15">
        <f t="shared" si="19"/>
        <v>100000000</v>
      </c>
      <c r="BJ15">
        <f t="shared" si="20"/>
        <v>100000000</v>
      </c>
      <c r="BK15">
        <f t="shared" si="21"/>
        <v>100000000</v>
      </c>
      <c r="BL15">
        <f t="shared" si="22"/>
        <v>100000000</v>
      </c>
      <c r="BO15" s="2">
        <f t="shared" si="62"/>
        <v>0</v>
      </c>
      <c r="BP15" s="2">
        <f t="shared" si="23"/>
        <v>0</v>
      </c>
      <c r="BQ15" s="2">
        <f t="shared" si="63"/>
        <v>0</v>
      </c>
      <c r="BR15" s="2">
        <f t="shared" si="24"/>
        <v>0</v>
      </c>
      <c r="BS15" s="2">
        <f t="shared" si="25"/>
        <v>0</v>
      </c>
      <c r="BT15" s="2">
        <f t="shared" si="26"/>
        <v>0</v>
      </c>
      <c r="BU15" s="2"/>
      <c r="BV15" s="2">
        <f t="shared" ref="BV15:BV23" si="80">+BO15</f>
        <v>0</v>
      </c>
      <c r="BW15" s="2">
        <f>+IF(BP15-SUM($BO15:BO15)&lt;0,0,BP15-SUM($BO15:BO15))</f>
        <v>0</v>
      </c>
      <c r="BX15" s="2">
        <f>+IF(BQ15-SUM($BV15:BW15)&lt;0,0,BQ15-SUM($BV15:BW15))</f>
        <v>0</v>
      </c>
      <c r="BY15" s="2">
        <f>+IF(BR15-SUM($BV15:BX15)&lt;0,0,BR15-SUM($BV15:BX15))</f>
        <v>0</v>
      </c>
      <c r="BZ15" s="2">
        <f>+IF(BS15-SUM($BV15:BY15)&lt;0,0,BS15-SUM($BV15:BY15))</f>
        <v>0</v>
      </c>
      <c r="CA15" s="2">
        <f>+IF(BT15-SUM($BV15:BZ15)&lt;0,0,BT15-SUM($BV15:BZ15))</f>
        <v>0</v>
      </c>
      <c r="CB15" s="1166">
        <f t="shared" si="65"/>
        <v>0</v>
      </c>
      <c r="CC15" s="1167">
        <f t="shared" si="28"/>
        <v>0</v>
      </c>
      <c r="CD15" s="1167">
        <f t="shared" si="29"/>
        <v>0</v>
      </c>
      <c r="CE15" s="1167">
        <f t="shared" si="30"/>
        <v>0</v>
      </c>
      <c r="CF15" s="1167">
        <f t="shared" si="31"/>
        <v>0</v>
      </c>
      <c r="CG15" s="1168">
        <f t="shared" si="32"/>
        <v>0</v>
      </c>
      <c r="CH15" s="1861">
        <f t="shared" si="72"/>
        <v>0</v>
      </c>
      <c r="CI15" s="1865">
        <f t="shared" si="66"/>
        <v>0</v>
      </c>
      <c r="CJ15" s="1865">
        <f t="shared" si="33"/>
        <v>0</v>
      </c>
      <c r="CK15" s="1865">
        <f t="shared" si="34"/>
        <v>0</v>
      </c>
      <c r="CL15" s="1865">
        <f t="shared" si="35"/>
        <v>0</v>
      </c>
      <c r="CM15" s="1173">
        <f t="shared" si="36"/>
        <v>0</v>
      </c>
      <c r="CN15" s="1861">
        <f t="shared" si="67"/>
        <v>0</v>
      </c>
      <c r="CO15" s="1865">
        <f>IF(BA15*$Y15*$AD15-SUM($CN15:CN15)&lt;0,0,BA15*$Y15*$AD15-SUM($CN15:CN15))</f>
        <v>0</v>
      </c>
      <c r="CP15" s="1865">
        <f>IF(BB15*$Y15*$AD15-SUM($CN15:CO15)&lt;0,0,BB15*$Y15*$AD15-SUM($CN15:CO15))</f>
        <v>0</v>
      </c>
      <c r="CQ15" s="1865">
        <f>IF(BC15*$Y15*$AD15-SUM($CN15:CP15)&lt;0,0,BC15*$Y15*$AD15-SUM($CN15:CP15))</f>
        <v>0</v>
      </c>
      <c r="CR15" s="1865">
        <f>IF(BD15*$Y15*$AD15-SUM($CN15:CQ15)&lt;0,0,BD15*$Y15*$AD15-SUM($CN15:CQ15))</f>
        <v>0</v>
      </c>
      <c r="CS15" s="1173">
        <f>IF(BE15*$Y15*$AD15-SUM($CN15:CR15)&lt;0,0,BE15*$Y15*$AD15-SUM($CN15:CR15))</f>
        <v>0</v>
      </c>
      <c r="CT15" s="1873">
        <f t="shared" si="37"/>
        <v>0</v>
      </c>
      <c r="CU15" s="1861">
        <f t="shared" si="68"/>
        <v>0</v>
      </c>
      <c r="CV15" s="1865">
        <f>IF(BA15*$Y15*$AC15-SUM($CU15:CU15)&lt;0,0,BA15*$Y15*$AC15-SUM($CU15:CU15))</f>
        <v>0</v>
      </c>
      <c r="CW15" s="1865">
        <f>IF(BB15*$Y15*$AC15-SUM($CU15:CV15)&lt;0,0,BB15*$Y15*$AC15-SUM($CU15:CV15))</f>
        <v>0</v>
      </c>
      <c r="CX15" s="1865">
        <f>IF(BC15*$Y15*$AC15-SUM($CU15:CW15)&lt;0,0,BC15*$Y15*$AC15-SUM($CU15:CW15))</f>
        <v>0</v>
      </c>
      <c r="CY15" s="1865">
        <f>IF(BD15*$Y15*$AC15-SUM($CU15:CX15)&lt;0,0,BD15*$Y15*$AC15-SUM($CU15:CX15))</f>
        <v>0</v>
      </c>
      <c r="CZ15" s="1173">
        <f>IF(BE15*$Y15*$AC15-SUM($CU15:CY15)&lt;0,0,BE15*$Y15*$AC15-SUM($CU15:CY15))</f>
        <v>0</v>
      </c>
      <c r="DA15" s="1171">
        <f t="shared" si="69"/>
        <v>0</v>
      </c>
      <c r="DB15" s="1173">
        <f t="shared" si="38"/>
        <v>0</v>
      </c>
      <c r="DC15" s="2"/>
      <c r="DE15" t="str">
        <f t="shared" si="39"/>
        <v xml:space="preserve">Operation - </v>
      </c>
      <c r="DF15" s="16">
        <f t="shared" si="40"/>
        <v>0</v>
      </c>
      <c r="DG15" s="16">
        <f t="shared" si="41"/>
        <v>0</v>
      </c>
      <c r="DH15" s="16">
        <f t="shared" si="42"/>
        <v>0</v>
      </c>
      <c r="DJ15" t="str">
        <f t="shared" si="43"/>
        <v>RMB</v>
      </c>
      <c r="DK15" s="2">
        <f t="shared" si="44"/>
        <v>0</v>
      </c>
      <c r="DM15">
        <v>0</v>
      </c>
      <c r="DN15">
        <v>0</v>
      </c>
      <c r="DO15">
        <v>0</v>
      </c>
      <c r="DP15">
        <v>0</v>
      </c>
      <c r="DQ15">
        <f t="shared" si="70"/>
        <v>0</v>
      </c>
    </row>
    <row r="16" spans="1:122" ht="15" thickBot="1">
      <c r="A16" s="1360" t="s">
        <v>384</v>
      </c>
      <c r="B16" s="1393" t="str">
        <f>+VLOOKUP(A16,'Financials Parameters'!$I$5:$K$15,2,FALSE)</f>
        <v>RMB</v>
      </c>
      <c r="C16" s="1394" t="str">
        <f t="shared" si="71"/>
        <v>RMB</v>
      </c>
      <c r="D16" s="1394" t="str">
        <f t="shared" si="45"/>
        <v>RMBRMB</v>
      </c>
      <c r="E16" s="1394">
        <f>+SUMIF('Financials Parameters'!$D$29:$D$53,'Product Added value'!D16,'Financials Parameters'!$E$29:$E$53)</f>
        <v>0.99999999999999989</v>
      </c>
      <c r="F16" s="2216" t="s">
        <v>413</v>
      </c>
      <c r="G16" s="2211"/>
      <c r="H16" s="1363"/>
      <c r="I16" s="1363"/>
      <c r="J16" s="1363"/>
      <c r="K16" s="1388"/>
      <c r="L16" s="1389"/>
      <c r="M16" s="119">
        <f t="shared" si="77"/>
        <v>0</v>
      </c>
      <c r="N16" s="122">
        <f>+IF(M16&lt;&gt;0,INT('RFQ Data'!$M$48/M16)+1,0)</f>
        <v>0</v>
      </c>
      <c r="O16" s="121">
        <f>+IF(N16*M16&lt;&gt;0,'RFQ Data'!$M$48/(N16*M16),0)</f>
        <v>0</v>
      </c>
      <c r="P16" s="110">
        <f t="shared" si="78"/>
        <v>0</v>
      </c>
      <c r="Q16" s="113">
        <f t="shared" si="79"/>
        <v>0</v>
      </c>
      <c r="R16" s="1362"/>
      <c r="S16" s="2063" t="str">
        <f t="shared" si="47"/>
        <v/>
      </c>
      <c r="T16" s="1364" t="s">
        <v>300</v>
      </c>
      <c r="U16" s="1369" t="s">
        <v>386</v>
      </c>
      <c r="V16" s="1370">
        <v>1</v>
      </c>
      <c r="W16" s="1358">
        <f t="shared" si="11"/>
        <v>0</v>
      </c>
      <c r="X16" s="1382">
        <f>+M16*VLOOKUP($A16,'Financials Parameters'!$I$5:$AM$16,20,FALSE)/1000</f>
        <v>0</v>
      </c>
      <c r="Y16" s="1362"/>
      <c r="Z16" s="2063" t="str">
        <f t="shared" si="48"/>
        <v/>
      </c>
      <c r="AA16" s="1384"/>
      <c r="AB16" s="1369" t="s">
        <v>149</v>
      </c>
      <c r="AC16" s="1370">
        <v>1</v>
      </c>
      <c r="AD16" s="1358">
        <f t="shared" si="12"/>
        <v>0</v>
      </c>
      <c r="AE16" s="150">
        <f>+VLOOKUP($A16,'Financials Parameters'!$I$5:$AM$16,18,FALSE)</f>
        <v>20</v>
      </c>
      <c r="AF16" s="135">
        <f>+'VOH cost per h'!V17</f>
        <v>0</v>
      </c>
      <c r="AG16" s="1657">
        <f t="shared" si="49"/>
        <v>0</v>
      </c>
      <c r="AH16" s="129">
        <f>+VLOOKUP($A16,'Financials Parameters'!$I$5:$AM$16,17,FALSE)</f>
        <v>34</v>
      </c>
      <c r="AI16" s="154">
        <f>IF(L16="YES",+'RFQ Data'!$J$61,0)</f>
        <v>0</v>
      </c>
      <c r="AJ16" s="131">
        <f t="shared" si="13"/>
        <v>0</v>
      </c>
      <c r="AK16" s="150">
        <f t="shared" si="14"/>
        <v>0</v>
      </c>
      <c r="AL16" s="130" t="str">
        <f>+VLOOKUP($A16,'Financials Parameters'!$I$5:$AM$16,3,FALSE)</f>
        <v>China + South pacific</v>
      </c>
      <c r="AM16" s="1157">
        <f>+IF($X16&lt;&gt;0,IF($T16="YES",ROUNDUP('RFQ Data'!D$47/$X16,0),'RFQ Data'!D$47/$X16),0)</f>
        <v>0</v>
      </c>
      <c r="AN16" s="1158">
        <f>+IF($X16&lt;&gt;0,IF($T16="YES",ROUNDUP('RFQ Data'!E$47/$X16,0),'RFQ Data'!E$47/$X16),0)</f>
        <v>0</v>
      </c>
      <c r="AO16" s="1158">
        <f>+IF($X16&lt;&gt;0,IF($T16="YES",ROUNDUP('RFQ Data'!F$47/$X16,0),'RFQ Data'!F$47/$X16),0)</f>
        <v>0</v>
      </c>
      <c r="AP16" s="1158">
        <f>+IF($X16&lt;&gt;0,IF($T16="YES",ROUNDUP('RFQ Data'!G$47/$X16,0),'RFQ Data'!G$47/$X16),0)</f>
        <v>0</v>
      </c>
      <c r="AQ16" s="1158">
        <f>+IF($X16&lt;&gt;0,IF($T16="YES",ROUNDUP('RFQ Data'!H$47/$X16,0),'RFQ Data'!H$47/$X16),0)</f>
        <v>0</v>
      </c>
      <c r="AR16" s="1159">
        <f>+IF($X16&lt;&gt;0,IF($T16="YES",ROUNDUP('RFQ Data'!I$47/$X16,0),'RFQ Data'!I$47/$X16),0)</f>
        <v>0</v>
      </c>
      <c r="AS16" s="9">
        <f t="shared" si="50"/>
        <v>0</v>
      </c>
      <c r="AT16" s="9">
        <f t="shared" si="51"/>
        <v>0</v>
      </c>
      <c r="AU16" s="9">
        <f t="shared" si="52"/>
        <v>0</v>
      </c>
      <c r="AV16" s="9">
        <f t="shared" si="53"/>
        <v>0</v>
      </c>
      <c r="AW16" s="9">
        <f t="shared" si="54"/>
        <v>0</v>
      </c>
      <c r="AX16" s="9">
        <f t="shared" si="55"/>
        <v>0</v>
      </c>
      <c r="AZ16" s="9">
        <f t="shared" si="56"/>
        <v>0</v>
      </c>
      <c r="BA16" s="9">
        <f t="shared" si="57"/>
        <v>0</v>
      </c>
      <c r="BB16" s="9">
        <f t="shared" si="58"/>
        <v>0</v>
      </c>
      <c r="BC16" s="9">
        <f t="shared" si="59"/>
        <v>0</v>
      </c>
      <c r="BD16" s="9">
        <f t="shared" si="60"/>
        <v>0</v>
      </c>
      <c r="BE16" s="9">
        <f t="shared" si="61"/>
        <v>0</v>
      </c>
      <c r="BF16" s="9"/>
      <c r="BG16">
        <f t="shared" si="17"/>
        <v>100000000</v>
      </c>
      <c r="BH16">
        <f t="shared" si="18"/>
        <v>100000000</v>
      </c>
      <c r="BI16">
        <f t="shared" si="19"/>
        <v>100000000</v>
      </c>
      <c r="BJ16">
        <f t="shared" si="20"/>
        <v>100000000</v>
      </c>
      <c r="BK16">
        <f t="shared" si="21"/>
        <v>100000000</v>
      </c>
      <c r="BL16">
        <f t="shared" si="22"/>
        <v>100000000</v>
      </c>
      <c r="BO16" s="2">
        <f t="shared" si="62"/>
        <v>0</v>
      </c>
      <c r="BP16" s="2">
        <f t="shared" si="23"/>
        <v>0</v>
      </c>
      <c r="BQ16" s="2">
        <f t="shared" si="63"/>
        <v>0</v>
      </c>
      <c r="BR16" s="2">
        <f t="shared" si="24"/>
        <v>0</v>
      </c>
      <c r="BS16" s="2">
        <f t="shared" si="25"/>
        <v>0</v>
      </c>
      <c r="BT16" s="2">
        <f t="shared" si="26"/>
        <v>0</v>
      </c>
      <c r="BU16" s="2"/>
      <c r="BV16" s="2">
        <f t="shared" si="80"/>
        <v>0</v>
      </c>
      <c r="BW16" s="2">
        <f>+IF(BP16-SUM($BO16:BO16)&lt;0,0,BP16-SUM($BO16:BO16))</f>
        <v>0</v>
      </c>
      <c r="BX16" s="2">
        <f>+IF(BQ16-SUM($BV16:BW16)&lt;0,0,BQ16-SUM($BV16:BW16))</f>
        <v>0</v>
      </c>
      <c r="BY16" s="2">
        <f>+IF(BR16-SUM($BV16:BX16)&lt;0,0,BR16-SUM($BV16:BX16))</f>
        <v>0</v>
      </c>
      <c r="BZ16" s="2">
        <f>+IF(BS16-SUM($BV16:BY16)&lt;0,0,BS16-SUM($BV16:BY16))</f>
        <v>0</v>
      </c>
      <c r="CA16" s="2">
        <f>+IF(BT16-SUM($BV16:BZ16)&lt;0,0,BT16-SUM($BV16:BZ16))</f>
        <v>0</v>
      </c>
      <c r="CB16" s="1166">
        <f t="shared" si="65"/>
        <v>0</v>
      </c>
      <c r="CC16" s="1167">
        <f t="shared" si="28"/>
        <v>0</v>
      </c>
      <c r="CD16" s="1167">
        <f t="shared" si="29"/>
        <v>0</v>
      </c>
      <c r="CE16" s="1167">
        <f t="shared" si="30"/>
        <v>0</v>
      </c>
      <c r="CF16" s="1167">
        <f t="shared" si="31"/>
        <v>0</v>
      </c>
      <c r="CG16" s="1168">
        <f t="shared" si="32"/>
        <v>0</v>
      </c>
      <c r="CH16" s="1861">
        <f t="shared" si="72"/>
        <v>0</v>
      </c>
      <c r="CI16" s="1865">
        <f t="shared" si="66"/>
        <v>0</v>
      </c>
      <c r="CJ16" s="1865">
        <f t="shared" si="33"/>
        <v>0</v>
      </c>
      <c r="CK16" s="1865">
        <f t="shared" si="34"/>
        <v>0</v>
      </c>
      <c r="CL16" s="1865">
        <f t="shared" si="35"/>
        <v>0</v>
      </c>
      <c r="CM16" s="1173">
        <f t="shared" si="36"/>
        <v>0</v>
      </c>
      <c r="CN16" s="1861">
        <f t="shared" si="67"/>
        <v>0</v>
      </c>
      <c r="CO16" s="1865">
        <f>IF(BA16*$Y16*$AD16-SUM($CN16:CN16)&lt;0,0,BA16*$Y16*$AD16-SUM($CN16:CN16))</f>
        <v>0</v>
      </c>
      <c r="CP16" s="1865">
        <f>IF(BB16*$Y16*$AD16-SUM($CN16:CO16)&lt;0,0,BB16*$Y16*$AD16-SUM($CN16:CO16))</f>
        <v>0</v>
      </c>
      <c r="CQ16" s="1865">
        <f>IF(BC16*$Y16*$AD16-SUM($CN16:CP16)&lt;0,0,BC16*$Y16*$AD16-SUM($CN16:CP16))</f>
        <v>0</v>
      </c>
      <c r="CR16" s="1865">
        <f>IF(BD16*$Y16*$AD16-SUM($CN16:CQ16)&lt;0,0,BD16*$Y16*$AD16-SUM($CN16:CQ16))</f>
        <v>0</v>
      </c>
      <c r="CS16" s="1173">
        <f>IF(BE16*$Y16*$AD16-SUM($CN16:CR16)&lt;0,0,BE16*$Y16*$AD16-SUM($CN16:CR16))</f>
        <v>0</v>
      </c>
      <c r="CT16" s="1873">
        <f t="shared" si="37"/>
        <v>0</v>
      </c>
      <c r="CU16" s="1861">
        <f t="shared" si="68"/>
        <v>0</v>
      </c>
      <c r="CV16" s="1865">
        <f>IF(BA16*$Y16*$AC16-SUM($CU16:CU16)&lt;0,0,BA16*$Y16*$AC16-SUM($CU16:CU16))</f>
        <v>0</v>
      </c>
      <c r="CW16" s="1865">
        <f>IF(BB16*$Y16*$AC16-SUM($CU16:CV16)&lt;0,0,BB16*$Y16*$AC16-SUM($CU16:CV16))</f>
        <v>0</v>
      </c>
      <c r="CX16" s="1865">
        <f>IF(BC16*$Y16*$AC16-SUM($CU16:CW16)&lt;0,0,BC16*$Y16*$AC16-SUM($CU16:CW16))</f>
        <v>0</v>
      </c>
      <c r="CY16" s="1865">
        <f>IF(BD16*$Y16*$AC16-SUM($CU16:CX16)&lt;0,0,BD16*$Y16*$AC16-SUM($CU16:CX16))</f>
        <v>0</v>
      </c>
      <c r="CZ16" s="1173">
        <f>IF(BE16*$Y16*$AC16-SUM($CU16:CY16)&lt;0,0,BE16*$Y16*$AC16-SUM($CU16:CY16))</f>
        <v>0</v>
      </c>
      <c r="DA16" s="1171">
        <f t="shared" si="69"/>
        <v>0</v>
      </c>
      <c r="DB16" s="1173">
        <f t="shared" si="38"/>
        <v>0</v>
      </c>
      <c r="DC16" s="2"/>
      <c r="DE16" t="str">
        <f t="shared" si="39"/>
        <v xml:space="preserve">Operation - </v>
      </c>
      <c r="DF16" s="16">
        <f t="shared" si="40"/>
        <v>0</v>
      </c>
      <c r="DG16" s="16">
        <f t="shared" si="41"/>
        <v>0</v>
      </c>
      <c r="DH16" s="16">
        <f t="shared" si="42"/>
        <v>0</v>
      </c>
      <c r="DJ16" t="str">
        <f t="shared" si="43"/>
        <v>RMB</v>
      </c>
      <c r="DK16" s="2">
        <f t="shared" si="44"/>
        <v>0</v>
      </c>
      <c r="DM16">
        <v>0</v>
      </c>
      <c r="DN16">
        <v>0</v>
      </c>
      <c r="DO16">
        <v>0</v>
      </c>
      <c r="DP16">
        <v>0</v>
      </c>
      <c r="DQ16">
        <f t="shared" si="70"/>
        <v>0</v>
      </c>
    </row>
    <row r="17" spans="1:121" ht="15" thickBot="1">
      <c r="A17" s="1360" t="s">
        <v>384</v>
      </c>
      <c r="B17" s="1393" t="str">
        <f>+VLOOKUP(A17,'Financials Parameters'!$I$5:$K$15,2,FALSE)</f>
        <v>RMB</v>
      </c>
      <c r="C17" s="1394" t="str">
        <f t="shared" si="71"/>
        <v>RMB</v>
      </c>
      <c r="D17" s="1394" t="str">
        <f t="shared" si="45"/>
        <v>RMBRMB</v>
      </c>
      <c r="E17" s="1394">
        <f>+SUMIF('Financials Parameters'!$D$29:$D$53,'Product Added value'!D17,'Financials Parameters'!$E$29:$E$53)</f>
        <v>0.99999999999999989</v>
      </c>
      <c r="F17" s="2216" t="s">
        <v>414</v>
      </c>
      <c r="G17" s="2211"/>
      <c r="H17" s="1363"/>
      <c r="I17" s="1363"/>
      <c r="J17" s="1363"/>
      <c r="K17" s="1388"/>
      <c r="L17" s="1389"/>
      <c r="M17" s="119">
        <f t="shared" si="77"/>
        <v>0</v>
      </c>
      <c r="N17" s="122">
        <f>+IF(M17&lt;&gt;0,INT('RFQ Data'!$M$48/M17)+1,0)</f>
        <v>0</v>
      </c>
      <c r="O17" s="121">
        <f>+IF(N17*M17&lt;&gt;0,'RFQ Data'!$M$48/(N17*M17),0)</f>
        <v>0</v>
      </c>
      <c r="P17" s="110">
        <f t="shared" si="78"/>
        <v>0</v>
      </c>
      <c r="Q17" s="113">
        <f t="shared" si="79"/>
        <v>0</v>
      </c>
      <c r="R17" s="1362"/>
      <c r="S17" s="2063" t="str">
        <f t="shared" si="47"/>
        <v/>
      </c>
      <c r="T17" s="1364" t="s">
        <v>300</v>
      </c>
      <c r="U17" s="1369" t="s">
        <v>386</v>
      </c>
      <c r="V17" s="1370">
        <v>1</v>
      </c>
      <c r="W17" s="1358">
        <f t="shared" si="11"/>
        <v>0</v>
      </c>
      <c r="X17" s="1382">
        <f>+M17*VLOOKUP($A17,'Financials Parameters'!$I$5:$AM$16,20,FALSE)/1000</f>
        <v>0</v>
      </c>
      <c r="Y17" s="1362"/>
      <c r="Z17" s="2063" t="str">
        <f t="shared" si="48"/>
        <v/>
      </c>
      <c r="AA17" s="1384"/>
      <c r="AB17" s="1369" t="s">
        <v>149</v>
      </c>
      <c r="AC17" s="1370">
        <v>1</v>
      </c>
      <c r="AD17" s="1358">
        <f t="shared" si="12"/>
        <v>0</v>
      </c>
      <c r="AE17" s="150">
        <f>+VLOOKUP($A17,'Financials Parameters'!$I$5:$AM$16,18,FALSE)</f>
        <v>20</v>
      </c>
      <c r="AF17" s="135">
        <f>+'VOH cost per h'!V18</f>
        <v>0</v>
      </c>
      <c r="AG17" s="1657">
        <f t="shared" si="49"/>
        <v>0</v>
      </c>
      <c r="AH17" s="129">
        <f>+VLOOKUP($A17,'Financials Parameters'!$I$5:$AM$16,17,FALSE)</f>
        <v>34</v>
      </c>
      <c r="AI17" s="154">
        <f>IF(L17="YES",+'RFQ Data'!$J$61,0)</f>
        <v>0</v>
      </c>
      <c r="AJ17" s="131">
        <f t="shared" si="13"/>
        <v>0</v>
      </c>
      <c r="AK17" s="150">
        <f t="shared" si="14"/>
        <v>0</v>
      </c>
      <c r="AL17" s="130" t="str">
        <f>+VLOOKUP($A17,'Financials Parameters'!$I$5:$AM$16,3,FALSE)</f>
        <v>China + South pacific</v>
      </c>
      <c r="AM17" s="1157">
        <f>+IF($X17&lt;&gt;0,IF($T17="YES",ROUNDUP('RFQ Data'!D$47/$X17,0),'RFQ Data'!D$47/$X17),0)</f>
        <v>0</v>
      </c>
      <c r="AN17" s="1158">
        <f>+IF($X17&lt;&gt;0,IF($T17="YES",ROUNDUP('RFQ Data'!E$47/$X17,0),'RFQ Data'!E$47/$X17),0)</f>
        <v>0</v>
      </c>
      <c r="AO17" s="1158">
        <f>+IF($X17&lt;&gt;0,IF($T17="YES",ROUNDUP('RFQ Data'!F$47/$X17,0),'RFQ Data'!F$47/$X17),0)</f>
        <v>0</v>
      </c>
      <c r="AP17" s="1158">
        <f>+IF($X17&lt;&gt;0,IF($T17="YES",ROUNDUP('RFQ Data'!G$47/$X17,0),'RFQ Data'!G$47/$X17),0)</f>
        <v>0</v>
      </c>
      <c r="AQ17" s="1158">
        <f>+IF($X17&lt;&gt;0,IF($T17="YES",ROUNDUP('RFQ Data'!H$47/$X17,0),'RFQ Data'!H$47/$X17),0)</f>
        <v>0</v>
      </c>
      <c r="AR17" s="1159">
        <f>+IF($X17&lt;&gt;0,IF($T17="YES",ROUNDUP('RFQ Data'!I$47/$X17,0),'RFQ Data'!I$47/$X17),0)</f>
        <v>0</v>
      </c>
      <c r="AS17" s="9">
        <f t="shared" si="50"/>
        <v>0</v>
      </c>
      <c r="AT17" s="9">
        <f t="shared" si="51"/>
        <v>0</v>
      </c>
      <c r="AU17" s="9">
        <f t="shared" si="52"/>
        <v>0</v>
      </c>
      <c r="AV17" s="9">
        <f t="shared" si="53"/>
        <v>0</v>
      </c>
      <c r="AW17" s="9">
        <f t="shared" si="54"/>
        <v>0</v>
      </c>
      <c r="AX17" s="9">
        <f t="shared" si="55"/>
        <v>0</v>
      </c>
      <c r="AZ17" s="9">
        <f t="shared" si="56"/>
        <v>0</v>
      </c>
      <c r="BA17" s="9">
        <f t="shared" si="57"/>
        <v>0</v>
      </c>
      <c r="BB17" s="9">
        <f t="shared" si="58"/>
        <v>0</v>
      </c>
      <c r="BC17" s="9">
        <f t="shared" si="59"/>
        <v>0</v>
      </c>
      <c r="BD17" s="9">
        <f t="shared" si="60"/>
        <v>0</v>
      </c>
      <c r="BE17" s="9">
        <f t="shared" si="61"/>
        <v>0</v>
      </c>
      <c r="BF17" s="9"/>
      <c r="BG17">
        <f t="shared" si="17"/>
        <v>100000000</v>
      </c>
      <c r="BH17">
        <f t="shared" si="18"/>
        <v>100000000</v>
      </c>
      <c r="BI17">
        <f t="shared" si="19"/>
        <v>100000000</v>
      </c>
      <c r="BJ17">
        <f t="shared" si="20"/>
        <v>100000000</v>
      </c>
      <c r="BK17">
        <f t="shared" si="21"/>
        <v>100000000</v>
      </c>
      <c r="BL17">
        <f t="shared" si="22"/>
        <v>100000000</v>
      </c>
      <c r="BO17" s="2">
        <f t="shared" si="62"/>
        <v>0</v>
      </c>
      <c r="BP17" s="2">
        <f t="shared" si="23"/>
        <v>0</v>
      </c>
      <c r="BQ17" s="2">
        <f t="shared" si="63"/>
        <v>0</v>
      </c>
      <c r="BR17" s="2">
        <f t="shared" si="24"/>
        <v>0</v>
      </c>
      <c r="BS17" s="2">
        <f t="shared" si="25"/>
        <v>0</v>
      </c>
      <c r="BT17" s="2">
        <f t="shared" si="26"/>
        <v>0</v>
      </c>
      <c r="BU17" s="2"/>
      <c r="BV17" s="2">
        <f t="shared" si="80"/>
        <v>0</v>
      </c>
      <c r="BW17" s="2">
        <f>+IF(BP17-SUM($BO17:BO17)&lt;0,0,BP17-SUM($BO17:BO17))</f>
        <v>0</v>
      </c>
      <c r="BX17" s="2">
        <f>+IF(BQ17-SUM($BV17:BW17)&lt;0,0,BQ17-SUM($BV17:BW17))</f>
        <v>0</v>
      </c>
      <c r="BY17" s="2">
        <f>+IF(BR17-SUM($BV17:BX17)&lt;0,0,BR17-SUM($BV17:BX17))</f>
        <v>0</v>
      </c>
      <c r="BZ17" s="2">
        <f>+IF(BS17-SUM($BV17:BY17)&lt;0,0,BS17-SUM($BV17:BY17))</f>
        <v>0</v>
      </c>
      <c r="CA17" s="2">
        <f>+IF(BT17-SUM($BV17:BZ17)&lt;0,0,BT17-SUM($BV17:BZ17))</f>
        <v>0</v>
      </c>
      <c r="CB17" s="1166">
        <f t="shared" si="65"/>
        <v>0</v>
      </c>
      <c r="CC17" s="1167">
        <f t="shared" si="28"/>
        <v>0</v>
      </c>
      <c r="CD17" s="1167">
        <f t="shared" si="29"/>
        <v>0</v>
      </c>
      <c r="CE17" s="1167">
        <f t="shared" si="30"/>
        <v>0</v>
      </c>
      <c r="CF17" s="1167">
        <f t="shared" si="31"/>
        <v>0</v>
      </c>
      <c r="CG17" s="1168">
        <f t="shared" si="32"/>
        <v>0</v>
      </c>
      <c r="CH17" s="1861">
        <f t="shared" si="72"/>
        <v>0</v>
      </c>
      <c r="CI17" s="1865">
        <f t="shared" si="66"/>
        <v>0</v>
      </c>
      <c r="CJ17" s="1865">
        <f t="shared" si="33"/>
        <v>0</v>
      </c>
      <c r="CK17" s="1865">
        <f t="shared" si="34"/>
        <v>0</v>
      </c>
      <c r="CL17" s="1865">
        <f t="shared" si="35"/>
        <v>0</v>
      </c>
      <c r="CM17" s="1173">
        <f t="shared" si="36"/>
        <v>0</v>
      </c>
      <c r="CN17" s="1861">
        <f t="shared" si="67"/>
        <v>0</v>
      </c>
      <c r="CO17" s="1865">
        <f>IF(BA17*$Y17*$AD17-SUM($CN17:CN17)&lt;0,0,BA17*$Y17*$AD17-SUM($CN17:CN17))</f>
        <v>0</v>
      </c>
      <c r="CP17" s="1865">
        <f>IF(BB17*$Y17*$AD17-SUM($CN17:CO17)&lt;0,0,BB17*$Y17*$AD17-SUM($CN17:CO17))</f>
        <v>0</v>
      </c>
      <c r="CQ17" s="1865">
        <f>IF(BC17*$Y17*$AD17-SUM($CN17:CP17)&lt;0,0,BC17*$Y17*$AD17-SUM($CN17:CP17))</f>
        <v>0</v>
      </c>
      <c r="CR17" s="1865">
        <f>IF(BD17*$Y17*$AD17-SUM($CN17:CQ17)&lt;0,0,BD17*$Y17*$AD17-SUM($CN17:CQ17))</f>
        <v>0</v>
      </c>
      <c r="CS17" s="1173">
        <f>IF(BE17*$Y17*$AD17-SUM($CN17:CR17)&lt;0,0,BE17*$Y17*$AD17-SUM($CN17:CR17))</f>
        <v>0</v>
      </c>
      <c r="CT17" s="1873">
        <f t="shared" si="37"/>
        <v>0</v>
      </c>
      <c r="CU17" s="1861">
        <f t="shared" si="68"/>
        <v>0</v>
      </c>
      <c r="CV17" s="1865">
        <f>IF(BA17*$Y17*$AC17-SUM($CU17:CU17)&lt;0,0,BA17*$Y17*$AC17-SUM($CU17:CU17))</f>
        <v>0</v>
      </c>
      <c r="CW17" s="1865">
        <f>IF(BB17*$Y17*$AC17-SUM($CU17:CV17)&lt;0,0,BB17*$Y17*$AC17-SUM($CU17:CV17))</f>
        <v>0</v>
      </c>
      <c r="CX17" s="1865">
        <f>IF(BC17*$Y17*$AC17-SUM($CU17:CW17)&lt;0,0,BC17*$Y17*$AC17-SUM($CU17:CW17))</f>
        <v>0</v>
      </c>
      <c r="CY17" s="1865">
        <f>IF(BD17*$Y17*$AC17-SUM($CU17:CX17)&lt;0,0,BD17*$Y17*$AC17-SUM($CU17:CX17))</f>
        <v>0</v>
      </c>
      <c r="CZ17" s="1173">
        <f>IF(BE17*$Y17*$AC17-SUM($CU17:CY17)&lt;0,0,BE17*$Y17*$AC17-SUM($CU17:CY17))</f>
        <v>0</v>
      </c>
      <c r="DA17" s="1171">
        <f t="shared" si="69"/>
        <v>0</v>
      </c>
      <c r="DB17" s="1173">
        <f t="shared" si="38"/>
        <v>0</v>
      </c>
      <c r="DC17" s="2"/>
      <c r="DE17" t="str">
        <f t="shared" si="39"/>
        <v xml:space="preserve">Operation - </v>
      </c>
      <c r="DF17" s="16">
        <f t="shared" si="40"/>
        <v>0</v>
      </c>
      <c r="DG17" s="16">
        <f t="shared" si="41"/>
        <v>0</v>
      </c>
      <c r="DH17" s="16">
        <f t="shared" si="42"/>
        <v>0</v>
      </c>
      <c r="DJ17" t="str">
        <f t="shared" si="43"/>
        <v>RMB</v>
      </c>
      <c r="DK17" s="2">
        <f t="shared" si="44"/>
        <v>0</v>
      </c>
      <c r="DM17">
        <v>0</v>
      </c>
      <c r="DN17">
        <v>0</v>
      </c>
      <c r="DO17">
        <v>0</v>
      </c>
      <c r="DP17">
        <v>0</v>
      </c>
      <c r="DQ17">
        <f t="shared" si="70"/>
        <v>0</v>
      </c>
    </row>
    <row r="18" spans="1:121" ht="15" thickBot="1">
      <c r="A18" s="1360" t="s">
        <v>384</v>
      </c>
      <c r="B18" s="1393" t="str">
        <f>+VLOOKUP(A18,'Financials Parameters'!$I$5:$K$15,2,FALSE)</f>
        <v>RMB</v>
      </c>
      <c r="C18" s="1394" t="str">
        <f t="shared" si="71"/>
        <v>RMB</v>
      </c>
      <c r="D18" s="1394" t="str">
        <f t="shared" si="45"/>
        <v>RMBRMB</v>
      </c>
      <c r="E18" s="1394">
        <f>+SUMIF('Financials Parameters'!$D$29:$D$53,'Product Added value'!D18,'Financials Parameters'!$E$29:$E$53)</f>
        <v>0.99999999999999989</v>
      </c>
      <c r="F18" s="2216" t="s">
        <v>415</v>
      </c>
      <c r="G18" s="2211"/>
      <c r="H18" s="1363"/>
      <c r="I18" s="1363"/>
      <c r="J18" s="1363"/>
      <c r="K18" s="1388"/>
      <c r="L18" s="1389"/>
      <c r="M18" s="119">
        <f t="shared" si="77"/>
        <v>0</v>
      </c>
      <c r="N18" s="122">
        <f>+IF(M18&lt;&gt;0,INT('RFQ Data'!$M$48/M18)+1,0)</f>
        <v>0</v>
      </c>
      <c r="O18" s="121">
        <f>+IF(N18*M18&lt;&gt;0,'RFQ Data'!$M$48/(N18*M18),0)</f>
        <v>0</v>
      </c>
      <c r="P18" s="110">
        <f t="shared" si="78"/>
        <v>0</v>
      </c>
      <c r="Q18" s="113">
        <f t="shared" si="79"/>
        <v>0</v>
      </c>
      <c r="R18" s="1362"/>
      <c r="S18" s="2063" t="str">
        <f t="shared" si="47"/>
        <v/>
      </c>
      <c r="T18" s="1364" t="s">
        <v>300</v>
      </c>
      <c r="U18" s="1369" t="s">
        <v>386</v>
      </c>
      <c r="V18" s="1370">
        <v>1</v>
      </c>
      <c r="W18" s="1358">
        <f t="shared" si="11"/>
        <v>0</v>
      </c>
      <c r="X18" s="1382">
        <f>+M18*VLOOKUP($A18,'Financials Parameters'!$I$5:$AM$16,20,FALSE)/1000</f>
        <v>0</v>
      </c>
      <c r="Y18" s="1362"/>
      <c r="Z18" s="2063" t="str">
        <f t="shared" si="48"/>
        <v/>
      </c>
      <c r="AA18" s="1384"/>
      <c r="AB18" s="1369" t="s">
        <v>149</v>
      </c>
      <c r="AC18" s="1370">
        <v>1</v>
      </c>
      <c r="AD18" s="1358">
        <f t="shared" si="12"/>
        <v>0</v>
      </c>
      <c r="AE18" s="150">
        <f>+VLOOKUP($A18,'Financials Parameters'!$I$5:$AM$16,18,FALSE)</f>
        <v>20</v>
      </c>
      <c r="AF18" s="135">
        <f>+'VOH cost per h'!V19</f>
        <v>0</v>
      </c>
      <c r="AG18" s="1657">
        <f t="shared" si="49"/>
        <v>0</v>
      </c>
      <c r="AH18" s="129">
        <f>+VLOOKUP($A18,'Financials Parameters'!$I$5:$AM$16,17,FALSE)</f>
        <v>34</v>
      </c>
      <c r="AI18" s="154">
        <f>IF(L18="YES",+'RFQ Data'!$J$61,0)</f>
        <v>0</v>
      </c>
      <c r="AJ18" s="131">
        <f t="shared" si="13"/>
        <v>0</v>
      </c>
      <c r="AK18" s="150">
        <f t="shared" si="14"/>
        <v>0</v>
      </c>
      <c r="AL18" s="130" t="str">
        <f>+VLOOKUP($A18,'Financials Parameters'!$I$5:$AM$16,3,FALSE)</f>
        <v>China + South pacific</v>
      </c>
      <c r="AM18" s="1157">
        <f>+IF($X18&lt;&gt;0,IF($T18="YES",ROUNDUP('RFQ Data'!D$47/$X18,0),'RFQ Data'!D$47/$X18),0)</f>
        <v>0</v>
      </c>
      <c r="AN18" s="1158">
        <f>+IF($X18&lt;&gt;0,IF($T18="YES",ROUNDUP('RFQ Data'!E$47/$X18,0),'RFQ Data'!E$47/$X18),0)</f>
        <v>0</v>
      </c>
      <c r="AO18" s="1158">
        <f>+IF($X18&lt;&gt;0,IF($T18="YES",ROUNDUP('RFQ Data'!F$47/$X18,0),'RFQ Data'!F$47/$X18),0)</f>
        <v>0</v>
      </c>
      <c r="AP18" s="1158">
        <f>+IF($X18&lt;&gt;0,IF($T18="YES",ROUNDUP('RFQ Data'!G$47/$X18,0),'RFQ Data'!G$47/$X18),0)</f>
        <v>0</v>
      </c>
      <c r="AQ18" s="1158">
        <f>+IF($X18&lt;&gt;0,IF($T18="YES",ROUNDUP('RFQ Data'!H$47/$X18,0),'RFQ Data'!H$47/$X18),0)</f>
        <v>0</v>
      </c>
      <c r="AR18" s="1159">
        <f>+IF($X18&lt;&gt;0,IF($T18="YES",ROUNDUP('RFQ Data'!I$47/$X18,0),'RFQ Data'!I$47/$X18),0)</f>
        <v>0</v>
      </c>
      <c r="AS18" s="9">
        <f t="shared" si="50"/>
        <v>0</v>
      </c>
      <c r="AT18" s="9">
        <f t="shared" si="51"/>
        <v>0</v>
      </c>
      <c r="AU18" s="9">
        <f t="shared" si="52"/>
        <v>0</v>
      </c>
      <c r="AV18" s="9">
        <f t="shared" si="53"/>
        <v>0</v>
      </c>
      <c r="AW18" s="9">
        <f t="shared" si="54"/>
        <v>0</v>
      </c>
      <c r="AX18" s="9">
        <f t="shared" si="55"/>
        <v>0</v>
      </c>
      <c r="AZ18" s="9">
        <f t="shared" si="56"/>
        <v>0</v>
      </c>
      <c r="BA18" s="9">
        <f t="shared" si="57"/>
        <v>0</v>
      </c>
      <c r="BB18" s="9">
        <f t="shared" si="58"/>
        <v>0</v>
      </c>
      <c r="BC18" s="9">
        <f t="shared" si="59"/>
        <v>0</v>
      </c>
      <c r="BD18" s="9">
        <f t="shared" si="60"/>
        <v>0</v>
      </c>
      <c r="BE18" s="9">
        <f t="shared" si="61"/>
        <v>0</v>
      </c>
      <c r="BF18" s="9"/>
      <c r="BG18">
        <f t="shared" si="17"/>
        <v>100000000</v>
      </c>
      <c r="BH18">
        <f t="shared" si="18"/>
        <v>100000000</v>
      </c>
      <c r="BI18">
        <f t="shared" si="19"/>
        <v>100000000</v>
      </c>
      <c r="BJ18">
        <f t="shared" si="20"/>
        <v>100000000</v>
      </c>
      <c r="BK18">
        <f t="shared" si="21"/>
        <v>100000000</v>
      </c>
      <c r="BL18">
        <f t="shared" si="22"/>
        <v>100000000</v>
      </c>
      <c r="BO18" s="2">
        <f t="shared" si="62"/>
        <v>0</v>
      </c>
      <c r="BP18" s="2">
        <f t="shared" si="23"/>
        <v>0</v>
      </c>
      <c r="BQ18" s="2">
        <f t="shared" si="63"/>
        <v>0</v>
      </c>
      <c r="BR18" s="2">
        <f t="shared" si="24"/>
        <v>0</v>
      </c>
      <c r="BS18" s="2">
        <f t="shared" si="25"/>
        <v>0</v>
      </c>
      <c r="BT18" s="2">
        <f t="shared" si="26"/>
        <v>0</v>
      </c>
      <c r="BU18" s="2"/>
      <c r="BV18" s="2">
        <f t="shared" si="80"/>
        <v>0</v>
      </c>
      <c r="BW18" s="2">
        <f>+IF(BP18-SUM($BO18:BO18)&lt;0,0,BP18-SUM($BO18:BO18))</f>
        <v>0</v>
      </c>
      <c r="BX18" s="2">
        <f>+IF(BQ18-SUM($BV18:BW18)&lt;0,0,BQ18-SUM($BV18:BW18))</f>
        <v>0</v>
      </c>
      <c r="BY18" s="2">
        <f>+IF(BR18-SUM($BV18:BX18)&lt;0,0,BR18-SUM($BV18:BX18))</f>
        <v>0</v>
      </c>
      <c r="BZ18" s="2">
        <f>+IF(BS18-SUM($BV18:BY18)&lt;0,0,BS18-SUM($BV18:BY18))</f>
        <v>0</v>
      </c>
      <c r="CA18" s="2">
        <f>+IF(BT18-SUM($BV18:BZ18)&lt;0,0,BT18-SUM($BV18:BZ18))</f>
        <v>0</v>
      </c>
      <c r="CB18" s="1166">
        <f t="shared" si="65"/>
        <v>0</v>
      </c>
      <c r="CC18" s="1167">
        <f t="shared" si="28"/>
        <v>0</v>
      </c>
      <c r="CD18" s="1167">
        <f t="shared" si="29"/>
        <v>0</v>
      </c>
      <c r="CE18" s="1167">
        <f t="shared" si="30"/>
        <v>0</v>
      </c>
      <c r="CF18" s="1167">
        <f t="shared" si="31"/>
        <v>0</v>
      </c>
      <c r="CG18" s="1168">
        <f t="shared" si="32"/>
        <v>0</v>
      </c>
      <c r="CH18" s="1861">
        <f t="shared" si="72"/>
        <v>0</v>
      </c>
      <c r="CI18" s="1865">
        <f t="shared" si="66"/>
        <v>0</v>
      </c>
      <c r="CJ18" s="1865">
        <f t="shared" si="33"/>
        <v>0</v>
      </c>
      <c r="CK18" s="1865">
        <f t="shared" si="34"/>
        <v>0</v>
      </c>
      <c r="CL18" s="1865">
        <f t="shared" si="35"/>
        <v>0</v>
      </c>
      <c r="CM18" s="1173">
        <f t="shared" si="36"/>
        <v>0</v>
      </c>
      <c r="CN18" s="1861">
        <f t="shared" si="67"/>
        <v>0</v>
      </c>
      <c r="CO18" s="1865">
        <f>IF(BA18*$Y18*$AD18-SUM($CN18:CN18)&lt;0,0,BA18*$Y18*$AD18-SUM($CN18:CN18))</f>
        <v>0</v>
      </c>
      <c r="CP18" s="1865">
        <f>IF(BB18*$Y18*$AD18-SUM($CN18:CO18)&lt;0,0,BB18*$Y18*$AD18-SUM($CN18:CO18))</f>
        <v>0</v>
      </c>
      <c r="CQ18" s="1865">
        <f>IF(BC18*$Y18*$AD18-SUM($CN18:CP18)&lt;0,0,BC18*$Y18*$AD18-SUM($CN18:CP18))</f>
        <v>0</v>
      </c>
      <c r="CR18" s="1865">
        <f>IF(BD18*$Y18*$AD18-SUM($CN18:CQ18)&lt;0,0,BD18*$Y18*$AD18-SUM($CN18:CQ18))</f>
        <v>0</v>
      </c>
      <c r="CS18" s="1173">
        <f>IF(BE18*$Y18*$AD18-SUM($CN18:CR18)&lt;0,0,BE18*$Y18*$AD18-SUM($CN18:CR18))</f>
        <v>0</v>
      </c>
      <c r="CT18" s="1873">
        <f t="shared" si="37"/>
        <v>0</v>
      </c>
      <c r="CU18" s="1861">
        <f t="shared" si="68"/>
        <v>0</v>
      </c>
      <c r="CV18" s="1865">
        <f>IF(BA18*$Y18*$AC18-SUM($CU18:CU18)&lt;0,0,BA18*$Y18*$AC18-SUM($CU18:CU18))</f>
        <v>0</v>
      </c>
      <c r="CW18" s="1865">
        <f>IF(BB18*$Y18*$AC18-SUM($CU18:CV18)&lt;0,0,BB18*$Y18*$AC18-SUM($CU18:CV18))</f>
        <v>0</v>
      </c>
      <c r="CX18" s="1865">
        <f>IF(BC18*$Y18*$AC18-SUM($CU18:CW18)&lt;0,0,BC18*$Y18*$AC18-SUM($CU18:CW18))</f>
        <v>0</v>
      </c>
      <c r="CY18" s="1865">
        <f>IF(BD18*$Y18*$AC18-SUM($CU18:CX18)&lt;0,0,BD18*$Y18*$AC18-SUM($CU18:CX18))</f>
        <v>0</v>
      </c>
      <c r="CZ18" s="1173">
        <f>IF(BE18*$Y18*$AC18-SUM($CU18:CY18)&lt;0,0,BE18*$Y18*$AC18-SUM($CU18:CY18))</f>
        <v>0</v>
      </c>
      <c r="DA18" s="1171">
        <f t="shared" si="69"/>
        <v>0</v>
      </c>
      <c r="DB18" s="1173">
        <f t="shared" si="38"/>
        <v>0</v>
      </c>
      <c r="DC18" s="2"/>
      <c r="DE18" t="str">
        <f t="shared" si="39"/>
        <v xml:space="preserve">Operation - </v>
      </c>
      <c r="DF18" s="16">
        <f t="shared" si="40"/>
        <v>0</v>
      </c>
      <c r="DG18" s="16">
        <f t="shared" si="41"/>
        <v>0</v>
      </c>
      <c r="DH18" s="16">
        <f t="shared" si="42"/>
        <v>0</v>
      </c>
      <c r="DJ18" t="str">
        <f t="shared" si="43"/>
        <v>RMB</v>
      </c>
      <c r="DK18" s="2">
        <f t="shared" si="44"/>
        <v>0</v>
      </c>
      <c r="DM18">
        <v>0</v>
      </c>
      <c r="DN18">
        <v>0</v>
      </c>
      <c r="DO18">
        <v>0</v>
      </c>
      <c r="DP18">
        <v>0</v>
      </c>
      <c r="DQ18">
        <f t="shared" si="70"/>
        <v>0</v>
      </c>
    </row>
    <row r="19" spans="1:121" ht="15" thickBot="1">
      <c r="A19" s="1360" t="s">
        <v>384</v>
      </c>
      <c r="B19" s="1393" t="str">
        <f>+VLOOKUP(A19,'Financials Parameters'!$I$5:$K$15,2,FALSE)</f>
        <v>RMB</v>
      </c>
      <c r="C19" s="1394" t="str">
        <f t="shared" si="71"/>
        <v>RMB</v>
      </c>
      <c r="D19" s="1394" t="str">
        <f t="shared" si="45"/>
        <v>RMBRMB</v>
      </c>
      <c r="E19" s="1394">
        <f>+SUMIF('Financials Parameters'!$D$29:$D$53,'Product Added value'!D19,'Financials Parameters'!$E$29:$E$53)</f>
        <v>0.99999999999999989</v>
      </c>
      <c r="F19" s="2216" t="s">
        <v>416</v>
      </c>
      <c r="G19" s="2211"/>
      <c r="H19" s="1363"/>
      <c r="I19" s="1363"/>
      <c r="J19" s="1363"/>
      <c r="K19" s="1388"/>
      <c r="L19" s="1389"/>
      <c r="M19" s="119">
        <f t="shared" si="77"/>
        <v>0</v>
      </c>
      <c r="N19" s="122">
        <f>+IF(M19&lt;&gt;0,INT('RFQ Data'!$M$48/M19)+1,0)</f>
        <v>0</v>
      </c>
      <c r="O19" s="121">
        <f>+IF(N19*M19&lt;&gt;0,'RFQ Data'!$M$48/(N19*M19),0)</f>
        <v>0</v>
      </c>
      <c r="P19" s="110">
        <f t="shared" si="78"/>
        <v>0</v>
      </c>
      <c r="Q19" s="113">
        <f t="shared" si="79"/>
        <v>0</v>
      </c>
      <c r="R19" s="1362"/>
      <c r="S19" s="2063" t="str">
        <f t="shared" si="47"/>
        <v/>
      </c>
      <c r="T19" s="1364" t="s">
        <v>300</v>
      </c>
      <c r="U19" s="1369" t="s">
        <v>386</v>
      </c>
      <c r="V19" s="1370">
        <v>1</v>
      </c>
      <c r="W19" s="1358">
        <f t="shared" si="11"/>
        <v>0</v>
      </c>
      <c r="X19" s="1382">
        <f>+M19*VLOOKUP($A19,'Financials Parameters'!$I$5:$AM$16,20,FALSE)/1000</f>
        <v>0</v>
      </c>
      <c r="Y19" s="1362"/>
      <c r="Z19" s="2063" t="str">
        <f t="shared" si="48"/>
        <v/>
      </c>
      <c r="AA19" s="1384"/>
      <c r="AB19" s="1369" t="s">
        <v>149</v>
      </c>
      <c r="AC19" s="1370">
        <v>1</v>
      </c>
      <c r="AD19" s="1358">
        <f t="shared" si="12"/>
        <v>0</v>
      </c>
      <c r="AE19" s="150">
        <f>+VLOOKUP($A19,'Financials Parameters'!$I$5:$AM$16,18,FALSE)</f>
        <v>20</v>
      </c>
      <c r="AF19" s="135">
        <f>+'VOH cost per h'!V20</f>
        <v>0</v>
      </c>
      <c r="AG19" s="1657">
        <f t="shared" si="49"/>
        <v>0</v>
      </c>
      <c r="AH19" s="129">
        <f>+VLOOKUP($A19,'Financials Parameters'!$I$5:$AM$16,17,FALSE)</f>
        <v>34</v>
      </c>
      <c r="AI19" s="154">
        <f>IF(L19="YES",+'RFQ Data'!$J$61,0)</f>
        <v>0</v>
      </c>
      <c r="AJ19" s="131">
        <f t="shared" si="13"/>
        <v>0</v>
      </c>
      <c r="AK19" s="150">
        <f t="shared" si="14"/>
        <v>0</v>
      </c>
      <c r="AL19" s="130" t="str">
        <f>+VLOOKUP($A19,'Financials Parameters'!$I$5:$AM$16,3,FALSE)</f>
        <v>China + South pacific</v>
      </c>
      <c r="AM19" s="1157">
        <f>+IF($X19&lt;&gt;0,IF($T19="YES",ROUNDUP('RFQ Data'!D$47/$X19,0),'RFQ Data'!D$47/$X19),0)</f>
        <v>0</v>
      </c>
      <c r="AN19" s="1158">
        <f>+IF($X19&lt;&gt;0,IF($T19="YES",ROUNDUP('RFQ Data'!E$47/$X19,0),'RFQ Data'!E$47/$X19),0)</f>
        <v>0</v>
      </c>
      <c r="AO19" s="1158">
        <f>+IF($X19&lt;&gt;0,IF($T19="YES",ROUNDUP('RFQ Data'!F$47/$X19,0),'RFQ Data'!F$47/$X19),0)</f>
        <v>0</v>
      </c>
      <c r="AP19" s="1158">
        <f>+IF($X19&lt;&gt;0,IF($T19="YES",ROUNDUP('RFQ Data'!G$47/$X19,0),'RFQ Data'!G$47/$X19),0)</f>
        <v>0</v>
      </c>
      <c r="AQ19" s="1158">
        <f>+IF($X19&lt;&gt;0,IF($T19="YES",ROUNDUP('RFQ Data'!H$47/$X19,0),'RFQ Data'!H$47/$X19),0)</f>
        <v>0</v>
      </c>
      <c r="AR19" s="1159">
        <f>+IF($X19&lt;&gt;0,IF($T19="YES",ROUNDUP('RFQ Data'!I$47/$X19,0),'RFQ Data'!I$47/$X19),0)</f>
        <v>0</v>
      </c>
      <c r="AS19" s="9">
        <f t="shared" si="50"/>
        <v>0</v>
      </c>
      <c r="AT19" s="9">
        <f t="shared" si="51"/>
        <v>0</v>
      </c>
      <c r="AU19" s="9">
        <f t="shared" si="52"/>
        <v>0</v>
      </c>
      <c r="AV19" s="9">
        <f t="shared" si="53"/>
        <v>0</v>
      </c>
      <c r="AW19" s="9">
        <f t="shared" si="54"/>
        <v>0</v>
      </c>
      <c r="AX19" s="9">
        <f t="shared" si="55"/>
        <v>0</v>
      </c>
      <c r="AZ19" s="9">
        <f t="shared" si="56"/>
        <v>0</v>
      </c>
      <c r="BA19" s="9">
        <f t="shared" si="57"/>
        <v>0</v>
      </c>
      <c r="BB19" s="9">
        <f t="shared" si="58"/>
        <v>0</v>
      </c>
      <c r="BC19" s="9">
        <f t="shared" si="59"/>
        <v>0</v>
      </c>
      <c r="BD19" s="9">
        <f t="shared" si="60"/>
        <v>0</v>
      </c>
      <c r="BE19" s="9">
        <f t="shared" si="61"/>
        <v>0</v>
      </c>
      <c r="BF19" s="9"/>
      <c r="BG19">
        <f t="shared" si="17"/>
        <v>100000000</v>
      </c>
      <c r="BH19">
        <f t="shared" si="18"/>
        <v>100000000</v>
      </c>
      <c r="BI19">
        <f t="shared" si="19"/>
        <v>100000000</v>
      </c>
      <c r="BJ19">
        <f t="shared" si="20"/>
        <v>100000000</v>
      </c>
      <c r="BK19">
        <f t="shared" si="21"/>
        <v>100000000</v>
      </c>
      <c r="BL19">
        <f t="shared" si="22"/>
        <v>100000000</v>
      </c>
      <c r="BO19" s="2">
        <f t="shared" si="62"/>
        <v>0</v>
      </c>
      <c r="BP19" s="2">
        <f t="shared" si="23"/>
        <v>0</v>
      </c>
      <c r="BQ19" s="2">
        <f t="shared" si="63"/>
        <v>0</v>
      </c>
      <c r="BR19" s="2">
        <f t="shared" si="24"/>
        <v>0</v>
      </c>
      <c r="BS19" s="2">
        <f t="shared" si="25"/>
        <v>0</v>
      </c>
      <c r="BT19" s="2">
        <f t="shared" si="26"/>
        <v>0</v>
      </c>
      <c r="BU19" s="2"/>
      <c r="BV19" s="2">
        <f t="shared" si="80"/>
        <v>0</v>
      </c>
      <c r="BW19" s="2">
        <f>+IF(BP19-SUM($BO19:BO19)&lt;0,0,BP19-SUM($BO19:BO19))</f>
        <v>0</v>
      </c>
      <c r="BX19" s="2">
        <f>+IF(BQ19-SUM($BV19:BW19)&lt;0,0,BQ19-SUM($BV19:BW19))</f>
        <v>0</v>
      </c>
      <c r="BY19" s="2">
        <f>+IF(BR19-SUM($BV19:BX19)&lt;0,0,BR19-SUM($BV19:BX19))</f>
        <v>0</v>
      </c>
      <c r="BZ19" s="2">
        <f>+IF(BS19-SUM($BV19:BY19)&lt;0,0,BS19-SUM($BV19:BY19))</f>
        <v>0</v>
      </c>
      <c r="CA19" s="2">
        <f>+IF(BT19-SUM($BV19:BZ19)&lt;0,0,BT19-SUM($BV19:BZ19))</f>
        <v>0</v>
      </c>
      <c r="CB19" s="1166">
        <f t="shared" si="65"/>
        <v>0</v>
      </c>
      <c r="CC19" s="1167">
        <f t="shared" si="28"/>
        <v>0</v>
      </c>
      <c r="CD19" s="1167">
        <f t="shared" si="29"/>
        <v>0</v>
      </c>
      <c r="CE19" s="1167">
        <f t="shared" si="30"/>
        <v>0</v>
      </c>
      <c r="CF19" s="1167">
        <f t="shared" si="31"/>
        <v>0</v>
      </c>
      <c r="CG19" s="1168">
        <f t="shared" si="32"/>
        <v>0</v>
      </c>
      <c r="CH19" s="1861">
        <f t="shared" si="72"/>
        <v>0</v>
      </c>
      <c r="CI19" s="1865">
        <f t="shared" si="66"/>
        <v>0</v>
      </c>
      <c r="CJ19" s="1865">
        <f t="shared" si="33"/>
        <v>0</v>
      </c>
      <c r="CK19" s="1865">
        <f t="shared" si="34"/>
        <v>0</v>
      </c>
      <c r="CL19" s="1865">
        <f t="shared" si="35"/>
        <v>0</v>
      </c>
      <c r="CM19" s="1173">
        <f t="shared" si="36"/>
        <v>0</v>
      </c>
      <c r="CN19" s="1861">
        <f t="shared" si="67"/>
        <v>0</v>
      </c>
      <c r="CO19" s="1865">
        <f>IF(BA19*$Y19*$AD19-SUM($CN19:CN19)&lt;0,0,BA19*$Y19*$AD19-SUM($CN19:CN19))</f>
        <v>0</v>
      </c>
      <c r="CP19" s="1865">
        <f>IF(BB19*$Y19*$AD19-SUM($CN19:CO19)&lt;0,0,BB19*$Y19*$AD19-SUM($CN19:CO19))</f>
        <v>0</v>
      </c>
      <c r="CQ19" s="1865">
        <f>IF(BC19*$Y19*$AD19-SUM($CN19:CP19)&lt;0,0,BC19*$Y19*$AD19-SUM($CN19:CP19))</f>
        <v>0</v>
      </c>
      <c r="CR19" s="1865">
        <f>IF(BD19*$Y19*$AD19-SUM($CN19:CQ19)&lt;0,0,BD19*$Y19*$AD19-SUM($CN19:CQ19))</f>
        <v>0</v>
      </c>
      <c r="CS19" s="1173">
        <f>IF(BE19*$Y19*$AD19-SUM($CN19:CR19)&lt;0,0,BE19*$Y19*$AD19-SUM($CN19:CR19))</f>
        <v>0</v>
      </c>
      <c r="CT19" s="1873">
        <f t="shared" si="37"/>
        <v>0</v>
      </c>
      <c r="CU19" s="1861">
        <f t="shared" si="68"/>
        <v>0</v>
      </c>
      <c r="CV19" s="1865">
        <f>IF(BA19*$Y19*$AC19-SUM($CU19:CU19)&lt;0,0,BA19*$Y19*$AC19-SUM($CU19:CU19))</f>
        <v>0</v>
      </c>
      <c r="CW19" s="1865">
        <f>IF(BB19*$Y19*$AC19-SUM($CU19:CV19)&lt;0,0,BB19*$Y19*$AC19-SUM($CU19:CV19))</f>
        <v>0</v>
      </c>
      <c r="CX19" s="1865">
        <f>IF(BC19*$Y19*$AC19-SUM($CU19:CW19)&lt;0,0,BC19*$Y19*$AC19-SUM($CU19:CW19))</f>
        <v>0</v>
      </c>
      <c r="CY19" s="1865">
        <f>IF(BD19*$Y19*$AC19-SUM($CU19:CX19)&lt;0,0,BD19*$Y19*$AC19-SUM($CU19:CX19))</f>
        <v>0</v>
      </c>
      <c r="CZ19" s="1173">
        <f>IF(BE19*$Y19*$AC19-SUM($CU19:CY19)&lt;0,0,BE19*$Y19*$AC19-SUM($CU19:CY19))</f>
        <v>0</v>
      </c>
      <c r="DA19" s="1171">
        <f t="shared" si="69"/>
        <v>0</v>
      </c>
      <c r="DB19" s="1173">
        <f t="shared" si="38"/>
        <v>0</v>
      </c>
      <c r="DC19" s="2"/>
      <c r="DE19" t="str">
        <f t="shared" si="39"/>
        <v xml:space="preserve">Operation - </v>
      </c>
      <c r="DF19" s="16">
        <f t="shared" si="40"/>
        <v>0</v>
      </c>
      <c r="DG19" s="16">
        <f t="shared" si="41"/>
        <v>0</v>
      </c>
      <c r="DH19" s="16">
        <f t="shared" si="42"/>
        <v>0</v>
      </c>
      <c r="DJ19" t="str">
        <f t="shared" si="43"/>
        <v>RMB</v>
      </c>
      <c r="DK19" s="2">
        <f t="shared" si="44"/>
        <v>0</v>
      </c>
      <c r="DM19">
        <v>0</v>
      </c>
      <c r="DN19">
        <v>0</v>
      </c>
      <c r="DO19">
        <v>0</v>
      </c>
      <c r="DP19">
        <v>0</v>
      </c>
      <c r="DQ19">
        <f t="shared" si="70"/>
        <v>0</v>
      </c>
    </row>
    <row r="20" spans="1:121" ht="15" thickBot="1">
      <c r="A20" s="1360" t="s">
        <v>384</v>
      </c>
      <c r="B20" s="1393" t="str">
        <f>+VLOOKUP(A20,'Financials Parameters'!$I$5:$K$15,2,FALSE)</f>
        <v>RMB</v>
      </c>
      <c r="C20" s="1394" t="str">
        <f t="shared" si="71"/>
        <v>RMB</v>
      </c>
      <c r="D20" s="1394" t="str">
        <f t="shared" si="45"/>
        <v>RMBRMB</v>
      </c>
      <c r="E20" s="1394">
        <f>+SUMIF('Financials Parameters'!$D$29:$D$53,'Product Added value'!D20,'Financials Parameters'!$E$29:$E$53)</f>
        <v>0.99999999999999989</v>
      </c>
      <c r="F20" s="2216" t="s">
        <v>417</v>
      </c>
      <c r="G20" s="2211"/>
      <c r="H20" s="1363"/>
      <c r="I20" s="1363"/>
      <c r="J20" s="1363"/>
      <c r="K20" s="1388"/>
      <c r="L20" s="1389"/>
      <c r="M20" s="119">
        <f t="shared" si="77"/>
        <v>0</v>
      </c>
      <c r="N20" s="122">
        <f>+IF(M20&lt;&gt;0,INT('RFQ Data'!$M$48/M20)+1,0)</f>
        <v>0</v>
      </c>
      <c r="O20" s="121">
        <f>+IF(N20*M20&lt;&gt;0,'RFQ Data'!$M$48/(N20*M20),0)</f>
        <v>0</v>
      </c>
      <c r="P20" s="110">
        <f t="shared" si="78"/>
        <v>0</v>
      </c>
      <c r="Q20" s="113">
        <f t="shared" si="79"/>
        <v>0</v>
      </c>
      <c r="R20" s="1362"/>
      <c r="S20" s="2063" t="str">
        <f t="shared" si="47"/>
        <v/>
      </c>
      <c r="T20" s="1364" t="s">
        <v>300</v>
      </c>
      <c r="U20" s="1369" t="s">
        <v>386</v>
      </c>
      <c r="V20" s="1370">
        <v>1</v>
      </c>
      <c r="W20" s="1358">
        <f t="shared" si="11"/>
        <v>0</v>
      </c>
      <c r="X20" s="1382">
        <f>+M20*VLOOKUP($A20,'Financials Parameters'!$I$5:$AM$16,20,FALSE)/1000</f>
        <v>0</v>
      </c>
      <c r="Y20" s="1362"/>
      <c r="Z20" s="2063" t="str">
        <f t="shared" si="48"/>
        <v/>
      </c>
      <c r="AA20" s="1384"/>
      <c r="AB20" s="1369" t="s">
        <v>149</v>
      </c>
      <c r="AC20" s="1370">
        <v>1</v>
      </c>
      <c r="AD20" s="1358">
        <f t="shared" si="12"/>
        <v>0</v>
      </c>
      <c r="AE20" s="150">
        <f>+VLOOKUP($A20,'Financials Parameters'!$I$5:$AM$16,18,FALSE)</f>
        <v>20</v>
      </c>
      <c r="AF20" s="135">
        <f>+'VOH cost per h'!V21</f>
        <v>0</v>
      </c>
      <c r="AG20" s="1657">
        <f t="shared" si="49"/>
        <v>0</v>
      </c>
      <c r="AH20" s="129">
        <f>+VLOOKUP($A20,'Financials Parameters'!$I$5:$AM$16,17,FALSE)</f>
        <v>34</v>
      </c>
      <c r="AI20" s="154">
        <f>IF(L20="YES",+'RFQ Data'!$J$61,0)</f>
        <v>0</v>
      </c>
      <c r="AJ20" s="131">
        <f t="shared" si="13"/>
        <v>0</v>
      </c>
      <c r="AK20" s="150">
        <f t="shared" si="14"/>
        <v>0</v>
      </c>
      <c r="AL20" s="130" t="str">
        <f>+VLOOKUP($A20,'Financials Parameters'!$I$5:$AM$16,3,FALSE)</f>
        <v>China + South pacific</v>
      </c>
      <c r="AM20" s="1157">
        <f>+IF($X20&lt;&gt;0,IF($T20="YES",ROUNDUP('RFQ Data'!D$47/$X20,0),'RFQ Data'!D$47/$X20),0)</f>
        <v>0</v>
      </c>
      <c r="AN20" s="1158">
        <f>+IF($X20&lt;&gt;0,IF($T20="YES",ROUNDUP('RFQ Data'!E$47/$X20,0),'RFQ Data'!E$47/$X20),0)</f>
        <v>0</v>
      </c>
      <c r="AO20" s="1158">
        <f>+IF($X20&lt;&gt;0,IF($T20="YES",ROUNDUP('RFQ Data'!F$47/$X20,0),'RFQ Data'!F$47/$X20),0)</f>
        <v>0</v>
      </c>
      <c r="AP20" s="1158">
        <f>+IF($X20&lt;&gt;0,IF($T20="YES",ROUNDUP('RFQ Data'!G$47/$X20,0),'RFQ Data'!G$47/$X20),0)</f>
        <v>0</v>
      </c>
      <c r="AQ20" s="1158">
        <f>+IF($X20&lt;&gt;0,IF($T20="YES",ROUNDUP('RFQ Data'!H$47/$X20,0),'RFQ Data'!H$47/$X20),0)</f>
        <v>0</v>
      </c>
      <c r="AR20" s="1159">
        <f>+IF($X20&lt;&gt;0,IF($T20="YES",ROUNDUP('RFQ Data'!I$47/$X20,0),'RFQ Data'!I$47/$X20),0)</f>
        <v>0</v>
      </c>
      <c r="AS20" s="9">
        <f t="shared" si="50"/>
        <v>0</v>
      </c>
      <c r="AT20" s="9">
        <f t="shared" si="51"/>
        <v>0</v>
      </c>
      <c r="AU20" s="9">
        <f t="shared" si="52"/>
        <v>0</v>
      </c>
      <c r="AV20" s="9">
        <f t="shared" si="53"/>
        <v>0</v>
      </c>
      <c r="AW20" s="9">
        <f t="shared" si="54"/>
        <v>0</v>
      </c>
      <c r="AX20" s="9">
        <f t="shared" si="55"/>
        <v>0</v>
      </c>
      <c r="AZ20" s="9">
        <f t="shared" si="56"/>
        <v>0</v>
      </c>
      <c r="BA20" s="9">
        <f t="shared" si="57"/>
        <v>0</v>
      </c>
      <c r="BB20" s="9">
        <f t="shared" si="58"/>
        <v>0</v>
      </c>
      <c r="BC20" s="9">
        <f t="shared" si="59"/>
        <v>0</v>
      </c>
      <c r="BD20" s="9">
        <f t="shared" si="60"/>
        <v>0</v>
      </c>
      <c r="BE20" s="9">
        <f t="shared" si="61"/>
        <v>0</v>
      </c>
      <c r="BF20" s="9"/>
      <c r="BG20">
        <f t="shared" si="17"/>
        <v>100000000</v>
      </c>
      <c r="BH20">
        <f t="shared" si="18"/>
        <v>100000000</v>
      </c>
      <c r="BI20">
        <f t="shared" si="19"/>
        <v>100000000</v>
      </c>
      <c r="BJ20">
        <f t="shared" si="20"/>
        <v>100000000</v>
      </c>
      <c r="BK20">
        <f t="shared" si="21"/>
        <v>100000000</v>
      </c>
      <c r="BL20">
        <f t="shared" si="22"/>
        <v>100000000</v>
      </c>
      <c r="BO20" s="2">
        <f t="shared" si="62"/>
        <v>0</v>
      </c>
      <c r="BP20" s="2">
        <f t="shared" si="23"/>
        <v>0</v>
      </c>
      <c r="BQ20" s="2">
        <f t="shared" si="63"/>
        <v>0</v>
      </c>
      <c r="BR20" s="2">
        <f t="shared" si="24"/>
        <v>0</v>
      </c>
      <c r="BS20" s="2">
        <f t="shared" si="25"/>
        <v>0</v>
      </c>
      <c r="BT20" s="2">
        <f t="shared" si="26"/>
        <v>0</v>
      </c>
      <c r="BU20" s="2"/>
      <c r="BV20" s="2">
        <f t="shared" si="80"/>
        <v>0</v>
      </c>
      <c r="BW20" s="2">
        <f>+IF(BP20-SUM($BO20:BO20)&lt;0,0,BP20-SUM($BO20:BO20))</f>
        <v>0</v>
      </c>
      <c r="BX20" s="2">
        <f>+IF(BQ20-SUM($BV20:BW20)&lt;0,0,BQ20-SUM($BV20:BW20))</f>
        <v>0</v>
      </c>
      <c r="BY20" s="2">
        <f>+IF(BR20-SUM($BV20:BX20)&lt;0,0,BR20-SUM($BV20:BX20))</f>
        <v>0</v>
      </c>
      <c r="BZ20" s="2">
        <f>+IF(BS20-SUM($BV20:BY20)&lt;0,0,BS20-SUM($BV20:BY20))</f>
        <v>0</v>
      </c>
      <c r="CA20" s="2">
        <f>+IF(BT20-SUM($BV20:BZ20)&lt;0,0,BT20-SUM($BV20:BZ20))</f>
        <v>0</v>
      </c>
      <c r="CB20" s="1166">
        <f t="shared" si="65"/>
        <v>0</v>
      </c>
      <c r="CC20" s="1167">
        <f t="shared" si="28"/>
        <v>0</v>
      </c>
      <c r="CD20" s="1167">
        <f t="shared" si="29"/>
        <v>0</v>
      </c>
      <c r="CE20" s="1167">
        <f t="shared" si="30"/>
        <v>0</v>
      </c>
      <c r="CF20" s="1167">
        <f t="shared" si="31"/>
        <v>0</v>
      </c>
      <c r="CG20" s="1168">
        <f t="shared" si="32"/>
        <v>0</v>
      </c>
      <c r="CH20" s="1861">
        <f t="shared" si="72"/>
        <v>0</v>
      </c>
      <c r="CI20" s="1865">
        <f t="shared" si="66"/>
        <v>0</v>
      </c>
      <c r="CJ20" s="1865">
        <f t="shared" si="33"/>
        <v>0</v>
      </c>
      <c r="CK20" s="1865">
        <f t="shared" si="34"/>
        <v>0</v>
      </c>
      <c r="CL20" s="1865">
        <f t="shared" si="35"/>
        <v>0</v>
      </c>
      <c r="CM20" s="1173">
        <f t="shared" si="36"/>
        <v>0</v>
      </c>
      <c r="CN20" s="1861">
        <f t="shared" si="67"/>
        <v>0</v>
      </c>
      <c r="CO20" s="1865">
        <f>IF(BA20*$Y20*$AD20-SUM($CN20:CN20)&lt;0,0,BA20*$Y20*$AD20-SUM($CN20:CN20))</f>
        <v>0</v>
      </c>
      <c r="CP20" s="1865">
        <f>IF(BB20*$Y20*$AD20-SUM($CN20:CO20)&lt;0,0,BB20*$Y20*$AD20-SUM($CN20:CO20))</f>
        <v>0</v>
      </c>
      <c r="CQ20" s="1865">
        <f>IF(BC20*$Y20*$AD20-SUM($CN20:CP20)&lt;0,0,BC20*$Y20*$AD20-SUM($CN20:CP20))</f>
        <v>0</v>
      </c>
      <c r="CR20" s="1865">
        <f>IF(BD20*$Y20*$AD20-SUM($CN20:CQ20)&lt;0,0,BD20*$Y20*$AD20-SUM($CN20:CQ20))</f>
        <v>0</v>
      </c>
      <c r="CS20" s="1173">
        <f>IF(BE20*$Y20*$AD20-SUM($CN20:CR20)&lt;0,0,BE20*$Y20*$AD20-SUM($CN20:CR20))</f>
        <v>0</v>
      </c>
      <c r="CT20" s="1873">
        <f t="shared" si="37"/>
        <v>0</v>
      </c>
      <c r="CU20" s="1861">
        <f t="shared" si="68"/>
        <v>0</v>
      </c>
      <c r="CV20" s="1865">
        <f>IF(BA20*$Y20*$AC20-SUM($CU20:CU20)&lt;0,0,BA20*$Y20*$AC20-SUM($CU20:CU20))</f>
        <v>0</v>
      </c>
      <c r="CW20" s="1865">
        <f>IF(BB20*$Y20*$AC20-SUM($CU20:CV20)&lt;0,0,BB20*$Y20*$AC20-SUM($CU20:CV20))</f>
        <v>0</v>
      </c>
      <c r="CX20" s="1865">
        <f>IF(BC20*$Y20*$AC20-SUM($CU20:CW20)&lt;0,0,BC20*$Y20*$AC20-SUM($CU20:CW20))</f>
        <v>0</v>
      </c>
      <c r="CY20" s="1865">
        <f>IF(BD20*$Y20*$AC20-SUM($CU20:CX20)&lt;0,0,BD20*$Y20*$AC20-SUM($CU20:CX20))</f>
        <v>0</v>
      </c>
      <c r="CZ20" s="1173">
        <f>IF(BE20*$Y20*$AC20-SUM($CU20:CY20)&lt;0,0,BE20*$Y20*$AC20-SUM($CU20:CY20))</f>
        <v>0</v>
      </c>
      <c r="DA20" s="1171">
        <f t="shared" si="69"/>
        <v>0</v>
      </c>
      <c r="DB20" s="1173">
        <f t="shared" si="38"/>
        <v>0</v>
      </c>
      <c r="DC20" s="2"/>
      <c r="DE20" t="str">
        <f t="shared" si="39"/>
        <v xml:space="preserve">Operation - </v>
      </c>
      <c r="DF20" s="16">
        <f t="shared" si="40"/>
        <v>0</v>
      </c>
      <c r="DG20" s="16">
        <f t="shared" si="41"/>
        <v>0</v>
      </c>
      <c r="DH20" s="16">
        <f t="shared" si="42"/>
        <v>0</v>
      </c>
      <c r="DJ20" t="str">
        <f t="shared" si="43"/>
        <v>RMB</v>
      </c>
      <c r="DK20" s="2">
        <f t="shared" si="44"/>
        <v>0</v>
      </c>
      <c r="DM20">
        <v>0</v>
      </c>
      <c r="DN20">
        <v>0</v>
      </c>
      <c r="DO20">
        <v>0</v>
      </c>
      <c r="DP20">
        <v>0</v>
      </c>
      <c r="DQ20">
        <f t="shared" si="70"/>
        <v>0</v>
      </c>
    </row>
    <row r="21" spans="1:121" ht="15" thickBot="1">
      <c r="A21" s="1360" t="s">
        <v>384</v>
      </c>
      <c r="B21" s="1393" t="str">
        <f>+VLOOKUP(A21,'Financials Parameters'!$I$5:$K$15,2,FALSE)</f>
        <v>RMB</v>
      </c>
      <c r="C21" s="1394" t="str">
        <f t="shared" si="71"/>
        <v>RMB</v>
      </c>
      <c r="D21" s="1394" t="str">
        <f t="shared" si="45"/>
        <v>RMBRMB</v>
      </c>
      <c r="E21" s="1394">
        <f>+SUMIF('Financials Parameters'!$D$29:$D$53,'Product Added value'!D21,'Financials Parameters'!$E$29:$E$53)</f>
        <v>0.99999999999999989</v>
      </c>
      <c r="F21" s="2216" t="s">
        <v>418</v>
      </c>
      <c r="G21" s="2211"/>
      <c r="H21" s="1363"/>
      <c r="I21" s="1363"/>
      <c r="J21" s="1363"/>
      <c r="K21" s="1388"/>
      <c r="L21" s="1389"/>
      <c r="M21" s="119">
        <f t="shared" si="77"/>
        <v>0</v>
      </c>
      <c r="N21" s="122">
        <f>+IF(M21&lt;&gt;0,INT('RFQ Data'!$M$48/M21)+1,0)</f>
        <v>0</v>
      </c>
      <c r="O21" s="121">
        <f>+IF(N21*M21&lt;&gt;0,'RFQ Data'!$M$48/(N21*M21),0)</f>
        <v>0</v>
      </c>
      <c r="P21" s="110">
        <f t="shared" si="78"/>
        <v>0</v>
      </c>
      <c r="Q21" s="113">
        <f t="shared" si="79"/>
        <v>0</v>
      </c>
      <c r="R21" s="1362"/>
      <c r="S21" s="2063" t="str">
        <f t="shared" si="47"/>
        <v/>
      </c>
      <c r="T21" s="1364" t="s">
        <v>300</v>
      </c>
      <c r="U21" s="1369" t="s">
        <v>386</v>
      </c>
      <c r="V21" s="1370">
        <v>1</v>
      </c>
      <c r="W21" s="1358">
        <f t="shared" si="11"/>
        <v>0</v>
      </c>
      <c r="X21" s="1382">
        <f>+M21*VLOOKUP($A21,'Financials Parameters'!$I$5:$AM$16,20,FALSE)/1000</f>
        <v>0</v>
      </c>
      <c r="Y21" s="1362"/>
      <c r="Z21" s="2063" t="str">
        <f t="shared" si="48"/>
        <v/>
      </c>
      <c r="AA21" s="1384"/>
      <c r="AB21" s="1369" t="s">
        <v>149</v>
      </c>
      <c r="AC21" s="1370">
        <v>1</v>
      </c>
      <c r="AD21" s="1358">
        <f t="shared" si="12"/>
        <v>0</v>
      </c>
      <c r="AE21" s="150">
        <f>+VLOOKUP($A21,'Financials Parameters'!$I$5:$AM$16,18,FALSE)</f>
        <v>20</v>
      </c>
      <c r="AF21" s="135">
        <f>+'VOH cost per h'!V22</f>
        <v>0</v>
      </c>
      <c r="AG21" s="1657">
        <f t="shared" si="49"/>
        <v>0</v>
      </c>
      <c r="AH21" s="129">
        <f>+VLOOKUP($A21,'Financials Parameters'!$I$5:$AM$16,17,FALSE)</f>
        <v>34</v>
      </c>
      <c r="AI21" s="154">
        <f>IF(L21="YES",+'RFQ Data'!$J$61,0)</f>
        <v>0</v>
      </c>
      <c r="AJ21" s="131">
        <f t="shared" si="13"/>
        <v>0</v>
      </c>
      <c r="AK21" s="150">
        <f t="shared" si="14"/>
        <v>0</v>
      </c>
      <c r="AL21" s="130" t="str">
        <f>+VLOOKUP($A21,'Financials Parameters'!$I$5:$AM$16,3,FALSE)</f>
        <v>China + South pacific</v>
      </c>
      <c r="AM21" s="1157">
        <f>+IF($X21&lt;&gt;0,IF($T21="YES",ROUNDUP('RFQ Data'!D$47/$X21,0),'RFQ Data'!D$47/$X21),0)</f>
        <v>0</v>
      </c>
      <c r="AN21" s="1158">
        <f>+IF($X21&lt;&gt;0,IF($T21="YES",ROUNDUP('RFQ Data'!E$47/$X21,0),'RFQ Data'!E$47/$X21),0)</f>
        <v>0</v>
      </c>
      <c r="AO21" s="1158">
        <f>+IF($X21&lt;&gt;0,IF($T21="YES",ROUNDUP('RFQ Data'!F$47/$X21,0),'RFQ Data'!F$47/$X21),0)</f>
        <v>0</v>
      </c>
      <c r="AP21" s="1158">
        <f>+IF($X21&lt;&gt;0,IF($T21="YES",ROUNDUP('RFQ Data'!G$47/$X21,0),'RFQ Data'!G$47/$X21),0)</f>
        <v>0</v>
      </c>
      <c r="AQ21" s="1158">
        <f>+IF($X21&lt;&gt;0,IF($T21="YES",ROUNDUP('RFQ Data'!H$47/$X21,0),'RFQ Data'!H$47/$X21),0)</f>
        <v>0</v>
      </c>
      <c r="AR21" s="1159">
        <f>+IF($X21&lt;&gt;0,IF($T21="YES",ROUNDUP('RFQ Data'!I$47/$X21,0),'RFQ Data'!I$47/$X21),0)</f>
        <v>0</v>
      </c>
      <c r="AS21" s="9">
        <f t="shared" si="50"/>
        <v>0</v>
      </c>
      <c r="AT21" s="9">
        <f t="shared" si="51"/>
        <v>0</v>
      </c>
      <c r="AU21" s="9">
        <f t="shared" si="52"/>
        <v>0</v>
      </c>
      <c r="AV21" s="9">
        <f t="shared" si="53"/>
        <v>0</v>
      </c>
      <c r="AW21" s="9">
        <f t="shared" si="54"/>
        <v>0</v>
      </c>
      <c r="AX21" s="9">
        <f t="shared" si="55"/>
        <v>0</v>
      </c>
      <c r="AZ21" s="9">
        <f t="shared" si="56"/>
        <v>0</v>
      </c>
      <c r="BA21" s="9">
        <f t="shared" si="57"/>
        <v>0</v>
      </c>
      <c r="BB21" s="9">
        <f t="shared" si="58"/>
        <v>0</v>
      </c>
      <c r="BC21" s="9">
        <f t="shared" si="59"/>
        <v>0</v>
      </c>
      <c r="BD21" s="9">
        <f t="shared" si="60"/>
        <v>0</v>
      </c>
      <c r="BE21" s="9">
        <f t="shared" si="61"/>
        <v>0</v>
      </c>
      <c r="BF21" s="9"/>
      <c r="BG21">
        <f t="shared" si="17"/>
        <v>100000000</v>
      </c>
      <c r="BH21">
        <f t="shared" si="18"/>
        <v>100000000</v>
      </c>
      <c r="BI21">
        <f t="shared" si="19"/>
        <v>100000000</v>
      </c>
      <c r="BJ21">
        <f t="shared" si="20"/>
        <v>100000000</v>
      </c>
      <c r="BK21">
        <f t="shared" si="21"/>
        <v>100000000</v>
      </c>
      <c r="BL21">
        <f t="shared" si="22"/>
        <v>100000000</v>
      </c>
      <c r="BO21" s="2">
        <f t="shared" si="62"/>
        <v>0</v>
      </c>
      <c r="BP21" s="2">
        <f t="shared" si="23"/>
        <v>0</v>
      </c>
      <c r="BQ21" s="2">
        <f t="shared" si="63"/>
        <v>0</v>
      </c>
      <c r="BR21" s="2">
        <f t="shared" si="24"/>
        <v>0</v>
      </c>
      <c r="BS21" s="2">
        <f t="shared" si="25"/>
        <v>0</v>
      </c>
      <c r="BT21" s="2">
        <f t="shared" si="26"/>
        <v>0</v>
      </c>
      <c r="BU21" s="2"/>
      <c r="BV21" s="2">
        <f t="shared" si="80"/>
        <v>0</v>
      </c>
      <c r="BW21" s="2">
        <f>+IF(BP21-SUM($BO21:BO21)&lt;0,0,BP21-SUM($BO21:BO21))</f>
        <v>0</v>
      </c>
      <c r="BX21" s="2">
        <f>+IF(BQ21-SUM($BV21:BW21)&lt;0,0,BQ21-SUM($BV21:BW21))</f>
        <v>0</v>
      </c>
      <c r="BY21" s="2">
        <f>+IF(BR21-SUM($BV21:BX21)&lt;0,0,BR21-SUM($BV21:BX21))</f>
        <v>0</v>
      </c>
      <c r="BZ21" s="2">
        <f>+IF(BS21-SUM($BV21:BY21)&lt;0,0,BS21-SUM($BV21:BY21))</f>
        <v>0</v>
      </c>
      <c r="CA21" s="2">
        <f>+IF(BT21-SUM($BV21:BZ21)&lt;0,0,BT21-SUM($BV21:BZ21))</f>
        <v>0</v>
      </c>
      <c r="CB21" s="1166">
        <f t="shared" si="65"/>
        <v>0</v>
      </c>
      <c r="CC21" s="1167">
        <f t="shared" si="28"/>
        <v>0</v>
      </c>
      <c r="CD21" s="1167">
        <f t="shared" si="29"/>
        <v>0</v>
      </c>
      <c r="CE21" s="1167">
        <f t="shared" si="30"/>
        <v>0</v>
      </c>
      <c r="CF21" s="1167">
        <f t="shared" si="31"/>
        <v>0</v>
      </c>
      <c r="CG21" s="1168">
        <f t="shared" si="32"/>
        <v>0</v>
      </c>
      <c r="CH21" s="1861">
        <f t="shared" si="72"/>
        <v>0</v>
      </c>
      <c r="CI21" s="1865">
        <f t="shared" si="66"/>
        <v>0</v>
      </c>
      <c r="CJ21" s="1865">
        <f t="shared" si="33"/>
        <v>0</v>
      </c>
      <c r="CK21" s="1865">
        <f t="shared" si="34"/>
        <v>0</v>
      </c>
      <c r="CL21" s="1865">
        <f t="shared" si="35"/>
        <v>0</v>
      </c>
      <c r="CM21" s="1173">
        <f t="shared" si="36"/>
        <v>0</v>
      </c>
      <c r="CN21" s="1861">
        <f t="shared" si="67"/>
        <v>0</v>
      </c>
      <c r="CO21" s="1865">
        <f>IF(BA21*$Y21*$AD21-SUM($CN21:CN21)&lt;0,0,BA21*$Y21*$AD21-SUM($CN21:CN21))</f>
        <v>0</v>
      </c>
      <c r="CP21" s="1865">
        <f>IF(BB21*$Y21*$AD21-SUM($CN21:CO21)&lt;0,0,BB21*$Y21*$AD21-SUM($CN21:CO21))</f>
        <v>0</v>
      </c>
      <c r="CQ21" s="1865">
        <f>IF(BC21*$Y21*$AD21-SUM($CN21:CP21)&lt;0,0,BC21*$Y21*$AD21-SUM($CN21:CP21))</f>
        <v>0</v>
      </c>
      <c r="CR21" s="1865">
        <f>IF(BD21*$Y21*$AD21-SUM($CN21:CQ21)&lt;0,0,BD21*$Y21*$AD21-SUM($CN21:CQ21))</f>
        <v>0</v>
      </c>
      <c r="CS21" s="1173">
        <f>IF(BE21*$Y21*$AD21-SUM($CN21:CR21)&lt;0,0,BE21*$Y21*$AD21-SUM($CN21:CR21))</f>
        <v>0</v>
      </c>
      <c r="CT21" s="1873">
        <f t="shared" si="37"/>
        <v>0</v>
      </c>
      <c r="CU21" s="1861">
        <f t="shared" si="68"/>
        <v>0</v>
      </c>
      <c r="CV21" s="1865">
        <f>IF(BA21*$Y21*$AC21-SUM($CU21:CU21)&lt;0,0,BA21*$Y21*$AC21-SUM($CU21:CU21))</f>
        <v>0</v>
      </c>
      <c r="CW21" s="1865">
        <f>IF(BB21*$Y21*$AC21-SUM($CU21:CV21)&lt;0,0,BB21*$Y21*$AC21-SUM($CU21:CV21))</f>
        <v>0</v>
      </c>
      <c r="CX21" s="1865">
        <f>IF(BC21*$Y21*$AC21-SUM($CU21:CW21)&lt;0,0,BC21*$Y21*$AC21-SUM($CU21:CW21))</f>
        <v>0</v>
      </c>
      <c r="CY21" s="1865">
        <f>IF(BD21*$Y21*$AC21-SUM($CU21:CX21)&lt;0,0,BD21*$Y21*$AC21-SUM($CU21:CX21))</f>
        <v>0</v>
      </c>
      <c r="CZ21" s="1173">
        <f>IF(BE21*$Y21*$AC21-SUM($CU21:CY21)&lt;0,0,BE21*$Y21*$AC21-SUM($CU21:CY21))</f>
        <v>0</v>
      </c>
      <c r="DA21" s="1171">
        <f t="shared" si="69"/>
        <v>0</v>
      </c>
      <c r="DB21" s="1173">
        <f t="shared" si="38"/>
        <v>0</v>
      </c>
      <c r="DC21" s="2"/>
      <c r="DE21" t="str">
        <f t="shared" si="39"/>
        <v xml:space="preserve">Operation - </v>
      </c>
      <c r="DF21" s="16">
        <f t="shared" si="40"/>
        <v>0</v>
      </c>
      <c r="DG21" s="16">
        <f t="shared" si="41"/>
        <v>0</v>
      </c>
      <c r="DH21" s="16">
        <f t="shared" si="42"/>
        <v>0</v>
      </c>
      <c r="DJ21" t="str">
        <f t="shared" si="43"/>
        <v>RMB</v>
      </c>
      <c r="DK21" s="2">
        <f t="shared" si="44"/>
        <v>0</v>
      </c>
      <c r="DM21">
        <v>0</v>
      </c>
      <c r="DN21">
        <v>0</v>
      </c>
      <c r="DO21">
        <v>0</v>
      </c>
      <c r="DP21">
        <v>0</v>
      </c>
      <c r="DQ21">
        <f t="shared" si="70"/>
        <v>0</v>
      </c>
    </row>
    <row r="22" spans="1:121" ht="15" thickBot="1">
      <c r="A22" s="1360" t="s">
        <v>384</v>
      </c>
      <c r="B22" s="1393" t="str">
        <f>+VLOOKUP(A22,'Financials Parameters'!$I$5:$K$15,2,FALSE)</f>
        <v>RMB</v>
      </c>
      <c r="C22" s="1394" t="str">
        <f t="shared" si="71"/>
        <v>RMB</v>
      </c>
      <c r="D22" s="1394" t="str">
        <f t="shared" si="45"/>
        <v>RMBRMB</v>
      </c>
      <c r="E22" s="1394">
        <f>+SUMIF('Financials Parameters'!$D$29:$D$53,'Product Added value'!D22,'Financials Parameters'!$E$29:$E$53)</f>
        <v>0.99999999999999989</v>
      </c>
      <c r="F22" s="2216" t="s">
        <v>419</v>
      </c>
      <c r="G22" s="2211"/>
      <c r="H22" s="1363"/>
      <c r="I22" s="1363"/>
      <c r="J22" s="1363"/>
      <c r="K22" s="1388"/>
      <c r="L22" s="1389"/>
      <c r="M22" s="119">
        <f t="shared" si="77"/>
        <v>0</v>
      </c>
      <c r="N22" s="122">
        <f>+IF(M22&lt;&gt;0,INT('RFQ Data'!$M$48/M22)+1,0)</f>
        <v>0</v>
      </c>
      <c r="O22" s="121">
        <f>+IF(N22*M22&lt;&gt;0,'RFQ Data'!$M$48/(N22*M22),0)</f>
        <v>0</v>
      </c>
      <c r="P22" s="110">
        <f t="shared" si="78"/>
        <v>0</v>
      </c>
      <c r="Q22" s="113">
        <f t="shared" si="79"/>
        <v>0</v>
      </c>
      <c r="R22" s="1362"/>
      <c r="S22" s="2063" t="str">
        <f t="shared" si="47"/>
        <v/>
      </c>
      <c r="T22" s="1364" t="s">
        <v>300</v>
      </c>
      <c r="U22" s="1369" t="s">
        <v>386</v>
      </c>
      <c r="V22" s="1370">
        <v>1</v>
      </c>
      <c r="W22" s="1358">
        <f t="shared" si="11"/>
        <v>0</v>
      </c>
      <c r="X22" s="1382">
        <f>+M22*VLOOKUP($A22,'Financials Parameters'!$I$5:$AM$16,20,FALSE)/1000</f>
        <v>0</v>
      </c>
      <c r="Y22" s="1362"/>
      <c r="Z22" s="2063" t="str">
        <f t="shared" si="48"/>
        <v/>
      </c>
      <c r="AA22" s="1384"/>
      <c r="AB22" s="1369" t="s">
        <v>149</v>
      </c>
      <c r="AC22" s="1370">
        <v>1</v>
      </c>
      <c r="AD22" s="1358">
        <f t="shared" si="12"/>
        <v>0</v>
      </c>
      <c r="AE22" s="150">
        <f>+VLOOKUP($A22,'Financials Parameters'!$I$5:$AM$16,18,FALSE)</f>
        <v>20</v>
      </c>
      <c r="AF22" s="135">
        <f>+'VOH cost per h'!V23</f>
        <v>0</v>
      </c>
      <c r="AG22" s="1657">
        <f t="shared" si="49"/>
        <v>0</v>
      </c>
      <c r="AH22" s="129">
        <f>+VLOOKUP($A22,'Financials Parameters'!$I$5:$AM$16,17,FALSE)</f>
        <v>34</v>
      </c>
      <c r="AI22" s="154">
        <f>IF(L22="YES",+'RFQ Data'!$J$61,0)</f>
        <v>0</v>
      </c>
      <c r="AJ22" s="131">
        <f t="shared" si="13"/>
        <v>0</v>
      </c>
      <c r="AK22" s="150">
        <f t="shared" si="14"/>
        <v>0</v>
      </c>
      <c r="AL22" s="130" t="str">
        <f>+VLOOKUP($A22,'Financials Parameters'!$I$5:$AM$16,3,FALSE)</f>
        <v>China + South pacific</v>
      </c>
      <c r="AM22" s="1157">
        <f>+IF($X22&lt;&gt;0,IF($T22="YES",ROUNDUP('RFQ Data'!D$47/$X22,0),'RFQ Data'!D$47/$X22),0)</f>
        <v>0</v>
      </c>
      <c r="AN22" s="1158">
        <f>+IF($X22&lt;&gt;0,IF($T22="YES",ROUNDUP('RFQ Data'!E$47/$X22,0),'RFQ Data'!E$47/$X22),0)</f>
        <v>0</v>
      </c>
      <c r="AO22" s="1158">
        <f>+IF($X22&lt;&gt;0,IF($T22="YES",ROUNDUP('RFQ Data'!F$47/$X22,0),'RFQ Data'!F$47/$X22),0)</f>
        <v>0</v>
      </c>
      <c r="AP22" s="1158">
        <f>+IF($X22&lt;&gt;0,IF($T22="YES",ROUNDUP('RFQ Data'!G$47/$X22,0),'RFQ Data'!G$47/$X22),0)</f>
        <v>0</v>
      </c>
      <c r="AQ22" s="1158">
        <f>+IF($X22&lt;&gt;0,IF($T22="YES",ROUNDUP('RFQ Data'!H$47/$X22,0),'RFQ Data'!H$47/$X22),0)</f>
        <v>0</v>
      </c>
      <c r="AR22" s="1159">
        <f>+IF($X22&lt;&gt;0,IF($T22="YES",ROUNDUP('RFQ Data'!I$47/$X22,0),'RFQ Data'!I$47/$X22),0)</f>
        <v>0</v>
      </c>
      <c r="AS22" s="9">
        <f t="shared" si="50"/>
        <v>0</v>
      </c>
      <c r="AT22" s="9">
        <f t="shared" si="51"/>
        <v>0</v>
      </c>
      <c r="AU22" s="9">
        <f t="shared" si="52"/>
        <v>0</v>
      </c>
      <c r="AV22" s="9">
        <f t="shared" si="53"/>
        <v>0</v>
      </c>
      <c r="AW22" s="9">
        <f t="shared" si="54"/>
        <v>0</v>
      </c>
      <c r="AX22" s="9">
        <f t="shared" si="55"/>
        <v>0</v>
      </c>
      <c r="AZ22" s="9">
        <f t="shared" si="56"/>
        <v>0</v>
      </c>
      <c r="BA22" s="9">
        <f t="shared" si="57"/>
        <v>0</v>
      </c>
      <c r="BB22" s="9">
        <f t="shared" si="58"/>
        <v>0</v>
      </c>
      <c r="BC22" s="9">
        <f t="shared" si="59"/>
        <v>0</v>
      </c>
      <c r="BD22" s="9">
        <f t="shared" si="60"/>
        <v>0</v>
      </c>
      <c r="BE22" s="9">
        <f t="shared" si="61"/>
        <v>0</v>
      </c>
      <c r="BF22" s="9"/>
      <c r="BG22">
        <f t="shared" si="17"/>
        <v>100000000</v>
      </c>
      <c r="BH22">
        <f t="shared" si="18"/>
        <v>100000000</v>
      </c>
      <c r="BI22">
        <f t="shared" si="19"/>
        <v>100000000</v>
      </c>
      <c r="BJ22">
        <f t="shared" si="20"/>
        <v>100000000</v>
      </c>
      <c r="BK22">
        <f t="shared" si="21"/>
        <v>100000000</v>
      </c>
      <c r="BL22">
        <f t="shared" si="22"/>
        <v>100000000</v>
      </c>
      <c r="BO22" s="2">
        <f t="shared" si="62"/>
        <v>0</v>
      </c>
      <c r="BP22" s="2">
        <f t="shared" si="23"/>
        <v>0</v>
      </c>
      <c r="BQ22" s="2">
        <f t="shared" si="63"/>
        <v>0</v>
      </c>
      <c r="BR22" s="2">
        <f t="shared" si="24"/>
        <v>0</v>
      </c>
      <c r="BS22" s="2">
        <f t="shared" si="25"/>
        <v>0</v>
      </c>
      <c r="BT22" s="2">
        <f t="shared" si="26"/>
        <v>0</v>
      </c>
      <c r="BU22" s="2"/>
      <c r="BV22" s="2">
        <f t="shared" si="80"/>
        <v>0</v>
      </c>
      <c r="BW22" s="2">
        <f>+IF(BP22-SUM($BO22:BO22)&lt;0,0,BP22-SUM($BO22:BO22))</f>
        <v>0</v>
      </c>
      <c r="BX22" s="2">
        <f>+IF(BQ22-SUM($BV22:BW22)&lt;0,0,BQ22-SUM($BV22:BW22))</f>
        <v>0</v>
      </c>
      <c r="BY22" s="2">
        <f>+IF(BR22-SUM($BV22:BX22)&lt;0,0,BR22-SUM($BV22:BX22))</f>
        <v>0</v>
      </c>
      <c r="BZ22" s="2">
        <f>+IF(BS22-SUM($BV22:BY22)&lt;0,0,BS22-SUM($BV22:BY22))</f>
        <v>0</v>
      </c>
      <c r="CA22" s="2">
        <f>+IF(BT22-SUM($BV22:BZ22)&lt;0,0,BT22-SUM($BV22:BZ22))</f>
        <v>0</v>
      </c>
      <c r="CB22" s="1166">
        <f t="shared" si="65"/>
        <v>0</v>
      </c>
      <c r="CC22" s="1167">
        <f t="shared" si="28"/>
        <v>0</v>
      </c>
      <c r="CD22" s="1167">
        <f t="shared" si="29"/>
        <v>0</v>
      </c>
      <c r="CE22" s="1167">
        <f t="shared" si="30"/>
        <v>0</v>
      </c>
      <c r="CF22" s="1167">
        <f t="shared" si="31"/>
        <v>0</v>
      </c>
      <c r="CG22" s="1168">
        <f t="shared" si="32"/>
        <v>0</v>
      </c>
      <c r="CH22" s="1861">
        <f t="shared" si="72"/>
        <v>0</v>
      </c>
      <c r="CI22" s="1865">
        <f t="shared" si="66"/>
        <v>0</v>
      </c>
      <c r="CJ22" s="1865">
        <f t="shared" si="33"/>
        <v>0</v>
      </c>
      <c r="CK22" s="1865">
        <f t="shared" si="34"/>
        <v>0</v>
      </c>
      <c r="CL22" s="1865">
        <f t="shared" si="35"/>
        <v>0</v>
      </c>
      <c r="CM22" s="1173">
        <f t="shared" si="36"/>
        <v>0</v>
      </c>
      <c r="CN22" s="1861">
        <f t="shared" si="67"/>
        <v>0</v>
      </c>
      <c r="CO22" s="1865">
        <f>IF(BA22*$Y22*$AD22-SUM($CN22:CN22)&lt;0,0,BA22*$Y22*$AD22-SUM($CN22:CN22))</f>
        <v>0</v>
      </c>
      <c r="CP22" s="1865">
        <f>IF(BB22*$Y22*$AD22-SUM($CN22:CO22)&lt;0,0,BB22*$Y22*$AD22-SUM($CN22:CO22))</f>
        <v>0</v>
      </c>
      <c r="CQ22" s="1865">
        <f>IF(BC22*$Y22*$AD22-SUM($CN22:CP22)&lt;0,0,BC22*$Y22*$AD22-SUM($CN22:CP22))</f>
        <v>0</v>
      </c>
      <c r="CR22" s="1865">
        <f>IF(BD22*$Y22*$AD22-SUM($CN22:CQ22)&lt;0,0,BD22*$Y22*$AD22-SUM($CN22:CQ22))</f>
        <v>0</v>
      </c>
      <c r="CS22" s="1173">
        <f>IF(BE22*$Y22*$AD22-SUM($CN22:CR22)&lt;0,0,BE22*$Y22*$AD22-SUM($CN22:CR22))</f>
        <v>0</v>
      </c>
      <c r="CT22" s="1873">
        <f t="shared" si="37"/>
        <v>0</v>
      </c>
      <c r="CU22" s="1861">
        <f t="shared" si="68"/>
        <v>0</v>
      </c>
      <c r="CV22" s="1865">
        <f>IF(BA22*$Y22*$AC22-SUM($CU22:CU22)&lt;0,0,BA22*$Y22*$AC22-SUM($CU22:CU22))</f>
        <v>0</v>
      </c>
      <c r="CW22" s="1865">
        <f>IF(BB22*$Y22*$AC22-SUM($CU22:CV22)&lt;0,0,BB22*$Y22*$AC22-SUM($CU22:CV22))</f>
        <v>0</v>
      </c>
      <c r="CX22" s="1865">
        <f>IF(BC22*$Y22*$AC22-SUM($CU22:CW22)&lt;0,0,BC22*$Y22*$AC22-SUM($CU22:CW22))</f>
        <v>0</v>
      </c>
      <c r="CY22" s="1865">
        <f>IF(BD22*$Y22*$AC22-SUM($CU22:CX22)&lt;0,0,BD22*$Y22*$AC22-SUM($CU22:CX22))</f>
        <v>0</v>
      </c>
      <c r="CZ22" s="1173">
        <f>IF(BE22*$Y22*$AC22-SUM($CU22:CY22)&lt;0,0,BE22*$Y22*$AC22-SUM($CU22:CY22))</f>
        <v>0</v>
      </c>
      <c r="DA22" s="1171">
        <f t="shared" si="69"/>
        <v>0</v>
      </c>
      <c r="DB22" s="1173">
        <f t="shared" si="38"/>
        <v>0</v>
      </c>
      <c r="DC22" s="2"/>
      <c r="DE22" t="str">
        <f t="shared" si="39"/>
        <v xml:space="preserve">Operation - </v>
      </c>
      <c r="DF22" s="16">
        <f t="shared" si="40"/>
        <v>0</v>
      </c>
      <c r="DG22" s="16">
        <f t="shared" si="41"/>
        <v>0</v>
      </c>
      <c r="DH22" s="16">
        <f t="shared" si="42"/>
        <v>0</v>
      </c>
      <c r="DJ22" t="str">
        <f t="shared" si="43"/>
        <v>RMB</v>
      </c>
      <c r="DK22" s="2">
        <f t="shared" si="44"/>
        <v>0</v>
      </c>
      <c r="DM22">
        <v>0</v>
      </c>
      <c r="DN22">
        <v>0</v>
      </c>
      <c r="DO22">
        <v>0</v>
      </c>
      <c r="DP22">
        <v>0</v>
      </c>
      <c r="DQ22">
        <f t="shared" si="70"/>
        <v>0</v>
      </c>
    </row>
    <row r="23" spans="1:121" ht="15" thickBot="1">
      <c r="A23" s="1360" t="s">
        <v>384</v>
      </c>
      <c r="B23" s="1393" t="str">
        <f>+VLOOKUP(A23,'Financials Parameters'!$I$5:$K$15,2,FALSE)</f>
        <v>RMB</v>
      </c>
      <c r="C23" s="1394" t="str">
        <f t="shared" si="71"/>
        <v>RMB</v>
      </c>
      <c r="D23" s="1394" t="str">
        <f t="shared" si="45"/>
        <v>RMBRMB</v>
      </c>
      <c r="E23" s="1394">
        <f>+SUMIF('Financials Parameters'!$D$29:$D$53,'Product Added value'!D23,'Financials Parameters'!$E$29:$E$53)</f>
        <v>0.99999999999999989</v>
      </c>
      <c r="F23" s="2216" t="s">
        <v>420</v>
      </c>
      <c r="G23" s="2211"/>
      <c r="H23" s="1363"/>
      <c r="I23" s="1363"/>
      <c r="J23" s="1363"/>
      <c r="K23" s="1388"/>
      <c r="L23" s="1389"/>
      <c r="M23" s="119">
        <f t="shared" si="77"/>
        <v>0</v>
      </c>
      <c r="N23" s="122">
        <f>+IF(M23&lt;&gt;0,INT('RFQ Data'!$M$48/M23)+1,0)</f>
        <v>0</v>
      </c>
      <c r="O23" s="121">
        <f>+IF(N23*M23&lt;&gt;0,'RFQ Data'!$M$48/(N23*M23),0)</f>
        <v>0</v>
      </c>
      <c r="P23" s="110">
        <f t="shared" si="78"/>
        <v>0</v>
      </c>
      <c r="Q23" s="113">
        <f t="shared" si="79"/>
        <v>0</v>
      </c>
      <c r="R23" s="1362"/>
      <c r="S23" s="2063" t="str">
        <f t="shared" si="47"/>
        <v/>
      </c>
      <c r="T23" s="1364" t="s">
        <v>300</v>
      </c>
      <c r="U23" s="1369" t="s">
        <v>386</v>
      </c>
      <c r="V23" s="1370">
        <v>1</v>
      </c>
      <c r="W23" s="1358">
        <f t="shared" si="11"/>
        <v>0</v>
      </c>
      <c r="X23" s="1382">
        <f>+M23*VLOOKUP($A23,'Financials Parameters'!$I$5:$AM$16,20,FALSE)/1000</f>
        <v>0</v>
      </c>
      <c r="Y23" s="1362"/>
      <c r="Z23" s="2063" t="str">
        <f t="shared" si="48"/>
        <v/>
      </c>
      <c r="AA23" s="1384"/>
      <c r="AB23" s="1369" t="s">
        <v>149</v>
      </c>
      <c r="AC23" s="1370">
        <v>1</v>
      </c>
      <c r="AD23" s="1358">
        <f t="shared" si="12"/>
        <v>0</v>
      </c>
      <c r="AE23" s="150">
        <f>+VLOOKUP($A23,'Financials Parameters'!$I$5:$AM$16,18,FALSE)</f>
        <v>20</v>
      </c>
      <c r="AF23" s="135">
        <f>+'VOH cost per h'!V24</f>
        <v>0</v>
      </c>
      <c r="AG23" s="1657">
        <f t="shared" si="49"/>
        <v>0</v>
      </c>
      <c r="AH23" s="129">
        <f>+VLOOKUP($A23,'Financials Parameters'!$I$5:$AM$16,17,FALSE)</f>
        <v>34</v>
      </c>
      <c r="AI23" s="154">
        <f>IF(L23="YES",+'RFQ Data'!$J$61,0)</f>
        <v>0</v>
      </c>
      <c r="AJ23" s="131">
        <f t="shared" si="13"/>
        <v>0</v>
      </c>
      <c r="AK23" s="150">
        <f t="shared" si="14"/>
        <v>0</v>
      </c>
      <c r="AL23" s="130" t="str">
        <f>+VLOOKUP($A23,'Financials Parameters'!$I$5:$AM$16,3,FALSE)</f>
        <v>China + South pacific</v>
      </c>
      <c r="AM23" s="1157">
        <f>+IF($X23&lt;&gt;0,IF($T23="YES",ROUNDUP('RFQ Data'!D$47/$X23,0),'RFQ Data'!D$47/$X23),0)</f>
        <v>0</v>
      </c>
      <c r="AN23" s="1158">
        <f>+IF($X23&lt;&gt;0,IF($T23="YES",ROUNDUP('RFQ Data'!E$47/$X23,0),'RFQ Data'!E$47/$X23),0)</f>
        <v>0</v>
      </c>
      <c r="AO23" s="1158">
        <f>+IF($X23&lt;&gt;0,IF($T23="YES",ROUNDUP('RFQ Data'!F$47/$X23,0),'RFQ Data'!F$47/$X23),0)</f>
        <v>0</v>
      </c>
      <c r="AP23" s="1158">
        <f>+IF($X23&lt;&gt;0,IF($T23="YES",ROUNDUP('RFQ Data'!G$47/$X23,0),'RFQ Data'!G$47/$X23),0)</f>
        <v>0</v>
      </c>
      <c r="AQ23" s="1158">
        <f>+IF($X23&lt;&gt;0,IF($T23="YES",ROUNDUP('RFQ Data'!H$47/$X23,0),'RFQ Data'!H$47/$X23),0)</f>
        <v>0</v>
      </c>
      <c r="AR23" s="1159">
        <f>+IF($X23&lt;&gt;0,IF($T23="YES",ROUNDUP('RFQ Data'!I$47/$X23,0),'RFQ Data'!I$47/$X23),0)</f>
        <v>0</v>
      </c>
      <c r="AS23" s="9">
        <f t="shared" si="50"/>
        <v>0</v>
      </c>
      <c r="AT23" s="9">
        <f t="shared" si="51"/>
        <v>0</v>
      </c>
      <c r="AU23" s="9">
        <f t="shared" si="52"/>
        <v>0</v>
      </c>
      <c r="AV23" s="9">
        <f t="shared" si="53"/>
        <v>0</v>
      </c>
      <c r="AW23" s="9">
        <f t="shared" si="54"/>
        <v>0</v>
      </c>
      <c r="AX23" s="9">
        <f t="shared" si="55"/>
        <v>0</v>
      </c>
      <c r="AZ23" s="9">
        <f t="shared" si="56"/>
        <v>0</v>
      </c>
      <c r="BA23" s="9">
        <f t="shared" si="57"/>
        <v>0</v>
      </c>
      <c r="BB23" s="9">
        <f t="shared" si="58"/>
        <v>0</v>
      </c>
      <c r="BC23" s="9">
        <f t="shared" si="59"/>
        <v>0</v>
      </c>
      <c r="BD23" s="9">
        <f t="shared" si="60"/>
        <v>0</v>
      </c>
      <c r="BE23" s="9">
        <f t="shared" si="61"/>
        <v>0</v>
      </c>
      <c r="BF23" s="9"/>
      <c r="BG23">
        <f t="shared" si="17"/>
        <v>100000000</v>
      </c>
      <c r="BH23">
        <f t="shared" si="18"/>
        <v>100000000</v>
      </c>
      <c r="BI23">
        <f t="shared" si="19"/>
        <v>100000000</v>
      </c>
      <c r="BJ23">
        <f t="shared" si="20"/>
        <v>100000000</v>
      </c>
      <c r="BK23">
        <f t="shared" si="21"/>
        <v>100000000</v>
      </c>
      <c r="BL23">
        <f t="shared" si="22"/>
        <v>100000000</v>
      </c>
      <c r="BO23" s="2">
        <f t="shared" si="62"/>
        <v>0</v>
      </c>
      <c r="BP23" s="2">
        <f t="shared" si="23"/>
        <v>0</v>
      </c>
      <c r="BQ23" s="2">
        <f t="shared" si="63"/>
        <v>0</v>
      </c>
      <c r="BR23" s="2">
        <f t="shared" si="24"/>
        <v>0</v>
      </c>
      <c r="BS23" s="2">
        <f t="shared" si="25"/>
        <v>0</v>
      </c>
      <c r="BT23" s="2">
        <f t="shared" si="26"/>
        <v>0</v>
      </c>
      <c r="BU23" s="2"/>
      <c r="BV23" s="2">
        <f t="shared" si="80"/>
        <v>0</v>
      </c>
      <c r="BW23" s="2">
        <f>+IF(BP23-SUM($BO23:BO23)&lt;0,0,BP23-SUM($BO23:BO23))</f>
        <v>0</v>
      </c>
      <c r="BX23" s="2">
        <f>+IF(BQ23-SUM($BV23:BW23)&lt;0,0,BQ23-SUM($BV23:BW23))</f>
        <v>0</v>
      </c>
      <c r="BY23" s="2">
        <f>+IF(BR23-SUM($BV23:BX23)&lt;0,0,BR23-SUM($BV23:BX23))</f>
        <v>0</v>
      </c>
      <c r="BZ23" s="2">
        <f>+IF(BS23-SUM($BV23:BY23)&lt;0,0,BS23-SUM($BV23:BY23))</f>
        <v>0</v>
      </c>
      <c r="CA23" s="2">
        <f>+IF(BT23-SUM($BV23:BZ23)&lt;0,0,BT23-SUM($BV23:BZ23))</f>
        <v>0</v>
      </c>
      <c r="CB23" s="1166">
        <f t="shared" si="65"/>
        <v>0</v>
      </c>
      <c r="CC23" s="1167">
        <f t="shared" si="28"/>
        <v>0</v>
      </c>
      <c r="CD23" s="1167">
        <f t="shared" si="29"/>
        <v>0</v>
      </c>
      <c r="CE23" s="1167">
        <f t="shared" si="30"/>
        <v>0</v>
      </c>
      <c r="CF23" s="1167">
        <f t="shared" si="31"/>
        <v>0</v>
      </c>
      <c r="CG23" s="1168">
        <f t="shared" si="32"/>
        <v>0</v>
      </c>
      <c r="CH23" s="1861">
        <f t="shared" si="72"/>
        <v>0</v>
      </c>
      <c r="CI23" s="1865">
        <f t="shared" si="66"/>
        <v>0</v>
      </c>
      <c r="CJ23" s="1865">
        <f t="shared" si="33"/>
        <v>0</v>
      </c>
      <c r="CK23" s="1865">
        <f t="shared" si="34"/>
        <v>0</v>
      </c>
      <c r="CL23" s="1865">
        <f t="shared" si="35"/>
        <v>0</v>
      </c>
      <c r="CM23" s="1173">
        <f t="shared" si="36"/>
        <v>0</v>
      </c>
      <c r="CN23" s="1861">
        <f t="shared" si="67"/>
        <v>0</v>
      </c>
      <c r="CO23" s="1865">
        <f>IF(BA23*$Y23*$AD23-SUM($CN23:CN23)&lt;0,0,BA23*$Y23*$AD23-SUM($CN23:CN23))</f>
        <v>0</v>
      </c>
      <c r="CP23" s="1865">
        <f>IF(BB23*$Y23*$AD23-SUM($CN23:CO23)&lt;0,0,BB23*$Y23*$AD23-SUM($CN23:CO23))</f>
        <v>0</v>
      </c>
      <c r="CQ23" s="1865">
        <f>IF(BC23*$Y23*$AD23-SUM($CN23:CP23)&lt;0,0,BC23*$Y23*$AD23-SUM($CN23:CP23))</f>
        <v>0</v>
      </c>
      <c r="CR23" s="1865">
        <f>IF(BD23*$Y23*$AD23-SUM($CN23:CQ23)&lt;0,0,BD23*$Y23*$AD23-SUM($CN23:CQ23))</f>
        <v>0</v>
      </c>
      <c r="CS23" s="1173">
        <f>IF(BE23*$Y23*$AD23-SUM($CN23:CR23)&lt;0,0,BE23*$Y23*$AD23-SUM($CN23:CR23))</f>
        <v>0</v>
      </c>
      <c r="CT23" s="1873">
        <f t="shared" si="37"/>
        <v>0</v>
      </c>
      <c r="CU23" s="1861">
        <f t="shared" si="68"/>
        <v>0</v>
      </c>
      <c r="CV23" s="1865">
        <f>IF(BA23*$Y23*$AC23-SUM($CU23:CU23)&lt;0,0,BA23*$Y23*$AC23-SUM($CU23:CU23))</f>
        <v>0</v>
      </c>
      <c r="CW23" s="1865">
        <f>IF(BB23*$Y23*$AC23-SUM($CU23:CV23)&lt;0,0,BB23*$Y23*$AC23-SUM($CU23:CV23))</f>
        <v>0</v>
      </c>
      <c r="CX23" s="1865">
        <f>IF(BC23*$Y23*$AC23-SUM($CU23:CW23)&lt;0,0,BC23*$Y23*$AC23-SUM($CU23:CW23))</f>
        <v>0</v>
      </c>
      <c r="CY23" s="1865">
        <f>IF(BD23*$Y23*$AC23-SUM($CU23:CX23)&lt;0,0,BD23*$Y23*$AC23-SUM($CU23:CX23))</f>
        <v>0</v>
      </c>
      <c r="CZ23" s="1173">
        <f>IF(BE23*$Y23*$AC23-SUM($CU23:CY23)&lt;0,0,BE23*$Y23*$AC23-SUM($CU23:CY23))</f>
        <v>0</v>
      </c>
      <c r="DA23" s="1171">
        <f t="shared" si="69"/>
        <v>0</v>
      </c>
      <c r="DB23" s="1173">
        <f t="shared" si="38"/>
        <v>0</v>
      </c>
      <c r="DC23" s="2"/>
      <c r="DE23" t="str">
        <f t="shared" si="39"/>
        <v xml:space="preserve">Operation - </v>
      </c>
      <c r="DF23" s="16">
        <f t="shared" si="40"/>
        <v>0</v>
      </c>
      <c r="DG23" s="16">
        <f t="shared" si="41"/>
        <v>0</v>
      </c>
      <c r="DH23" s="16">
        <f t="shared" si="42"/>
        <v>0</v>
      </c>
      <c r="DJ23" t="str">
        <f t="shared" si="43"/>
        <v>RMB</v>
      </c>
      <c r="DK23" s="2">
        <f t="shared" si="44"/>
        <v>0</v>
      </c>
      <c r="DM23">
        <v>0</v>
      </c>
      <c r="DN23">
        <v>0</v>
      </c>
      <c r="DO23">
        <v>0</v>
      </c>
      <c r="DP23">
        <v>0</v>
      </c>
      <c r="DQ23">
        <f t="shared" si="70"/>
        <v>0</v>
      </c>
    </row>
    <row r="24" spans="1:121" ht="15" thickBot="1">
      <c r="A24" s="1360" t="s">
        <v>384</v>
      </c>
      <c r="B24" s="1393" t="str">
        <f>+VLOOKUP(A24,'Financials Parameters'!$I$5:$K$15,2,FALSE)</f>
        <v>RMB</v>
      </c>
      <c r="C24" s="1394" t="str">
        <f t="shared" si="71"/>
        <v>RMB</v>
      </c>
      <c r="D24" s="1394" t="str">
        <f t="shared" si="45"/>
        <v>RMBRMB</v>
      </c>
      <c r="E24" s="1394">
        <f>+SUMIF('Financials Parameters'!$D$29:$D$53,'Product Added value'!D24,'Financials Parameters'!$E$29:$E$53)</f>
        <v>0.99999999999999989</v>
      </c>
      <c r="F24" s="2216" t="s">
        <v>421</v>
      </c>
      <c r="G24" s="2211"/>
      <c r="H24" s="1363"/>
      <c r="I24" s="1363"/>
      <c r="J24" s="1363"/>
      <c r="K24" s="1388"/>
      <c r="L24" s="1389"/>
      <c r="M24" s="119">
        <f t="shared" si="46"/>
        <v>0</v>
      </c>
      <c r="N24" s="122">
        <f>+IF(M24&lt;&gt;0,INT('RFQ Data'!$M$48/M24)+1,0)</f>
        <v>0</v>
      </c>
      <c r="O24" s="121">
        <f>+IF(N24*M24&lt;&gt;0,'RFQ Data'!$M$48/(N24*M24),0)</f>
        <v>0</v>
      </c>
      <c r="P24" s="110">
        <f t="shared" ref="P24:P31" si="81">IF(H24*I24=0,0,1000/J24/I24*H24)</f>
        <v>0</v>
      </c>
      <c r="Q24" s="113">
        <f t="shared" ref="Q24:Q31" si="82">+K24*P24</f>
        <v>0</v>
      </c>
      <c r="R24" s="1362"/>
      <c r="S24" s="2063" t="str">
        <f t="shared" si="47"/>
        <v/>
      </c>
      <c r="T24" s="1364" t="s">
        <v>300</v>
      </c>
      <c r="U24" s="1369" t="s">
        <v>386</v>
      </c>
      <c r="V24" s="1370">
        <v>1</v>
      </c>
      <c r="W24" s="1358">
        <f t="shared" si="11"/>
        <v>0</v>
      </c>
      <c r="X24" s="1382">
        <f>+M24*VLOOKUP($A24,'Financials Parameters'!$I$5:$AM$16,20,FALSE)/1000</f>
        <v>0</v>
      </c>
      <c r="Y24" s="1362"/>
      <c r="Z24" s="2063" t="str">
        <f t="shared" si="48"/>
        <v/>
      </c>
      <c r="AA24" s="1384"/>
      <c r="AB24" s="1369" t="s">
        <v>149</v>
      </c>
      <c r="AC24" s="1370">
        <v>1</v>
      </c>
      <c r="AD24" s="1358">
        <f t="shared" si="12"/>
        <v>0</v>
      </c>
      <c r="AE24" s="150">
        <f>+VLOOKUP($A24,'Financials Parameters'!$I$5:$AM$16,18,FALSE)</f>
        <v>20</v>
      </c>
      <c r="AF24" s="135">
        <f>+'VOH cost per h'!V19</f>
        <v>0</v>
      </c>
      <c r="AG24" s="1657">
        <f t="shared" si="49"/>
        <v>0</v>
      </c>
      <c r="AH24" s="129">
        <f>+VLOOKUP($A24,'Financials Parameters'!$I$5:$AM$16,17,FALSE)</f>
        <v>34</v>
      </c>
      <c r="AI24" s="154">
        <f>IF(L24="YES",+'RFQ Data'!$J$61,0)</f>
        <v>0</v>
      </c>
      <c r="AJ24" s="131">
        <f t="shared" si="13"/>
        <v>0</v>
      </c>
      <c r="AK24" s="150">
        <f t="shared" si="14"/>
        <v>0</v>
      </c>
      <c r="AL24" s="130" t="str">
        <f>+VLOOKUP($A24,'Financials Parameters'!$I$5:$AM$16,3,FALSE)</f>
        <v>China + South pacific</v>
      </c>
      <c r="AM24" s="1157">
        <f>+IF($X24&lt;&gt;0,IF($T24="YES",ROUNDUP('RFQ Data'!D$47/$X24,0),'RFQ Data'!D$47/$X24),0)</f>
        <v>0</v>
      </c>
      <c r="AN24" s="1158">
        <f>+IF($X24&lt;&gt;0,IF($T24="YES",ROUNDUP('RFQ Data'!E$47/$X24,0),'RFQ Data'!E$47/$X24),0)</f>
        <v>0</v>
      </c>
      <c r="AO24" s="1158">
        <f>+IF($X24&lt;&gt;0,IF($T24="YES",ROUNDUP('RFQ Data'!F$47/$X24,0),'RFQ Data'!F$47/$X24),0)</f>
        <v>0</v>
      </c>
      <c r="AP24" s="1158">
        <f>+IF($X24&lt;&gt;0,IF($T24="YES",ROUNDUP('RFQ Data'!G$47/$X24,0),'RFQ Data'!G$47/$X24),0)</f>
        <v>0</v>
      </c>
      <c r="AQ24" s="1158">
        <f>+IF($X24&lt;&gt;0,IF($T24="YES",ROUNDUP('RFQ Data'!H$47/$X24,0),'RFQ Data'!H$47/$X24),0)</f>
        <v>0</v>
      </c>
      <c r="AR24" s="1159">
        <f>+IF($X24&lt;&gt;0,IF($T24="YES",ROUNDUP('RFQ Data'!I$47/$X24,0),'RFQ Data'!I$47/$X24),0)</f>
        <v>0</v>
      </c>
      <c r="AS24" s="9">
        <f t="shared" si="50"/>
        <v>0</v>
      </c>
      <c r="AT24" s="9">
        <f t="shared" si="51"/>
        <v>0</v>
      </c>
      <c r="AU24" s="9">
        <f t="shared" si="52"/>
        <v>0</v>
      </c>
      <c r="AV24" s="9">
        <f t="shared" si="53"/>
        <v>0</v>
      </c>
      <c r="AW24" s="9">
        <f t="shared" si="54"/>
        <v>0</v>
      </c>
      <c r="AX24" s="9">
        <f t="shared" si="55"/>
        <v>0</v>
      </c>
      <c r="AZ24" s="9">
        <f t="shared" si="56"/>
        <v>0</v>
      </c>
      <c r="BA24" s="9">
        <f t="shared" si="57"/>
        <v>0</v>
      </c>
      <c r="BB24" s="9">
        <f t="shared" si="58"/>
        <v>0</v>
      </c>
      <c r="BC24" s="9">
        <f t="shared" si="59"/>
        <v>0</v>
      </c>
      <c r="BD24" s="9">
        <f t="shared" si="60"/>
        <v>0</v>
      </c>
      <c r="BE24" s="9">
        <f t="shared" si="61"/>
        <v>0</v>
      </c>
      <c r="BF24" s="9"/>
      <c r="BG24">
        <f t="shared" si="17"/>
        <v>100000000</v>
      </c>
      <c r="BH24">
        <f t="shared" si="18"/>
        <v>100000000</v>
      </c>
      <c r="BI24">
        <f t="shared" si="19"/>
        <v>100000000</v>
      </c>
      <c r="BJ24">
        <f t="shared" si="20"/>
        <v>100000000</v>
      </c>
      <c r="BK24">
        <f t="shared" si="21"/>
        <v>100000000</v>
      </c>
      <c r="BL24">
        <f t="shared" si="22"/>
        <v>100000000</v>
      </c>
      <c r="BO24" s="2">
        <f t="shared" si="62"/>
        <v>0</v>
      </c>
      <c r="BP24" s="2">
        <f t="shared" si="23"/>
        <v>0</v>
      </c>
      <c r="BQ24" s="2">
        <f t="shared" si="63"/>
        <v>0</v>
      </c>
      <c r="BR24" s="2">
        <f t="shared" si="24"/>
        <v>0</v>
      </c>
      <c r="BS24" s="2">
        <f t="shared" si="25"/>
        <v>0</v>
      </c>
      <c r="BT24" s="2">
        <f t="shared" si="26"/>
        <v>0</v>
      </c>
      <c r="BU24" s="2"/>
      <c r="BV24" s="2">
        <f t="shared" si="64"/>
        <v>0</v>
      </c>
      <c r="BW24" s="2">
        <f>+IF(BP24-SUM($BO24:BO24)&lt;0,0,BP24-SUM($BO24:BO24))</f>
        <v>0</v>
      </c>
      <c r="BX24" s="2">
        <f>+IF(BQ24-SUM($BV24:BW24)&lt;0,0,BQ24-SUM($BV24:BW24))</f>
        <v>0</v>
      </c>
      <c r="BY24" s="2">
        <f>+IF(BR24-SUM($BV24:BX24)&lt;0,0,BR24-SUM($BV24:BX24))</f>
        <v>0</v>
      </c>
      <c r="BZ24" s="2">
        <f>+IF(BS24-SUM($BV24:BY24)&lt;0,0,BS24-SUM($BV24:BY24))</f>
        <v>0</v>
      </c>
      <c r="CA24" s="2">
        <f>+IF(BT24-SUM($BV24:BZ24)&lt;0,0,BT24-SUM($BV24:BZ24))</f>
        <v>0</v>
      </c>
      <c r="CB24" s="1166">
        <f t="shared" si="65"/>
        <v>0</v>
      </c>
      <c r="CC24" s="1167">
        <f t="shared" si="28"/>
        <v>0</v>
      </c>
      <c r="CD24" s="1167">
        <f t="shared" si="29"/>
        <v>0</v>
      </c>
      <c r="CE24" s="1167">
        <f t="shared" si="30"/>
        <v>0</v>
      </c>
      <c r="CF24" s="1167">
        <f t="shared" si="31"/>
        <v>0</v>
      </c>
      <c r="CG24" s="1168">
        <f t="shared" si="32"/>
        <v>0</v>
      </c>
      <c r="CH24" s="1861">
        <f t="shared" si="72"/>
        <v>0</v>
      </c>
      <c r="CI24" s="1865">
        <f t="shared" si="66"/>
        <v>0</v>
      </c>
      <c r="CJ24" s="1865">
        <f t="shared" si="33"/>
        <v>0</v>
      </c>
      <c r="CK24" s="1865">
        <f t="shared" si="34"/>
        <v>0</v>
      </c>
      <c r="CL24" s="1865">
        <f t="shared" si="35"/>
        <v>0</v>
      </c>
      <c r="CM24" s="1173">
        <f t="shared" si="36"/>
        <v>0</v>
      </c>
      <c r="CN24" s="1861">
        <f t="shared" si="67"/>
        <v>0</v>
      </c>
      <c r="CO24" s="1865">
        <f>IF(BA24*$Y24*$AD24-SUM($CN24:CN24)&lt;0,0,BA24*$Y24*$AD24-SUM($CN24:CN24))</f>
        <v>0</v>
      </c>
      <c r="CP24" s="1865">
        <f>IF(BB24*$Y24*$AD24-SUM($CN24:CO24)&lt;0,0,BB24*$Y24*$AD24-SUM($CN24:CO24))</f>
        <v>0</v>
      </c>
      <c r="CQ24" s="1865">
        <f>IF(BC24*$Y24*$AD24-SUM($CN24:CP24)&lt;0,0,BC24*$Y24*$AD24-SUM($CN24:CP24))</f>
        <v>0</v>
      </c>
      <c r="CR24" s="1865">
        <f>IF(BD24*$Y24*$AD24-SUM($CN24:CQ24)&lt;0,0,BD24*$Y24*$AD24-SUM($CN24:CQ24))</f>
        <v>0</v>
      </c>
      <c r="CS24" s="1173">
        <f>IF(BE24*$Y24*$AD24-SUM($CN24:CR24)&lt;0,0,BE24*$Y24*$AD24-SUM($CN24:CR24))</f>
        <v>0</v>
      </c>
      <c r="CT24" s="1873">
        <f t="shared" si="37"/>
        <v>0</v>
      </c>
      <c r="CU24" s="1861">
        <f t="shared" si="68"/>
        <v>0</v>
      </c>
      <c r="CV24" s="1865">
        <f>IF(BA24*$Y24*$AC24-SUM($CU24:CU24)&lt;0,0,BA24*$Y24*$AC24-SUM($CU24:CU24))</f>
        <v>0</v>
      </c>
      <c r="CW24" s="1865">
        <f>IF(BB24*$Y24*$AC24-SUM($CU24:CV24)&lt;0,0,BB24*$Y24*$AC24-SUM($CU24:CV24))</f>
        <v>0</v>
      </c>
      <c r="CX24" s="1865">
        <f>IF(BC24*$Y24*$AC24-SUM($CU24:CW24)&lt;0,0,BC24*$Y24*$AC24-SUM($CU24:CW24))</f>
        <v>0</v>
      </c>
      <c r="CY24" s="1865">
        <f>IF(BD24*$Y24*$AC24-SUM($CU24:CX24)&lt;0,0,BD24*$Y24*$AC24-SUM($CU24:CX24))</f>
        <v>0</v>
      </c>
      <c r="CZ24" s="1173">
        <f>IF(BE24*$Y24*$AC24-SUM($CU24:CY24)&lt;0,0,BE24*$Y24*$AC24-SUM($CU24:CY24))</f>
        <v>0</v>
      </c>
      <c r="DA24" s="1171">
        <f t="shared" si="69"/>
        <v>0</v>
      </c>
      <c r="DB24" s="1173">
        <f t="shared" si="38"/>
        <v>0</v>
      </c>
      <c r="DC24" s="2"/>
      <c r="DE24" t="str">
        <f t="shared" si="39"/>
        <v xml:space="preserve">Operation - </v>
      </c>
      <c r="DF24" s="16">
        <f t="shared" si="40"/>
        <v>0</v>
      </c>
      <c r="DG24" s="16">
        <f t="shared" si="41"/>
        <v>0</v>
      </c>
      <c r="DH24" s="16">
        <f t="shared" si="42"/>
        <v>0</v>
      </c>
      <c r="DJ24" t="str">
        <f t="shared" si="43"/>
        <v>RMB</v>
      </c>
      <c r="DK24" s="2">
        <f t="shared" si="44"/>
        <v>0</v>
      </c>
      <c r="DM24">
        <v>0</v>
      </c>
      <c r="DN24">
        <v>0</v>
      </c>
      <c r="DO24">
        <v>0</v>
      </c>
      <c r="DP24">
        <v>0</v>
      </c>
    </row>
    <row r="25" spans="1:121" ht="15" thickBot="1">
      <c r="A25" s="1360" t="s">
        <v>384</v>
      </c>
      <c r="B25" s="1393" t="str">
        <f>+VLOOKUP(A25,'Financials Parameters'!$I$5:$K$15,2,FALSE)</f>
        <v>RMB</v>
      </c>
      <c r="C25" s="1394" t="str">
        <f t="shared" si="71"/>
        <v>RMB</v>
      </c>
      <c r="D25" s="1394" t="str">
        <f t="shared" si="45"/>
        <v>RMBRMB</v>
      </c>
      <c r="E25" s="1394">
        <f>+SUMIF('Financials Parameters'!$D$29:$D$53,'Product Added value'!D25,'Financials Parameters'!$E$29:$E$53)</f>
        <v>0.99999999999999989</v>
      </c>
      <c r="F25" s="2216" t="s">
        <v>422</v>
      </c>
      <c r="G25" s="2211"/>
      <c r="H25" s="1363"/>
      <c r="I25" s="1363"/>
      <c r="J25" s="1363"/>
      <c r="K25" s="1388"/>
      <c r="L25" s="1389"/>
      <c r="M25" s="119">
        <f t="shared" si="46"/>
        <v>0</v>
      </c>
      <c r="N25" s="122">
        <f>+IF(M25&lt;&gt;0,INT('RFQ Data'!$M$48/M25)+1,0)</f>
        <v>0</v>
      </c>
      <c r="O25" s="121">
        <f>+IF(N25*M25&lt;&gt;0,'RFQ Data'!$M$48/(N25*M25),0)</f>
        <v>0</v>
      </c>
      <c r="P25" s="110">
        <f t="shared" si="81"/>
        <v>0</v>
      </c>
      <c r="Q25" s="113">
        <f t="shared" si="82"/>
        <v>0</v>
      </c>
      <c r="R25" s="1362"/>
      <c r="S25" s="2063" t="str">
        <f t="shared" si="47"/>
        <v/>
      </c>
      <c r="T25" s="1364" t="s">
        <v>300</v>
      </c>
      <c r="U25" s="1369" t="s">
        <v>386</v>
      </c>
      <c r="V25" s="1370">
        <v>1</v>
      </c>
      <c r="W25" s="1358">
        <f t="shared" si="11"/>
        <v>0</v>
      </c>
      <c r="X25" s="1382">
        <f>+M25*VLOOKUP($A25,'Financials Parameters'!$I$5:$AM$16,20,FALSE)/1000</f>
        <v>0</v>
      </c>
      <c r="Y25" s="1362"/>
      <c r="Z25" s="2063" t="str">
        <f t="shared" si="48"/>
        <v/>
      </c>
      <c r="AA25" s="1384"/>
      <c r="AB25" s="1369" t="s">
        <v>149</v>
      </c>
      <c r="AC25" s="1370">
        <v>1</v>
      </c>
      <c r="AD25" s="1358">
        <f t="shared" si="12"/>
        <v>0</v>
      </c>
      <c r="AE25" s="150">
        <f>+VLOOKUP($A25,'Financials Parameters'!$I$5:$AM$16,18,FALSE)</f>
        <v>20</v>
      </c>
      <c r="AF25" s="135">
        <f>+'VOH cost per h'!V20</f>
        <v>0</v>
      </c>
      <c r="AG25" s="1657">
        <f t="shared" si="49"/>
        <v>0</v>
      </c>
      <c r="AH25" s="129">
        <f>+VLOOKUP($A25,'Financials Parameters'!$I$5:$AM$16,17,FALSE)</f>
        <v>34</v>
      </c>
      <c r="AI25" s="154">
        <f>IF(L25="YES",+'RFQ Data'!$J$61,0)</f>
        <v>0</v>
      </c>
      <c r="AJ25" s="131">
        <f t="shared" si="13"/>
        <v>0</v>
      </c>
      <c r="AK25" s="150">
        <f t="shared" si="14"/>
        <v>0</v>
      </c>
      <c r="AL25" s="130" t="str">
        <f>+VLOOKUP($A25,'Financials Parameters'!$I$5:$AM$16,3,FALSE)</f>
        <v>China + South pacific</v>
      </c>
      <c r="AM25" s="1157">
        <f>+IF($X25&lt;&gt;0,IF($T25="YES",ROUNDUP('RFQ Data'!D$47/$X25,0),'RFQ Data'!D$47/$X25),0)</f>
        <v>0</v>
      </c>
      <c r="AN25" s="1158">
        <f>+IF($X25&lt;&gt;0,IF($T25="YES",ROUNDUP('RFQ Data'!E$47/$X25,0),'RFQ Data'!E$47/$X25),0)</f>
        <v>0</v>
      </c>
      <c r="AO25" s="1158">
        <f>+IF($X25&lt;&gt;0,IF($T25="YES",ROUNDUP('RFQ Data'!F$47/$X25,0),'RFQ Data'!F$47/$X25),0)</f>
        <v>0</v>
      </c>
      <c r="AP25" s="1158">
        <f>+IF($X25&lt;&gt;0,IF($T25="YES",ROUNDUP('RFQ Data'!G$47/$X25,0),'RFQ Data'!G$47/$X25),0)</f>
        <v>0</v>
      </c>
      <c r="AQ25" s="1158">
        <f>+IF($X25&lt;&gt;0,IF($T25="YES",ROUNDUP('RFQ Data'!H$47/$X25,0),'RFQ Data'!H$47/$X25),0)</f>
        <v>0</v>
      </c>
      <c r="AR25" s="1159">
        <f>+IF($X25&lt;&gt;0,IF($T25="YES",ROUNDUP('RFQ Data'!I$47/$X25,0),'RFQ Data'!I$47/$X25),0)</f>
        <v>0</v>
      </c>
      <c r="AS25" s="9">
        <f t="shared" si="50"/>
        <v>0</v>
      </c>
      <c r="AT25" s="9">
        <f t="shared" si="51"/>
        <v>0</v>
      </c>
      <c r="AU25" s="9">
        <f t="shared" si="52"/>
        <v>0</v>
      </c>
      <c r="AV25" s="9">
        <f t="shared" si="53"/>
        <v>0</v>
      </c>
      <c r="AW25" s="9">
        <f t="shared" si="54"/>
        <v>0</v>
      </c>
      <c r="AX25" s="9">
        <f t="shared" si="55"/>
        <v>0</v>
      </c>
      <c r="AZ25" s="9">
        <f t="shared" si="56"/>
        <v>0</v>
      </c>
      <c r="BA25" s="9">
        <f t="shared" si="57"/>
        <v>0</v>
      </c>
      <c r="BB25" s="9">
        <f t="shared" si="58"/>
        <v>0</v>
      </c>
      <c r="BC25" s="9">
        <f t="shared" si="59"/>
        <v>0</v>
      </c>
      <c r="BD25" s="9">
        <f t="shared" si="60"/>
        <v>0</v>
      </c>
      <c r="BE25" s="9">
        <f t="shared" si="61"/>
        <v>0</v>
      </c>
      <c r="BF25" s="9"/>
      <c r="BG25">
        <f t="shared" si="17"/>
        <v>100000000</v>
      </c>
      <c r="BH25">
        <f t="shared" si="18"/>
        <v>100000000</v>
      </c>
      <c r="BI25">
        <f t="shared" si="19"/>
        <v>100000000</v>
      </c>
      <c r="BJ25">
        <f t="shared" si="20"/>
        <v>100000000</v>
      </c>
      <c r="BK25">
        <f t="shared" si="21"/>
        <v>100000000</v>
      </c>
      <c r="BL25">
        <f t="shared" si="22"/>
        <v>100000000</v>
      </c>
      <c r="BO25" s="2">
        <f t="shared" si="62"/>
        <v>0</v>
      </c>
      <c r="BP25" s="2">
        <f t="shared" si="23"/>
        <v>0</v>
      </c>
      <c r="BQ25" s="2">
        <f t="shared" si="63"/>
        <v>0</v>
      </c>
      <c r="BR25" s="2">
        <f t="shared" si="24"/>
        <v>0</v>
      </c>
      <c r="BS25" s="2">
        <f t="shared" si="25"/>
        <v>0</v>
      </c>
      <c r="BT25" s="2">
        <f t="shared" si="26"/>
        <v>0</v>
      </c>
      <c r="BU25" s="2"/>
      <c r="BV25" s="2">
        <f t="shared" si="64"/>
        <v>0</v>
      </c>
      <c r="BW25" s="2">
        <f>+IF(BP25-SUM($BO25:BO25)&lt;0,0,BP25-SUM($BO25:BO25))</f>
        <v>0</v>
      </c>
      <c r="BX25" s="2">
        <f>+IF(BQ25-SUM($BV25:BW25)&lt;0,0,BQ25-SUM($BV25:BW25))</f>
        <v>0</v>
      </c>
      <c r="BY25" s="2">
        <f>+IF(BR25-SUM($BV25:BX25)&lt;0,0,BR25-SUM($BV25:BX25))</f>
        <v>0</v>
      </c>
      <c r="BZ25" s="2">
        <f>+IF(BS25-SUM($BV25:BY25)&lt;0,0,BS25-SUM($BV25:BY25))</f>
        <v>0</v>
      </c>
      <c r="CA25" s="2">
        <f>+IF(BT25-SUM($BV25:BZ25)&lt;0,0,BT25-SUM($BV25:BZ25))</f>
        <v>0</v>
      </c>
      <c r="CB25" s="1166">
        <f t="shared" si="65"/>
        <v>0</v>
      </c>
      <c r="CC25" s="1167">
        <f t="shared" si="28"/>
        <v>0</v>
      </c>
      <c r="CD25" s="1167">
        <f t="shared" si="29"/>
        <v>0</v>
      </c>
      <c r="CE25" s="1167">
        <f t="shared" si="30"/>
        <v>0</v>
      </c>
      <c r="CF25" s="1167">
        <f t="shared" si="31"/>
        <v>0</v>
      </c>
      <c r="CG25" s="1168">
        <f t="shared" si="32"/>
        <v>0</v>
      </c>
      <c r="CH25" s="1861">
        <f t="shared" si="72"/>
        <v>0</v>
      </c>
      <c r="CI25" s="1865">
        <f t="shared" si="66"/>
        <v>0</v>
      </c>
      <c r="CJ25" s="1865">
        <f t="shared" si="33"/>
        <v>0</v>
      </c>
      <c r="CK25" s="1865">
        <f t="shared" si="34"/>
        <v>0</v>
      </c>
      <c r="CL25" s="1865">
        <f t="shared" si="35"/>
        <v>0</v>
      </c>
      <c r="CM25" s="1173">
        <f t="shared" si="36"/>
        <v>0</v>
      </c>
      <c r="CN25" s="1861">
        <f t="shared" si="67"/>
        <v>0</v>
      </c>
      <c r="CO25" s="1865">
        <f>IF(BA25*$Y25*$AD25-SUM($CN25:CN25)&lt;0,0,BA25*$Y25*$AD25-SUM($CN25:CN25))</f>
        <v>0</v>
      </c>
      <c r="CP25" s="1865">
        <f>IF(BB25*$Y25*$AD25-SUM($CN25:CO25)&lt;0,0,BB25*$Y25*$AD25-SUM($CN25:CO25))</f>
        <v>0</v>
      </c>
      <c r="CQ25" s="1865">
        <f>IF(BC25*$Y25*$AD25-SUM($CN25:CP25)&lt;0,0,BC25*$Y25*$AD25-SUM($CN25:CP25))</f>
        <v>0</v>
      </c>
      <c r="CR25" s="1865">
        <f>IF(BD25*$Y25*$AD25-SUM($CN25:CQ25)&lt;0,0,BD25*$Y25*$AD25-SUM($CN25:CQ25))</f>
        <v>0</v>
      </c>
      <c r="CS25" s="1173">
        <f>IF(BE25*$Y25*$AD25-SUM($CN25:CR25)&lt;0,0,BE25*$Y25*$AD25-SUM($CN25:CR25))</f>
        <v>0</v>
      </c>
      <c r="CT25" s="1873">
        <f t="shared" si="37"/>
        <v>0</v>
      </c>
      <c r="CU25" s="1861">
        <f t="shared" si="68"/>
        <v>0</v>
      </c>
      <c r="CV25" s="1865">
        <f>IF(BA25*$Y25*$AC25-SUM($CU25:CU25)&lt;0,0,BA25*$Y25*$AC25-SUM($CU25:CU25))</f>
        <v>0</v>
      </c>
      <c r="CW25" s="1865">
        <f>IF(BB25*$Y25*$AC25-SUM($CU25:CV25)&lt;0,0,BB25*$Y25*$AC25-SUM($CU25:CV25))</f>
        <v>0</v>
      </c>
      <c r="CX25" s="1865">
        <f>IF(BC25*$Y25*$AC25-SUM($CU25:CW25)&lt;0,0,BC25*$Y25*$AC25-SUM($CU25:CW25))</f>
        <v>0</v>
      </c>
      <c r="CY25" s="1865">
        <f>IF(BD25*$Y25*$AC25-SUM($CU25:CX25)&lt;0,0,BD25*$Y25*$AC25-SUM($CU25:CX25))</f>
        <v>0</v>
      </c>
      <c r="CZ25" s="1173">
        <f>IF(BE25*$Y25*$AC25-SUM($CU25:CY25)&lt;0,0,BE25*$Y25*$AC25-SUM($CU25:CY25))</f>
        <v>0</v>
      </c>
      <c r="DA25" s="1171">
        <f t="shared" si="69"/>
        <v>0</v>
      </c>
      <c r="DB25" s="1173">
        <f t="shared" si="38"/>
        <v>0</v>
      </c>
      <c r="DC25" s="2"/>
      <c r="DE25" t="str">
        <f t="shared" si="39"/>
        <v xml:space="preserve">Operation - </v>
      </c>
      <c r="DF25" s="16">
        <f t="shared" si="40"/>
        <v>0</v>
      </c>
      <c r="DG25" s="16">
        <f t="shared" si="41"/>
        <v>0</v>
      </c>
      <c r="DH25" s="16">
        <f t="shared" si="42"/>
        <v>0</v>
      </c>
      <c r="DJ25" t="str">
        <f t="shared" si="43"/>
        <v>RMB</v>
      </c>
      <c r="DK25" s="2">
        <f t="shared" si="44"/>
        <v>0</v>
      </c>
      <c r="DM25">
        <v>0</v>
      </c>
      <c r="DN25">
        <v>0</v>
      </c>
      <c r="DO25">
        <v>0</v>
      </c>
      <c r="DP25">
        <v>0</v>
      </c>
    </row>
    <row r="26" spans="1:121" ht="15" thickBot="1">
      <c r="A26" s="1360" t="s">
        <v>384</v>
      </c>
      <c r="B26" s="1393" t="str">
        <f>+VLOOKUP(A26,'Financials Parameters'!$I$5:$K$15,2,FALSE)</f>
        <v>RMB</v>
      </c>
      <c r="C26" s="1394" t="str">
        <f t="shared" si="71"/>
        <v>RMB</v>
      </c>
      <c r="D26" s="1394" t="str">
        <f t="shared" si="45"/>
        <v>RMBRMB</v>
      </c>
      <c r="E26" s="1394">
        <f>+SUMIF('Financials Parameters'!$D$29:$D$53,'Product Added value'!D26,'Financials Parameters'!$E$29:$E$53)</f>
        <v>0.99999999999999989</v>
      </c>
      <c r="F26" s="2216" t="s">
        <v>423</v>
      </c>
      <c r="G26" s="2211"/>
      <c r="H26" s="1363"/>
      <c r="I26" s="1363"/>
      <c r="J26" s="1363"/>
      <c r="K26" s="1388"/>
      <c r="L26" s="1389"/>
      <c r="M26" s="119">
        <f t="shared" si="46"/>
        <v>0</v>
      </c>
      <c r="N26" s="122">
        <f>+IF(M26&lt;&gt;0,INT('RFQ Data'!$M$48/M26)+1,0)</f>
        <v>0</v>
      </c>
      <c r="O26" s="121">
        <f>+IF(N26*M26&lt;&gt;0,'RFQ Data'!$M$48/(N26*M26),0)</f>
        <v>0</v>
      </c>
      <c r="P26" s="110">
        <f t="shared" si="81"/>
        <v>0</v>
      </c>
      <c r="Q26" s="113">
        <f t="shared" si="82"/>
        <v>0</v>
      </c>
      <c r="R26" s="1362"/>
      <c r="S26" s="2063" t="str">
        <f t="shared" si="47"/>
        <v/>
      </c>
      <c r="T26" s="1364" t="s">
        <v>300</v>
      </c>
      <c r="U26" s="1369" t="s">
        <v>386</v>
      </c>
      <c r="V26" s="1370">
        <v>1</v>
      </c>
      <c r="W26" s="1358">
        <f t="shared" si="11"/>
        <v>0</v>
      </c>
      <c r="X26" s="1382">
        <f>+M26*VLOOKUP($A26,'Financials Parameters'!$I$5:$AM$16,20,FALSE)/1000</f>
        <v>0</v>
      </c>
      <c r="Y26" s="1362"/>
      <c r="Z26" s="2063" t="str">
        <f t="shared" si="48"/>
        <v/>
      </c>
      <c r="AA26" s="1384"/>
      <c r="AB26" s="1369" t="s">
        <v>149</v>
      </c>
      <c r="AC26" s="1370">
        <v>1</v>
      </c>
      <c r="AD26" s="1358">
        <f t="shared" si="12"/>
        <v>0</v>
      </c>
      <c r="AE26" s="150">
        <f>+VLOOKUP($A26,'Financials Parameters'!$I$5:$AM$16,18,FALSE)</f>
        <v>20</v>
      </c>
      <c r="AF26" s="135">
        <f>+'VOH cost per h'!V21</f>
        <v>0</v>
      </c>
      <c r="AG26" s="1657">
        <f t="shared" si="49"/>
        <v>0</v>
      </c>
      <c r="AH26" s="129">
        <f>+VLOOKUP($A26,'Financials Parameters'!$I$5:$AM$16,17,FALSE)</f>
        <v>34</v>
      </c>
      <c r="AI26" s="154">
        <f>IF(L26="YES",+'RFQ Data'!$J$61,0)</f>
        <v>0</v>
      </c>
      <c r="AJ26" s="131">
        <f t="shared" si="13"/>
        <v>0</v>
      </c>
      <c r="AK26" s="150">
        <f t="shared" si="14"/>
        <v>0</v>
      </c>
      <c r="AL26" s="130" t="str">
        <f>+VLOOKUP($A26,'Financials Parameters'!$I$5:$AM$16,3,FALSE)</f>
        <v>China + South pacific</v>
      </c>
      <c r="AM26" s="1157">
        <f>+IF($X26&lt;&gt;0,IF($T26="YES",ROUNDUP('RFQ Data'!D$47/$X26,0),'RFQ Data'!D$47/$X26),0)</f>
        <v>0</v>
      </c>
      <c r="AN26" s="1158">
        <f>+IF($X26&lt;&gt;0,IF($T26="YES",ROUNDUP('RFQ Data'!E$47/$X26,0),'RFQ Data'!E$47/$X26),0)</f>
        <v>0</v>
      </c>
      <c r="AO26" s="1158">
        <f>+IF($X26&lt;&gt;0,IF($T26="YES",ROUNDUP('RFQ Data'!F$47/$X26,0),'RFQ Data'!F$47/$X26),0)</f>
        <v>0</v>
      </c>
      <c r="AP26" s="1158">
        <f>+IF($X26&lt;&gt;0,IF($T26="YES",ROUNDUP('RFQ Data'!G$47/$X26,0),'RFQ Data'!G$47/$X26),0)</f>
        <v>0</v>
      </c>
      <c r="AQ26" s="1158">
        <f>+IF($X26&lt;&gt;0,IF($T26="YES",ROUNDUP('RFQ Data'!H$47/$X26,0),'RFQ Data'!H$47/$X26),0)</f>
        <v>0</v>
      </c>
      <c r="AR26" s="1159">
        <f>+IF($X26&lt;&gt;0,IF($T26="YES",ROUNDUP('RFQ Data'!I$47/$X26,0),'RFQ Data'!I$47/$X26),0)</f>
        <v>0</v>
      </c>
      <c r="AS26" s="9">
        <f t="shared" si="50"/>
        <v>0</v>
      </c>
      <c r="AT26" s="9">
        <f t="shared" si="51"/>
        <v>0</v>
      </c>
      <c r="AU26" s="9">
        <f t="shared" si="52"/>
        <v>0</v>
      </c>
      <c r="AV26" s="9">
        <f t="shared" si="53"/>
        <v>0</v>
      </c>
      <c r="AW26" s="9">
        <f t="shared" si="54"/>
        <v>0</v>
      </c>
      <c r="AX26" s="9">
        <f t="shared" si="55"/>
        <v>0</v>
      </c>
      <c r="AZ26" s="9">
        <f t="shared" si="56"/>
        <v>0</v>
      </c>
      <c r="BA26" s="9">
        <f t="shared" si="57"/>
        <v>0</v>
      </c>
      <c r="BB26" s="9">
        <f t="shared" si="58"/>
        <v>0</v>
      </c>
      <c r="BC26" s="9">
        <f t="shared" si="59"/>
        <v>0</v>
      </c>
      <c r="BD26" s="9">
        <f t="shared" si="60"/>
        <v>0</v>
      </c>
      <c r="BE26" s="9">
        <f t="shared" si="61"/>
        <v>0</v>
      </c>
      <c r="BF26" s="9"/>
      <c r="BG26">
        <f t="shared" si="17"/>
        <v>100000000</v>
      </c>
      <c r="BH26">
        <f t="shared" si="18"/>
        <v>100000000</v>
      </c>
      <c r="BI26">
        <f t="shared" si="19"/>
        <v>100000000</v>
      </c>
      <c r="BJ26">
        <f t="shared" si="20"/>
        <v>100000000</v>
      </c>
      <c r="BK26">
        <f t="shared" si="21"/>
        <v>100000000</v>
      </c>
      <c r="BL26">
        <f t="shared" si="22"/>
        <v>100000000</v>
      </c>
      <c r="BO26" s="2">
        <f t="shared" si="62"/>
        <v>0</v>
      </c>
      <c r="BP26" s="2">
        <f t="shared" si="23"/>
        <v>0</v>
      </c>
      <c r="BQ26" s="2">
        <f t="shared" si="63"/>
        <v>0</v>
      </c>
      <c r="BR26" s="2">
        <f t="shared" si="24"/>
        <v>0</v>
      </c>
      <c r="BS26" s="2">
        <f t="shared" si="25"/>
        <v>0</v>
      </c>
      <c r="BT26" s="2">
        <f t="shared" si="26"/>
        <v>0</v>
      </c>
      <c r="BU26" s="2"/>
      <c r="BV26" s="2">
        <f t="shared" si="64"/>
        <v>0</v>
      </c>
      <c r="BW26" s="2">
        <f>+IF(BP26-SUM($BO26:BO26)&lt;0,0,BP26-SUM($BO26:BO26))</f>
        <v>0</v>
      </c>
      <c r="BX26" s="2">
        <f>+IF(BQ26-SUM($BV26:BW26)&lt;0,0,BQ26-SUM($BV26:BW26))</f>
        <v>0</v>
      </c>
      <c r="BY26" s="2">
        <f>+IF(BR26-SUM($BV26:BX26)&lt;0,0,BR26-SUM($BV26:BX26))</f>
        <v>0</v>
      </c>
      <c r="BZ26" s="2">
        <f>+IF(BS26-SUM($BV26:BY26)&lt;0,0,BS26-SUM($BV26:BY26))</f>
        <v>0</v>
      </c>
      <c r="CA26" s="2">
        <f>+IF(BT26-SUM($BV26:BZ26)&lt;0,0,BT26-SUM($BV26:BZ26))</f>
        <v>0</v>
      </c>
      <c r="CB26" s="1166">
        <f t="shared" si="65"/>
        <v>0</v>
      </c>
      <c r="CC26" s="1167">
        <f t="shared" si="28"/>
        <v>0</v>
      </c>
      <c r="CD26" s="1167">
        <f t="shared" si="29"/>
        <v>0</v>
      </c>
      <c r="CE26" s="1167">
        <f t="shared" si="30"/>
        <v>0</v>
      </c>
      <c r="CF26" s="1167">
        <f t="shared" si="31"/>
        <v>0</v>
      </c>
      <c r="CG26" s="1168">
        <f t="shared" si="32"/>
        <v>0</v>
      </c>
      <c r="CH26" s="1861">
        <f t="shared" si="72"/>
        <v>0</v>
      </c>
      <c r="CI26" s="1865">
        <f t="shared" si="66"/>
        <v>0</v>
      </c>
      <c r="CJ26" s="1865">
        <f t="shared" si="33"/>
        <v>0</v>
      </c>
      <c r="CK26" s="1865">
        <f t="shared" si="34"/>
        <v>0</v>
      </c>
      <c r="CL26" s="1865">
        <f t="shared" si="35"/>
        <v>0</v>
      </c>
      <c r="CM26" s="1173">
        <f t="shared" si="36"/>
        <v>0</v>
      </c>
      <c r="CN26" s="1861">
        <f t="shared" si="67"/>
        <v>0</v>
      </c>
      <c r="CO26" s="1865">
        <f>IF(BA26*$Y26*$AD26-SUM($CN26:CN26)&lt;0,0,BA26*$Y26*$AD26-SUM($CN26:CN26))</f>
        <v>0</v>
      </c>
      <c r="CP26" s="1865">
        <f>IF(BB26*$Y26*$AD26-SUM($CN26:CO26)&lt;0,0,BB26*$Y26*$AD26-SUM($CN26:CO26))</f>
        <v>0</v>
      </c>
      <c r="CQ26" s="1865">
        <f>IF(BC26*$Y26*$AD26-SUM($CN26:CP26)&lt;0,0,BC26*$Y26*$AD26-SUM($CN26:CP26))</f>
        <v>0</v>
      </c>
      <c r="CR26" s="1865">
        <f>IF(BD26*$Y26*$AD26-SUM($CN26:CQ26)&lt;0,0,BD26*$Y26*$AD26-SUM($CN26:CQ26))</f>
        <v>0</v>
      </c>
      <c r="CS26" s="1173">
        <f>IF(BE26*$Y26*$AD26-SUM($CN26:CR26)&lt;0,0,BE26*$Y26*$AD26-SUM($CN26:CR26))</f>
        <v>0</v>
      </c>
      <c r="CT26" s="1873">
        <f t="shared" si="37"/>
        <v>0</v>
      </c>
      <c r="CU26" s="1861">
        <f t="shared" si="68"/>
        <v>0</v>
      </c>
      <c r="CV26" s="1865">
        <f>IF(BA26*$Y26*$AC26-SUM($CU26:CU26)&lt;0,0,BA26*$Y26*$AC26-SUM($CU26:CU26))</f>
        <v>0</v>
      </c>
      <c r="CW26" s="1865">
        <f>IF(BB26*$Y26*$AC26-SUM($CU26:CV26)&lt;0,0,BB26*$Y26*$AC26-SUM($CU26:CV26))</f>
        <v>0</v>
      </c>
      <c r="CX26" s="1865">
        <f>IF(BC26*$Y26*$AC26-SUM($CU26:CW26)&lt;0,0,BC26*$Y26*$AC26-SUM($CU26:CW26))</f>
        <v>0</v>
      </c>
      <c r="CY26" s="1865">
        <f>IF(BD26*$Y26*$AC26-SUM($CU26:CX26)&lt;0,0,BD26*$Y26*$AC26-SUM($CU26:CX26))</f>
        <v>0</v>
      </c>
      <c r="CZ26" s="1173">
        <f>IF(BE26*$Y26*$AC26-SUM($CU26:CY26)&lt;0,0,BE26*$Y26*$AC26-SUM($CU26:CY26))</f>
        <v>0</v>
      </c>
      <c r="DA26" s="1171">
        <f t="shared" si="69"/>
        <v>0</v>
      </c>
      <c r="DB26" s="1173">
        <f t="shared" si="38"/>
        <v>0</v>
      </c>
      <c r="DC26" s="2"/>
      <c r="DE26" t="str">
        <f t="shared" si="39"/>
        <v xml:space="preserve">Operation - </v>
      </c>
      <c r="DF26" s="16">
        <f t="shared" si="40"/>
        <v>0</v>
      </c>
      <c r="DG26" s="16">
        <f t="shared" si="41"/>
        <v>0</v>
      </c>
      <c r="DH26" s="16">
        <f t="shared" si="42"/>
        <v>0</v>
      </c>
      <c r="DJ26" t="str">
        <f t="shared" si="43"/>
        <v>RMB</v>
      </c>
      <c r="DK26" s="2">
        <f t="shared" si="44"/>
        <v>0</v>
      </c>
      <c r="DM26">
        <v>0</v>
      </c>
      <c r="DN26">
        <v>0</v>
      </c>
      <c r="DO26">
        <v>0</v>
      </c>
      <c r="DP26">
        <v>0</v>
      </c>
    </row>
    <row r="27" spans="1:121" ht="15" thickBot="1">
      <c r="A27" s="1360" t="s">
        <v>384</v>
      </c>
      <c r="B27" s="1393" t="str">
        <f>+VLOOKUP(A27,'Financials Parameters'!$I$5:$K$15,2,FALSE)</f>
        <v>RMB</v>
      </c>
      <c r="C27" s="1394" t="str">
        <f t="shared" si="71"/>
        <v>RMB</v>
      </c>
      <c r="D27" s="1394" t="str">
        <f t="shared" si="45"/>
        <v>RMBRMB</v>
      </c>
      <c r="E27" s="1394">
        <f>+SUMIF('Financials Parameters'!$D$29:$D$53,'Product Added value'!D27,'Financials Parameters'!$E$29:$E$53)</f>
        <v>0.99999999999999989</v>
      </c>
      <c r="F27" s="2216" t="s">
        <v>424</v>
      </c>
      <c r="G27" s="2211"/>
      <c r="H27" s="1363"/>
      <c r="I27" s="1363"/>
      <c r="J27" s="1363"/>
      <c r="K27" s="1388"/>
      <c r="L27" s="1389"/>
      <c r="M27" s="119">
        <f t="shared" si="46"/>
        <v>0</v>
      </c>
      <c r="N27" s="122">
        <f>+IF(M27&lt;&gt;0,INT('RFQ Data'!$M$48/M27)+1,0)</f>
        <v>0</v>
      </c>
      <c r="O27" s="121">
        <f>+IF(N27*M27&lt;&gt;0,'RFQ Data'!$M$48/(N27*M27),0)</f>
        <v>0</v>
      </c>
      <c r="P27" s="110">
        <f t="shared" si="81"/>
        <v>0</v>
      </c>
      <c r="Q27" s="113">
        <f t="shared" si="82"/>
        <v>0</v>
      </c>
      <c r="R27" s="1362"/>
      <c r="S27" s="2063" t="str">
        <f t="shared" si="47"/>
        <v/>
      </c>
      <c r="T27" s="1364" t="s">
        <v>300</v>
      </c>
      <c r="U27" s="1369" t="s">
        <v>386</v>
      </c>
      <c r="V27" s="1370">
        <v>1</v>
      </c>
      <c r="W27" s="1358">
        <f t="shared" si="11"/>
        <v>0</v>
      </c>
      <c r="X27" s="1382">
        <f>+M27*VLOOKUP($A27,'Financials Parameters'!$I$5:$AM$16,20,FALSE)/1000</f>
        <v>0</v>
      </c>
      <c r="Y27" s="1362"/>
      <c r="Z27" s="2063" t="str">
        <f t="shared" si="48"/>
        <v/>
      </c>
      <c r="AA27" s="1384"/>
      <c r="AB27" s="1369" t="s">
        <v>149</v>
      </c>
      <c r="AC27" s="1370">
        <v>1</v>
      </c>
      <c r="AD27" s="1358">
        <f t="shared" si="12"/>
        <v>0</v>
      </c>
      <c r="AE27" s="150">
        <f>+VLOOKUP($A27,'Financials Parameters'!$I$5:$AM$16,18,FALSE)</f>
        <v>20</v>
      </c>
      <c r="AF27" s="135">
        <f>+'VOH cost per h'!V22</f>
        <v>0</v>
      </c>
      <c r="AG27" s="1657">
        <f t="shared" si="49"/>
        <v>0</v>
      </c>
      <c r="AH27" s="129">
        <f>+VLOOKUP($A27,'Financials Parameters'!$I$5:$AM$16,17,FALSE)</f>
        <v>34</v>
      </c>
      <c r="AI27" s="154">
        <f>IF(L27="YES",+'RFQ Data'!$J$61,0)</f>
        <v>0</v>
      </c>
      <c r="AJ27" s="131">
        <f t="shared" si="13"/>
        <v>0</v>
      </c>
      <c r="AK27" s="150">
        <f t="shared" si="14"/>
        <v>0</v>
      </c>
      <c r="AL27" s="130" t="str">
        <f>+VLOOKUP($A27,'Financials Parameters'!$I$5:$AM$16,3,FALSE)</f>
        <v>China + South pacific</v>
      </c>
      <c r="AM27" s="1157">
        <f>+IF($X27&lt;&gt;0,IF($T27="YES",ROUNDUP('RFQ Data'!D$47/$X27,0),'RFQ Data'!D$47/$X27),0)</f>
        <v>0</v>
      </c>
      <c r="AN27" s="1158">
        <f>+IF($X27&lt;&gt;0,IF($T27="YES",ROUNDUP('RFQ Data'!E$47/$X27,0),'RFQ Data'!E$47/$X27),0)</f>
        <v>0</v>
      </c>
      <c r="AO27" s="1158">
        <f>+IF($X27&lt;&gt;0,IF($T27="YES",ROUNDUP('RFQ Data'!F$47/$X27,0),'RFQ Data'!F$47/$X27),0)</f>
        <v>0</v>
      </c>
      <c r="AP27" s="1158">
        <f>+IF($X27&lt;&gt;0,IF($T27="YES",ROUNDUP('RFQ Data'!G$47/$X27,0),'RFQ Data'!G$47/$X27),0)</f>
        <v>0</v>
      </c>
      <c r="AQ27" s="1158">
        <f>+IF($X27&lt;&gt;0,IF($T27="YES",ROUNDUP('RFQ Data'!H$47/$X27,0),'RFQ Data'!H$47/$X27),0)</f>
        <v>0</v>
      </c>
      <c r="AR27" s="1159">
        <f>+IF($X27&lt;&gt;0,IF($T27="YES",ROUNDUP('RFQ Data'!I$47/$X27,0),'RFQ Data'!I$47/$X27),0)</f>
        <v>0</v>
      </c>
      <c r="AS27" s="9">
        <f t="shared" si="50"/>
        <v>0</v>
      </c>
      <c r="AT27" s="9">
        <f t="shared" si="51"/>
        <v>0</v>
      </c>
      <c r="AU27" s="9">
        <f t="shared" si="52"/>
        <v>0</v>
      </c>
      <c r="AV27" s="9">
        <f t="shared" si="53"/>
        <v>0</v>
      </c>
      <c r="AW27" s="9">
        <f t="shared" si="54"/>
        <v>0</v>
      </c>
      <c r="AX27" s="9">
        <f t="shared" si="55"/>
        <v>0</v>
      </c>
      <c r="AZ27" s="9">
        <f t="shared" si="56"/>
        <v>0</v>
      </c>
      <c r="BA27" s="9">
        <f t="shared" si="57"/>
        <v>0</v>
      </c>
      <c r="BB27" s="9">
        <f t="shared" si="58"/>
        <v>0</v>
      </c>
      <c r="BC27" s="9">
        <f t="shared" si="59"/>
        <v>0</v>
      </c>
      <c r="BD27" s="9">
        <f t="shared" si="60"/>
        <v>0</v>
      </c>
      <c r="BE27" s="9">
        <f t="shared" si="61"/>
        <v>0</v>
      </c>
      <c r="BF27" s="9"/>
      <c r="BG27">
        <f t="shared" si="17"/>
        <v>100000000</v>
      </c>
      <c r="BH27">
        <f t="shared" si="18"/>
        <v>100000000</v>
      </c>
      <c r="BI27">
        <f t="shared" si="19"/>
        <v>100000000</v>
      </c>
      <c r="BJ27">
        <f t="shared" si="20"/>
        <v>100000000</v>
      </c>
      <c r="BK27">
        <f t="shared" si="21"/>
        <v>100000000</v>
      </c>
      <c r="BL27">
        <f t="shared" si="22"/>
        <v>100000000</v>
      </c>
      <c r="BO27" s="2">
        <f t="shared" si="62"/>
        <v>0</v>
      </c>
      <c r="BP27" s="2">
        <f t="shared" si="23"/>
        <v>0</v>
      </c>
      <c r="BQ27" s="2">
        <f t="shared" si="63"/>
        <v>0</v>
      </c>
      <c r="BR27" s="2">
        <f t="shared" si="24"/>
        <v>0</v>
      </c>
      <c r="BS27" s="2">
        <f t="shared" si="25"/>
        <v>0</v>
      </c>
      <c r="BT27" s="2">
        <f t="shared" si="26"/>
        <v>0</v>
      </c>
      <c r="BU27" s="2"/>
      <c r="BV27" s="2">
        <f t="shared" si="64"/>
        <v>0</v>
      </c>
      <c r="BW27" s="2">
        <f>+IF(BP27-SUM($BO27:BO27)&lt;0,0,BP27-SUM($BO27:BO27))</f>
        <v>0</v>
      </c>
      <c r="BX27" s="2">
        <f>+IF(BQ27-SUM($BV27:BW27)&lt;0,0,BQ27-SUM($BV27:BW27))</f>
        <v>0</v>
      </c>
      <c r="BY27" s="2">
        <f>+IF(BR27-SUM($BV27:BX27)&lt;0,0,BR27-SUM($BV27:BX27))</f>
        <v>0</v>
      </c>
      <c r="BZ27" s="2">
        <f>+IF(BS27-SUM($BV27:BY27)&lt;0,0,BS27-SUM($BV27:BY27))</f>
        <v>0</v>
      </c>
      <c r="CA27" s="2">
        <f>+IF(BT27-SUM($BV27:BZ27)&lt;0,0,BT27-SUM($BV27:BZ27))</f>
        <v>0</v>
      </c>
      <c r="CB27" s="1166">
        <f t="shared" si="65"/>
        <v>0</v>
      </c>
      <c r="CC27" s="1167">
        <f t="shared" si="28"/>
        <v>0</v>
      </c>
      <c r="CD27" s="1167">
        <f t="shared" si="29"/>
        <v>0</v>
      </c>
      <c r="CE27" s="1167">
        <f t="shared" si="30"/>
        <v>0</v>
      </c>
      <c r="CF27" s="1167">
        <f t="shared" si="31"/>
        <v>0</v>
      </c>
      <c r="CG27" s="1168">
        <f t="shared" si="32"/>
        <v>0</v>
      </c>
      <c r="CH27" s="1861">
        <f t="shared" si="72"/>
        <v>0</v>
      </c>
      <c r="CI27" s="1865">
        <f t="shared" si="66"/>
        <v>0</v>
      </c>
      <c r="CJ27" s="1865">
        <f t="shared" si="33"/>
        <v>0</v>
      </c>
      <c r="CK27" s="1865">
        <f t="shared" si="34"/>
        <v>0</v>
      </c>
      <c r="CL27" s="1865">
        <f t="shared" si="35"/>
        <v>0</v>
      </c>
      <c r="CM27" s="1173">
        <f t="shared" si="36"/>
        <v>0</v>
      </c>
      <c r="CN27" s="1861">
        <f t="shared" si="67"/>
        <v>0</v>
      </c>
      <c r="CO27" s="1865">
        <f>IF(BA27*$Y27*$AD27-SUM($CN27:CN27)&lt;0,0,BA27*$Y27*$AD27-SUM($CN27:CN27))</f>
        <v>0</v>
      </c>
      <c r="CP27" s="1865">
        <f>IF(BB27*$Y27*$AD27-SUM($CN27:CO27)&lt;0,0,BB27*$Y27*$AD27-SUM($CN27:CO27))</f>
        <v>0</v>
      </c>
      <c r="CQ27" s="1865">
        <f>IF(BC27*$Y27*$AD27-SUM($CN27:CP27)&lt;0,0,BC27*$Y27*$AD27-SUM($CN27:CP27))</f>
        <v>0</v>
      </c>
      <c r="CR27" s="1865">
        <f>IF(BD27*$Y27*$AD27-SUM($CN27:CQ27)&lt;0,0,BD27*$Y27*$AD27-SUM($CN27:CQ27))</f>
        <v>0</v>
      </c>
      <c r="CS27" s="1173">
        <f>IF(BE27*$Y27*$AD27-SUM($CN27:CR27)&lt;0,0,BE27*$Y27*$AD27-SUM($CN27:CR27))</f>
        <v>0</v>
      </c>
      <c r="CT27" s="1873">
        <f t="shared" si="37"/>
        <v>0</v>
      </c>
      <c r="CU27" s="1861">
        <f t="shared" si="68"/>
        <v>0</v>
      </c>
      <c r="CV27" s="1865">
        <f>IF(BA27*$Y27*$AC27-SUM($CU27:CU27)&lt;0,0,BA27*$Y27*$AC27-SUM($CU27:CU27))</f>
        <v>0</v>
      </c>
      <c r="CW27" s="1865">
        <f>IF(BB27*$Y27*$AC27-SUM($CU27:CV27)&lt;0,0,BB27*$Y27*$AC27-SUM($CU27:CV27))</f>
        <v>0</v>
      </c>
      <c r="CX27" s="1865">
        <f>IF(BC27*$Y27*$AC27-SUM($CU27:CW27)&lt;0,0,BC27*$Y27*$AC27-SUM($CU27:CW27))</f>
        <v>0</v>
      </c>
      <c r="CY27" s="1865">
        <f>IF(BD27*$Y27*$AC27-SUM($CU27:CX27)&lt;0,0,BD27*$Y27*$AC27-SUM($CU27:CX27))</f>
        <v>0</v>
      </c>
      <c r="CZ27" s="1173">
        <f>IF(BE27*$Y27*$AC27-SUM($CU27:CY27)&lt;0,0,BE27*$Y27*$AC27-SUM($CU27:CY27))</f>
        <v>0</v>
      </c>
      <c r="DA27" s="1171">
        <f t="shared" si="69"/>
        <v>0</v>
      </c>
      <c r="DB27" s="1173">
        <f t="shared" si="38"/>
        <v>0</v>
      </c>
      <c r="DC27" s="2"/>
      <c r="DE27" t="str">
        <f t="shared" si="39"/>
        <v xml:space="preserve">Operation - </v>
      </c>
      <c r="DF27" s="16">
        <f t="shared" si="40"/>
        <v>0</v>
      </c>
      <c r="DG27" s="16">
        <f t="shared" si="41"/>
        <v>0</v>
      </c>
      <c r="DH27" s="16">
        <f t="shared" si="42"/>
        <v>0</v>
      </c>
      <c r="DJ27" t="str">
        <f t="shared" si="43"/>
        <v>RMB</v>
      </c>
      <c r="DK27" s="2">
        <f t="shared" si="44"/>
        <v>0</v>
      </c>
      <c r="DM27">
        <v>0</v>
      </c>
      <c r="DN27">
        <v>0</v>
      </c>
      <c r="DO27">
        <v>0</v>
      </c>
      <c r="DP27">
        <v>0</v>
      </c>
    </row>
    <row r="28" spans="1:121" ht="15" thickBot="1">
      <c r="A28" s="1360" t="s">
        <v>384</v>
      </c>
      <c r="B28" s="1393" t="str">
        <f>+VLOOKUP(A28,'Financials Parameters'!$I$5:$K$15,2,FALSE)</f>
        <v>RMB</v>
      </c>
      <c r="C28" s="1394" t="str">
        <f t="shared" si="71"/>
        <v>RMB</v>
      </c>
      <c r="D28" s="1394" t="str">
        <f t="shared" si="45"/>
        <v>RMBRMB</v>
      </c>
      <c r="E28" s="1394">
        <f>+SUMIF('Financials Parameters'!$D$29:$D$53,'Product Added value'!D28,'Financials Parameters'!$E$29:$E$53)</f>
        <v>0.99999999999999989</v>
      </c>
      <c r="F28" s="2216" t="s">
        <v>425</v>
      </c>
      <c r="G28" s="2211"/>
      <c r="H28" s="1363"/>
      <c r="I28" s="1363"/>
      <c r="J28" s="1363"/>
      <c r="K28" s="1388"/>
      <c r="L28" s="1389"/>
      <c r="M28" s="119">
        <f t="shared" si="46"/>
        <v>0</v>
      </c>
      <c r="N28" s="122">
        <f>+IF(M28&lt;&gt;0,INT('RFQ Data'!$M$48/M28)+1,0)</f>
        <v>0</v>
      </c>
      <c r="O28" s="121">
        <f>+IF(N28*M28&lt;&gt;0,'RFQ Data'!$M$48/(N28*M28),0)</f>
        <v>0</v>
      </c>
      <c r="P28" s="110">
        <f t="shared" si="81"/>
        <v>0</v>
      </c>
      <c r="Q28" s="113">
        <f t="shared" si="82"/>
        <v>0</v>
      </c>
      <c r="R28" s="1362"/>
      <c r="S28" s="2063" t="str">
        <f t="shared" si="47"/>
        <v/>
      </c>
      <c r="T28" s="1364" t="s">
        <v>300</v>
      </c>
      <c r="U28" s="1369" t="s">
        <v>386</v>
      </c>
      <c r="V28" s="1370">
        <v>1</v>
      </c>
      <c r="W28" s="1358">
        <f t="shared" si="11"/>
        <v>0</v>
      </c>
      <c r="X28" s="1382">
        <f>+M28*VLOOKUP($A28,'Financials Parameters'!$I$5:$AM$16,20,FALSE)/1000</f>
        <v>0</v>
      </c>
      <c r="Y28" s="1362"/>
      <c r="Z28" s="2063" t="str">
        <f t="shared" si="48"/>
        <v/>
      </c>
      <c r="AA28" s="1384"/>
      <c r="AB28" s="1369" t="s">
        <v>149</v>
      </c>
      <c r="AC28" s="1370">
        <v>1</v>
      </c>
      <c r="AD28" s="1358">
        <f t="shared" si="12"/>
        <v>0</v>
      </c>
      <c r="AE28" s="150">
        <f>+VLOOKUP($A28,'Financials Parameters'!$I$5:$AM$16,18,FALSE)</f>
        <v>20</v>
      </c>
      <c r="AF28" s="135">
        <f>+'VOH cost per h'!V23</f>
        <v>0</v>
      </c>
      <c r="AG28" s="1657">
        <f t="shared" si="49"/>
        <v>0</v>
      </c>
      <c r="AH28" s="129">
        <f>+VLOOKUP($A28,'Financials Parameters'!$I$5:$AM$16,17,FALSE)</f>
        <v>34</v>
      </c>
      <c r="AI28" s="154">
        <f>IF(L28="YES",+'RFQ Data'!$J$61,0)</f>
        <v>0</v>
      </c>
      <c r="AJ28" s="131">
        <f t="shared" si="13"/>
        <v>0</v>
      </c>
      <c r="AK28" s="150">
        <f t="shared" si="14"/>
        <v>0</v>
      </c>
      <c r="AL28" s="130" t="str">
        <f>+VLOOKUP($A28,'Financials Parameters'!$I$5:$AM$16,3,FALSE)</f>
        <v>China + South pacific</v>
      </c>
      <c r="AM28" s="1157">
        <f>+IF($X28&lt;&gt;0,IF($T28="YES",ROUNDUP('RFQ Data'!D$47/$X28,0),'RFQ Data'!D$47/$X28),0)</f>
        <v>0</v>
      </c>
      <c r="AN28" s="1158">
        <f>+IF($X28&lt;&gt;0,IF($T28="YES",ROUNDUP('RFQ Data'!E$47/$X28,0),'RFQ Data'!E$47/$X28),0)</f>
        <v>0</v>
      </c>
      <c r="AO28" s="1158">
        <f>+IF($X28&lt;&gt;0,IF($T28="YES",ROUNDUP('RFQ Data'!F$47/$X28,0),'RFQ Data'!F$47/$X28),0)</f>
        <v>0</v>
      </c>
      <c r="AP28" s="1158">
        <f>+IF($X28&lt;&gt;0,IF($T28="YES",ROUNDUP('RFQ Data'!G$47/$X28,0),'RFQ Data'!G$47/$X28),0)</f>
        <v>0</v>
      </c>
      <c r="AQ28" s="1158">
        <f>+IF($X28&lt;&gt;0,IF($T28="YES",ROUNDUP('RFQ Data'!H$47/$X28,0),'RFQ Data'!H$47/$X28),0)</f>
        <v>0</v>
      </c>
      <c r="AR28" s="1159">
        <f>+IF($X28&lt;&gt;0,IF($T28="YES",ROUNDUP('RFQ Data'!I$47/$X28,0),'RFQ Data'!I$47/$X28),0)</f>
        <v>0</v>
      </c>
      <c r="AS28" s="9">
        <f t="shared" si="50"/>
        <v>0</v>
      </c>
      <c r="AT28" s="9">
        <f t="shared" si="51"/>
        <v>0</v>
      </c>
      <c r="AU28" s="9">
        <f t="shared" si="52"/>
        <v>0</v>
      </c>
      <c r="AV28" s="9">
        <f t="shared" si="53"/>
        <v>0</v>
      </c>
      <c r="AW28" s="9">
        <f t="shared" si="54"/>
        <v>0</v>
      </c>
      <c r="AX28" s="9">
        <f t="shared" si="55"/>
        <v>0</v>
      </c>
      <c r="AZ28" s="9">
        <f t="shared" si="56"/>
        <v>0</v>
      </c>
      <c r="BA28" s="9">
        <f t="shared" si="57"/>
        <v>0</v>
      </c>
      <c r="BB28" s="9">
        <f t="shared" si="58"/>
        <v>0</v>
      </c>
      <c r="BC28" s="9">
        <f t="shared" si="59"/>
        <v>0</v>
      </c>
      <c r="BD28" s="9">
        <f t="shared" si="60"/>
        <v>0</v>
      </c>
      <c r="BE28" s="9">
        <f t="shared" si="61"/>
        <v>0</v>
      </c>
      <c r="BF28" s="9"/>
      <c r="BG28">
        <f t="shared" si="17"/>
        <v>100000000</v>
      </c>
      <c r="BH28">
        <f t="shared" si="18"/>
        <v>100000000</v>
      </c>
      <c r="BI28">
        <f t="shared" si="19"/>
        <v>100000000</v>
      </c>
      <c r="BJ28">
        <f t="shared" si="20"/>
        <v>100000000</v>
      </c>
      <c r="BK28">
        <f t="shared" si="21"/>
        <v>100000000</v>
      </c>
      <c r="BL28">
        <f t="shared" si="22"/>
        <v>100000000</v>
      </c>
      <c r="BO28" s="2">
        <f t="shared" si="62"/>
        <v>0</v>
      </c>
      <c r="BP28" s="2">
        <f t="shared" si="23"/>
        <v>0</v>
      </c>
      <c r="BQ28" s="2">
        <f t="shared" si="63"/>
        <v>0</v>
      </c>
      <c r="BR28" s="2">
        <f t="shared" si="24"/>
        <v>0</v>
      </c>
      <c r="BS28" s="2">
        <f t="shared" si="25"/>
        <v>0</v>
      </c>
      <c r="BT28" s="2">
        <f t="shared" si="26"/>
        <v>0</v>
      </c>
      <c r="BU28" s="2"/>
      <c r="BV28" s="2">
        <f>+BO28</f>
        <v>0</v>
      </c>
      <c r="BW28" s="2">
        <f>+IF(BP28-SUM($BO28:BO28)&lt;0,0,BP28-SUM($BO28:BO28))</f>
        <v>0</v>
      </c>
      <c r="BX28" s="2">
        <f>+IF(BQ28-SUM($BV28:BW28)&lt;0,0,BQ28-SUM($BV28:BW28))</f>
        <v>0</v>
      </c>
      <c r="BY28" s="2">
        <f>+IF(BR28-SUM($BV28:BX28)&lt;0,0,BR28-SUM($BV28:BX28))</f>
        <v>0</v>
      </c>
      <c r="BZ28" s="2">
        <f>+IF(BS28-SUM($BV28:BY28)&lt;0,0,BS28-SUM($BV28:BY28))</f>
        <v>0</v>
      </c>
      <c r="CA28" s="2">
        <f>+IF(BT28-SUM($BV28:BZ28)&lt;0,0,BT28-SUM($BV28:BZ28))</f>
        <v>0</v>
      </c>
      <c r="CB28" s="1166">
        <f t="shared" si="65"/>
        <v>0</v>
      </c>
      <c r="CC28" s="1167">
        <f t="shared" si="28"/>
        <v>0</v>
      </c>
      <c r="CD28" s="1167">
        <f t="shared" si="29"/>
        <v>0</v>
      </c>
      <c r="CE28" s="1167">
        <f t="shared" si="30"/>
        <v>0</v>
      </c>
      <c r="CF28" s="1167">
        <f t="shared" si="31"/>
        <v>0</v>
      </c>
      <c r="CG28" s="1168">
        <f t="shared" si="32"/>
        <v>0</v>
      </c>
      <c r="CH28" s="1861">
        <f t="shared" si="72"/>
        <v>0</v>
      </c>
      <c r="CI28" s="1865">
        <f t="shared" si="66"/>
        <v>0</v>
      </c>
      <c r="CJ28" s="1865">
        <f t="shared" si="33"/>
        <v>0</v>
      </c>
      <c r="CK28" s="1865">
        <f t="shared" si="34"/>
        <v>0</v>
      </c>
      <c r="CL28" s="1865">
        <f t="shared" si="35"/>
        <v>0</v>
      </c>
      <c r="CM28" s="1173">
        <f t="shared" si="36"/>
        <v>0</v>
      </c>
      <c r="CN28" s="1861">
        <f t="shared" si="67"/>
        <v>0</v>
      </c>
      <c r="CO28" s="1865">
        <f>IF(BA28*$Y28*$AD28-SUM($CN28:CN28)&lt;0,0,BA28*$Y28*$AD28-SUM($CN28:CN28))</f>
        <v>0</v>
      </c>
      <c r="CP28" s="1865">
        <f>IF(BB28*$Y28*$AD28-SUM($CN28:CO28)&lt;0,0,BB28*$Y28*$AD28-SUM($CN28:CO28))</f>
        <v>0</v>
      </c>
      <c r="CQ28" s="1865">
        <f>IF(BC28*$Y28*$AD28-SUM($CN28:CP28)&lt;0,0,BC28*$Y28*$AD28-SUM($CN28:CP28))</f>
        <v>0</v>
      </c>
      <c r="CR28" s="1865">
        <f>IF(BD28*$Y28*$AD28-SUM($CN28:CQ28)&lt;0,0,BD28*$Y28*$AD28-SUM($CN28:CQ28))</f>
        <v>0</v>
      </c>
      <c r="CS28" s="1173">
        <f>IF(BE28*$Y28*$AD28-SUM($CN28:CR28)&lt;0,0,BE28*$Y28*$AD28-SUM($CN28:CR28))</f>
        <v>0</v>
      </c>
      <c r="CT28" s="1873">
        <f t="shared" si="37"/>
        <v>0</v>
      </c>
      <c r="CU28" s="1861">
        <f t="shared" si="68"/>
        <v>0</v>
      </c>
      <c r="CV28" s="1865">
        <f>IF(BA28*$Y28*$AC28-SUM($CU28:CU28)&lt;0,0,BA28*$Y28*$AC28-SUM($CU28:CU28))</f>
        <v>0</v>
      </c>
      <c r="CW28" s="1865">
        <f>IF(BB28*$Y28*$AC28-SUM($CU28:CV28)&lt;0,0,BB28*$Y28*$AC28-SUM($CU28:CV28))</f>
        <v>0</v>
      </c>
      <c r="CX28" s="1865">
        <f>IF(BC28*$Y28*$AC28-SUM($CU28:CW28)&lt;0,0,BC28*$Y28*$AC28-SUM($CU28:CW28))</f>
        <v>0</v>
      </c>
      <c r="CY28" s="1865">
        <f>IF(BD28*$Y28*$AC28-SUM($CU28:CX28)&lt;0,0,BD28*$Y28*$AC28-SUM($CU28:CX28))</f>
        <v>0</v>
      </c>
      <c r="CZ28" s="1173">
        <f>IF(BE28*$Y28*$AC28-SUM($CU28:CY28)&lt;0,0,BE28*$Y28*$AC28-SUM($CU28:CY28))</f>
        <v>0</v>
      </c>
      <c r="DA28" s="1171">
        <f t="shared" si="69"/>
        <v>0</v>
      </c>
      <c r="DB28" s="1173">
        <f t="shared" si="38"/>
        <v>0</v>
      </c>
      <c r="DC28" s="2"/>
      <c r="DE28" t="str">
        <f t="shared" si="39"/>
        <v xml:space="preserve">Operation - </v>
      </c>
      <c r="DF28" s="16">
        <f t="shared" si="40"/>
        <v>0</v>
      </c>
      <c r="DG28" s="16">
        <f t="shared" si="41"/>
        <v>0</v>
      </c>
      <c r="DH28" s="16">
        <f t="shared" si="42"/>
        <v>0</v>
      </c>
      <c r="DJ28" t="str">
        <f t="shared" si="43"/>
        <v>RMB</v>
      </c>
      <c r="DK28" s="2">
        <f t="shared" si="44"/>
        <v>0</v>
      </c>
      <c r="DM28">
        <v>0</v>
      </c>
      <c r="DN28">
        <v>0</v>
      </c>
      <c r="DO28">
        <v>0</v>
      </c>
      <c r="DP28">
        <v>0</v>
      </c>
    </row>
    <row r="29" spans="1:121" ht="15" thickBot="1">
      <c r="A29" s="1360" t="s">
        <v>384</v>
      </c>
      <c r="B29" s="1393" t="str">
        <f>+VLOOKUP(A29,'Financials Parameters'!$I$5:$K$15,2,FALSE)</f>
        <v>RMB</v>
      </c>
      <c r="C29" s="1394" t="str">
        <f t="shared" si="71"/>
        <v>RMB</v>
      </c>
      <c r="D29" s="1394" t="str">
        <f t="shared" si="45"/>
        <v>RMBRMB</v>
      </c>
      <c r="E29" s="1394">
        <f>+SUMIF('Financials Parameters'!$D$29:$D$53,'Product Added value'!D29,'Financials Parameters'!$E$29:$E$53)</f>
        <v>0.99999999999999989</v>
      </c>
      <c r="F29" s="2216" t="s">
        <v>426</v>
      </c>
      <c r="G29" s="2211"/>
      <c r="H29" s="1363"/>
      <c r="I29" s="1363"/>
      <c r="J29" s="1363"/>
      <c r="K29" s="1388"/>
      <c r="L29" s="1389"/>
      <c r="M29" s="119">
        <f t="shared" si="46"/>
        <v>0</v>
      </c>
      <c r="N29" s="122">
        <f>+IF(M29&lt;&gt;0,INT('RFQ Data'!$M$48/M29)+1,0)</f>
        <v>0</v>
      </c>
      <c r="O29" s="121">
        <f>+IF(N29*M29&lt;&gt;0,'RFQ Data'!$M$48/(N29*M29),0)</f>
        <v>0</v>
      </c>
      <c r="P29" s="110">
        <f t="shared" si="81"/>
        <v>0</v>
      </c>
      <c r="Q29" s="113">
        <f t="shared" si="82"/>
        <v>0</v>
      </c>
      <c r="R29" s="1362"/>
      <c r="S29" s="2063" t="str">
        <f t="shared" si="47"/>
        <v/>
      </c>
      <c r="T29" s="1364" t="s">
        <v>300</v>
      </c>
      <c r="U29" s="1369" t="s">
        <v>386</v>
      </c>
      <c r="V29" s="1370">
        <v>1</v>
      </c>
      <c r="W29" s="1358">
        <f t="shared" si="11"/>
        <v>0</v>
      </c>
      <c r="X29" s="1382">
        <f>+M29*VLOOKUP($A29,'Financials Parameters'!$I$5:$AM$16,20,FALSE)/1000</f>
        <v>0</v>
      </c>
      <c r="Y29" s="1362"/>
      <c r="Z29" s="2063" t="str">
        <f t="shared" si="48"/>
        <v/>
      </c>
      <c r="AA29" s="1384"/>
      <c r="AB29" s="1369" t="s">
        <v>149</v>
      </c>
      <c r="AC29" s="1370">
        <v>1</v>
      </c>
      <c r="AD29" s="1358">
        <f t="shared" si="12"/>
        <v>0</v>
      </c>
      <c r="AE29" s="150">
        <f>+VLOOKUP($A29,'Financials Parameters'!$I$5:$AM$16,18,FALSE)</f>
        <v>20</v>
      </c>
      <c r="AF29" s="135">
        <f>+'VOH cost per h'!V24</f>
        <v>0</v>
      </c>
      <c r="AG29" s="1657">
        <f t="shared" si="49"/>
        <v>0</v>
      </c>
      <c r="AH29" s="129">
        <f>+VLOOKUP($A29,'Financials Parameters'!$I$5:$AM$16,17,FALSE)</f>
        <v>34</v>
      </c>
      <c r="AI29" s="154">
        <f>IF(L29="YES",+'RFQ Data'!$J$61,0)</f>
        <v>0</v>
      </c>
      <c r="AJ29" s="131">
        <f t="shared" si="13"/>
        <v>0</v>
      </c>
      <c r="AK29" s="150">
        <f t="shared" si="14"/>
        <v>0</v>
      </c>
      <c r="AL29" s="130" t="str">
        <f>+VLOOKUP($A29,'Financials Parameters'!$I$5:$AM$16,3,FALSE)</f>
        <v>China + South pacific</v>
      </c>
      <c r="AM29" s="1157">
        <f>+IF($X29&lt;&gt;0,IF($T29="YES",ROUNDUP('RFQ Data'!D$47/$X29,0),'RFQ Data'!D$47/$X29),0)</f>
        <v>0</v>
      </c>
      <c r="AN29" s="1158">
        <f>+IF($X29&lt;&gt;0,IF($T29="YES",ROUNDUP('RFQ Data'!E$47/$X29,0),'RFQ Data'!E$47/$X29),0)</f>
        <v>0</v>
      </c>
      <c r="AO29" s="1158">
        <f>+IF($X29&lt;&gt;0,IF($T29="YES",ROUNDUP('RFQ Data'!F$47/$X29,0),'RFQ Data'!F$47/$X29),0)</f>
        <v>0</v>
      </c>
      <c r="AP29" s="1158">
        <f>+IF($X29&lt;&gt;0,IF($T29="YES",ROUNDUP('RFQ Data'!G$47/$X29,0),'RFQ Data'!G$47/$X29),0)</f>
        <v>0</v>
      </c>
      <c r="AQ29" s="1158">
        <f>+IF($X29&lt;&gt;0,IF($T29="YES",ROUNDUP('RFQ Data'!H$47/$X29,0),'RFQ Data'!H$47/$X29),0)</f>
        <v>0</v>
      </c>
      <c r="AR29" s="1159">
        <f>+IF($X29&lt;&gt;0,IF($T29="YES",ROUNDUP('RFQ Data'!I$47/$X29,0),'RFQ Data'!I$47/$X29),0)</f>
        <v>0</v>
      </c>
      <c r="AS29" s="9">
        <f t="shared" si="50"/>
        <v>0</v>
      </c>
      <c r="AT29" s="9">
        <f t="shared" si="51"/>
        <v>0</v>
      </c>
      <c r="AU29" s="9">
        <f t="shared" si="52"/>
        <v>0</v>
      </c>
      <c r="AV29" s="9">
        <f t="shared" si="53"/>
        <v>0</v>
      </c>
      <c r="AW29" s="9">
        <f t="shared" si="54"/>
        <v>0</v>
      </c>
      <c r="AX29" s="9">
        <f t="shared" si="55"/>
        <v>0</v>
      </c>
      <c r="AZ29" s="9">
        <f t="shared" si="56"/>
        <v>0</v>
      </c>
      <c r="BA29" s="9">
        <f t="shared" si="57"/>
        <v>0</v>
      </c>
      <c r="BB29" s="9">
        <f t="shared" si="58"/>
        <v>0</v>
      </c>
      <c r="BC29" s="9">
        <f t="shared" si="59"/>
        <v>0</v>
      </c>
      <c r="BD29" s="9">
        <f t="shared" si="60"/>
        <v>0</v>
      </c>
      <c r="BE29" s="9">
        <f t="shared" si="61"/>
        <v>0</v>
      </c>
      <c r="BF29" s="9"/>
      <c r="BG29">
        <f t="shared" si="17"/>
        <v>100000000</v>
      </c>
      <c r="BH29">
        <f t="shared" si="18"/>
        <v>100000000</v>
      </c>
      <c r="BI29">
        <f t="shared" si="19"/>
        <v>100000000</v>
      </c>
      <c r="BJ29">
        <f t="shared" si="20"/>
        <v>100000000</v>
      </c>
      <c r="BK29">
        <f t="shared" si="21"/>
        <v>100000000</v>
      </c>
      <c r="BL29">
        <f t="shared" si="22"/>
        <v>100000000</v>
      </c>
      <c r="BO29" s="2">
        <f t="shared" si="62"/>
        <v>0</v>
      </c>
      <c r="BP29" s="2">
        <f t="shared" si="23"/>
        <v>0</v>
      </c>
      <c r="BQ29" s="2">
        <f t="shared" si="63"/>
        <v>0</v>
      </c>
      <c r="BR29" s="2">
        <f t="shared" si="24"/>
        <v>0</v>
      </c>
      <c r="BS29" s="2">
        <f t="shared" si="25"/>
        <v>0</v>
      </c>
      <c r="BT29" s="2">
        <f t="shared" si="26"/>
        <v>0</v>
      </c>
      <c r="BU29" s="2"/>
      <c r="BV29" s="2">
        <f t="shared" si="64"/>
        <v>0</v>
      </c>
      <c r="BW29" s="2">
        <f>+IF(BP29-SUM($BO29:BO29)&lt;0,0,BP29-SUM($BO29:BO29))</f>
        <v>0</v>
      </c>
      <c r="BX29" s="2">
        <f>+IF(BQ29-SUM($BV29:BW29)&lt;0,0,BQ29-SUM($BV29:BW29))</f>
        <v>0</v>
      </c>
      <c r="BY29" s="2">
        <f>+IF(BR29-SUM($BV29:BX29)&lt;0,0,BR29-SUM($BV29:BX29))</f>
        <v>0</v>
      </c>
      <c r="BZ29" s="2">
        <f>+IF(BS29-SUM($BV29:BY29)&lt;0,0,BS29-SUM($BV29:BY29))</f>
        <v>0</v>
      </c>
      <c r="CA29" s="2">
        <f>+IF(BT29-SUM($BV29:BZ29)&lt;0,0,BT29-SUM($BV29:BZ29))</f>
        <v>0</v>
      </c>
      <c r="CB29" s="1166">
        <f t="shared" si="65"/>
        <v>0</v>
      </c>
      <c r="CC29" s="1167">
        <f t="shared" si="28"/>
        <v>0</v>
      </c>
      <c r="CD29" s="1167">
        <f t="shared" si="29"/>
        <v>0</v>
      </c>
      <c r="CE29" s="1167">
        <f t="shared" si="30"/>
        <v>0</v>
      </c>
      <c r="CF29" s="1167">
        <f t="shared" si="31"/>
        <v>0</v>
      </c>
      <c r="CG29" s="1168">
        <f t="shared" si="32"/>
        <v>0</v>
      </c>
      <c r="CH29" s="1861">
        <f t="shared" si="72"/>
        <v>0</v>
      </c>
      <c r="CI29" s="1865">
        <f t="shared" si="66"/>
        <v>0</v>
      </c>
      <c r="CJ29" s="1865">
        <f t="shared" si="33"/>
        <v>0</v>
      </c>
      <c r="CK29" s="1865">
        <f t="shared" si="34"/>
        <v>0</v>
      </c>
      <c r="CL29" s="1865">
        <f t="shared" si="35"/>
        <v>0</v>
      </c>
      <c r="CM29" s="1173">
        <f t="shared" si="36"/>
        <v>0</v>
      </c>
      <c r="CN29" s="1861">
        <f t="shared" si="67"/>
        <v>0</v>
      </c>
      <c r="CO29" s="1865">
        <f>IF(BA29*$Y29*$AD29-SUM($CN29:CN29)&lt;0,0,BA29*$Y29*$AD29-SUM($CN29:CN29))</f>
        <v>0</v>
      </c>
      <c r="CP29" s="1865">
        <f>IF(BB29*$Y29*$AD29-SUM($CN29:CO29)&lt;0,0,BB29*$Y29*$AD29-SUM($CN29:CO29))</f>
        <v>0</v>
      </c>
      <c r="CQ29" s="1865">
        <f>IF(BC29*$Y29*$AD29-SUM($CN29:CP29)&lt;0,0,BC29*$Y29*$AD29-SUM($CN29:CP29))</f>
        <v>0</v>
      </c>
      <c r="CR29" s="1865">
        <f>IF(BD29*$Y29*$AD29-SUM($CN29:CQ29)&lt;0,0,BD29*$Y29*$AD29-SUM($CN29:CQ29))</f>
        <v>0</v>
      </c>
      <c r="CS29" s="1173">
        <f>IF(BE29*$Y29*$AD29-SUM($CN29:CR29)&lt;0,0,BE29*$Y29*$AD29-SUM($CN29:CR29))</f>
        <v>0</v>
      </c>
      <c r="CT29" s="1873">
        <f t="shared" si="37"/>
        <v>0</v>
      </c>
      <c r="CU29" s="1861">
        <f t="shared" si="68"/>
        <v>0</v>
      </c>
      <c r="CV29" s="1865">
        <f>IF(BA29*$Y29*$AC29-SUM($CU29:CU29)&lt;0,0,BA29*$Y29*$AC29-SUM($CU29:CU29))</f>
        <v>0</v>
      </c>
      <c r="CW29" s="1865">
        <f>IF(BB29*$Y29*$AC29-SUM($CU29:CV29)&lt;0,0,BB29*$Y29*$AC29-SUM($CU29:CV29))</f>
        <v>0</v>
      </c>
      <c r="CX29" s="1865">
        <f>IF(BC29*$Y29*$AC29-SUM($CU29:CW29)&lt;0,0,BC29*$Y29*$AC29-SUM($CU29:CW29))</f>
        <v>0</v>
      </c>
      <c r="CY29" s="1865">
        <f>IF(BD29*$Y29*$AC29-SUM($CU29:CX29)&lt;0,0,BD29*$Y29*$AC29-SUM($CU29:CX29))</f>
        <v>0</v>
      </c>
      <c r="CZ29" s="1173">
        <f>IF(BE29*$Y29*$AC29-SUM($CU29:CY29)&lt;0,0,BE29*$Y29*$AC29-SUM($CU29:CY29))</f>
        <v>0</v>
      </c>
      <c r="DA29" s="1171">
        <f t="shared" si="69"/>
        <v>0</v>
      </c>
      <c r="DB29" s="1173">
        <f t="shared" si="38"/>
        <v>0</v>
      </c>
      <c r="DC29" s="2"/>
      <c r="DE29" t="str">
        <f t="shared" si="39"/>
        <v xml:space="preserve">Operation - </v>
      </c>
      <c r="DF29" s="16">
        <f t="shared" si="40"/>
        <v>0</v>
      </c>
      <c r="DG29" s="16">
        <f t="shared" si="41"/>
        <v>0</v>
      </c>
      <c r="DH29" s="16">
        <f t="shared" si="42"/>
        <v>0</v>
      </c>
      <c r="DJ29" t="str">
        <f t="shared" si="43"/>
        <v>RMB</v>
      </c>
      <c r="DK29" s="2">
        <f t="shared" si="44"/>
        <v>0</v>
      </c>
      <c r="DM29">
        <v>0</v>
      </c>
      <c r="DN29">
        <v>0</v>
      </c>
      <c r="DO29">
        <v>0</v>
      </c>
      <c r="DP29">
        <v>0</v>
      </c>
    </row>
    <row r="30" spans="1:121" ht="15" thickBot="1">
      <c r="A30" s="1360" t="s">
        <v>384</v>
      </c>
      <c r="B30" s="1395" t="str">
        <f>+VLOOKUP(A30,'Financials Parameters'!$I$5:$K$15,2,FALSE)</f>
        <v>RMB</v>
      </c>
      <c r="C30" s="1293" t="str">
        <f t="shared" si="71"/>
        <v>RMB</v>
      </c>
      <c r="D30" s="1293" t="str">
        <f t="shared" si="45"/>
        <v>RMBRMB</v>
      </c>
      <c r="E30" s="1293">
        <f>+SUMIF('Financials Parameters'!$D$29:$D$53,'Product Added value'!D30,'Financials Parameters'!$E$29:$E$53)</f>
        <v>0.99999999999999989</v>
      </c>
      <c r="F30" s="2217" t="s">
        <v>427</v>
      </c>
      <c r="G30" s="2213"/>
      <c r="H30" s="1390"/>
      <c r="I30" s="1390"/>
      <c r="J30" s="1390"/>
      <c r="K30" s="1391"/>
      <c r="L30" s="1392"/>
      <c r="M30" s="1306">
        <f t="shared" si="46"/>
        <v>0</v>
      </c>
      <c r="N30" s="1307">
        <f>+IF(M30&lt;&gt;0,INT('RFQ Data'!$M$48/M30)+1,0)</f>
        <v>0</v>
      </c>
      <c r="O30" s="1308">
        <f>+IF(N30*M30&lt;&gt;0,'RFQ Data'!$M$48/(N30*M30),0)</f>
        <v>0</v>
      </c>
      <c r="P30" s="1309">
        <f t="shared" si="81"/>
        <v>0</v>
      </c>
      <c r="Q30" s="1310">
        <f t="shared" si="82"/>
        <v>0</v>
      </c>
      <c r="R30" s="1366"/>
      <c r="S30" s="2064" t="str">
        <f t="shared" si="47"/>
        <v/>
      </c>
      <c r="T30" s="1367" t="s">
        <v>300</v>
      </c>
      <c r="U30" s="1371" t="s">
        <v>386</v>
      </c>
      <c r="V30" s="1372">
        <v>1</v>
      </c>
      <c r="W30" s="1359">
        <f t="shared" si="11"/>
        <v>0</v>
      </c>
      <c r="X30" s="1383">
        <f>+M30*VLOOKUP($A30,'Financials Parameters'!$I$5:$AM$16,20,FALSE)/1000</f>
        <v>0</v>
      </c>
      <c r="Y30" s="1366"/>
      <c r="Z30" s="2064" t="str">
        <f t="shared" si="48"/>
        <v/>
      </c>
      <c r="AA30" s="1386"/>
      <c r="AB30" s="1371" t="s">
        <v>149</v>
      </c>
      <c r="AC30" s="1372">
        <v>1</v>
      </c>
      <c r="AD30" s="1359">
        <f t="shared" si="12"/>
        <v>0</v>
      </c>
      <c r="AE30" s="1315">
        <f>+VLOOKUP($A30,'Financials Parameters'!$I$5:$AM$16,18,FALSE)</f>
        <v>20</v>
      </c>
      <c r="AF30" s="1312">
        <f>+'VOH cost per h'!V25</f>
        <v>0</v>
      </c>
      <c r="AG30" s="1658">
        <f t="shared" si="49"/>
        <v>0</v>
      </c>
      <c r="AH30" s="1311">
        <f>+VLOOKUP($A30,'Financials Parameters'!$I$5:$AM$16,17,FALSE)</f>
        <v>34</v>
      </c>
      <c r="AI30" s="1313">
        <f>IF(L30="YES",+'RFQ Data'!$J$61,0)</f>
        <v>0</v>
      </c>
      <c r="AJ30" s="1314">
        <f t="shared" si="13"/>
        <v>0</v>
      </c>
      <c r="AK30" s="1315">
        <f t="shared" si="14"/>
        <v>0</v>
      </c>
      <c r="AL30" s="1316" t="str">
        <f>+VLOOKUP($A30,'Financials Parameters'!$I$5:$AM$16,3,FALSE)</f>
        <v>China + South pacific</v>
      </c>
      <c r="AM30" s="1881">
        <f>+IF($X30&lt;&gt;0,IF($T30="YES",ROUNDUP('RFQ Data'!D$47/$X30,0),'RFQ Data'!D$47/$X30),0)</f>
        <v>0</v>
      </c>
      <c r="AN30" s="1882">
        <f>+IF($X30&lt;&gt;0,IF($T30="YES",ROUNDUP('RFQ Data'!E$47/$X30,0),'RFQ Data'!E$47/$X30),0)</f>
        <v>0</v>
      </c>
      <c r="AO30" s="1882">
        <f>+IF($X30&lt;&gt;0,IF($T30="YES",ROUNDUP('RFQ Data'!F$47/$X30,0),'RFQ Data'!F$47/$X30),0)</f>
        <v>0</v>
      </c>
      <c r="AP30" s="1882">
        <f>+IF($X30&lt;&gt;0,IF($T30="YES",ROUNDUP('RFQ Data'!G$47/$X30,0),'RFQ Data'!G$47/$X30),0)</f>
        <v>0</v>
      </c>
      <c r="AQ30" s="1882">
        <f>+IF($X30&lt;&gt;0,IF($T30="YES",ROUNDUP('RFQ Data'!H$47/$X30,0),'RFQ Data'!H$47/$X30),0)</f>
        <v>0</v>
      </c>
      <c r="AR30" s="1883">
        <f>+IF($X30&lt;&gt;0,IF($T30="YES",ROUNDUP('RFQ Data'!I$47/$X30,0),'RFQ Data'!I$47/$X30),0)</f>
        <v>0</v>
      </c>
      <c r="AS30" s="9">
        <f t="shared" si="50"/>
        <v>0</v>
      </c>
      <c r="AT30" s="9">
        <f t="shared" si="51"/>
        <v>0</v>
      </c>
      <c r="AU30" s="9">
        <f t="shared" si="52"/>
        <v>0</v>
      </c>
      <c r="AV30" s="9">
        <f t="shared" si="53"/>
        <v>0</v>
      </c>
      <c r="AW30" s="9">
        <f t="shared" si="54"/>
        <v>0</v>
      </c>
      <c r="AX30" s="9">
        <f t="shared" si="55"/>
        <v>0</v>
      </c>
      <c r="AZ30" s="9">
        <f t="shared" si="56"/>
        <v>0</v>
      </c>
      <c r="BA30" s="9">
        <f t="shared" si="57"/>
        <v>0</v>
      </c>
      <c r="BB30" s="9">
        <f t="shared" si="58"/>
        <v>0</v>
      </c>
      <c r="BC30" s="9">
        <f t="shared" si="59"/>
        <v>0</v>
      </c>
      <c r="BD30" s="9">
        <f t="shared" si="60"/>
        <v>0</v>
      </c>
      <c r="BE30" s="9">
        <f t="shared" si="61"/>
        <v>0</v>
      </c>
      <c r="BF30" s="9"/>
      <c r="BG30">
        <f t="shared" si="17"/>
        <v>100000000</v>
      </c>
      <c r="BH30">
        <f t="shared" si="18"/>
        <v>100000000</v>
      </c>
      <c r="BI30">
        <f t="shared" si="19"/>
        <v>100000000</v>
      </c>
      <c r="BJ30">
        <f t="shared" si="20"/>
        <v>100000000</v>
      </c>
      <c r="BK30">
        <f t="shared" si="21"/>
        <v>100000000</v>
      </c>
      <c r="BL30">
        <f t="shared" si="22"/>
        <v>100000000</v>
      </c>
      <c r="BO30" s="2">
        <f t="shared" si="62"/>
        <v>0</v>
      </c>
      <c r="BP30" s="2">
        <f t="shared" si="23"/>
        <v>0</v>
      </c>
      <c r="BQ30" s="2">
        <f t="shared" si="63"/>
        <v>0</v>
      </c>
      <c r="BR30" s="2">
        <f t="shared" si="24"/>
        <v>0</v>
      </c>
      <c r="BS30" s="2">
        <f t="shared" si="25"/>
        <v>0</v>
      </c>
      <c r="BT30" s="2">
        <f t="shared" si="26"/>
        <v>0</v>
      </c>
      <c r="BU30" s="2"/>
      <c r="BV30" s="2">
        <f>+BO30</f>
        <v>0</v>
      </c>
      <c r="BW30" s="2">
        <f>+IF(BP30-SUM($BO30:BO30)&lt;0,0,BP30-SUM($BO30:BO30))</f>
        <v>0</v>
      </c>
      <c r="BX30" s="2">
        <f>+IF(BQ30-SUM($BV30:BW30)&lt;0,0,BQ30-SUM($BV30:BW30))</f>
        <v>0</v>
      </c>
      <c r="BY30" s="2">
        <f>+IF(BR30-SUM($BV30:BX30)&lt;0,0,BR30-SUM($BV30:BX30))</f>
        <v>0</v>
      </c>
      <c r="BZ30" s="2">
        <f>+IF(BS30-SUM($BV30:BY30)&lt;0,0,BS30-SUM($BV30:BY30))</f>
        <v>0</v>
      </c>
      <c r="CA30" s="2">
        <f>+IF(BT30-SUM($BV30:BZ30)&lt;0,0,BT30-SUM($BV30:BZ30))</f>
        <v>0</v>
      </c>
      <c r="CB30" s="1317">
        <f t="shared" si="65"/>
        <v>0</v>
      </c>
      <c r="CC30" s="1318">
        <f t="shared" si="28"/>
        <v>0</v>
      </c>
      <c r="CD30" s="1318">
        <f t="shared" si="29"/>
        <v>0</v>
      </c>
      <c r="CE30" s="1318">
        <f t="shared" si="30"/>
        <v>0</v>
      </c>
      <c r="CF30" s="1318">
        <f t="shared" si="31"/>
        <v>0</v>
      </c>
      <c r="CG30" s="1319">
        <f t="shared" si="32"/>
        <v>0</v>
      </c>
      <c r="CH30" s="1866">
        <f t="shared" si="72"/>
        <v>0</v>
      </c>
      <c r="CI30" s="1867">
        <f t="shared" si="66"/>
        <v>0</v>
      </c>
      <c r="CJ30" s="1867">
        <f t="shared" si="33"/>
        <v>0</v>
      </c>
      <c r="CK30" s="1867">
        <f t="shared" si="34"/>
        <v>0</v>
      </c>
      <c r="CL30" s="1867">
        <f t="shared" si="35"/>
        <v>0</v>
      </c>
      <c r="CM30" s="1321">
        <f t="shared" si="36"/>
        <v>0</v>
      </c>
      <c r="CN30" s="1866">
        <f t="shared" si="67"/>
        <v>0</v>
      </c>
      <c r="CO30" s="1867">
        <f>IF(BA30*$Y30*$AD30-SUM($CN30:CN30)&lt;0,0,BA30*$Y30*$AD30-SUM($CN30:CN30))</f>
        <v>0</v>
      </c>
      <c r="CP30" s="1867">
        <f>IF(BB30*$Y30*$AD30-SUM($CN30:CO30)&lt;0,0,BB30*$Y30*$AD30-SUM($CN30:CO30))</f>
        <v>0</v>
      </c>
      <c r="CQ30" s="1867">
        <f>IF(BC30*$Y30*$AD30-SUM($CN30:CP30)&lt;0,0,BC30*$Y30*$AD30-SUM($CN30:CP30))</f>
        <v>0</v>
      </c>
      <c r="CR30" s="1867">
        <f>IF(BD30*$Y30*$AD30-SUM($CN30:CQ30)&lt;0,0,BD30*$Y30*$AD30-SUM($CN30:CQ30))</f>
        <v>0</v>
      </c>
      <c r="CS30" s="1321">
        <f>IF(BE30*$Y30*$AD30-SUM($CN30:CR30)&lt;0,0,BE30*$Y30*$AD30-SUM($CN30:CR30))</f>
        <v>0</v>
      </c>
      <c r="CT30" s="1874">
        <f t="shared" si="37"/>
        <v>0</v>
      </c>
      <c r="CU30" s="1866">
        <f t="shared" si="68"/>
        <v>0</v>
      </c>
      <c r="CV30" s="1867">
        <f>IF(BA30*$Y30*$AC30-SUM($CU30:CU30)&lt;0,0,BA30*$Y30*$AC30-SUM($CU30:CU30))</f>
        <v>0</v>
      </c>
      <c r="CW30" s="1867">
        <f>IF(BB30*$Y30*$AC30-SUM($CU30:CV30)&lt;0,0,BB30*$Y30*$AC30-SUM($CU30:CV30))</f>
        <v>0</v>
      </c>
      <c r="CX30" s="1867">
        <f>IF(BC30*$Y30*$AC30-SUM($CU30:CW30)&lt;0,0,BC30*$Y30*$AC30-SUM($CU30:CW30))</f>
        <v>0</v>
      </c>
      <c r="CY30" s="1867">
        <f>IF(BD30*$Y30*$AC30-SUM($CU30:CX30)&lt;0,0,BD30*$Y30*$AC30-SUM($CU30:CX30))</f>
        <v>0</v>
      </c>
      <c r="CZ30" s="1321">
        <f>IF(BE30*$Y30*$AC30-SUM($CU30:CY30)&lt;0,0,BE30*$Y30*$AC30-SUM($CU30:CY30))</f>
        <v>0</v>
      </c>
      <c r="DA30" s="1320">
        <f t="shared" si="69"/>
        <v>0</v>
      </c>
      <c r="DB30" s="1321">
        <f t="shared" si="38"/>
        <v>0</v>
      </c>
      <c r="DC30" s="2"/>
      <c r="DE30" t="str">
        <f t="shared" si="39"/>
        <v xml:space="preserve">Operation - </v>
      </c>
      <c r="DF30" s="16">
        <f t="shared" si="40"/>
        <v>0</v>
      </c>
      <c r="DG30" s="16">
        <f t="shared" si="41"/>
        <v>0</v>
      </c>
      <c r="DH30" s="16">
        <f t="shared" si="42"/>
        <v>0</v>
      </c>
      <c r="DJ30" t="str">
        <f t="shared" si="43"/>
        <v>RMB</v>
      </c>
      <c r="DK30" s="2">
        <f t="shared" si="44"/>
        <v>0</v>
      </c>
      <c r="DM30">
        <v>0</v>
      </c>
      <c r="DN30">
        <v>0</v>
      </c>
      <c r="DO30">
        <v>0</v>
      </c>
      <c r="DP30">
        <v>0</v>
      </c>
    </row>
    <row r="31" spans="1:121" ht="15" thickBot="1">
      <c r="A31" s="1360" t="s">
        <v>384</v>
      </c>
      <c r="B31" s="1326" t="str">
        <f>+VLOOKUP(A31,'Financials Parameters'!$I$5:$K$15,2,FALSE)</f>
        <v>RMB</v>
      </c>
      <c r="C31" s="1295" t="str">
        <f t="shared" si="71"/>
        <v>RMB</v>
      </c>
      <c r="D31" s="1295" t="str">
        <f t="shared" si="45"/>
        <v>RMBRMB</v>
      </c>
      <c r="E31" s="1297">
        <f>+SUMIF('Financials Parameters'!$D$29:$D$53,'Product Added value'!D31,'Financials Parameters'!$E$29:$E$53)</f>
        <v>0.99999999999999989</v>
      </c>
      <c r="F31" s="1334"/>
      <c r="G31" s="2214"/>
      <c r="H31" s="1334">
        <v>1</v>
      </c>
      <c r="I31" s="1335">
        <v>1</v>
      </c>
      <c r="J31" s="1335">
        <f>MAX(J4:J30)</f>
        <v>10000</v>
      </c>
      <c r="K31" s="1499">
        <v>0</v>
      </c>
      <c r="L31" s="1327"/>
      <c r="M31" s="1322">
        <f t="shared" si="46"/>
        <v>10000</v>
      </c>
      <c r="N31" s="1323">
        <f>+IF(M31&lt;&gt;0,INT('RFQ Data'!$M$48/M31)+1,0)</f>
        <v>1</v>
      </c>
      <c r="O31" s="1333">
        <f>+IF(N31*M31&lt;&gt;0,'RFQ Data'!$M$48/(N31*M31),0)</f>
        <v>1.2121212121212121E-2</v>
      </c>
      <c r="P31" s="1324">
        <f t="shared" si="81"/>
        <v>0.1</v>
      </c>
      <c r="Q31" s="1325">
        <f t="shared" si="82"/>
        <v>0</v>
      </c>
      <c r="R31" s="1350"/>
      <c r="S31" s="1351"/>
      <c r="T31" s="1352" t="s">
        <v>428</v>
      </c>
      <c r="U31" s="1353" t="s">
        <v>386</v>
      </c>
      <c r="V31" s="1354"/>
      <c r="W31" s="1355">
        <f t="shared" si="11"/>
        <v>1</v>
      </c>
      <c r="X31" s="1374">
        <f>+M31*VLOOKUP($A31,'Financials Parameters'!$I$5:$AM$16,20,FALSE)/1000</f>
        <v>55000</v>
      </c>
      <c r="Y31" s="1712"/>
      <c r="Z31" s="2066"/>
      <c r="AA31" s="1356"/>
      <c r="AB31" s="1713" t="s">
        <v>149</v>
      </c>
      <c r="AC31" s="1714">
        <v>1</v>
      </c>
      <c r="AD31" s="1355">
        <f t="shared" si="12"/>
        <v>0</v>
      </c>
      <c r="AE31" s="2395"/>
      <c r="AF31" s="2396"/>
      <c r="AG31" s="2396"/>
      <c r="AH31" s="2396"/>
      <c r="AI31" s="2396"/>
      <c r="AJ31" s="2396"/>
      <c r="AK31" s="2396"/>
      <c r="AL31" s="2397"/>
      <c r="AM31" s="1877">
        <f>+IF($X31&lt;&gt;0,IF($T31="YES",ROUNDUP('RFQ Data'!D$47/$X31,0),'RFQ Data'!D$47/$X31),0)</f>
        <v>0</v>
      </c>
      <c r="AN31" s="1878">
        <f>+IF($X31&lt;&gt;0,IF($T31="YES",ROUNDUP('RFQ Data'!E$47/$X31,0),'RFQ Data'!E$47/$X31),0)</f>
        <v>1</v>
      </c>
      <c r="AO31" s="1878">
        <f>+IF($X31&lt;&gt;0,IF($T31="YES",ROUNDUP('RFQ Data'!F$47/$X31,0),'RFQ Data'!F$47/$X31),0)</f>
        <v>1</v>
      </c>
      <c r="AP31" s="1878">
        <f>+IF($X31&lt;&gt;0,IF($T31="YES",ROUNDUP('RFQ Data'!G$47/$X31,0),'RFQ Data'!G$47/$X31),0)</f>
        <v>1</v>
      </c>
      <c r="AQ31" s="1879">
        <f>+IF($X31&lt;&gt;0,IF($T31="YES",ROUNDUP('RFQ Data'!H$47/$X31,0),'RFQ Data'!H$47/$X31),0)</f>
        <v>1</v>
      </c>
      <c r="AR31" s="1880">
        <f>+IF($X31&lt;&gt;0,IF($T31="YES",ROUNDUP('RFQ Data'!I$47/$X31,0),'RFQ Data'!I$47/$X31),0)</f>
        <v>1</v>
      </c>
      <c r="AS31" s="9">
        <f t="shared" si="50"/>
        <v>1</v>
      </c>
      <c r="AT31" s="9">
        <f t="shared" si="51"/>
        <v>1</v>
      </c>
      <c r="AU31" s="9">
        <f t="shared" si="52"/>
        <v>1</v>
      </c>
      <c r="AV31" s="9">
        <f t="shared" si="53"/>
        <v>1</v>
      </c>
      <c r="AW31" s="9">
        <f t="shared" si="54"/>
        <v>1</v>
      </c>
      <c r="AX31" s="9">
        <f t="shared" si="55"/>
        <v>1</v>
      </c>
      <c r="AZ31" s="9">
        <f t="shared" si="56"/>
        <v>1</v>
      </c>
      <c r="BA31" s="9">
        <f t="shared" si="57"/>
        <v>1</v>
      </c>
      <c r="BB31" s="9">
        <f t="shared" si="58"/>
        <v>1</v>
      </c>
      <c r="BC31" s="9">
        <f t="shared" si="59"/>
        <v>1</v>
      </c>
      <c r="BD31" s="9">
        <f t="shared" si="60"/>
        <v>1</v>
      </c>
      <c r="BE31" s="9">
        <f t="shared" si="61"/>
        <v>1</v>
      </c>
      <c r="BF31" s="9"/>
      <c r="BG31">
        <f t="shared" si="17"/>
        <v>55000</v>
      </c>
      <c r="BH31">
        <f t="shared" si="18"/>
        <v>55000</v>
      </c>
      <c r="BI31">
        <f t="shared" si="19"/>
        <v>55000</v>
      </c>
      <c r="BJ31">
        <f t="shared" si="20"/>
        <v>55000</v>
      </c>
      <c r="BK31">
        <f t="shared" si="21"/>
        <v>55000</v>
      </c>
      <c r="BL31">
        <f t="shared" si="22"/>
        <v>55000</v>
      </c>
      <c r="BO31" s="2">
        <f t="shared" si="62"/>
        <v>0</v>
      </c>
      <c r="BP31" s="2">
        <f t="shared" si="23"/>
        <v>0</v>
      </c>
      <c r="BQ31" s="2">
        <f t="shared" si="63"/>
        <v>0</v>
      </c>
      <c r="BR31" s="2">
        <f t="shared" si="24"/>
        <v>0</v>
      </c>
      <c r="BS31" s="2">
        <f t="shared" si="25"/>
        <v>0</v>
      </c>
      <c r="BT31" s="2">
        <f t="shared" si="26"/>
        <v>0</v>
      </c>
      <c r="BU31" s="2"/>
      <c r="BV31" s="2">
        <f t="shared" si="64"/>
        <v>0</v>
      </c>
      <c r="BW31" s="2">
        <f>+IF(BP31-SUM($BO31:BO31)&lt;0,0,BP31-SUM($BO31:BO31))</f>
        <v>0</v>
      </c>
      <c r="BX31" s="2">
        <f>+IF(BQ31-SUM($BV31:BW31)&lt;0,0,BQ31-SUM($BV31:BW31))</f>
        <v>0</v>
      </c>
      <c r="BY31" s="2">
        <f>+IF(BR31-SUM($BV31:BX31)&lt;0,0,BR31-SUM($BV31:BX31))</f>
        <v>0</v>
      </c>
      <c r="BZ31" s="2">
        <f>+IF(BS31-SUM($BV31:BY31)&lt;0,0,BS31-SUM($BV31:BY31))</f>
        <v>0</v>
      </c>
      <c r="CA31" s="2">
        <f>+IF(BT31-SUM($BV31:BZ31)&lt;0,0,BT31-SUM($BV31:BZ31))</f>
        <v>0</v>
      </c>
      <c r="CB31" s="1328">
        <f t="shared" si="65"/>
        <v>0</v>
      </c>
      <c r="CC31" s="1329">
        <f t="shared" si="28"/>
        <v>0</v>
      </c>
      <c r="CD31" s="1329">
        <f t="shared" si="29"/>
        <v>0</v>
      </c>
      <c r="CE31" s="1329">
        <f t="shared" si="30"/>
        <v>0</v>
      </c>
      <c r="CF31" s="1329">
        <f t="shared" si="31"/>
        <v>0</v>
      </c>
      <c r="CG31" s="1330">
        <f t="shared" si="32"/>
        <v>0</v>
      </c>
      <c r="CH31" s="1868">
        <f t="shared" si="72"/>
        <v>0</v>
      </c>
      <c r="CI31" s="1869">
        <f t="shared" si="66"/>
        <v>0</v>
      </c>
      <c r="CJ31" s="1869">
        <f t="shared" si="33"/>
        <v>0</v>
      </c>
      <c r="CK31" s="1869">
        <f t="shared" si="34"/>
        <v>0</v>
      </c>
      <c r="CL31" s="1869">
        <f t="shared" si="35"/>
        <v>0</v>
      </c>
      <c r="CM31" s="1332">
        <f t="shared" si="36"/>
        <v>0</v>
      </c>
      <c r="CN31" s="1868">
        <f t="shared" si="67"/>
        <v>0</v>
      </c>
      <c r="CO31" s="1869">
        <f>IF(BA31*$Y31*$AD31-SUM($CN31:CN31)&lt;0,0,BA31*$Y31*$AD31-SUM($CN31:CN31))</f>
        <v>0</v>
      </c>
      <c r="CP31" s="1869">
        <f>IF(BB31*$Y31*$AD31-SUM($CN31:CO31)&lt;0,0,BB31*$Y31*$AD31-SUM($CN31:CO31))</f>
        <v>0</v>
      </c>
      <c r="CQ31" s="1869">
        <f>IF(BC31*$Y31*$AD31-SUM($CN31:CP31)&lt;0,0,BC31*$Y31*$AD31-SUM($CN31:CP31))</f>
        <v>0</v>
      </c>
      <c r="CR31" s="1869">
        <f>IF(BD31*$Y31*$AD31-SUM($CN31:CQ31)&lt;0,0,BD31*$Y31*$AD31-SUM($CN31:CQ31))</f>
        <v>0</v>
      </c>
      <c r="CS31" s="1332">
        <f>IF(BE31*$Y31*$AD31-SUM($CN31:CR31)&lt;0,0,BE31*$Y31*$AD31-SUM($CN31:CR31))</f>
        <v>0</v>
      </c>
      <c r="CT31" s="1875">
        <f t="shared" si="37"/>
        <v>0</v>
      </c>
      <c r="CU31" s="1868">
        <f t="shared" si="68"/>
        <v>0</v>
      </c>
      <c r="CV31" s="1869">
        <f>IF(BA31*$Y31*$AC31-SUM($CU31:CU31)&lt;0,0,BA31*$Y31*$AC31-SUM($CU31:CU31))</f>
        <v>0</v>
      </c>
      <c r="CW31" s="1869">
        <f>IF(BB31*$Y31*$AC31-SUM($CU31:CV31)&lt;0,0,BB31*$Y31*$AC31-SUM($CU31:CV31))</f>
        <v>0</v>
      </c>
      <c r="CX31" s="1869">
        <f>IF(BC31*$Y31*$AC31-SUM($CU31:CW31)&lt;0,0,BC31*$Y31*$AC31-SUM($CU31:CW31))</f>
        <v>0</v>
      </c>
      <c r="CY31" s="1869">
        <f>IF(BD31*$Y31*$AC31-SUM($CU31:CX31)&lt;0,0,BD31*$Y31*$AC31-SUM($CU31:CX31))</f>
        <v>0</v>
      </c>
      <c r="CZ31" s="1332">
        <f>IF(BE31*$Y31*$AC31-SUM($CU31:CY31)&lt;0,0,BE31*$Y31*$AC31-SUM($CU31:CY31))</f>
        <v>0</v>
      </c>
      <c r="DA31" s="1331">
        <f t="shared" si="69"/>
        <v>0</v>
      </c>
      <c r="DB31" s="1332">
        <f t="shared" si="38"/>
        <v>0</v>
      </c>
      <c r="DC31" s="2"/>
      <c r="DE31" t="str">
        <f t="shared" si="39"/>
        <v xml:space="preserve">Operation - </v>
      </c>
      <c r="DF31" s="16">
        <f t="shared" si="40"/>
        <v>0</v>
      </c>
      <c r="DG31" s="16">
        <f t="shared" si="41"/>
        <v>0</v>
      </c>
      <c r="DH31" s="16">
        <f t="shared" si="42"/>
        <v>0</v>
      </c>
      <c r="DJ31" t="str">
        <f t="shared" si="43"/>
        <v>RMB</v>
      </c>
      <c r="DK31" s="2">
        <f t="shared" si="44"/>
        <v>0</v>
      </c>
      <c r="DM31">
        <v>0</v>
      </c>
      <c r="DN31">
        <v>0</v>
      </c>
      <c r="DO31">
        <v>0</v>
      </c>
      <c r="DP31">
        <v>0</v>
      </c>
    </row>
    <row r="32" spans="1:121" ht="15" thickBot="1">
      <c r="K32" s="16"/>
      <c r="L32" s="16"/>
      <c r="P32" s="16">
        <f>+SUM(P4:P31)</f>
        <v>5.7555555555555555</v>
      </c>
      <c r="Q32" s="16">
        <f>+SUM(Q4:Q31)</f>
        <v>2.9333333333333336</v>
      </c>
      <c r="AG32" s="123">
        <f>+SUM(AG4:AG31)</f>
        <v>0.10362684537684537</v>
      </c>
      <c r="AH32" s="16"/>
      <c r="AI32" s="148"/>
      <c r="AJ32" s="123">
        <f>+SUM(AJ4:AJ31)</f>
        <v>7.61696314102564E-2</v>
      </c>
      <c r="AK32" s="123">
        <f>+SUM(AK4:AK31)</f>
        <v>0.17979647678710176</v>
      </c>
      <c r="AL32" s="16"/>
      <c r="BG32">
        <f>+MIN(BG4:BG31)</f>
        <v>666.66666666666663</v>
      </c>
      <c r="BH32">
        <f t="shared" ref="BH32:BL32" si="83">+MIN(BH4:BH31)</f>
        <v>666.66666666666663</v>
      </c>
      <c r="BI32">
        <f t="shared" si="83"/>
        <v>666.66666666666663</v>
      </c>
      <c r="BJ32">
        <f t="shared" si="83"/>
        <v>666.66666666666663</v>
      </c>
      <c r="BK32">
        <f t="shared" si="83"/>
        <v>666.66666666666663</v>
      </c>
      <c r="BL32">
        <f t="shared" si="83"/>
        <v>666.66666666666663</v>
      </c>
      <c r="BV32" s="2">
        <f>+SUM(BV4:BV31)</f>
        <v>70.707070707070699</v>
      </c>
      <c r="BW32" s="2">
        <f t="shared" ref="BW32:CA32" si="84">+SUM(BW4:BW31)</f>
        <v>0</v>
      </c>
      <c r="BX32" s="2">
        <f t="shared" si="84"/>
        <v>0</v>
      </c>
      <c r="BY32" s="2">
        <f t="shared" si="84"/>
        <v>0</v>
      </c>
      <c r="BZ32" s="2">
        <f t="shared" si="84"/>
        <v>0</v>
      </c>
      <c r="CA32" s="2">
        <f t="shared" si="84"/>
        <v>0</v>
      </c>
      <c r="CB32" s="84">
        <f>+SUM(CB4:CB31)</f>
        <v>70.707070707070699</v>
      </c>
      <c r="CC32" s="85">
        <f t="shared" ref="CC32:CG32" si="85">+SUM(CC4:CC31)</f>
        <v>0</v>
      </c>
      <c r="CD32" s="85">
        <f t="shared" si="85"/>
        <v>0</v>
      </c>
      <c r="CE32" s="85">
        <f t="shared" si="85"/>
        <v>0</v>
      </c>
      <c r="CF32" s="85">
        <f t="shared" si="85"/>
        <v>0</v>
      </c>
      <c r="CG32" s="86">
        <f t="shared" si="85"/>
        <v>0</v>
      </c>
      <c r="CH32" s="1870">
        <f>+SUM(CH4:CH31)</f>
        <v>0</v>
      </c>
      <c r="CI32" s="1871">
        <f t="shared" ref="CI32" si="86">+SUM(CI4:CI31)</f>
        <v>0</v>
      </c>
      <c r="CJ32" s="1871">
        <f t="shared" ref="CJ32" si="87">+SUM(CJ4:CJ31)</f>
        <v>0</v>
      </c>
      <c r="CK32" s="1871">
        <f t="shared" ref="CK32" si="88">+SUM(CK4:CK31)</f>
        <v>0</v>
      </c>
      <c r="CL32" s="1871">
        <f t="shared" ref="CL32" si="89">+SUM(CL4:CL31)</f>
        <v>0</v>
      </c>
      <c r="CM32" s="1872">
        <f t="shared" ref="CM32" si="90">+SUM(CM4:CM31)</f>
        <v>0</v>
      </c>
      <c r="CN32" s="1870">
        <f>+SUM(CN4:CN31)</f>
        <v>0</v>
      </c>
      <c r="CO32" s="1871">
        <f t="shared" ref="CO32" si="91">+SUM(CO4:CO31)</f>
        <v>0</v>
      </c>
      <c r="CP32" s="1871">
        <f t="shared" ref="CP32" si="92">+SUM(CP4:CP31)</f>
        <v>0</v>
      </c>
      <c r="CQ32" s="1871">
        <f t="shared" ref="CQ32" si="93">+SUM(CQ4:CQ31)</f>
        <v>0</v>
      </c>
      <c r="CR32" s="1871">
        <f t="shared" ref="CR32" si="94">+SUM(CR4:CR31)</f>
        <v>0</v>
      </c>
      <c r="CS32" s="1872">
        <f t="shared" ref="CS32" si="95">+SUM(CS4:CS31)</f>
        <v>0</v>
      </c>
      <c r="CT32" s="1876"/>
      <c r="CU32" s="1870">
        <f>+SUM(CU4:CU31)</f>
        <v>5</v>
      </c>
      <c r="CV32" s="1871">
        <f t="shared" ref="CV32" si="96">+SUM(CV4:CV31)</f>
        <v>0</v>
      </c>
      <c r="CW32" s="1871">
        <f t="shared" ref="CW32" si="97">+SUM(CW4:CW31)</f>
        <v>0</v>
      </c>
      <c r="CX32" s="1871">
        <f t="shared" ref="CX32" si="98">+SUM(CX4:CX31)</f>
        <v>0</v>
      </c>
      <c r="CY32" s="1871">
        <f t="shared" ref="CY32" si="99">+SUM(CY4:CY31)</f>
        <v>0</v>
      </c>
      <c r="CZ32" s="1872">
        <f t="shared" ref="CZ32" si="100">+SUM(CZ4:CZ31)</f>
        <v>0</v>
      </c>
    </row>
    <row r="33" spans="1:99">
      <c r="A33" s="1080"/>
      <c r="B33" s="488"/>
      <c r="K33" s="16"/>
      <c r="L33" s="16"/>
      <c r="P33" s="16"/>
      <c r="AE33" t="s">
        <v>429</v>
      </c>
    </row>
    <row r="34" spans="1:99">
      <c r="A34" s="1081"/>
      <c r="B34" s="1079" t="s">
        <v>430</v>
      </c>
      <c r="P34" s="16"/>
      <c r="Q34" s="9"/>
      <c r="AE34" t="s">
        <v>431</v>
      </c>
      <c r="CG34" s="2" t="s">
        <v>92</v>
      </c>
    </row>
    <row r="35" spans="1:99">
      <c r="A35" s="1082"/>
      <c r="B35" s="1079" t="s">
        <v>432</v>
      </c>
      <c r="Q35" s="9"/>
      <c r="AE35" t="s">
        <v>433</v>
      </c>
    </row>
    <row r="36" spans="1:99">
      <c r="A36" s="1082"/>
      <c r="B36" s="1079" t="s">
        <v>434</v>
      </c>
      <c r="CU36" s="2">
        <f>+SUM(CU32:CZ32)</f>
        <v>5</v>
      </c>
    </row>
    <row r="37" spans="1:99">
      <c r="A37" s="1082"/>
      <c r="B37" s="1079" t="s">
        <v>435</v>
      </c>
      <c r="CU37" s="2">
        <f>+SUM(CH32:CM32)</f>
        <v>0</v>
      </c>
    </row>
    <row r="38" spans="1:99">
      <c r="CU38" s="2">
        <f>+CU36+CU37</f>
        <v>5</v>
      </c>
    </row>
    <row r="39" spans="1:99">
      <c r="A39" s="2387"/>
      <c r="B39" s="2387"/>
      <c r="C39" s="2387"/>
      <c r="D39" s="2387"/>
      <c r="E39" s="2387"/>
      <c r="G39" s="66"/>
    </row>
    <row r="40" spans="1:99">
      <c r="A40" s="1071"/>
      <c r="B40" s="1072"/>
      <c r="C40" s="1072"/>
      <c r="D40" s="1072"/>
      <c r="E40" s="1072"/>
    </row>
    <row r="41" spans="1:99">
      <c r="A41" s="1071"/>
      <c r="B41" s="1073"/>
      <c r="C41" s="1073"/>
      <c r="D41" s="1073"/>
      <c r="E41" s="1073"/>
    </row>
    <row r="42" spans="1:99">
      <c r="A42" s="1071"/>
      <c r="B42" s="1073"/>
      <c r="C42" s="1073"/>
      <c r="D42" s="1073"/>
      <c r="E42" s="1073"/>
    </row>
    <row r="43" spans="1:99">
      <c r="A43" s="1071"/>
      <c r="B43" s="1073"/>
      <c r="C43" s="1073"/>
      <c r="D43" s="1073"/>
      <c r="E43" s="1073"/>
    </row>
    <row r="44" spans="1:99">
      <c r="A44" s="1071"/>
      <c r="B44" s="1073"/>
      <c r="C44" s="1073"/>
      <c r="D44" s="1073"/>
      <c r="E44" s="1073"/>
    </row>
    <row r="45" spans="1:99">
      <c r="A45" s="1071"/>
      <c r="B45" s="1073"/>
      <c r="C45" s="1073"/>
      <c r="D45" s="1073"/>
      <c r="E45" s="1073"/>
    </row>
    <row r="46" spans="1:99">
      <c r="A46" s="1071"/>
      <c r="B46" s="1073"/>
      <c r="C46" s="1073"/>
      <c r="D46" s="1073"/>
      <c r="E46" s="1073"/>
    </row>
    <row r="47" spans="1:99">
      <c r="A47" s="1071"/>
      <c r="B47" s="1073"/>
      <c r="C47" s="1073"/>
      <c r="D47" s="1073"/>
      <c r="E47" s="1073"/>
    </row>
    <row r="48" spans="1:99">
      <c r="A48" s="1071"/>
      <c r="B48" s="1073"/>
      <c r="C48" s="1073"/>
      <c r="D48" s="1073"/>
      <c r="E48" s="1073"/>
    </row>
    <row r="49" spans="1:15">
      <c r="A49" s="1071"/>
      <c r="B49" s="1073"/>
      <c r="C49" s="1073"/>
      <c r="D49" s="1073"/>
      <c r="E49" s="1073"/>
    </row>
    <row r="50" spans="1:15" ht="15" thickBot="1"/>
    <row r="51" spans="1:15" ht="15" thickBot="1">
      <c r="N51" s="1077"/>
      <c r="O51" s="1078" t="s">
        <v>436</v>
      </c>
    </row>
    <row r="52" spans="1:15">
      <c r="N52" s="461"/>
      <c r="O52" s="463" t="str">
        <f>IF(J4&lt;&gt;"",A4,"")</f>
        <v>Kunshan</v>
      </c>
    </row>
    <row r="53" spans="1:15">
      <c r="L53">
        <f t="shared" ref="L53:L57" si="101">IF(OR(O53=$O$52,O53=O52,O53=""),0,1)</f>
        <v>1</v>
      </c>
      <c r="M53">
        <f>E52+L53</f>
        <v>1</v>
      </c>
      <c r="N53" s="1074">
        <f>IF(E52=M53,0,M53)</f>
        <v>1</v>
      </c>
      <c r="O53" s="1075" t="str">
        <f t="shared" ref="O53:O79" si="102">IF(J5&lt;&gt;"",A5,"")</f>
        <v>Kunshan-ASSY</v>
      </c>
    </row>
    <row r="54" spans="1:15">
      <c r="L54">
        <f t="shared" si="101"/>
        <v>0</v>
      </c>
      <c r="M54">
        <f t="shared" ref="M54:M59" si="103">M53+L54</f>
        <v>1</v>
      </c>
      <c r="N54" s="1074">
        <f t="shared" ref="N54:N79" si="104">IF(M53=M54,0,M54)</f>
        <v>0</v>
      </c>
      <c r="O54" s="1075" t="str">
        <f t="shared" si="102"/>
        <v>Kunshan</v>
      </c>
    </row>
    <row r="55" spans="1:15">
      <c r="L55">
        <f t="shared" si="101"/>
        <v>0</v>
      </c>
      <c r="M55">
        <f t="shared" si="103"/>
        <v>1</v>
      </c>
      <c r="N55" s="1074">
        <f t="shared" si="104"/>
        <v>0</v>
      </c>
      <c r="O55" s="1075" t="str">
        <f t="shared" si="102"/>
        <v>Kunshan</v>
      </c>
    </row>
    <row r="56" spans="1:15">
      <c r="L56">
        <f t="shared" si="101"/>
        <v>0</v>
      </c>
      <c r="M56">
        <f t="shared" si="103"/>
        <v>1</v>
      </c>
      <c r="N56" s="1074">
        <f t="shared" si="104"/>
        <v>0</v>
      </c>
      <c r="O56" s="1075" t="str">
        <f t="shared" si="102"/>
        <v/>
      </c>
    </row>
    <row r="57" spans="1:15">
      <c r="L57">
        <f t="shared" si="101"/>
        <v>0</v>
      </c>
      <c r="M57">
        <f t="shared" si="103"/>
        <v>1</v>
      </c>
      <c r="N57" s="1074">
        <f t="shared" si="104"/>
        <v>0</v>
      </c>
      <c r="O57" s="1075" t="str">
        <f t="shared" si="102"/>
        <v/>
      </c>
    </row>
    <row r="58" spans="1:15">
      <c r="L58">
        <f>IF(OR(O58=$O$52,O58=O57,O58=""),0,1)</f>
        <v>0</v>
      </c>
      <c r="M58">
        <f t="shared" si="103"/>
        <v>1</v>
      </c>
      <c r="N58" s="1074">
        <f t="shared" si="104"/>
        <v>0</v>
      </c>
      <c r="O58" s="1075" t="str">
        <f t="shared" si="102"/>
        <v/>
      </c>
    </row>
    <row r="59" spans="1:15">
      <c r="L59">
        <f t="shared" ref="L59:L78" si="105">IF(OR(O59=$O$52,O59=O58,O59=""),0,1)</f>
        <v>0</v>
      </c>
      <c r="M59">
        <f t="shared" si="103"/>
        <v>1</v>
      </c>
      <c r="N59" s="1074">
        <f t="shared" si="104"/>
        <v>0</v>
      </c>
      <c r="O59" s="1075" t="str">
        <f t="shared" si="102"/>
        <v/>
      </c>
    </row>
    <row r="60" spans="1:15">
      <c r="L60">
        <f t="shared" si="105"/>
        <v>0</v>
      </c>
      <c r="M60">
        <f t="shared" ref="M60:M79" si="106">M59+L60</f>
        <v>1</v>
      </c>
      <c r="N60" s="1074">
        <f t="shared" si="104"/>
        <v>0</v>
      </c>
      <c r="O60" s="1075" t="str">
        <f t="shared" si="102"/>
        <v/>
      </c>
    </row>
    <row r="61" spans="1:15">
      <c r="L61">
        <f t="shared" si="105"/>
        <v>0</v>
      </c>
      <c r="M61">
        <f t="shared" si="106"/>
        <v>1</v>
      </c>
      <c r="N61" s="1074">
        <f t="shared" si="104"/>
        <v>0</v>
      </c>
      <c r="O61" s="1075" t="str">
        <f t="shared" si="102"/>
        <v/>
      </c>
    </row>
    <row r="62" spans="1:15">
      <c r="L62">
        <f t="shared" si="105"/>
        <v>0</v>
      </c>
      <c r="M62">
        <f t="shared" si="106"/>
        <v>1</v>
      </c>
      <c r="N62" s="1074">
        <f t="shared" si="104"/>
        <v>0</v>
      </c>
      <c r="O62" s="1075" t="str">
        <f t="shared" si="102"/>
        <v/>
      </c>
    </row>
    <row r="63" spans="1:15">
      <c r="L63">
        <f t="shared" si="105"/>
        <v>0</v>
      </c>
      <c r="M63">
        <f t="shared" si="106"/>
        <v>1</v>
      </c>
      <c r="N63" s="1074">
        <f t="shared" si="104"/>
        <v>0</v>
      </c>
      <c r="O63" s="1075" t="str">
        <f t="shared" si="102"/>
        <v/>
      </c>
    </row>
    <row r="64" spans="1:15">
      <c r="L64">
        <f t="shared" si="105"/>
        <v>0</v>
      </c>
      <c r="M64">
        <f t="shared" si="106"/>
        <v>1</v>
      </c>
      <c r="N64" s="1074">
        <f t="shared" si="104"/>
        <v>0</v>
      </c>
      <c r="O64" s="1075" t="str">
        <f t="shared" si="102"/>
        <v/>
      </c>
    </row>
    <row r="65" spans="12:15">
      <c r="L65">
        <f t="shared" si="105"/>
        <v>0</v>
      </c>
      <c r="M65">
        <f t="shared" si="106"/>
        <v>1</v>
      </c>
      <c r="N65" s="1074">
        <f t="shared" si="104"/>
        <v>0</v>
      </c>
      <c r="O65" s="1075" t="str">
        <f t="shared" si="102"/>
        <v/>
      </c>
    </row>
    <row r="66" spans="12:15">
      <c r="L66">
        <f t="shared" si="105"/>
        <v>0</v>
      </c>
      <c r="M66">
        <f t="shared" si="106"/>
        <v>1</v>
      </c>
      <c r="N66" s="1074">
        <f t="shared" si="104"/>
        <v>0</v>
      </c>
      <c r="O66" s="1075" t="str">
        <f t="shared" si="102"/>
        <v/>
      </c>
    </row>
    <row r="67" spans="12:15">
      <c r="L67">
        <f t="shared" si="105"/>
        <v>0</v>
      </c>
      <c r="M67">
        <f t="shared" si="106"/>
        <v>1</v>
      </c>
      <c r="N67" s="1074">
        <f t="shared" si="104"/>
        <v>0</v>
      </c>
      <c r="O67" s="1075" t="str">
        <f t="shared" si="102"/>
        <v/>
      </c>
    </row>
    <row r="68" spans="12:15">
      <c r="L68">
        <f t="shared" si="105"/>
        <v>0</v>
      </c>
      <c r="M68">
        <f t="shared" si="106"/>
        <v>1</v>
      </c>
      <c r="N68" s="1074">
        <f t="shared" si="104"/>
        <v>0</v>
      </c>
      <c r="O68" s="1075" t="str">
        <f t="shared" si="102"/>
        <v/>
      </c>
    </row>
    <row r="69" spans="12:15">
      <c r="L69">
        <f t="shared" si="105"/>
        <v>0</v>
      </c>
      <c r="M69">
        <f t="shared" si="106"/>
        <v>1</v>
      </c>
      <c r="N69" s="1074">
        <f t="shared" si="104"/>
        <v>0</v>
      </c>
      <c r="O69" s="1075" t="str">
        <f t="shared" si="102"/>
        <v/>
      </c>
    </row>
    <row r="70" spans="12:15">
      <c r="L70">
        <f t="shared" si="105"/>
        <v>0</v>
      </c>
      <c r="M70">
        <f t="shared" si="106"/>
        <v>1</v>
      </c>
      <c r="N70" s="1074">
        <f t="shared" si="104"/>
        <v>0</v>
      </c>
      <c r="O70" s="1075" t="str">
        <f t="shared" si="102"/>
        <v/>
      </c>
    </row>
    <row r="71" spans="12:15">
      <c r="L71">
        <f t="shared" si="105"/>
        <v>0</v>
      </c>
      <c r="M71">
        <f t="shared" si="106"/>
        <v>1</v>
      </c>
      <c r="N71" s="1074">
        <f t="shared" si="104"/>
        <v>0</v>
      </c>
      <c r="O71" s="1075" t="str">
        <f t="shared" si="102"/>
        <v/>
      </c>
    </row>
    <row r="72" spans="12:15">
      <c r="L72">
        <f t="shared" si="105"/>
        <v>0</v>
      </c>
      <c r="M72">
        <f t="shared" si="106"/>
        <v>1</v>
      </c>
      <c r="N72" s="1074">
        <f t="shared" si="104"/>
        <v>0</v>
      </c>
      <c r="O72" s="1075" t="str">
        <f t="shared" si="102"/>
        <v/>
      </c>
    </row>
    <row r="73" spans="12:15">
      <c r="L73">
        <f t="shared" si="105"/>
        <v>0</v>
      </c>
      <c r="M73">
        <f t="shared" si="106"/>
        <v>1</v>
      </c>
      <c r="N73" s="1074">
        <f t="shared" si="104"/>
        <v>0</v>
      </c>
      <c r="O73" s="1075" t="str">
        <f t="shared" si="102"/>
        <v/>
      </c>
    </row>
    <row r="74" spans="12:15">
      <c r="L74">
        <f t="shared" si="105"/>
        <v>0</v>
      </c>
      <c r="M74">
        <f t="shared" si="106"/>
        <v>1</v>
      </c>
      <c r="N74" s="1074">
        <f t="shared" si="104"/>
        <v>0</v>
      </c>
      <c r="O74" s="1075" t="str">
        <f t="shared" si="102"/>
        <v/>
      </c>
    </row>
    <row r="75" spans="12:15">
      <c r="L75">
        <f t="shared" si="105"/>
        <v>0</v>
      </c>
      <c r="M75">
        <f t="shared" si="106"/>
        <v>1</v>
      </c>
      <c r="N75" s="1074">
        <f t="shared" si="104"/>
        <v>0</v>
      </c>
      <c r="O75" s="1075" t="str">
        <f t="shared" si="102"/>
        <v/>
      </c>
    </row>
    <row r="76" spans="12:15">
      <c r="L76">
        <f t="shared" si="105"/>
        <v>0</v>
      </c>
      <c r="M76">
        <f t="shared" si="106"/>
        <v>1</v>
      </c>
      <c r="N76" s="1074">
        <f t="shared" si="104"/>
        <v>0</v>
      </c>
      <c r="O76" s="1075" t="str">
        <f t="shared" si="102"/>
        <v/>
      </c>
    </row>
    <row r="77" spans="12:15">
      <c r="L77">
        <f t="shared" si="105"/>
        <v>0</v>
      </c>
      <c r="M77">
        <f t="shared" si="106"/>
        <v>1</v>
      </c>
      <c r="N77" s="1074">
        <f t="shared" si="104"/>
        <v>0</v>
      </c>
      <c r="O77" s="1075" t="str">
        <f t="shared" si="102"/>
        <v/>
      </c>
    </row>
    <row r="78" spans="12:15">
      <c r="L78">
        <f t="shared" si="105"/>
        <v>0</v>
      </c>
      <c r="M78">
        <f t="shared" si="106"/>
        <v>1</v>
      </c>
      <c r="N78" s="1074">
        <f t="shared" si="104"/>
        <v>0</v>
      </c>
      <c r="O78" s="1075" t="str">
        <f t="shared" si="102"/>
        <v/>
      </c>
    </row>
    <row r="79" spans="12:15" ht="15" thickBot="1">
      <c r="L79">
        <v>0</v>
      </c>
      <c r="M79">
        <f t="shared" si="106"/>
        <v>1</v>
      </c>
      <c r="N79" s="1076">
        <f t="shared" si="104"/>
        <v>0</v>
      </c>
      <c r="O79" s="466" t="str">
        <f t="shared" si="102"/>
        <v>Kunshan</v>
      </c>
    </row>
    <row r="81" spans="12:12">
      <c r="L81">
        <f>SUM(L53:L79)</f>
        <v>1</v>
      </c>
    </row>
  </sheetData>
  <sheetProtection selectLockedCells="1"/>
  <sortState xmlns:xlrd2="http://schemas.microsoft.com/office/spreadsheetml/2017/richdata2" ref="DM4:DP31">
    <sortCondition descending="1" ref="DP4:DP31"/>
  </sortState>
  <mergeCells count="16">
    <mergeCell ref="Y2:AD2"/>
    <mergeCell ref="A39:E39"/>
    <mergeCell ref="CB2:CG2"/>
    <mergeCell ref="CU2:CZ2"/>
    <mergeCell ref="CH2:CM2"/>
    <mergeCell ref="CN2:CS2"/>
    <mergeCell ref="M2:Q2"/>
    <mergeCell ref="BO2:BT2"/>
    <mergeCell ref="BV2:CA2"/>
    <mergeCell ref="BG2:BL2"/>
    <mergeCell ref="AM2:AR2"/>
    <mergeCell ref="AS2:AX2"/>
    <mergeCell ref="AE31:AL31"/>
    <mergeCell ref="A2:L2"/>
    <mergeCell ref="R2:W2"/>
    <mergeCell ref="AZ2:BE2"/>
  </mergeCells>
  <phoneticPr fontId="12" type="noConversion"/>
  <conditionalFormatting sqref="O4">
    <cfRule type="cellIs" priority="8" stopIfTrue="1" operator="equal">
      <formula>0</formula>
    </cfRule>
    <cfRule type="cellIs" dxfId="188" priority="10" operator="lessThan">
      <formula>0.85</formula>
    </cfRule>
  </conditionalFormatting>
  <conditionalFormatting sqref="O5:O31">
    <cfRule type="cellIs" priority="6" stopIfTrue="1" operator="equal">
      <formula>0</formula>
    </cfRule>
    <cfRule type="cellIs" dxfId="187" priority="7" operator="lessThan">
      <formula>0.85</formula>
    </cfRule>
  </conditionalFormatting>
  <dataValidations count="6">
    <dataValidation type="list" allowBlank="1" showInputMessage="1" showErrorMessage="1" sqref="V31 U4:U31 AB4:AB31" xr:uid="{94D0DE29-A8C0-4E24-80B0-E6431AECACBA}">
      <formula1>"AVOCarbon,Customer"</formula1>
    </dataValidation>
    <dataValidation type="list" allowBlank="1" showInputMessage="1" showErrorMessage="1" sqref="T4:T31 L4:L30" xr:uid="{E74D8416-9F0F-46E3-8D21-C7B47478C786}">
      <formula1>"YES,NO"</formula1>
    </dataValidation>
    <dataValidation type="whole" allowBlank="1" showInputMessage="1" showErrorMessage="1" sqref="R4:R31" xr:uid="{9545D034-5FF7-4ECA-B96C-C8302094C0EC}">
      <formula1>0</formula1>
      <formula2>5000</formula2>
    </dataValidation>
    <dataValidation type="decimal" allowBlank="1" showInputMessage="1" showErrorMessage="1" sqref="AC4:AC30 V4:V31" xr:uid="{B008A00B-E811-4B63-BAAB-6833D8638830}">
      <formula1>0</formula1>
      <formula2>1</formula2>
    </dataValidation>
    <dataValidation type="list" allowBlank="1" showInputMessage="1" showErrorMessage="1" sqref="A4:A31" xr:uid="{DE2F58A0-BBE6-4300-8A0B-11D36008C111}">
      <formula1>PLANTS</formula1>
    </dataValidation>
    <dataValidation type="list" allowBlank="1" showInputMessage="1" showErrorMessage="1" sqref="AC31" xr:uid="{6B411FCE-3309-4E1C-9396-1D6DFF81284F}">
      <formula1>"0,0,5,1"</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5FED46A6-FD19-41B8-8C95-058BC07B4E7D}">
            <xm:f>A4&lt;&gt;'RFQ Data'!$K$13</xm:f>
            <x14:dxf>
              <fill>
                <patternFill>
                  <bgColor theme="5" tint="0.39994506668294322"/>
                </patternFill>
              </fill>
            </x14:dxf>
          </x14:cfRule>
          <xm:sqref>A4:A31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53C8C-8E61-4A29-8870-2E3A345CF41E}">
  <sheetPr codeName="Feuil20">
    <tabColor rgb="FF00B0F0"/>
  </sheetPr>
  <dimension ref="A1:Z33"/>
  <sheetViews>
    <sheetView zoomScale="70" zoomScaleNormal="70" workbookViewId="0">
      <selection activeCell="N30" sqref="N30"/>
    </sheetView>
  </sheetViews>
  <sheetFormatPr baseColWidth="10" defaultColWidth="11.44140625" defaultRowHeight="14.4"/>
  <cols>
    <col min="1" max="1" width="27.109375" customWidth="1"/>
    <col min="2" max="2" width="25.44140625" customWidth="1"/>
    <col min="3" max="3" width="11.77734375" customWidth="1"/>
    <col min="4" max="4" width="8.77734375" customWidth="1"/>
    <col min="5" max="5" width="11.6640625" customWidth="1"/>
    <col min="6" max="6" width="35.44140625" customWidth="1"/>
    <col min="7" max="7" width="12.77734375" customWidth="1"/>
    <col min="8" max="8" width="8.77734375" customWidth="1"/>
    <col min="9" max="12" width="8.77734375" hidden="1" customWidth="1"/>
    <col min="13" max="13" width="7.109375" customWidth="1"/>
    <col min="14" max="14" width="27.6640625" customWidth="1"/>
    <col min="15" max="15" width="12.21875" customWidth="1"/>
    <col min="16" max="17" width="8.77734375" customWidth="1"/>
    <col min="18" max="18" width="21.77734375" customWidth="1"/>
    <col min="19" max="19" width="11.77734375" customWidth="1"/>
    <col min="20" max="26" width="8.77734375" customWidth="1"/>
  </cols>
  <sheetData>
    <row r="1" spans="1:26" ht="18.600000000000001" thickBot="1">
      <c r="A1" s="2406" t="s">
        <v>437</v>
      </c>
      <c r="B1" s="2407"/>
      <c r="C1" s="2407"/>
      <c r="D1" s="2407"/>
      <c r="E1" s="2407"/>
      <c r="F1" s="2407"/>
      <c r="G1" s="2407"/>
      <c r="H1" s="2407"/>
      <c r="I1" s="2407"/>
      <c r="J1" s="2407"/>
      <c r="K1" s="2407"/>
      <c r="L1" s="2407"/>
      <c r="M1" s="2407"/>
      <c r="N1" s="2407"/>
      <c r="O1" s="2407"/>
      <c r="P1" s="2407"/>
      <c r="Q1" s="2407"/>
      <c r="R1" s="2407"/>
      <c r="S1" s="2407"/>
      <c r="T1" s="2407"/>
      <c r="U1" s="2407"/>
      <c r="V1" s="2408"/>
      <c r="W1" s="2067"/>
      <c r="X1" s="2067"/>
      <c r="Y1" s="2067"/>
      <c r="Z1" s="2067"/>
    </row>
    <row r="2" spans="1:26" ht="15" thickBot="1"/>
    <row r="3" spans="1:26" ht="14.7" customHeight="1">
      <c r="A3" s="2413" t="s">
        <v>438</v>
      </c>
      <c r="B3" s="2415" t="s">
        <v>439</v>
      </c>
      <c r="C3" s="2398" t="s">
        <v>440</v>
      </c>
      <c r="D3" s="1663" t="s">
        <v>441</v>
      </c>
      <c r="E3" s="2417" t="s">
        <v>442</v>
      </c>
      <c r="F3" s="2419" t="s">
        <v>443</v>
      </c>
      <c r="G3" s="2421" t="s">
        <v>444</v>
      </c>
      <c r="H3" s="2423" t="s">
        <v>445</v>
      </c>
      <c r="I3" s="1659"/>
      <c r="J3" s="1659"/>
      <c r="K3" s="1659"/>
      <c r="L3" s="1660"/>
      <c r="M3" s="2411" t="s">
        <v>446</v>
      </c>
      <c r="N3" s="2425" t="s">
        <v>447</v>
      </c>
      <c r="O3" s="2398" t="s">
        <v>444</v>
      </c>
      <c r="P3" s="2400" t="s">
        <v>445</v>
      </c>
      <c r="Q3" s="2402" t="s">
        <v>446</v>
      </c>
      <c r="R3" s="2419" t="s">
        <v>448</v>
      </c>
      <c r="S3" s="2421" t="s">
        <v>444</v>
      </c>
      <c r="T3" s="2409" t="s">
        <v>445</v>
      </c>
      <c r="U3" s="2411" t="s">
        <v>446</v>
      </c>
      <c r="V3" s="2404" t="s">
        <v>449</v>
      </c>
    </row>
    <row r="4" spans="1:26" ht="36" customHeight="1" thickBot="1">
      <c r="A4" s="2414"/>
      <c r="B4" s="2416"/>
      <c r="C4" s="2367"/>
      <c r="D4" s="1664">
        <v>0.1</v>
      </c>
      <c r="E4" s="2418"/>
      <c r="F4" s="2420"/>
      <c r="G4" s="2422"/>
      <c r="H4" s="2424"/>
      <c r="I4" s="1661"/>
      <c r="J4" s="1661"/>
      <c r="K4" s="1661"/>
      <c r="L4" s="1662"/>
      <c r="M4" s="2412"/>
      <c r="N4" s="2426"/>
      <c r="O4" s="2399"/>
      <c r="P4" s="2401"/>
      <c r="Q4" s="2403"/>
      <c r="R4" s="2420"/>
      <c r="S4" s="2422"/>
      <c r="T4" s="2410"/>
      <c r="U4" s="2412"/>
      <c r="V4" s="2405"/>
    </row>
    <row r="5" spans="1:26">
      <c r="A5" s="1665" t="str">
        <f>+'Product Added value'!G4</f>
        <v>Winding</v>
      </c>
      <c r="B5" s="1666" t="str">
        <f>'Product Added value'!S4</f>
        <v>Winding station</v>
      </c>
      <c r="C5" s="1667">
        <f>+'Product Added value'!DB4</f>
        <v>27.272727272727273</v>
      </c>
      <c r="D5" s="1667">
        <f t="shared" ref="D5:D33" si="0">+C5*$D$4</f>
        <v>2.7272727272727275</v>
      </c>
      <c r="E5" s="1668">
        <f>+'Product Added value'!M4</f>
        <v>450</v>
      </c>
      <c r="F5" s="1669"/>
      <c r="G5" s="1670"/>
      <c r="H5" s="1670"/>
      <c r="I5" s="1703" t="s">
        <v>450</v>
      </c>
      <c r="J5" s="1703" t="str">
        <f>QuotingCUR</f>
        <v>RMB</v>
      </c>
      <c r="K5" s="1704" t="str">
        <f>+I5&amp;J5</f>
        <v>EURRMB</v>
      </c>
      <c r="L5" s="1705">
        <f>+SUMIF('Financials Parameters'!$D$29:$D$53,K5,'Financials Parameters'!$E$29:$E$53)</f>
        <v>7.7789000000000001</v>
      </c>
      <c r="M5" s="1671">
        <f>+IF(G5&lt;&gt;0,$E5/G5*H5,0)*L5</f>
        <v>0</v>
      </c>
      <c r="N5" s="1672"/>
      <c r="O5" s="1673"/>
      <c r="P5" s="1674"/>
      <c r="Q5" s="1675">
        <f>+IF(O5&lt;&gt;0,$E5/O5*P5,0)*L5</f>
        <v>0</v>
      </c>
      <c r="R5" s="1669"/>
      <c r="S5" s="1670"/>
      <c r="T5" s="1670"/>
      <c r="U5" s="1676">
        <f>+IF(S5&lt;&gt;0,$E5/S5*T5,0)*L5</f>
        <v>0</v>
      </c>
      <c r="V5" s="1677">
        <f>+Q5+M5+D5+U5</f>
        <v>2.7272727272727275</v>
      </c>
    </row>
    <row r="6" spans="1:26">
      <c r="A6" s="1678" t="str">
        <f>+'Product Added value'!G5</f>
        <v>Assembly core</v>
      </c>
      <c r="B6" s="1679" t="str">
        <f>'Product Added value'!S5</f>
        <v/>
      </c>
      <c r="C6" s="1680">
        <f>+'Product Added value'!DB5</f>
        <v>0</v>
      </c>
      <c r="D6" s="1680">
        <f t="shared" si="0"/>
        <v>0</v>
      </c>
      <c r="E6" s="1668">
        <f>+'Product Added value'!M5</f>
        <v>600</v>
      </c>
      <c r="F6" s="1681"/>
      <c r="G6" s="1682"/>
      <c r="H6" s="1682"/>
      <c r="I6" s="1706" t="s">
        <v>450</v>
      </c>
      <c r="J6" s="1706" t="str">
        <f>+J5</f>
        <v>RMB</v>
      </c>
      <c r="K6" s="1707" t="str">
        <f t="shared" ref="K6:K33" si="1">+I6&amp;J6</f>
        <v>EURRMB</v>
      </c>
      <c r="L6" s="1708">
        <f>+SUMIF('Financials Parameters'!$D$29:$D$53,K6,'Financials Parameters'!$E$29:$E$53)</f>
        <v>7.7789000000000001</v>
      </c>
      <c r="M6" s="1683">
        <f t="shared" ref="M6:M33" si="2">+IF(G6&lt;&gt;0,$E6/G6*H6,0)*L6</f>
        <v>0</v>
      </c>
      <c r="N6" s="1684"/>
      <c r="O6" s="1685"/>
      <c r="P6" s="1686"/>
      <c r="Q6" s="1687">
        <f t="shared" ref="Q6:Q33" si="3">+IF(O6&lt;&gt;0,$E6/O6*P6,0)*L6</f>
        <v>0</v>
      </c>
      <c r="R6" s="1681"/>
      <c r="S6" s="1682"/>
      <c r="T6" s="1682"/>
      <c r="U6" s="1688">
        <f t="shared" ref="U6:U33" si="4">+IF(S6&lt;&gt;0,$E6/S6*T6,0)*L6</f>
        <v>0</v>
      </c>
      <c r="V6" s="1689">
        <f t="shared" ref="V6:V32" si="5">+Q6+M6+D6+U6</f>
        <v>0</v>
      </c>
    </row>
    <row r="7" spans="1:26">
      <c r="A7" s="1678" t="str">
        <f>+'Product Added value'!G6</f>
        <v>Auto Soldering</v>
      </c>
      <c r="B7" s="1679" t="str">
        <f>'Product Added value'!S6</f>
        <v>Auto Soldering station</v>
      </c>
      <c r="C7" s="1680">
        <f>+'Product Added value'!DB6</f>
        <v>27.272727272727273</v>
      </c>
      <c r="D7" s="1680">
        <f t="shared" si="0"/>
        <v>2.7272727272727275</v>
      </c>
      <c r="E7" s="1668">
        <f>+'Product Added value'!M6</f>
        <v>600</v>
      </c>
      <c r="F7" s="1681"/>
      <c r="G7" s="1682"/>
      <c r="H7" s="1682"/>
      <c r="I7" s="1706" t="s">
        <v>450</v>
      </c>
      <c r="J7" s="1706" t="str">
        <f t="shared" ref="J7:J33" si="6">+J6</f>
        <v>RMB</v>
      </c>
      <c r="K7" s="1707" t="str">
        <f t="shared" si="1"/>
        <v>EURRMB</v>
      </c>
      <c r="L7" s="1708">
        <f>+SUMIF('Financials Parameters'!$D$29:$D$53,K7,'Financials Parameters'!$E$29:$E$53)</f>
        <v>7.7789000000000001</v>
      </c>
      <c r="M7" s="1683">
        <f t="shared" si="2"/>
        <v>0</v>
      </c>
      <c r="N7" s="1684"/>
      <c r="O7" s="1685"/>
      <c r="P7" s="1686"/>
      <c r="Q7" s="1687">
        <f t="shared" si="3"/>
        <v>0</v>
      </c>
      <c r="R7" s="1681"/>
      <c r="S7" s="1682"/>
      <c r="T7" s="1682"/>
      <c r="U7" s="1688">
        <f t="shared" si="4"/>
        <v>0</v>
      </c>
      <c r="V7" s="1689">
        <f t="shared" si="5"/>
        <v>2.7272727272727275</v>
      </c>
    </row>
    <row r="8" spans="1:26">
      <c r="A8" s="1678" t="str">
        <f>+'Product Added value'!G7</f>
        <v>Inspection + Packaging</v>
      </c>
      <c r="B8" s="1679" t="str">
        <f>'Product Added value'!S7</f>
        <v/>
      </c>
      <c r="C8" s="1680">
        <f>+'Product Added value'!DB7</f>
        <v>0</v>
      </c>
      <c r="D8" s="1680">
        <f t="shared" si="0"/>
        <v>0</v>
      </c>
      <c r="E8" s="1668">
        <f>+'Product Added value'!M7</f>
        <v>10000</v>
      </c>
      <c r="F8" s="1681"/>
      <c r="G8" s="1682"/>
      <c r="H8" s="1682"/>
      <c r="I8" s="1706" t="s">
        <v>450</v>
      </c>
      <c r="J8" s="1706" t="str">
        <f t="shared" si="6"/>
        <v>RMB</v>
      </c>
      <c r="K8" s="1707" t="str">
        <f t="shared" si="1"/>
        <v>EURRMB</v>
      </c>
      <c r="L8" s="1708">
        <f>+SUMIF('Financials Parameters'!$D$29:$D$53,K8,'Financials Parameters'!$E$29:$E$53)</f>
        <v>7.7789000000000001</v>
      </c>
      <c r="M8" s="1683">
        <f t="shared" si="2"/>
        <v>0</v>
      </c>
      <c r="N8" s="1684"/>
      <c r="O8" s="1685"/>
      <c r="P8" s="1686"/>
      <c r="Q8" s="1687">
        <f t="shared" si="3"/>
        <v>0</v>
      </c>
      <c r="R8" s="1681"/>
      <c r="S8" s="1682"/>
      <c r="T8" s="1682"/>
      <c r="U8" s="1688">
        <f t="shared" si="4"/>
        <v>0</v>
      </c>
      <c r="V8" s="1689">
        <f t="shared" si="5"/>
        <v>0</v>
      </c>
    </row>
    <row r="9" spans="1:26">
      <c r="A9" s="1678">
        <f>+'Product Added value'!G8</f>
        <v>0</v>
      </c>
      <c r="B9" s="1679" t="str">
        <f>'Product Added value'!S8</f>
        <v/>
      </c>
      <c r="C9" s="1680">
        <f>+'Product Added value'!DB8</f>
        <v>0</v>
      </c>
      <c r="D9" s="1680">
        <f t="shared" si="0"/>
        <v>0</v>
      </c>
      <c r="E9" s="1668">
        <f>+'Product Added value'!M8</f>
        <v>0</v>
      </c>
      <c r="F9" s="1681"/>
      <c r="G9" s="1682"/>
      <c r="H9" s="1682"/>
      <c r="I9" s="1706" t="s">
        <v>450</v>
      </c>
      <c r="J9" s="1706" t="str">
        <f t="shared" si="6"/>
        <v>RMB</v>
      </c>
      <c r="K9" s="1707" t="str">
        <f t="shared" si="1"/>
        <v>EURRMB</v>
      </c>
      <c r="L9" s="1708">
        <f>+SUMIF('Financials Parameters'!$D$29:$D$53,K9,'Financials Parameters'!$E$29:$E$53)</f>
        <v>7.7789000000000001</v>
      </c>
      <c r="M9" s="1683">
        <f t="shared" si="2"/>
        <v>0</v>
      </c>
      <c r="N9" s="1684"/>
      <c r="O9" s="1685"/>
      <c r="P9" s="1686"/>
      <c r="Q9" s="1687">
        <f t="shared" si="3"/>
        <v>0</v>
      </c>
      <c r="R9" s="1681"/>
      <c r="S9" s="1682"/>
      <c r="T9" s="1682"/>
      <c r="U9" s="1688">
        <f t="shared" si="4"/>
        <v>0</v>
      </c>
      <c r="V9" s="1689">
        <f t="shared" si="5"/>
        <v>0</v>
      </c>
    </row>
    <row r="10" spans="1:26">
      <c r="A10" s="1678">
        <f>+'Product Added value'!G9</f>
        <v>0</v>
      </c>
      <c r="B10" s="1679" t="str">
        <f>'Product Added value'!S9</f>
        <v/>
      </c>
      <c r="C10" s="1680">
        <f>+'Product Added value'!DB9</f>
        <v>0</v>
      </c>
      <c r="D10" s="1680">
        <f t="shared" si="0"/>
        <v>0</v>
      </c>
      <c r="E10" s="1668">
        <f>+'Product Added value'!M9</f>
        <v>0</v>
      </c>
      <c r="F10" s="1681"/>
      <c r="G10" s="1682"/>
      <c r="H10" s="1682"/>
      <c r="I10" s="1706" t="s">
        <v>450</v>
      </c>
      <c r="J10" s="1706" t="str">
        <f t="shared" si="6"/>
        <v>RMB</v>
      </c>
      <c r="K10" s="1707" t="str">
        <f t="shared" si="1"/>
        <v>EURRMB</v>
      </c>
      <c r="L10" s="1708">
        <f>+SUMIF('Financials Parameters'!$D$29:$D$53,K10,'Financials Parameters'!$E$29:$E$53)</f>
        <v>7.7789000000000001</v>
      </c>
      <c r="M10" s="1683">
        <f t="shared" si="2"/>
        <v>0</v>
      </c>
      <c r="N10" s="1684"/>
      <c r="O10" s="1685"/>
      <c r="P10" s="1686"/>
      <c r="Q10" s="1687">
        <f t="shared" si="3"/>
        <v>0</v>
      </c>
      <c r="R10" s="1681"/>
      <c r="S10" s="1682"/>
      <c r="T10" s="1682"/>
      <c r="U10" s="1688">
        <f t="shared" si="4"/>
        <v>0</v>
      </c>
      <c r="V10" s="1689">
        <f t="shared" si="5"/>
        <v>0</v>
      </c>
    </row>
    <row r="11" spans="1:26">
      <c r="A11" s="1678">
        <f>+'Product Added value'!G10</f>
        <v>0</v>
      </c>
      <c r="B11" s="1679" t="str">
        <f>'Product Added value'!S10</f>
        <v/>
      </c>
      <c r="C11" s="1680">
        <f>+'Product Added value'!DB10</f>
        <v>0</v>
      </c>
      <c r="D11" s="1680">
        <f t="shared" si="0"/>
        <v>0</v>
      </c>
      <c r="E11" s="1668">
        <f>+'Product Added value'!M10</f>
        <v>0</v>
      </c>
      <c r="F11" s="1681"/>
      <c r="G11" s="1682"/>
      <c r="H11" s="1682"/>
      <c r="I11" s="1706" t="s">
        <v>450</v>
      </c>
      <c r="J11" s="1706" t="str">
        <f t="shared" si="6"/>
        <v>RMB</v>
      </c>
      <c r="K11" s="1707" t="str">
        <f t="shared" si="1"/>
        <v>EURRMB</v>
      </c>
      <c r="L11" s="1708">
        <f>+SUMIF('Financials Parameters'!$D$29:$D$53,K11,'Financials Parameters'!$E$29:$E$53)</f>
        <v>7.7789000000000001</v>
      </c>
      <c r="M11" s="1683">
        <f t="shared" si="2"/>
        <v>0</v>
      </c>
      <c r="N11" s="1684"/>
      <c r="O11" s="1685"/>
      <c r="P11" s="1686"/>
      <c r="Q11" s="1687">
        <f t="shared" si="3"/>
        <v>0</v>
      </c>
      <c r="R11" s="1681"/>
      <c r="S11" s="1682"/>
      <c r="T11" s="1682"/>
      <c r="U11" s="1688">
        <f t="shared" si="4"/>
        <v>0</v>
      </c>
      <c r="V11" s="1689">
        <f>+Q11+M11+D11+U11</f>
        <v>0</v>
      </c>
    </row>
    <row r="12" spans="1:26">
      <c r="A12" s="1678">
        <f>+'Product Added value'!G11</f>
        <v>0</v>
      </c>
      <c r="B12" s="1679" t="str">
        <f>'Product Added value'!S11</f>
        <v/>
      </c>
      <c r="C12" s="1680">
        <f>+'Product Added value'!DB11</f>
        <v>0</v>
      </c>
      <c r="D12" s="1680">
        <f t="shared" si="0"/>
        <v>0</v>
      </c>
      <c r="E12" s="1668">
        <f>+'Product Added value'!M11</f>
        <v>0</v>
      </c>
      <c r="F12" s="1681"/>
      <c r="G12" s="1682"/>
      <c r="H12" s="1682"/>
      <c r="I12" s="1706" t="s">
        <v>450</v>
      </c>
      <c r="J12" s="1706" t="str">
        <f t="shared" si="6"/>
        <v>RMB</v>
      </c>
      <c r="K12" s="1707" t="str">
        <f t="shared" si="1"/>
        <v>EURRMB</v>
      </c>
      <c r="L12" s="1708">
        <f>+SUMIF('Financials Parameters'!$D$29:$D$53,K12,'Financials Parameters'!$E$29:$E$53)</f>
        <v>7.7789000000000001</v>
      </c>
      <c r="M12" s="1683">
        <f t="shared" si="2"/>
        <v>0</v>
      </c>
      <c r="N12" s="1684"/>
      <c r="O12" s="1685"/>
      <c r="P12" s="1686"/>
      <c r="Q12" s="1687">
        <f t="shared" si="3"/>
        <v>0</v>
      </c>
      <c r="R12" s="1681"/>
      <c r="S12" s="1682"/>
      <c r="T12" s="1682"/>
      <c r="U12" s="1688">
        <f t="shared" si="4"/>
        <v>0</v>
      </c>
      <c r="V12" s="1689">
        <f t="shared" si="5"/>
        <v>0</v>
      </c>
    </row>
    <row r="13" spans="1:26">
      <c r="A13" s="1678">
        <f>+'Product Added value'!G12</f>
        <v>0</v>
      </c>
      <c r="B13" s="1679" t="str">
        <f>'Product Added value'!S12</f>
        <v/>
      </c>
      <c r="C13" s="1680">
        <f>+'Product Added value'!DB12</f>
        <v>0</v>
      </c>
      <c r="D13" s="1680">
        <f t="shared" si="0"/>
        <v>0</v>
      </c>
      <c r="E13" s="1668">
        <f>+'Product Added value'!M12</f>
        <v>0</v>
      </c>
      <c r="F13" s="1681"/>
      <c r="G13" s="1682"/>
      <c r="H13" s="1682"/>
      <c r="I13" s="1706" t="s">
        <v>450</v>
      </c>
      <c r="J13" s="1706" t="str">
        <f t="shared" si="6"/>
        <v>RMB</v>
      </c>
      <c r="K13" s="1707" t="str">
        <f t="shared" si="1"/>
        <v>EURRMB</v>
      </c>
      <c r="L13" s="1708">
        <f>+SUMIF('Financials Parameters'!$D$29:$D$53,K13,'Financials Parameters'!$E$29:$E$53)</f>
        <v>7.7789000000000001</v>
      </c>
      <c r="M13" s="1683">
        <f t="shared" si="2"/>
        <v>0</v>
      </c>
      <c r="N13" s="1684"/>
      <c r="O13" s="1685"/>
      <c r="P13" s="1686"/>
      <c r="Q13" s="1687">
        <f t="shared" si="3"/>
        <v>0</v>
      </c>
      <c r="R13" s="1681"/>
      <c r="S13" s="1682"/>
      <c r="T13" s="1682"/>
      <c r="U13" s="1688">
        <f t="shared" si="4"/>
        <v>0</v>
      </c>
      <c r="V13" s="1689">
        <f t="shared" si="5"/>
        <v>0</v>
      </c>
    </row>
    <row r="14" spans="1:26">
      <c r="A14" s="1678">
        <f>+'Product Added value'!G13</f>
        <v>0</v>
      </c>
      <c r="B14" s="1679" t="str">
        <f>'Product Added value'!S13</f>
        <v/>
      </c>
      <c r="C14" s="1680">
        <f>+'Product Added value'!DB13</f>
        <v>0</v>
      </c>
      <c r="D14" s="1680">
        <f t="shared" si="0"/>
        <v>0</v>
      </c>
      <c r="E14" s="1668">
        <f>+'Product Added value'!M13</f>
        <v>0</v>
      </c>
      <c r="F14" s="1681"/>
      <c r="G14" s="1682"/>
      <c r="H14" s="1682"/>
      <c r="I14" s="1706" t="s">
        <v>450</v>
      </c>
      <c r="J14" s="1706" t="str">
        <f t="shared" si="6"/>
        <v>RMB</v>
      </c>
      <c r="K14" s="1707" t="str">
        <f t="shared" si="1"/>
        <v>EURRMB</v>
      </c>
      <c r="L14" s="1708">
        <f>+SUMIF('Financials Parameters'!$D$29:$D$53,K14,'Financials Parameters'!$E$29:$E$53)</f>
        <v>7.7789000000000001</v>
      </c>
      <c r="M14" s="1683">
        <f t="shared" si="2"/>
        <v>0</v>
      </c>
      <c r="N14" s="1684"/>
      <c r="O14" s="1685"/>
      <c r="P14" s="1686"/>
      <c r="Q14" s="1687">
        <f t="shared" si="3"/>
        <v>0</v>
      </c>
      <c r="R14" s="1681"/>
      <c r="S14" s="1682"/>
      <c r="T14" s="1682"/>
      <c r="U14" s="1688">
        <f t="shared" si="4"/>
        <v>0</v>
      </c>
      <c r="V14" s="1689">
        <f t="shared" si="5"/>
        <v>0</v>
      </c>
    </row>
    <row r="15" spans="1:26">
      <c r="A15" s="1678">
        <f>+'Product Added value'!G14</f>
        <v>0</v>
      </c>
      <c r="B15" s="1679" t="str">
        <f>'Product Added value'!S14</f>
        <v/>
      </c>
      <c r="C15" s="1680">
        <f>+'Product Added value'!DB14</f>
        <v>0</v>
      </c>
      <c r="D15" s="1680">
        <f t="shared" si="0"/>
        <v>0</v>
      </c>
      <c r="E15" s="1668">
        <f>+'Product Added value'!M14</f>
        <v>0</v>
      </c>
      <c r="F15" s="1681"/>
      <c r="G15" s="1682"/>
      <c r="H15" s="1682"/>
      <c r="I15" s="1706" t="s">
        <v>450</v>
      </c>
      <c r="J15" s="1706" t="str">
        <f t="shared" si="6"/>
        <v>RMB</v>
      </c>
      <c r="K15" s="1707" t="str">
        <f t="shared" si="1"/>
        <v>EURRMB</v>
      </c>
      <c r="L15" s="1708">
        <f>+SUMIF('Financials Parameters'!$D$29:$D$53,K15,'Financials Parameters'!$E$29:$E$53)</f>
        <v>7.7789000000000001</v>
      </c>
      <c r="M15" s="1683">
        <f t="shared" si="2"/>
        <v>0</v>
      </c>
      <c r="N15" s="1684"/>
      <c r="O15" s="1685"/>
      <c r="P15" s="1686"/>
      <c r="Q15" s="1687">
        <f t="shared" si="3"/>
        <v>0</v>
      </c>
      <c r="R15" s="1681"/>
      <c r="S15" s="1682"/>
      <c r="T15" s="1682"/>
      <c r="U15" s="1688">
        <f t="shared" si="4"/>
        <v>0</v>
      </c>
      <c r="V15" s="1689">
        <f t="shared" si="5"/>
        <v>0</v>
      </c>
    </row>
    <row r="16" spans="1:26">
      <c r="A16" s="1678">
        <f>+'Product Added value'!G15</f>
        <v>0</v>
      </c>
      <c r="B16" s="1679" t="str">
        <f>'Product Added value'!S15</f>
        <v/>
      </c>
      <c r="C16" s="1680">
        <f>+'Product Added value'!DB15</f>
        <v>0</v>
      </c>
      <c r="D16" s="1680">
        <f t="shared" si="0"/>
        <v>0</v>
      </c>
      <c r="E16" s="1668">
        <f>+'Product Added value'!M15</f>
        <v>0</v>
      </c>
      <c r="F16" s="1681"/>
      <c r="G16" s="1682"/>
      <c r="H16" s="1682"/>
      <c r="I16" s="1706" t="s">
        <v>450</v>
      </c>
      <c r="J16" s="1706" t="str">
        <f t="shared" si="6"/>
        <v>RMB</v>
      </c>
      <c r="K16" s="1707" t="str">
        <f t="shared" si="1"/>
        <v>EURRMB</v>
      </c>
      <c r="L16" s="1708">
        <f>+SUMIF('Financials Parameters'!$D$29:$D$53,K16,'Financials Parameters'!$E$29:$E$53)</f>
        <v>7.7789000000000001</v>
      </c>
      <c r="M16" s="1683">
        <f t="shared" si="2"/>
        <v>0</v>
      </c>
      <c r="N16" s="1684"/>
      <c r="O16" s="1685"/>
      <c r="P16" s="1686"/>
      <c r="Q16" s="1687">
        <f t="shared" si="3"/>
        <v>0</v>
      </c>
      <c r="R16" s="1681"/>
      <c r="S16" s="1682"/>
      <c r="T16" s="1682"/>
      <c r="U16" s="1688">
        <f t="shared" si="4"/>
        <v>0</v>
      </c>
      <c r="V16" s="1689">
        <f t="shared" si="5"/>
        <v>0</v>
      </c>
    </row>
    <row r="17" spans="1:22">
      <c r="A17" s="1678">
        <f>+'Product Added value'!G16</f>
        <v>0</v>
      </c>
      <c r="B17" s="1679" t="str">
        <f>'Product Added value'!S16</f>
        <v/>
      </c>
      <c r="C17" s="1680">
        <f>+'Product Added value'!DB16</f>
        <v>0</v>
      </c>
      <c r="D17" s="1680">
        <f t="shared" si="0"/>
        <v>0</v>
      </c>
      <c r="E17" s="1668">
        <f>+'Product Added value'!M16</f>
        <v>0</v>
      </c>
      <c r="F17" s="1681"/>
      <c r="G17" s="1682"/>
      <c r="H17" s="1682"/>
      <c r="I17" s="1706" t="s">
        <v>450</v>
      </c>
      <c r="J17" s="1706" t="str">
        <f t="shared" si="6"/>
        <v>RMB</v>
      </c>
      <c r="K17" s="1707" t="str">
        <f t="shared" si="1"/>
        <v>EURRMB</v>
      </c>
      <c r="L17" s="1708">
        <f>+SUMIF('Financials Parameters'!$D$29:$D$53,K17,'Financials Parameters'!$E$29:$E$53)</f>
        <v>7.7789000000000001</v>
      </c>
      <c r="M17" s="1683">
        <f t="shared" si="2"/>
        <v>0</v>
      </c>
      <c r="N17" s="1684"/>
      <c r="O17" s="1685"/>
      <c r="P17" s="1686"/>
      <c r="Q17" s="1687">
        <f t="shared" si="3"/>
        <v>0</v>
      </c>
      <c r="R17" s="1681"/>
      <c r="S17" s="1682"/>
      <c r="T17" s="1682"/>
      <c r="U17" s="1688">
        <f t="shared" si="4"/>
        <v>0</v>
      </c>
      <c r="V17" s="1689">
        <f t="shared" si="5"/>
        <v>0</v>
      </c>
    </row>
    <row r="18" spans="1:22">
      <c r="A18" s="1678">
        <f>+'Product Added value'!G17</f>
        <v>0</v>
      </c>
      <c r="B18" s="1679" t="str">
        <f>'Product Added value'!S17</f>
        <v/>
      </c>
      <c r="C18" s="1680">
        <f>+'Product Added value'!DB17</f>
        <v>0</v>
      </c>
      <c r="D18" s="1680">
        <f t="shared" si="0"/>
        <v>0</v>
      </c>
      <c r="E18" s="1668">
        <f>+'Product Added value'!M17</f>
        <v>0</v>
      </c>
      <c r="F18" s="1681"/>
      <c r="G18" s="1682"/>
      <c r="H18" s="1682"/>
      <c r="I18" s="1706" t="s">
        <v>450</v>
      </c>
      <c r="J18" s="1706" t="str">
        <f t="shared" si="6"/>
        <v>RMB</v>
      </c>
      <c r="K18" s="1707" t="str">
        <f t="shared" si="1"/>
        <v>EURRMB</v>
      </c>
      <c r="L18" s="1708">
        <f>+SUMIF('Financials Parameters'!$D$29:$D$53,K18,'Financials Parameters'!$E$29:$E$53)</f>
        <v>7.7789000000000001</v>
      </c>
      <c r="M18" s="1683">
        <f t="shared" si="2"/>
        <v>0</v>
      </c>
      <c r="N18" s="1684"/>
      <c r="O18" s="1685"/>
      <c r="P18" s="1686"/>
      <c r="Q18" s="1687">
        <f t="shared" si="3"/>
        <v>0</v>
      </c>
      <c r="R18" s="1681"/>
      <c r="S18" s="1682"/>
      <c r="T18" s="1682"/>
      <c r="U18" s="1688">
        <f t="shared" si="4"/>
        <v>0</v>
      </c>
      <c r="V18" s="1689">
        <f t="shared" si="5"/>
        <v>0</v>
      </c>
    </row>
    <row r="19" spans="1:22">
      <c r="A19" s="1678">
        <f>+'Product Added value'!G18</f>
        <v>0</v>
      </c>
      <c r="B19" s="1679" t="str">
        <f>'Product Added value'!S18</f>
        <v/>
      </c>
      <c r="C19" s="1680">
        <f>+'Product Added value'!DB18</f>
        <v>0</v>
      </c>
      <c r="D19" s="1680">
        <f t="shared" si="0"/>
        <v>0</v>
      </c>
      <c r="E19" s="1668">
        <f>+'Product Added value'!M18</f>
        <v>0</v>
      </c>
      <c r="F19" s="1681"/>
      <c r="G19" s="1682"/>
      <c r="H19" s="1682"/>
      <c r="I19" s="1706" t="s">
        <v>450</v>
      </c>
      <c r="J19" s="1706" t="str">
        <f t="shared" si="6"/>
        <v>RMB</v>
      </c>
      <c r="K19" s="1707" t="str">
        <f t="shared" si="1"/>
        <v>EURRMB</v>
      </c>
      <c r="L19" s="1708">
        <f>+SUMIF('Financials Parameters'!$D$29:$D$53,K19,'Financials Parameters'!$E$29:$E$53)</f>
        <v>7.7789000000000001</v>
      </c>
      <c r="M19" s="1683">
        <f t="shared" si="2"/>
        <v>0</v>
      </c>
      <c r="N19" s="1684"/>
      <c r="O19" s="1685"/>
      <c r="P19" s="1686"/>
      <c r="Q19" s="1687">
        <f t="shared" si="3"/>
        <v>0</v>
      </c>
      <c r="R19" s="1681"/>
      <c r="S19" s="1682"/>
      <c r="T19" s="1682"/>
      <c r="U19" s="1688">
        <f t="shared" si="4"/>
        <v>0</v>
      </c>
      <c r="V19" s="1689">
        <f t="shared" si="5"/>
        <v>0</v>
      </c>
    </row>
    <row r="20" spans="1:22">
      <c r="A20" s="1678">
        <f>+'Product Added value'!G19</f>
        <v>0</v>
      </c>
      <c r="B20" s="1679" t="str">
        <f>'Product Added value'!S19</f>
        <v/>
      </c>
      <c r="C20" s="1680">
        <f>+'Product Added value'!DB19</f>
        <v>0</v>
      </c>
      <c r="D20" s="1680">
        <f t="shared" si="0"/>
        <v>0</v>
      </c>
      <c r="E20" s="1668">
        <f>+'Product Added value'!M19</f>
        <v>0</v>
      </c>
      <c r="F20" s="1681"/>
      <c r="G20" s="1682"/>
      <c r="H20" s="1682"/>
      <c r="I20" s="1706" t="s">
        <v>450</v>
      </c>
      <c r="J20" s="1706" t="str">
        <f t="shared" si="6"/>
        <v>RMB</v>
      </c>
      <c r="K20" s="1707" t="str">
        <f t="shared" si="1"/>
        <v>EURRMB</v>
      </c>
      <c r="L20" s="1708">
        <f>+SUMIF('Financials Parameters'!$D$29:$D$53,K20,'Financials Parameters'!$E$29:$E$53)</f>
        <v>7.7789000000000001</v>
      </c>
      <c r="M20" s="1683">
        <f t="shared" si="2"/>
        <v>0</v>
      </c>
      <c r="N20" s="1684"/>
      <c r="O20" s="1685"/>
      <c r="P20" s="1686"/>
      <c r="Q20" s="1687">
        <f t="shared" si="3"/>
        <v>0</v>
      </c>
      <c r="R20" s="1681"/>
      <c r="S20" s="1682"/>
      <c r="T20" s="1682"/>
      <c r="U20" s="1688">
        <f t="shared" si="4"/>
        <v>0</v>
      </c>
      <c r="V20" s="1689">
        <f t="shared" si="5"/>
        <v>0</v>
      </c>
    </row>
    <row r="21" spans="1:22">
      <c r="A21" s="1678">
        <f>+'Product Added value'!G20</f>
        <v>0</v>
      </c>
      <c r="B21" s="1679" t="str">
        <f>'Product Added value'!S20</f>
        <v/>
      </c>
      <c r="C21" s="1680">
        <f>+'Product Added value'!DB20</f>
        <v>0</v>
      </c>
      <c r="D21" s="1680">
        <f t="shared" si="0"/>
        <v>0</v>
      </c>
      <c r="E21" s="1668">
        <f>+'Product Added value'!M20</f>
        <v>0</v>
      </c>
      <c r="F21" s="1681"/>
      <c r="G21" s="1682"/>
      <c r="H21" s="1682"/>
      <c r="I21" s="1706" t="s">
        <v>450</v>
      </c>
      <c r="J21" s="1706" t="str">
        <f t="shared" si="6"/>
        <v>RMB</v>
      </c>
      <c r="K21" s="1707" t="str">
        <f t="shared" si="1"/>
        <v>EURRMB</v>
      </c>
      <c r="L21" s="1708">
        <f>+SUMIF('Financials Parameters'!$D$29:$D$53,K21,'Financials Parameters'!$E$29:$E$53)</f>
        <v>7.7789000000000001</v>
      </c>
      <c r="M21" s="1683">
        <f t="shared" si="2"/>
        <v>0</v>
      </c>
      <c r="N21" s="1684"/>
      <c r="O21" s="1685"/>
      <c r="P21" s="1686"/>
      <c r="Q21" s="1687">
        <f t="shared" si="3"/>
        <v>0</v>
      </c>
      <c r="R21" s="1681"/>
      <c r="S21" s="1682"/>
      <c r="T21" s="1682"/>
      <c r="U21" s="1688">
        <f t="shared" si="4"/>
        <v>0</v>
      </c>
      <c r="V21" s="1689">
        <f t="shared" si="5"/>
        <v>0</v>
      </c>
    </row>
    <row r="22" spans="1:22">
      <c r="A22" s="1678">
        <f>+'Product Added value'!G21</f>
        <v>0</v>
      </c>
      <c r="B22" s="1679" t="str">
        <f>'Product Added value'!S21</f>
        <v/>
      </c>
      <c r="C22" s="1680">
        <f>+'Product Added value'!DB21</f>
        <v>0</v>
      </c>
      <c r="D22" s="1680">
        <f t="shared" si="0"/>
        <v>0</v>
      </c>
      <c r="E22" s="1668">
        <f>+'Product Added value'!M21</f>
        <v>0</v>
      </c>
      <c r="F22" s="1681"/>
      <c r="G22" s="1682"/>
      <c r="H22" s="1682"/>
      <c r="I22" s="1706" t="s">
        <v>450</v>
      </c>
      <c r="J22" s="1706" t="str">
        <f t="shared" si="6"/>
        <v>RMB</v>
      </c>
      <c r="K22" s="1707" t="str">
        <f t="shared" si="1"/>
        <v>EURRMB</v>
      </c>
      <c r="L22" s="1708">
        <f>+SUMIF('Financials Parameters'!$D$29:$D$53,K22,'Financials Parameters'!$E$29:$E$53)</f>
        <v>7.7789000000000001</v>
      </c>
      <c r="M22" s="1683">
        <f t="shared" si="2"/>
        <v>0</v>
      </c>
      <c r="N22" s="1684"/>
      <c r="O22" s="1685"/>
      <c r="P22" s="1686"/>
      <c r="Q22" s="1687">
        <f t="shared" si="3"/>
        <v>0</v>
      </c>
      <c r="R22" s="1681"/>
      <c r="S22" s="1682"/>
      <c r="T22" s="1682"/>
      <c r="U22" s="1688">
        <f t="shared" si="4"/>
        <v>0</v>
      </c>
      <c r="V22" s="1689">
        <f t="shared" si="5"/>
        <v>0</v>
      </c>
    </row>
    <row r="23" spans="1:22">
      <c r="A23" s="1678">
        <f>+'Product Added value'!G22</f>
        <v>0</v>
      </c>
      <c r="B23" s="1679" t="str">
        <f>'Product Added value'!S22</f>
        <v/>
      </c>
      <c r="C23" s="1680">
        <f>+'Product Added value'!DB22</f>
        <v>0</v>
      </c>
      <c r="D23" s="1680">
        <f t="shared" si="0"/>
        <v>0</v>
      </c>
      <c r="E23" s="1668">
        <f>+'Product Added value'!M22</f>
        <v>0</v>
      </c>
      <c r="F23" s="1681"/>
      <c r="G23" s="1682"/>
      <c r="H23" s="1682"/>
      <c r="I23" s="1706" t="s">
        <v>450</v>
      </c>
      <c r="J23" s="1706" t="str">
        <f t="shared" si="6"/>
        <v>RMB</v>
      </c>
      <c r="K23" s="1707" t="str">
        <f t="shared" si="1"/>
        <v>EURRMB</v>
      </c>
      <c r="L23" s="1708">
        <f>+SUMIF('Financials Parameters'!$D$29:$D$53,K23,'Financials Parameters'!$E$29:$E$53)</f>
        <v>7.7789000000000001</v>
      </c>
      <c r="M23" s="1683">
        <f t="shared" si="2"/>
        <v>0</v>
      </c>
      <c r="N23" s="1684"/>
      <c r="O23" s="1685"/>
      <c r="P23" s="1686"/>
      <c r="Q23" s="1687">
        <f t="shared" si="3"/>
        <v>0</v>
      </c>
      <c r="R23" s="1681"/>
      <c r="S23" s="1682"/>
      <c r="T23" s="1682"/>
      <c r="U23" s="1688">
        <f t="shared" si="4"/>
        <v>0</v>
      </c>
      <c r="V23" s="1689">
        <f t="shared" si="5"/>
        <v>0</v>
      </c>
    </row>
    <row r="24" spans="1:22">
      <c r="A24" s="1678">
        <f>+'Product Added value'!G23</f>
        <v>0</v>
      </c>
      <c r="B24" s="1679" t="str">
        <f>'Product Added value'!S23</f>
        <v/>
      </c>
      <c r="C24" s="1680">
        <f>+'Product Added value'!DB23</f>
        <v>0</v>
      </c>
      <c r="D24" s="1680">
        <f t="shared" si="0"/>
        <v>0</v>
      </c>
      <c r="E24" s="1668">
        <f>+'Product Added value'!M23</f>
        <v>0</v>
      </c>
      <c r="F24" s="1681"/>
      <c r="G24" s="1682"/>
      <c r="H24" s="1682"/>
      <c r="I24" s="1706" t="s">
        <v>450</v>
      </c>
      <c r="J24" s="1706" t="str">
        <f t="shared" si="6"/>
        <v>RMB</v>
      </c>
      <c r="K24" s="1707" t="str">
        <f t="shared" si="1"/>
        <v>EURRMB</v>
      </c>
      <c r="L24" s="1708">
        <f>+SUMIF('Financials Parameters'!$D$29:$D$53,K24,'Financials Parameters'!$E$29:$E$53)</f>
        <v>7.7789000000000001</v>
      </c>
      <c r="M24" s="1683">
        <f t="shared" si="2"/>
        <v>0</v>
      </c>
      <c r="N24" s="1684"/>
      <c r="O24" s="1685"/>
      <c r="P24" s="1686"/>
      <c r="Q24" s="1687">
        <f t="shared" si="3"/>
        <v>0</v>
      </c>
      <c r="R24" s="1681"/>
      <c r="S24" s="1682"/>
      <c r="T24" s="1682"/>
      <c r="U24" s="1688">
        <f t="shared" si="4"/>
        <v>0</v>
      </c>
      <c r="V24" s="1689">
        <f t="shared" si="5"/>
        <v>0</v>
      </c>
    </row>
    <row r="25" spans="1:22">
      <c r="A25" s="1678">
        <f>+'Product Added value'!G24</f>
        <v>0</v>
      </c>
      <c r="B25" s="1679" t="str">
        <f>'Product Added value'!S24</f>
        <v/>
      </c>
      <c r="C25" s="1680">
        <f>+'Product Added value'!DB24</f>
        <v>0</v>
      </c>
      <c r="D25" s="1680">
        <f t="shared" si="0"/>
        <v>0</v>
      </c>
      <c r="E25" s="1668">
        <f>+'Product Added value'!M24</f>
        <v>0</v>
      </c>
      <c r="F25" s="1681"/>
      <c r="G25" s="1682"/>
      <c r="H25" s="1682"/>
      <c r="I25" s="1706" t="s">
        <v>450</v>
      </c>
      <c r="J25" s="1706" t="str">
        <f t="shared" si="6"/>
        <v>RMB</v>
      </c>
      <c r="K25" s="1707" t="str">
        <f t="shared" si="1"/>
        <v>EURRMB</v>
      </c>
      <c r="L25" s="1708">
        <f>+SUMIF('Financials Parameters'!$D$29:$D$53,K25,'Financials Parameters'!$E$29:$E$53)</f>
        <v>7.7789000000000001</v>
      </c>
      <c r="M25" s="1683">
        <f t="shared" si="2"/>
        <v>0</v>
      </c>
      <c r="N25" s="1684"/>
      <c r="O25" s="1685"/>
      <c r="P25" s="1686"/>
      <c r="Q25" s="1687">
        <f t="shared" si="3"/>
        <v>0</v>
      </c>
      <c r="R25" s="1681"/>
      <c r="S25" s="1682"/>
      <c r="T25" s="1682"/>
      <c r="U25" s="1688">
        <f t="shared" si="4"/>
        <v>0</v>
      </c>
      <c r="V25" s="1689">
        <f t="shared" si="5"/>
        <v>0</v>
      </c>
    </row>
    <row r="26" spans="1:22">
      <c r="A26" s="1678">
        <f>+'Product Added value'!G25</f>
        <v>0</v>
      </c>
      <c r="B26" s="1679" t="str">
        <f>'Product Added value'!S25</f>
        <v/>
      </c>
      <c r="C26" s="1680">
        <f>+'Product Added value'!DB25</f>
        <v>0</v>
      </c>
      <c r="D26" s="1680">
        <f t="shared" si="0"/>
        <v>0</v>
      </c>
      <c r="E26" s="1668">
        <f>+'Product Added value'!M25</f>
        <v>0</v>
      </c>
      <c r="F26" s="1681"/>
      <c r="G26" s="1682"/>
      <c r="H26" s="1682"/>
      <c r="I26" s="1706" t="s">
        <v>450</v>
      </c>
      <c r="J26" s="1706" t="str">
        <f t="shared" si="6"/>
        <v>RMB</v>
      </c>
      <c r="K26" s="1707" t="str">
        <f t="shared" si="1"/>
        <v>EURRMB</v>
      </c>
      <c r="L26" s="1708">
        <f>+SUMIF('Financials Parameters'!$D$29:$D$53,K26,'Financials Parameters'!$E$29:$E$53)</f>
        <v>7.7789000000000001</v>
      </c>
      <c r="M26" s="1683">
        <f t="shared" si="2"/>
        <v>0</v>
      </c>
      <c r="N26" s="1684"/>
      <c r="O26" s="1685"/>
      <c r="P26" s="1686"/>
      <c r="Q26" s="1687">
        <f t="shared" si="3"/>
        <v>0</v>
      </c>
      <c r="R26" s="1681"/>
      <c r="S26" s="1682"/>
      <c r="T26" s="1682"/>
      <c r="U26" s="1688">
        <f t="shared" si="4"/>
        <v>0</v>
      </c>
      <c r="V26" s="1689">
        <f t="shared" si="5"/>
        <v>0</v>
      </c>
    </row>
    <row r="27" spans="1:22">
      <c r="A27" s="1678">
        <f>+'Product Added value'!G26</f>
        <v>0</v>
      </c>
      <c r="B27" s="1679" t="str">
        <f>'Product Added value'!S26</f>
        <v/>
      </c>
      <c r="C27" s="1680">
        <f>+'Product Added value'!DB26</f>
        <v>0</v>
      </c>
      <c r="D27" s="1680">
        <f t="shared" si="0"/>
        <v>0</v>
      </c>
      <c r="E27" s="1668">
        <f>+'Product Added value'!M26</f>
        <v>0</v>
      </c>
      <c r="F27" s="1681"/>
      <c r="G27" s="1682"/>
      <c r="H27" s="1682"/>
      <c r="I27" s="1706" t="s">
        <v>450</v>
      </c>
      <c r="J27" s="1706" t="str">
        <f t="shared" si="6"/>
        <v>RMB</v>
      </c>
      <c r="K27" s="1707" t="str">
        <f t="shared" si="1"/>
        <v>EURRMB</v>
      </c>
      <c r="L27" s="1708">
        <f>+SUMIF('Financials Parameters'!$D$29:$D$53,K27,'Financials Parameters'!$E$29:$E$53)</f>
        <v>7.7789000000000001</v>
      </c>
      <c r="M27" s="1683">
        <f t="shared" si="2"/>
        <v>0</v>
      </c>
      <c r="N27" s="1684"/>
      <c r="O27" s="1685"/>
      <c r="P27" s="1686"/>
      <c r="Q27" s="1687">
        <f t="shared" si="3"/>
        <v>0</v>
      </c>
      <c r="R27" s="1681"/>
      <c r="S27" s="1682"/>
      <c r="T27" s="1682"/>
      <c r="U27" s="1688">
        <f t="shared" si="4"/>
        <v>0</v>
      </c>
      <c r="V27" s="1689">
        <f t="shared" si="5"/>
        <v>0</v>
      </c>
    </row>
    <row r="28" spans="1:22">
      <c r="A28" s="1678">
        <f>+'Product Added value'!G27</f>
        <v>0</v>
      </c>
      <c r="B28" s="1679" t="str">
        <f>'Product Added value'!S27</f>
        <v/>
      </c>
      <c r="C28" s="1680">
        <f>+'Product Added value'!DB27</f>
        <v>0</v>
      </c>
      <c r="D28" s="1680">
        <f t="shared" si="0"/>
        <v>0</v>
      </c>
      <c r="E28" s="1668">
        <f>+'Product Added value'!M27</f>
        <v>0</v>
      </c>
      <c r="F28" s="1681"/>
      <c r="G28" s="1682"/>
      <c r="H28" s="1682"/>
      <c r="I28" s="1706" t="s">
        <v>450</v>
      </c>
      <c r="J28" s="1706" t="str">
        <f t="shared" si="6"/>
        <v>RMB</v>
      </c>
      <c r="K28" s="1707" t="str">
        <f t="shared" si="1"/>
        <v>EURRMB</v>
      </c>
      <c r="L28" s="1708">
        <f>+SUMIF('Financials Parameters'!$D$29:$D$53,K28,'Financials Parameters'!$E$29:$E$53)</f>
        <v>7.7789000000000001</v>
      </c>
      <c r="M28" s="1683">
        <f t="shared" si="2"/>
        <v>0</v>
      </c>
      <c r="N28" s="1684"/>
      <c r="O28" s="1685"/>
      <c r="P28" s="1686"/>
      <c r="Q28" s="1687">
        <f t="shared" si="3"/>
        <v>0</v>
      </c>
      <c r="R28" s="1681"/>
      <c r="S28" s="1682"/>
      <c r="T28" s="1682"/>
      <c r="U28" s="1688">
        <f t="shared" si="4"/>
        <v>0</v>
      </c>
      <c r="V28" s="1689">
        <f t="shared" si="5"/>
        <v>0</v>
      </c>
    </row>
    <row r="29" spans="1:22">
      <c r="A29" s="1678">
        <f>+'Product Added value'!G28</f>
        <v>0</v>
      </c>
      <c r="B29" s="1679" t="str">
        <f>'Product Added value'!S28</f>
        <v/>
      </c>
      <c r="C29" s="1680">
        <f>+'Product Added value'!DB28</f>
        <v>0</v>
      </c>
      <c r="D29" s="1680">
        <f t="shared" si="0"/>
        <v>0</v>
      </c>
      <c r="E29" s="1668">
        <f>+'Product Added value'!M28</f>
        <v>0</v>
      </c>
      <c r="F29" s="1681"/>
      <c r="G29" s="1682"/>
      <c r="H29" s="1682"/>
      <c r="I29" s="1706" t="s">
        <v>450</v>
      </c>
      <c r="J29" s="1706" t="str">
        <f t="shared" si="6"/>
        <v>RMB</v>
      </c>
      <c r="K29" s="1707" t="str">
        <f t="shared" si="1"/>
        <v>EURRMB</v>
      </c>
      <c r="L29" s="1708">
        <f>+SUMIF('Financials Parameters'!$D$29:$D$53,K29,'Financials Parameters'!$E$29:$E$53)</f>
        <v>7.7789000000000001</v>
      </c>
      <c r="M29" s="1683">
        <f t="shared" si="2"/>
        <v>0</v>
      </c>
      <c r="N29" s="1684"/>
      <c r="O29" s="1685"/>
      <c r="P29" s="1686"/>
      <c r="Q29" s="1687">
        <f t="shared" si="3"/>
        <v>0</v>
      </c>
      <c r="R29" s="1681"/>
      <c r="S29" s="1682"/>
      <c r="T29" s="1682"/>
      <c r="U29" s="1688">
        <f t="shared" si="4"/>
        <v>0</v>
      </c>
      <c r="V29" s="1689">
        <f t="shared" si="5"/>
        <v>0</v>
      </c>
    </row>
    <row r="30" spans="1:22">
      <c r="A30" s="1678">
        <f>+'Product Added value'!G29</f>
        <v>0</v>
      </c>
      <c r="B30" s="1679" t="str">
        <f>'Product Added value'!S29</f>
        <v/>
      </c>
      <c r="C30" s="1680">
        <f>+'Product Added value'!DB29</f>
        <v>0</v>
      </c>
      <c r="D30" s="1680">
        <f t="shared" si="0"/>
        <v>0</v>
      </c>
      <c r="E30" s="1668">
        <f>+'Product Added value'!M29</f>
        <v>0</v>
      </c>
      <c r="F30" s="1681"/>
      <c r="G30" s="1682"/>
      <c r="H30" s="1682"/>
      <c r="I30" s="1706" t="s">
        <v>450</v>
      </c>
      <c r="J30" s="1706" t="str">
        <f t="shared" si="6"/>
        <v>RMB</v>
      </c>
      <c r="K30" s="1707" t="str">
        <f t="shared" si="1"/>
        <v>EURRMB</v>
      </c>
      <c r="L30" s="1708">
        <f>+SUMIF('Financials Parameters'!$D$29:$D$53,K30,'Financials Parameters'!$E$29:$E$53)</f>
        <v>7.7789000000000001</v>
      </c>
      <c r="M30" s="1683">
        <f t="shared" si="2"/>
        <v>0</v>
      </c>
      <c r="N30" s="1684"/>
      <c r="O30" s="1685"/>
      <c r="P30" s="1686"/>
      <c r="Q30" s="1687">
        <f t="shared" si="3"/>
        <v>0</v>
      </c>
      <c r="R30" s="1681"/>
      <c r="S30" s="1682"/>
      <c r="T30" s="1682"/>
      <c r="U30" s="1688">
        <f t="shared" si="4"/>
        <v>0</v>
      </c>
      <c r="V30" s="1689">
        <f t="shared" si="5"/>
        <v>0</v>
      </c>
    </row>
    <row r="31" spans="1:22">
      <c r="A31" s="1678">
        <f>+'Product Added value'!G30</f>
        <v>0</v>
      </c>
      <c r="B31" s="1679" t="str">
        <f>'Product Added value'!S30</f>
        <v/>
      </c>
      <c r="C31" s="1680">
        <f>+'Product Added value'!DB30</f>
        <v>0</v>
      </c>
      <c r="D31" s="1680">
        <f t="shared" si="0"/>
        <v>0</v>
      </c>
      <c r="E31" s="1668">
        <f>+'Product Added value'!M30</f>
        <v>0</v>
      </c>
      <c r="F31" s="1681"/>
      <c r="G31" s="1682"/>
      <c r="H31" s="1682"/>
      <c r="I31" s="1706" t="s">
        <v>450</v>
      </c>
      <c r="J31" s="1706" t="str">
        <f t="shared" si="6"/>
        <v>RMB</v>
      </c>
      <c r="K31" s="1707" t="str">
        <f t="shared" si="1"/>
        <v>EURRMB</v>
      </c>
      <c r="L31" s="1708">
        <f>+SUMIF('Financials Parameters'!$D$29:$D$53,K31,'Financials Parameters'!$E$29:$E$53)</f>
        <v>7.7789000000000001</v>
      </c>
      <c r="M31" s="1683">
        <f t="shared" si="2"/>
        <v>0</v>
      </c>
      <c r="N31" s="1684"/>
      <c r="O31" s="1685"/>
      <c r="P31" s="1686"/>
      <c r="Q31" s="1687">
        <f t="shared" si="3"/>
        <v>0</v>
      </c>
      <c r="R31" s="1681"/>
      <c r="S31" s="1682"/>
      <c r="T31" s="1682"/>
      <c r="U31" s="1688">
        <f t="shared" si="4"/>
        <v>0</v>
      </c>
      <c r="V31" s="1689">
        <f t="shared" si="5"/>
        <v>0</v>
      </c>
    </row>
    <row r="32" spans="1:22">
      <c r="A32" s="1678">
        <f>+'Product Added value'!G31</f>
        <v>0</v>
      </c>
      <c r="B32" s="1679">
        <f>'Product Added value'!S31</f>
        <v>0</v>
      </c>
      <c r="C32" s="1680">
        <f>+'Product Added value'!DB31</f>
        <v>0</v>
      </c>
      <c r="D32" s="1680">
        <f t="shared" si="0"/>
        <v>0</v>
      </c>
      <c r="E32" s="1668">
        <f>+'Product Added value'!M31</f>
        <v>10000</v>
      </c>
      <c r="F32" s="1681"/>
      <c r="G32" s="1682"/>
      <c r="H32" s="1682"/>
      <c r="I32" s="1706" t="s">
        <v>450</v>
      </c>
      <c r="J32" s="1706" t="str">
        <f t="shared" si="6"/>
        <v>RMB</v>
      </c>
      <c r="K32" s="1707" t="str">
        <f t="shared" si="1"/>
        <v>EURRMB</v>
      </c>
      <c r="L32" s="1708">
        <f>+SUMIF('Financials Parameters'!$D$29:$D$53,K32,'Financials Parameters'!$E$29:$E$53)</f>
        <v>7.7789000000000001</v>
      </c>
      <c r="M32" s="1683">
        <f t="shared" si="2"/>
        <v>0</v>
      </c>
      <c r="N32" s="1684"/>
      <c r="O32" s="1685"/>
      <c r="P32" s="1686"/>
      <c r="Q32" s="1687">
        <f t="shared" si="3"/>
        <v>0</v>
      </c>
      <c r="R32" s="1681"/>
      <c r="S32" s="1682"/>
      <c r="T32" s="1682"/>
      <c r="U32" s="1688">
        <f t="shared" si="4"/>
        <v>0</v>
      </c>
      <c r="V32" s="1689">
        <f t="shared" si="5"/>
        <v>0</v>
      </c>
    </row>
    <row r="33" spans="1:22" ht="15" thickBot="1">
      <c r="A33" s="1690">
        <f>+'Product Added value'!G32</f>
        <v>0</v>
      </c>
      <c r="B33" s="1691">
        <f>'Product Added value'!S32</f>
        <v>0</v>
      </c>
      <c r="C33" s="1692">
        <f>+'Product Added value'!DB32</f>
        <v>0</v>
      </c>
      <c r="D33" s="1692">
        <f t="shared" si="0"/>
        <v>0</v>
      </c>
      <c r="E33" s="1693">
        <f>+'Product Added value'!M32</f>
        <v>0</v>
      </c>
      <c r="F33" s="1694"/>
      <c r="G33" s="1695"/>
      <c r="H33" s="1695"/>
      <c r="I33" s="1709" t="s">
        <v>450</v>
      </c>
      <c r="J33" s="1709" t="str">
        <f t="shared" si="6"/>
        <v>RMB</v>
      </c>
      <c r="K33" s="1710" t="str">
        <f t="shared" si="1"/>
        <v>EURRMB</v>
      </c>
      <c r="L33" s="1711">
        <f>+SUMIF('Financials Parameters'!$D$29:$D$53,K33,'Financials Parameters'!$E$29:$E$53)</f>
        <v>7.7789000000000001</v>
      </c>
      <c r="M33" s="1696">
        <f t="shared" si="2"/>
        <v>0</v>
      </c>
      <c r="N33" s="1697"/>
      <c r="O33" s="1698"/>
      <c r="P33" s="1699"/>
      <c r="Q33" s="1700">
        <f t="shared" si="3"/>
        <v>0</v>
      </c>
      <c r="R33" s="1694"/>
      <c r="S33" s="1695"/>
      <c r="T33" s="1695"/>
      <c r="U33" s="1701">
        <f t="shared" si="4"/>
        <v>0</v>
      </c>
      <c r="V33" s="1702">
        <f>+Q33+M33+D33+U33</f>
        <v>0</v>
      </c>
    </row>
  </sheetData>
  <mergeCells count="18">
    <mergeCell ref="S3:S4"/>
    <mergeCell ref="N3:N4"/>
    <mergeCell ref="O3:O4"/>
    <mergeCell ref="P3:P4"/>
    <mergeCell ref="Q3:Q4"/>
    <mergeCell ref="V3:V4"/>
    <mergeCell ref="A1:V1"/>
    <mergeCell ref="T3:T4"/>
    <mergeCell ref="U3:U4"/>
    <mergeCell ref="A3:A4"/>
    <mergeCell ref="B3:B4"/>
    <mergeCell ref="C3:C4"/>
    <mergeCell ref="E3:E4"/>
    <mergeCell ref="F3:F4"/>
    <mergeCell ref="G3:G4"/>
    <mergeCell ref="H3:H4"/>
    <mergeCell ref="M3:M4"/>
    <mergeCell ref="R3:R4"/>
  </mergeCells>
  <phoneticPr fontId="12" type="noConversion"/>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B519-357F-4495-8675-ACCBF264280C}">
  <sheetPr codeName="Feuil24">
    <tabColor rgb="FF00B0F0"/>
    <pageSetUpPr fitToPage="1"/>
  </sheetPr>
  <dimension ref="C1:CB155"/>
  <sheetViews>
    <sheetView topLeftCell="E9" zoomScale="85" zoomScaleNormal="85" zoomScaleSheetLayoutView="100" workbookViewId="0">
      <selection activeCell="O14" sqref="O14"/>
    </sheetView>
  </sheetViews>
  <sheetFormatPr baseColWidth="10" defaultColWidth="11.44140625" defaultRowHeight="14.4"/>
  <cols>
    <col min="1" max="1" width="7.6640625" customWidth="1"/>
    <col min="2" max="2" width="9.77734375" customWidth="1"/>
    <col min="3" max="3" width="10.109375" customWidth="1"/>
    <col min="4" max="4" width="21" customWidth="1"/>
    <col min="5" max="5" width="11.88671875" customWidth="1"/>
    <col min="6" max="6" width="15.109375" customWidth="1"/>
    <col min="7" max="7" width="8.6640625" customWidth="1"/>
    <col min="8" max="8" width="11.44140625" customWidth="1"/>
    <col min="9" max="9" width="14.44140625" customWidth="1"/>
    <col min="10" max="10" width="18.109375" customWidth="1"/>
    <col min="11" max="11" width="14.88671875" customWidth="1"/>
    <col min="12" max="12" width="15" customWidth="1"/>
    <col min="13" max="13" width="18.109375" customWidth="1"/>
    <col min="14" max="14" width="13.44140625" customWidth="1"/>
    <col min="15" max="15" width="16.109375" customWidth="1"/>
    <col min="16" max="16" width="14.88671875" customWidth="1"/>
    <col min="17" max="17" width="12.88671875" customWidth="1"/>
    <col min="18" max="18" width="13.77734375" bestFit="1" customWidth="1"/>
    <col min="19" max="19" width="16.77734375" customWidth="1"/>
    <col min="22" max="22" width="22.44140625" customWidth="1"/>
    <col min="23" max="23" width="10.33203125" customWidth="1"/>
    <col min="24" max="24" width="16.44140625" customWidth="1"/>
    <col min="25" max="25" width="14.88671875" customWidth="1"/>
    <col min="26" max="26" width="15.88671875" customWidth="1"/>
    <col min="27" max="27" width="15.6640625" customWidth="1"/>
    <col min="28" max="28" width="29.88671875" customWidth="1"/>
    <col min="29" max="29" width="15.109375" customWidth="1"/>
    <col min="30" max="30" width="11.44140625" customWidth="1"/>
    <col min="31" max="31" width="12.44140625" customWidth="1"/>
    <col min="32" max="32" width="11.44140625" customWidth="1"/>
    <col min="33" max="33" width="15.6640625" customWidth="1"/>
    <col min="34" max="34" width="13.77734375" customWidth="1"/>
    <col min="35" max="36" width="11.44140625" customWidth="1"/>
    <col min="37" max="37" width="12.77734375" customWidth="1"/>
    <col min="38" max="38" width="15.44140625" customWidth="1"/>
    <col min="39" max="39" width="11.6640625" customWidth="1"/>
    <col min="40" max="46" width="11.44140625" customWidth="1"/>
    <col min="47" max="47" width="11.77734375" customWidth="1"/>
    <col min="48" max="49" width="12" customWidth="1"/>
    <col min="50" max="67" width="11.44140625" customWidth="1"/>
  </cols>
  <sheetData>
    <row r="1" spans="3:80" ht="15" thickBot="1">
      <c r="AU1" s="45" t="s">
        <v>451</v>
      </c>
      <c r="AV1" s="65"/>
      <c r="AW1" s="65"/>
      <c r="AX1" s="65"/>
      <c r="AY1" s="65"/>
      <c r="AZ1" s="47"/>
      <c r="BE1" s="219"/>
      <c r="BF1" s="45" t="s">
        <v>452</v>
      </c>
      <c r="BG1" s="65"/>
      <c r="BH1" s="65"/>
      <c r="BI1" s="65"/>
      <c r="BJ1" s="65"/>
      <c r="BK1" s="47"/>
      <c r="BL1" s="1640"/>
    </row>
    <row r="2" spans="3:80" ht="15" thickBot="1">
      <c r="C2" s="2465" t="s">
        <v>453</v>
      </c>
      <c r="D2" s="2466"/>
      <c r="E2" s="2466"/>
      <c r="F2" s="2466"/>
      <c r="G2" s="2466"/>
      <c r="H2" s="2467"/>
      <c r="J2" s="2461" t="s">
        <v>454</v>
      </c>
      <c r="K2" s="2462"/>
      <c r="L2" s="2462"/>
      <c r="M2" s="2462"/>
      <c r="N2" s="2158" t="s">
        <v>455</v>
      </c>
      <c r="Q2" s="495" t="s">
        <v>456</v>
      </c>
      <c r="R2" s="496"/>
      <c r="S2" s="496"/>
      <c r="T2" s="496"/>
      <c r="U2" s="497"/>
      <c r="W2" s="336" t="s">
        <v>457</v>
      </c>
      <c r="X2" s="337"/>
      <c r="Y2" s="337"/>
      <c r="Z2" s="337" t="s">
        <v>458</v>
      </c>
      <c r="AA2" s="337"/>
      <c r="AB2" s="322" t="s">
        <v>459</v>
      </c>
      <c r="AC2" s="322"/>
      <c r="AD2" s="322"/>
      <c r="AU2" s="78">
        <f>'RFQ Data'!D46</f>
        <v>2024</v>
      </c>
      <c r="AV2" s="1523">
        <f>'RFQ Data'!E46</f>
        <v>2025</v>
      </c>
      <c r="AW2" s="1523">
        <f>'RFQ Data'!F46</f>
        <v>2026</v>
      </c>
      <c r="AX2" s="1523">
        <f>'RFQ Data'!G46</f>
        <v>2027</v>
      </c>
      <c r="AY2" s="1523">
        <f>'RFQ Data'!H46</f>
        <v>2028</v>
      </c>
      <c r="AZ2" s="79">
        <f>'RFQ Data'!I46</f>
        <v>2029</v>
      </c>
      <c r="BE2" s="219"/>
      <c r="BF2" s="78">
        <f t="shared" ref="BF2:BK2" si="0">AU2</f>
        <v>2024</v>
      </c>
      <c r="BG2" s="1523">
        <f t="shared" si="0"/>
        <v>2025</v>
      </c>
      <c r="BH2" s="1523">
        <f t="shared" si="0"/>
        <v>2026</v>
      </c>
      <c r="BI2" s="1523">
        <f t="shared" si="0"/>
        <v>2027</v>
      </c>
      <c r="BJ2" s="1523">
        <f t="shared" si="0"/>
        <v>2028</v>
      </c>
      <c r="BK2" s="79">
        <f t="shared" si="0"/>
        <v>2029</v>
      </c>
      <c r="BL2" s="1538" t="s">
        <v>296</v>
      </c>
      <c r="BM2" s="1537" t="s">
        <v>460</v>
      </c>
    </row>
    <row r="3" spans="3:80" ht="15" thickBot="1">
      <c r="C3" s="331"/>
      <c r="D3" s="498" t="s">
        <v>231</v>
      </c>
      <c r="E3" s="798" t="str">
        <f>IF(SUM('Product Added value'!N52:N79)=0,'Product Added value'!A4,VLOOKUP(1,'Product Added value'!N52:O79,2,FALSE))</f>
        <v>Kunshan-ASSY</v>
      </c>
      <c r="F3" s="333" t="s">
        <v>165</v>
      </c>
      <c r="G3" s="499" t="str">
        <f>'RFQ Data'!H14</f>
        <v>DAP</v>
      </c>
      <c r="H3" s="354" t="s">
        <v>450</v>
      </c>
      <c r="J3" s="2432" t="s">
        <v>461</v>
      </c>
      <c r="K3" s="2433"/>
      <c r="L3" s="2433"/>
      <c r="M3" s="2433"/>
      <c r="N3" s="2434"/>
      <c r="Q3" s="502"/>
      <c r="R3" s="503"/>
      <c r="S3" s="504" t="s">
        <v>462</v>
      </c>
      <c r="T3" s="503" t="s">
        <v>463</v>
      </c>
      <c r="U3" s="505"/>
      <c r="W3" s="335" t="str">
        <f>CONCATENATE(VLOOKUP(E3,tran_conv_site_zone[],3,FALSE),"-",G4)</f>
        <v>Kunshan-China + South pacific</v>
      </c>
      <c r="X3" s="335"/>
      <c r="Y3" s="338" t="str">
        <f>CONCATENATE(IF(AA3="%",H3,AA3),E4)</f>
        <v>EURRMB</v>
      </c>
      <c r="Z3" s="820">
        <v>3.5</v>
      </c>
      <c r="AA3" s="338" t="str">
        <f>VLOOKUP($W3,$W$7:$AB$51,5,FALSE)</f>
        <v>%</v>
      </c>
      <c r="AB3" s="819">
        <f>VLOOKUP($W3,$W$7:$AB$51,6,FALSE)</f>
        <v>0</v>
      </c>
      <c r="AC3" s="359">
        <f>VLOOKUP(W3,W6:AC51,7,FALSE)</f>
        <v>6</v>
      </c>
      <c r="AD3" s="359" t="str">
        <f>VLOOKUP(W3,W6:AD51,8,FALSE)</f>
        <v/>
      </c>
      <c r="AM3" s="2468" t="s">
        <v>464</v>
      </c>
      <c r="AN3" s="2469"/>
      <c r="AO3" s="2469"/>
      <c r="AP3" s="2469"/>
      <c r="AT3" s="219" t="s">
        <v>465</v>
      </c>
      <c r="AU3" s="1545">
        <f>'RFQ Data'!D47</f>
        <v>0</v>
      </c>
      <c r="AV3" s="1546">
        <f>'RFQ Data'!E47</f>
        <v>666.66666666666663</v>
      </c>
      <c r="AW3" s="1546">
        <f>'RFQ Data'!F47</f>
        <v>666.66666666666663</v>
      </c>
      <c r="AX3" s="1546">
        <f>'RFQ Data'!G47</f>
        <v>666.66666666666663</v>
      </c>
      <c r="AY3" s="1546">
        <f>'RFQ Data'!H47</f>
        <v>666.66666666666663</v>
      </c>
      <c r="AZ3" s="1547">
        <f>'RFQ Data'!I47</f>
        <v>666.66666666666663</v>
      </c>
      <c r="BA3" s="1538" t="s">
        <v>466</v>
      </c>
      <c r="BE3" s="219" t="s">
        <v>467</v>
      </c>
      <c r="BF3" s="1054">
        <f t="shared" ref="BF3:BK3" si="1">AU4</f>
        <v>0</v>
      </c>
      <c r="BG3" s="1548">
        <f t="shared" si="1"/>
        <v>13.888888888888888</v>
      </c>
      <c r="BH3" s="1548">
        <f t="shared" si="1"/>
        <v>13.888888888888888</v>
      </c>
      <c r="BI3" s="1548">
        <f t="shared" si="1"/>
        <v>13.888888888888888</v>
      </c>
      <c r="BJ3" s="1548">
        <f t="shared" si="1"/>
        <v>13.888888888888888</v>
      </c>
      <c r="BK3" s="1549">
        <f t="shared" si="1"/>
        <v>13.888888888888888</v>
      </c>
      <c r="BL3" s="1539"/>
      <c r="BM3" s="1537"/>
    </row>
    <row r="4" spans="3:80" ht="15" thickBot="1">
      <c r="C4" s="330"/>
      <c r="D4" s="332" t="s">
        <v>468</v>
      </c>
      <c r="E4" s="797" t="str">
        <f>+VLOOKUP(E3,'Financials Parameters'!$I$5:$AQ$16,2,FALSE)</f>
        <v>RMB</v>
      </c>
      <c r="F4" s="330" t="s">
        <v>469</v>
      </c>
      <c r="G4" s="2470" t="str">
        <f>'RFQ Data'!D12</f>
        <v>China + South pacific</v>
      </c>
      <c r="H4" s="2471"/>
      <c r="I4" s="810"/>
      <c r="J4" s="224"/>
      <c r="K4" s="1037" t="s">
        <v>470</v>
      </c>
      <c r="L4" s="1038">
        <v>1</v>
      </c>
      <c r="M4" s="516" t="s">
        <v>471</v>
      </c>
      <c r="N4" s="501">
        <v>48</v>
      </c>
      <c r="O4" s="1500" t="s">
        <v>472</v>
      </c>
      <c r="Q4" s="506" t="s">
        <v>473</v>
      </c>
      <c r="R4" s="507"/>
      <c r="S4" s="508">
        <f>L55</f>
        <v>2.3490166726756419E-2</v>
      </c>
      <c r="T4" s="508"/>
      <c r="U4" s="509" t="str">
        <f>L56</f>
        <v>RMB/pc</v>
      </c>
      <c r="W4" t="str">
        <f>CONCATENATE(G65,"-",VLOOKUP(I65,'Financials Parameters'!I5:K15,3,FALSE))</f>
        <v>Kunshan-China + South pacific</v>
      </c>
      <c r="Y4" s="66" t="str">
        <f>CONCATENATE(IF(AA3="%",H3,AA4),E4)</f>
        <v>EURRMB</v>
      </c>
      <c r="Z4" s="1286">
        <f>VLOOKUP($W4,$W$7:$AB$51,4,FALSE)*0.8</f>
        <v>2.4000000000000004</v>
      </c>
      <c r="AA4" s="1285" t="str">
        <f>VLOOKUP($W4,$W$7:$AB$51,5,FALSE)</f>
        <v>%</v>
      </c>
      <c r="AB4" s="1287">
        <f>VLOOKUP($W4,$W$7:$AB$51,6,FALSE)</f>
        <v>0</v>
      </c>
      <c r="AC4" s="66">
        <f>VLOOKUP(W4,W7:AC56,7,FALSE)</f>
        <v>6</v>
      </c>
      <c r="AD4" t="str">
        <f>VLOOKUP(W4,W7:AD56,8,FALSE)</f>
        <v/>
      </c>
      <c r="AM4" t="s">
        <v>474</v>
      </c>
      <c r="AN4" t="s">
        <v>475</v>
      </c>
      <c r="AO4" t="s">
        <v>476</v>
      </c>
      <c r="AP4" t="s">
        <v>477</v>
      </c>
      <c r="AT4" s="219" t="s">
        <v>478</v>
      </c>
      <c r="AU4" s="1054">
        <f t="shared" ref="AU4:AZ4" si="2">AU3/($L$4*$N$4)</f>
        <v>0</v>
      </c>
      <c r="AV4" s="1548">
        <f t="shared" si="2"/>
        <v>13.888888888888888</v>
      </c>
      <c r="AW4" s="1548">
        <f t="shared" si="2"/>
        <v>13.888888888888888</v>
      </c>
      <c r="AX4" s="1548">
        <f t="shared" si="2"/>
        <v>13.888888888888888</v>
      </c>
      <c r="AY4" s="1548">
        <f t="shared" si="2"/>
        <v>13.888888888888888</v>
      </c>
      <c r="AZ4" s="1549">
        <f t="shared" si="2"/>
        <v>13.888888888888888</v>
      </c>
      <c r="BA4" s="1539"/>
      <c r="BE4" s="219" t="str">
        <f t="shared" ref="BE4:BE12" si="3">E39</f>
        <v>Label (etiquette Galia)</v>
      </c>
      <c r="BF4" s="1550"/>
      <c r="BG4" s="1551"/>
      <c r="BH4" s="1552"/>
      <c r="BI4" s="1552"/>
      <c r="BJ4" s="1552"/>
      <c r="BK4" s="1553"/>
      <c r="BL4" s="1641"/>
    </row>
    <row r="5" spans="3:80" ht="15" thickBot="1">
      <c r="C5" s="330"/>
      <c r="D5" s="332" t="s">
        <v>479</v>
      </c>
      <c r="E5" s="513">
        <f>AVERAGEA(PriceCalAVO!C6:G6)+AVERAGEA(PriceCalAVO!C4:G4)</f>
        <v>1.443677689648508</v>
      </c>
      <c r="F5" s="514" t="s">
        <v>480</v>
      </c>
      <c r="G5" s="515">
        <f>AVERAGEA('RFQ Data'!D31:H31)</f>
        <v>600</v>
      </c>
      <c r="H5" s="66">
        <f>MAX('RFQ Data'!C31:I31)</f>
        <v>600</v>
      </c>
      <c r="I5" s="811"/>
      <c r="J5" s="225"/>
      <c r="K5" s="1041" t="s">
        <v>481</v>
      </c>
      <c r="L5" s="1039">
        <f>G5/(L4*N4)</f>
        <v>12.5</v>
      </c>
      <c r="M5" s="516" t="s">
        <v>482</v>
      </c>
      <c r="N5" s="2208">
        <f>15/1000</f>
        <v>1.4999999999999999E-2</v>
      </c>
      <c r="O5" s="821">
        <f>ROUNDUP(L5*1000/N13,0)</f>
        <v>1</v>
      </c>
      <c r="Q5" s="506" t="s">
        <v>483</v>
      </c>
      <c r="R5" s="507"/>
      <c r="S5" s="508"/>
      <c r="T5" s="517">
        <f>S55</f>
        <v>0</v>
      </c>
      <c r="U5" s="509" t="str">
        <f>S56</f>
        <v>K RMB</v>
      </c>
      <c r="W5" s="510"/>
      <c r="X5" s="511"/>
      <c r="Y5" s="512">
        <f>VLOOKUP(Y3,'Financials Parameters'!D29:E53,2,FALSE)</f>
        <v>7.7789000000000001</v>
      </c>
      <c r="Z5" s="512">
        <f>VLOOKUP(Y4,'Financials Parameters'!D29:E53,2,FALSE)</f>
        <v>7.7789000000000001</v>
      </c>
      <c r="AA5" s="334"/>
      <c r="AB5" s="334"/>
      <c r="AC5" s="334"/>
      <c r="AD5" s="334"/>
      <c r="AM5" t="str">
        <f>IF(G5&lt;=AN5,"VRAI","FAUX")</f>
        <v>FAUX</v>
      </c>
      <c r="AN5">
        <v>100</v>
      </c>
      <c r="AO5">
        <v>5</v>
      </c>
      <c r="AP5">
        <v>4000</v>
      </c>
      <c r="AT5" s="219" t="str">
        <f t="shared" ref="AT5:AT13" si="4">E39</f>
        <v>Label (etiquette Galia)</v>
      </c>
      <c r="AU5" s="1550"/>
      <c r="AV5" s="1551"/>
      <c r="AW5" s="1552"/>
      <c r="AX5" s="1552"/>
      <c r="AY5" s="1552"/>
      <c r="AZ5" s="1553"/>
      <c r="BA5" s="379"/>
      <c r="BE5" s="2188" t="str">
        <f t="shared" si="3"/>
        <v>Carboard divider horizontal</v>
      </c>
      <c r="BF5" s="1588">
        <f>IFERROR($P40/$N40*AU6,0)</f>
        <v>0</v>
      </c>
      <c r="BG5" s="1589">
        <f>IF(SUM($BF5:BF5)&lt;$BL5,$P40/$N40*AV6-SUM($BF5:BF5),0)</f>
        <v>0</v>
      </c>
      <c r="BH5" s="1589">
        <f>IF(SUM($BF5:BG5)&lt;$BL5,$P40/$N40*AW6-SUM($BF5:BG5),0)</f>
        <v>0</v>
      </c>
      <c r="BI5" s="1589">
        <f>IF(SUM($BF5:BH5)&lt;$BL5,$P40/$N40*AX6-SUM($BF5:BH5),0)</f>
        <v>0</v>
      </c>
      <c r="BJ5" s="1589">
        <f>IF(SUM($BF5:BI5)&lt;$BL5,$P40/$N40*AY6-SUM($BF5:BI5),0)</f>
        <v>0</v>
      </c>
      <c r="BK5" s="1646">
        <f>IF(SUM($BF5:BJ5)&lt;$BL5,$P40/$N40*AZ6-SUM($BF5:BJ5),0)</f>
        <v>0</v>
      </c>
      <c r="BL5" s="1644">
        <f>P40</f>
        <v>0</v>
      </c>
      <c r="BM5" s="1206">
        <f>SUM(BF5:BK5)</f>
        <v>0</v>
      </c>
    </row>
    <row r="6" spans="3:80" ht="15" thickBot="1">
      <c r="C6" s="518"/>
      <c r="D6" s="519" t="s">
        <v>484</v>
      </c>
      <c r="E6" s="519"/>
      <c r="F6" s="519"/>
      <c r="G6" s="520"/>
      <c r="J6" s="1042"/>
      <c r="K6" s="226" t="s">
        <v>485</v>
      </c>
      <c r="L6" s="1565">
        <f>MAX('RFQ Data'!D47:I47)/(L4*N4)</f>
        <v>13.888888888888888</v>
      </c>
      <c r="M6" s="516"/>
      <c r="N6" s="1186"/>
      <c r="O6" s="806"/>
      <c r="Q6" s="506" t="s">
        <v>486</v>
      </c>
      <c r="R6" s="507"/>
      <c r="S6" s="508">
        <f>N63+N64+N65</f>
        <v>8.5176983689261979E-2</v>
      </c>
      <c r="T6" s="508"/>
      <c r="U6" s="509" t="str">
        <f>O63</f>
        <v>RMB/ pc</v>
      </c>
      <c r="W6" s="339" t="s">
        <v>487</v>
      </c>
      <c r="X6" s="328" t="s">
        <v>488</v>
      </c>
      <c r="Y6" s="328" t="s">
        <v>489</v>
      </c>
      <c r="Z6" s="329" t="s">
        <v>490</v>
      </c>
      <c r="AA6" s="328" t="s">
        <v>161</v>
      </c>
      <c r="AB6" s="340" t="s">
        <v>491</v>
      </c>
      <c r="AC6" s="355" t="s">
        <v>492</v>
      </c>
      <c r="AD6" s="355" t="s">
        <v>493</v>
      </c>
      <c r="AM6" t="str">
        <f>IF(AND($G$5&lt;=AN6,$G$5&gt;AN5),"VRAI","FAUX")</f>
        <v>VRAI</v>
      </c>
      <c r="AN6">
        <v>1000</v>
      </c>
      <c r="AO6">
        <v>10</v>
      </c>
      <c r="AP6">
        <v>4000</v>
      </c>
      <c r="AT6" s="1581" t="str">
        <f t="shared" si="4"/>
        <v>Carboard divider horizontal</v>
      </c>
      <c r="AU6" s="1582">
        <f t="shared" ref="AU6:AZ6" si="5">IF($L$11=$AH$27,AU4*$L$4*$Q$37*(1+$N$37)*1000/VLOOKUP(1,$W$62:$AX$80,27,FALSE),0)</f>
        <v>0</v>
      </c>
      <c r="AV6" s="1583">
        <f t="shared" si="5"/>
        <v>0</v>
      </c>
      <c r="AW6" s="1583">
        <f t="shared" si="5"/>
        <v>0</v>
      </c>
      <c r="AX6" s="1583">
        <f t="shared" si="5"/>
        <v>0</v>
      </c>
      <c r="AY6" s="1583">
        <f t="shared" si="5"/>
        <v>0</v>
      </c>
      <c r="AZ6" s="1584">
        <f t="shared" si="5"/>
        <v>0</v>
      </c>
      <c r="BA6" s="1644">
        <f>N40</f>
        <v>0</v>
      </c>
      <c r="BE6" s="2188" t="str">
        <f t="shared" si="3"/>
        <v/>
      </c>
      <c r="BF6" s="1591"/>
      <c r="BG6" s="1592"/>
      <c r="BH6" s="1592"/>
      <c r="BI6" s="1592"/>
      <c r="BJ6" s="1592"/>
      <c r="BK6" s="1647"/>
      <c r="BL6" s="1645"/>
      <c r="BM6" s="1206"/>
    </row>
    <row r="7" spans="3:80" ht="15" thickBot="1">
      <c r="C7" s="522"/>
      <c r="D7" s="523" t="s">
        <v>48</v>
      </c>
      <c r="E7" s="523"/>
      <c r="F7" s="119"/>
      <c r="G7" s="524">
        <f>'RFQ Data'!G21</f>
        <v>0</v>
      </c>
      <c r="J7" s="588"/>
      <c r="K7" s="295" t="s">
        <v>494</v>
      </c>
      <c r="L7" s="1040" t="s">
        <v>300</v>
      </c>
      <c r="M7" s="516" t="s">
        <v>495</v>
      </c>
      <c r="N7" s="353" t="s">
        <v>149</v>
      </c>
      <c r="O7" s="806"/>
      <c r="Q7" s="506" t="s">
        <v>496</v>
      </c>
      <c r="R7" s="507"/>
      <c r="S7" s="508"/>
      <c r="T7" s="508"/>
      <c r="U7" s="509"/>
      <c r="W7" s="341" t="str">
        <f>CONCATENATE(X7,"-",Y7)</f>
        <v>Amiens-India</v>
      </c>
      <c r="X7" s="323" t="s">
        <v>497</v>
      </c>
      <c r="Y7" s="327" t="s">
        <v>498</v>
      </c>
      <c r="Z7" s="325">
        <v>15</v>
      </c>
      <c r="AA7" s="326" t="s">
        <v>143</v>
      </c>
      <c r="AB7" s="342">
        <v>0.1</v>
      </c>
      <c r="AC7" s="356">
        <v>12</v>
      </c>
      <c r="AD7" s="356" t="str">
        <f>IF(AC7&gt;8,"Oversea","")</f>
        <v>Oversea</v>
      </c>
      <c r="AM7" t="str">
        <f>IF(AND($G$5&lt;=AN7,$G$5&gt;AN6),"VRAI","FAUX")</f>
        <v>FAUX</v>
      </c>
      <c r="AN7">
        <v>6000</v>
      </c>
      <c r="AO7">
        <v>20</v>
      </c>
      <c r="AP7">
        <v>8000</v>
      </c>
      <c r="AT7" s="1581" t="str">
        <f t="shared" si="4"/>
        <v/>
      </c>
      <c r="AU7" s="1585"/>
      <c r="AV7" s="1586"/>
      <c r="AW7" s="1586"/>
      <c r="AX7" s="1586"/>
      <c r="AY7" s="1586"/>
      <c r="AZ7" s="1587"/>
      <c r="BA7" s="1645"/>
      <c r="BE7" s="219" t="str">
        <f t="shared" si="3"/>
        <v>Cardboard box C16 300 X 200 H125</v>
      </c>
      <c r="BF7" s="1559">
        <f>IFERROR($P42/$N42*AU8,0)</f>
        <v>0</v>
      </c>
      <c r="BG7" s="1560">
        <f>IF(SUM($BF7:BF7)&lt;$BL7,$P42/$N42*AV8-SUM($BF7:BF7),0)</f>
        <v>0</v>
      </c>
      <c r="BH7" s="1560">
        <f>IF(SUM($BF7:BG7)&lt;$BL7,$P42/$N42*AW8-SUM($BF7:BG7),0)</f>
        <v>0</v>
      </c>
      <c r="BI7" s="1560">
        <f>IF(SUM($BF7:BH7)&lt;$BL7,$P42/$N42*AX8-SUM($BF7:BH7),0)</f>
        <v>0</v>
      </c>
      <c r="BJ7" s="1560">
        <f>IF(SUM($BF7:BI7)&lt;$BL7,$P42/$N42*AY8-SUM($BF7:BI7),0)</f>
        <v>0</v>
      </c>
      <c r="BK7" s="1633">
        <f>IF(SUM($BF7:BJ7)&lt;$BL7,$P42/$N42*AZ8-SUM($BF7:BJ7),0)</f>
        <v>0</v>
      </c>
      <c r="BL7" s="1637">
        <f>P42</f>
        <v>0</v>
      </c>
      <c r="BM7" s="1206">
        <f t="shared" ref="BM7:BM12" si="6">SUM(BF7:BK7)</f>
        <v>0</v>
      </c>
    </row>
    <row r="8" spans="3:80" ht="15" thickBot="1">
      <c r="C8" s="522"/>
      <c r="D8" s="523" t="s">
        <v>499</v>
      </c>
      <c r="E8" s="523"/>
      <c r="F8" s="119"/>
      <c r="G8" s="528">
        <f>'RFQ Data'!G22</f>
        <v>5</v>
      </c>
      <c r="J8" s="521"/>
      <c r="K8" s="516" t="s">
        <v>500</v>
      </c>
      <c r="L8" s="1019" t="s">
        <v>300</v>
      </c>
      <c r="M8" s="1019"/>
      <c r="N8" s="353"/>
      <c r="O8" s="807"/>
      <c r="Q8" s="535" t="s">
        <v>501</v>
      </c>
      <c r="R8" s="536" t="str">
        <f>U4</f>
        <v>RMB/pc</v>
      </c>
      <c r="S8" s="537">
        <f>SUM(S4:S7)</f>
        <v>0.1086671504160184</v>
      </c>
      <c r="T8" s="538">
        <f>SUM(T4:T7)</f>
        <v>0</v>
      </c>
      <c r="U8" s="539" t="str">
        <f>U5</f>
        <v>K RMB</v>
      </c>
      <c r="W8" s="343" t="str">
        <f t="shared" ref="W8:W45" si="7">CONCATENATE(X8,"-",Y8)</f>
        <v>Amiens-Rest of Asia</v>
      </c>
      <c r="X8" s="344" t="s">
        <v>497</v>
      </c>
      <c r="Y8" s="345" t="s">
        <v>502</v>
      </c>
      <c r="Z8" s="346">
        <v>15</v>
      </c>
      <c r="AA8" s="347" t="s">
        <v>143</v>
      </c>
      <c r="AB8" s="348">
        <v>0</v>
      </c>
      <c r="AC8" s="357">
        <v>12</v>
      </c>
      <c r="AD8" s="357" t="str">
        <f t="shared" ref="AD8:AD45" si="8">IF(AC8&gt;8,"Oversea","")</f>
        <v>Oversea</v>
      </c>
      <c r="AM8" t="str">
        <f>IF(AND($G$5&lt;=AN8,$G$5&gt;AN7),"VRAI","FAUX")</f>
        <v>FAUX</v>
      </c>
      <c r="AN8">
        <v>12000</v>
      </c>
      <c r="AO8">
        <v>40</v>
      </c>
      <c r="AP8">
        <v>16000</v>
      </c>
      <c r="AT8" s="219" t="str">
        <f t="shared" si="4"/>
        <v>Cardboard box C16 300 X 200 H125</v>
      </c>
      <c r="AU8" s="1554">
        <f t="shared" ref="AU8:AZ8" si="9">IF($L$8="YES",1/VLOOKUP(1,$W$62:$AX$78,26,FALSE)*AU4*$Q$37*(1+$N$37)*1000,0)</f>
        <v>0</v>
      </c>
      <c r="AV8" s="1548">
        <f t="shared" si="9"/>
        <v>0</v>
      </c>
      <c r="AW8" s="1548">
        <f t="shared" si="9"/>
        <v>0</v>
      </c>
      <c r="AX8" s="1548">
        <f t="shared" si="9"/>
        <v>0</v>
      </c>
      <c r="AY8" s="1548">
        <f t="shared" si="9"/>
        <v>0</v>
      </c>
      <c r="AZ8" s="1549">
        <f t="shared" si="9"/>
        <v>0</v>
      </c>
      <c r="BA8" s="1637">
        <f>N42</f>
        <v>0</v>
      </c>
      <c r="BE8" s="219" t="str">
        <f t="shared" si="3"/>
        <v>Wood pallet 800 x 600</v>
      </c>
      <c r="BF8" s="1562">
        <f>IFERROR($P43/$N43*AU9,0)</f>
        <v>0</v>
      </c>
      <c r="BG8" s="1563">
        <f>IF(SUM($BF8:BF8)&lt;$BL8,$P43/$N43*AV9-SUM($BF8:BF8),0)</f>
        <v>0</v>
      </c>
      <c r="BH8" s="1563">
        <f>IF(SUM($BF8:BG8)&lt;$BL8,$P43/$N43*AW9-SUM($BF8:BG8),0)</f>
        <v>0</v>
      </c>
      <c r="BI8" s="1563">
        <f>IF(SUM($BF8:BH8)&lt;$BL8,$P43/$N43*AX9-SUM($BF8:BH8),0)</f>
        <v>0</v>
      </c>
      <c r="BJ8" s="1563">
        <f>IF(SUM($BF8:BI8)&lt;$BL8,$P43/$N43*AY9-SUM($BF8:BI8),0)</f>
        <v>0</v>
      </c>
      <c r="BK8" s="1634">
        <f>IF(SUM($BF8:BJ8)&lt;$BL8,$P43/$N43*AZ9-SUM($BF8:BJ8),0)</f>
        <v>0</v>
      </c>
      <c r="BL8" s="1637">
        <f>P43</f>
        <v>0</v>
      </c>
      <c r="BM8" s="1206">
        <f t="shared" si="6"/>
        <v>0</v>
      </c>
    </row>
    <row r="9" spans="3:80" ht="15" thickBot="1">
      <c r="C9" s="522"/>
      <c r="D9" s="523" t="s">
        <v>50</v>
      </c>
      <c r="E9" s="523"/>
      <c r="F9" s="119"/>
      <c r="G9" s="528">
        <f>'RFQ Data'!G23</f>
        <v>7</v>
      </c>
      <c r="J9" s="500"/>
      <c r="K9" s="516" t="s">
        <v>503</v>
      </c>
      <c r="L9" s="526" t="str">
        <f>VLOOKUP(AF25,W84:AH87,5,FALSE)</f>
        <v>Wood pallet 800 x 600</v>
      </c>
      <c r="M9" s="526"/>
      <c r="N9" s="527"/>
      <c r="Q9" s="535" t="s">
        <v>504</v>
      </c>
      <c r="R9" s="542"/>
      <c r="S9" s="543"/>
      <c r="T9" s="544">
        <f>N69</f>
        <v>7.7789000000000001</v>
      </c>
      <c r="U9" s="545"/>
      <c r="W9" s="341" t="str">
        <f t="shared" si="7"/>
        <v>Amiens-Europe</v>
      </c>
      <c r="X9" s="323" t="s">
        <v>497</v>
      </c>
      <c r="Y9" s="327" t="s">
        <v>505</v>
      </c>
      <c r="Z9" s="325">
        <v>3.5</v>
      </c>
      <c r="AA9" s="326" t="s">
        <v>143</v>
      </c>
      <c r="AB9" s="342">
        <v>0</v>
      </c>
      <c r="AC9" s="356">
        <v>6</v>
      </c>
      <c r="AD9" s="356" t="str">
        <f t="shared" si="8"/>
        <v/>
      </c>
      <c r="AM9" t="str">
        <f>IF(AND($G$5&lt;=AN9,$G$5&gt;AN8),"VRAI","FAUX")</f>
        <v>FAUX</v>
      </c>
      <c r="AN9">
        <v>24000</v>
      </c>
      <c r="AO9">
        <v>80</v>
      </c>
      <c r="AP9">
        <v>32000</v>
      </c>
      <c r="AT9" s="219" t="str">
        <f t="shared" si="4"/>
        <v>Wood pallet 800 x 600</v>
      </c>
      <c r="AU9" s="1555">
        <f t="shared" ref="AU9:AZ9" si="10">ROUNDUP(IF(SUM($W$69:$W$78)=1,IF($L$12=$AF$28,1/VLOOKUP($AF$25,$W$84:$AI$87,9,FALSE),1/VLOOKUP($AF$25,$W$84:$AI$87,10,FALSE))*AU4*$Q$37*(1+$N$37)*1000),0)</f>
        <v>0</v>
      </c>
      <c r="AV9" s="1546">
        <f t="shared" si="10"/>
        <v>0</v>
      </c>
      <c r="AW9" s="1546">
        <f t="shared" si="10"/>
        <v>0</v>
      </c>
      <c r="AX9" s="1546">
        <f t="shared" si="10"/>
        <v>0</v>
      </c>
      <c r="AY9" s="1546">
        <f t="shared" si="10"/>
        <v>0</v>
      </c>
      <c r="AZ9" s="1547">
        <f t="shared" si="10"/>
        <v>0</v>
      </c>
      <c r="BA9" s="1637">
        <f>N43</f>
        <v>0</v>
      </c>
      <c r="BE9" s="219" t="str">
        <f t="shared" si="3"/>
        <v>Brush retainer</v>
      </c>
      <c r="BF9" s="1559">
        <f>IFERROR($P44/$N44*AU10,0)</f>
        <v>0</v>
      </c>
      <c r="BG9" s="1563">
        <f>IF(SUM($BF9:BF9)&lt;$BL9,$P44/$N44*AV10-SUM($BF9:BF9),0)</f>
        <v>0</v>
      </c>
      <c r="BH9" s="1563">
        <f>IF(SUM($BF9:BG9)&lt;$BL9,$P44/$N44*AW10-SUM($BF9:BG9),0)</f>
        <v>0</v>
      </c>
      <c r="BI9" s="1563">
        <f>IF(SUM($BF9:BH9)&lt;$BL9,$P44/$N44*AX10-SUM($BF9:BH9),0)</f>
        <v>0</v>
      </c>
      <c r="BJ9" s="1563">
        <f>IF(SUM($BF9:BI9)&lt;$BL9,$P44/$N44*AY10-SUM($BF9:BI9),0)</f>
        <v>0</v>
      </c>
      <c r="BK9" s="1634">
        <f>IF(SUM($BF9:BJ9)&lt;$BL9,$P44/$N44*AZ10-SUM($BF9:BJ9),0)</f>
        <v>0</v>
      </c>
      <c r="BL9" s="1637">
        <f>P44</f>
        <v>0</v>
      </c>
      <c r="BM9" s="1206">
        <f t="shared" si="6"/>
        <v>0</v>
      </c>
    </row>
    <row r="10" spans="3:80" ht="15" thickBot="1">
      <c r="C10" s="546"/>
      <c r="D10" s="547" t="s">
        <v>506</v>
      </c>
      <c r="E10" s="547"/>
      <c r="F10" s="120"/>
      <c r="G10" s="548">
        <f>'RFQ Data'!G24</f>
        <v>7</v>
      </c>
      <c r="J10" s="530" t="s">
        <v>507</v>
      </c>
      <c r="K10" s="531"/>
      <c r="L10" s="532" t="str">
        <f>VLOOKUP(1,W62:AB80,6,FALSE)</f>
        <v>Cardboard box C16</v>
      </c>
      <c r="M10" s="533" t="str">
        <f>VLOOKUP(1,W62:AX78,9,FALSE)</f>
        <v>300 X 200</v>
      </c>
      <c r="N10" s="534" t="str">
        <f>"H"&amp;VLOOKUP(1,W62:AF78,10,FALSE)</f>
        <v>H125</v>
      </c>
      <c r="O10" s="66"/>
      <c r="W10" s="343" t="str">
        <f t="shared" si="7"/>
        <v>Amiens-China + South pacific</v>
      </c>
      <c r="X10" s="344" t="s">
        <v>497</v>
      </c>
      <c r="Y10" s="344" t="s">
        <v>25</v>
      </c>
      <c r="Z10" s="346">
        <v>15</v>
      </c>
      <c r="AA10" s="347" t="s">
        <v>143</v>
      </c>
      <c r="AB10" s="348">
        <v>0</v>
      </c>
      <c r="AC10" s="357">
        <v>12</v>
      </c>
      <c r="AD10" s="357" t="str">
        <f t="shared" si="8"/>
        <v>Oversea</v>
      </c>
      <c r="AT10" s="219" t="str">
        <f t="shared" si="4"/>
        <v>Brush retainer</v>
      </c>
      <c r="AU10" s="1554">
        <f>IF(AND($G$20="Returnable",C44="YES"),AU4*$L$4*$Q$37*(1+$N$37)*1000/$H$44,0)</f>
        <v>0</v>
      </c>
      <c r="AV10" s="1546">
        <f>IF(AND($G$20="Returnable",C44="YES"),AV4*$L$4*$Q$37*(1+$N$37)*1000/$H$44,0)</f>
        <v>0</v>
      </c>
      <c r="AW10" s="1546">
        <f>IF(AND($G$20="Returnable",C44="YES"),AW4*$L$4*$Q$37*(1+$N$37)*1000/$H$44,0)</f>
        <v>0</v>
      </c>
      <c r="AX10" s="1546">
        <f>IF(AND($G$20="Returnable",C44="YES"),AX4*$L$4*$Q$37*(1+$N$37)*1000/$H$44,0)</f>
        <v>0</v>
      </c>
      <c r="AY10" s="1546">
        <f>IF(AND($G$20="Returnable",C44="YES"),AY4*$L$4*$Q$37*(1+$N$37)*1000/$H$44,0)</f>
        <v>0</v>
      </c>
      <c r="AZ10" s="1547">
        <f>IF(AND($G$20="Returnable",C44="YES"),AZ4*$L$4*$Q$37*(1+$N$37)*1000/$H$44,0)</f>
        <v>0</v>
      </c>
      <c r="BA10" s="1637">
        <f>N44</f>
        <v>0</v>
      </c>
      <c r="BE10" s="219" t="str">
        <f t="shared" si="3"/>
        <v>Cardboard corner</v>
      </c>
      <c r="BF10" s="1556"/>
      <c r="BG10" s="1557"/>
      <c r="BH10" s="1557"/>
      <c r="BI10" s="1557"/>
      <c r="BJ10" s="1557"/>
      <c r="BK10" s="1635"/>
      <c r="BL10" s="1638"/>
      <c r="BM10" s="1206">
        <f t="shared" si="6"/>
        <v>0</v>
      </c>
    </row>
    <row r="11" spans="3:80" ht="15" thickBot="1">
      <c r="C11" s="549"/>
      <c r="D11" s="550" t="s">
        <v>52</v>
      </c>
      <c r="E11" s="550"/>
      <c r="F11" s="550"/>
      <c r="G11" s="551">
        <f>'RFQ Data'!G25</f>
        <v>19</v>
      </c>
      <c r="J11" s="500"/>
      <c r="K11" s="516" t="s">
        <v>508</v>
      </c>
      <c r="L11" s="1019" t="s">
        <v>509</v>
      </c>
      <c r="M11" s="1019"/>
      <c r="N11" s="541" t="str">
        <f>M10</f>
        <v>300 X 200</v>
      </c>
      <c r="O11" s="806"/>
      <c r="W11" s="341" t="str">
        <f t="shared" si="7"/>
        <v xml:space="preserve">Amiens-North America </v>
      </c>
      <c r="X11" s="323" t="s">
        <v>497</v>
      </c>
      <c r="Y11" s="327" t="s">
        <v>510</v>
      </c>
      <c r="Z11" s="325">
        <v>10</v>
      </c>
      <c r="AA11" s="326" t="s">
        <v>143</v>
      </c>
      <c r="AB11" s="342">
        <v>0</v>
      </c>
      <c r="AC11" s="356">
        <v>12</v>
      </c>
      <c r="AD11" s="356" t="str">
        <f t="shared" si="8"/>
        <v>Oversea</v>
      </c>
      <c r="AT11" s="219" t="str">
        <f t="shared" si="4"/>
        <v>Cardboard corner</v>
      </c>
      <c r="AU11" s="1556"/>
      <c r="AV11" s="1557"/>
      <c r="AW11" s="1557"/>
      <c r="AX11" s="1557"/>
      <c r="AY11" s="1557"/>
      <c r="AZ11" s="1558"/>
      <c r="BA11" s="1638"/>
      <c r="BE11" s="219" t="str">
        <f t="shared" si="3"/>
        <v>Pallet cover</v>
      </c>
      <c r="BF11" s="1555">
        <f>IFERROR($P46/$N46*AU12,0)</f>
        <v>0</v>
      </c>
      <c r="BG11" s="26">
        <f>IF(SUM($BF11:BF11)&lt;$BL11,$P46/$N46*AV12-SUM($BF11:BF11),0)</f>
        <v>0</v>
      </c>
      <c r="BH11" s="26">
        <f>IF(SUM($BF11:BG11)&lt;$BL11,$P46/$N46*AW12-SUM($BF11:BG11),0)</f>
        <v>0</v>
      </c>
      <c r="BI11" s="26">
        <f>IF(SUM($BF11:BH11)&lt;$BL11,$P46/$N46*AX12-SUM($BF11:BH11),0)</f>
        <v>0</v>
      </c>
      <c r="BJ11" s="26">
        <f>IF(SUM($BF11:BI11)&lt;$BL11,$P46/$N46*AY12-SUM($BF11:BI11),0)</f>
        <v>0</v>
      </c>
      <c r="BK11" s="829">
        <f>IF(SUM($BF11:BJ11)&lt;$BL11,$P46/$N46*AZ12-SUM($BF11:BJ11),0)</f>
        <v>0</v>
      </c>
      <c r="BL11" s="1637">
        <f>P46</f>
        <v>0</v>
      </c>
      <c r="BM11" s="1206">
        <f t="shared" si="6"/>
        <v>0</v>
      </c>
    </row>
    <row r="12" spans="3:80" ht="15" thickBot="1">
      <c r="J12" s="500"/>
      <c r="K12" s="516" t="s">
        <v>511</v>
      </c>
      <c r="L12" s="1019" t="s">
        <v>512</v>
      </c>
      <c r="M12" s="812" t="s">
        <v>513</v>
      </c>
      <c r="N12" s="353" t="s">
        <v>514</v>
      </c>
      <c r="O12" s="69"/>
      <c r="W12" s="343" t="str">
        <f t="shared" si="7"/>
        <v>Chennai-Europe</v>
      </c>
      <c r="X12" s="349" t="s">
        <v>515</v>
      </c>
      <c r="Y12" s="344" t="s">
        <v>505</v>
      </c>
      <c r="Z12" s="346">
        <v>15</v>
      </c>
      <c r="AA12" s="347" t="s">
        <v>143</v>
      </c>
      <c r="AB12" s="348">
        <v>0</v>
      </c>
      <c r="AC12" s="357">
        <v>12</v>
      </c>
      <c r="AD12" s="357" t="str">
        <f t="shared" si="8"/>
        <v>Oversea</v>
      </c>
      <c r="AT12" s="219" t="str">
        <f t="shared" si="4"/>
        <v>Pallet cover</v>
      </c>
      <c r="AU12" s="57"/>
      <c r="AV12" s="26"/>
      <c r="AW12" s="26"/>
      <c r="AX12" s="26"/>
      <c r="AY12" s="26"/>
      <c r="AZ12" s="29"/>
      <c r="BA12" s="1637">
        <f>N46</f>
        <v>0</v>
      </c>
      <c r="BE12" s="219" t="str">
        <f t="shared" si="3"/>
        <v>Box cover (for plastic box)</v>
      </c>
      <c r="BF12" s="1580">
        <f>IFERROR($P47/$N47*AU13,0)</f>
        <v>0</v>
      </c>
      <c r="BG12" s="37" t="e">
        <f>IF(SUM($BF12:BF12)&lt;$BL12,$P47/$N47*AV13-SUM($BF12:BF12),0)</f>
        <v>#N/A</v>
      </c>
      <c r="BH12" s="37" t="e">
        <f>IF(SUM($BF12:BG12)&lt;$BL12,$P47/$N47*AW13-SUM($BF12:BG12),0)</f>
        <v>#N/A</v>
      </c>
      <c r="BI12" s="37" t="e">
        <f>IF(SUM($BF12:BH12)&lt;$BL12,$P47/$N47*AX13-SUM($BF12:BH12),0)</f>
        <v>#N/A</v>
      </c>
      <c r="BJ12" s="37" t="e">
        <f>IF(SUM($BF12:BI12)&lt;$BL12,$P47/$N47*AY13-SUM($BF12:BI12),0)</f>
        <v>#N/A</v>
      </c>
      <c r="BK12" s="1636" t="e">
        <f>IF(SUM($BF12:BJ12)&lt;$BL12,$P47/$N47*AZ13-SUM($BF12:BJ12),0)</f>
        <v>#N/A</v>
      </c>
      <c r="BL12" s="1639" t="e">
        <f>P47</f>
        <v>#N/A</v>
      </c>
      <c r="BM12" s="1206" t="e">
        <f t="shared" si="6"/>
        <v>#N/A</v>
      </c>
    </row>
    <row r="13" spans="3:80" ht="15" thickBot="1">
      <c r="J13" s="500"/>
      <c r="K13" s="516" t="s">
        <v>516</v>
      </c>
      <c r="L13" s="1749">
        <f>IF(VLOOKUP(AF25,$W$84:$AN$87,IF($L$12=$AF$28,14,15),FALSE)&gt;VLOOKUP(AF25,$W$84:$AN$87,11,FALSE),VLOOKUP(AF25,$W$84:$AN$87,17,FALSE),IF(L12=AF28,VLOOKUP(AF25,$W$84:$AN$87,14,FALSE),VLOOKUP(AF25,$W$84:$AN$87,15,FALSE)))</f>
        <v>249.99999999999997</v>
      </c>
      <c r="M13" s="552" t="s">
        <v>517</v>
      </c>
      <c r="N13" s="1747">
        <f>VLOOKUP(AF25,W84:AN87,18,FALSE)</f>
        <v>15789.473684210525</v>
      </c>
      <c r="S13" s="525" t="s">
        <v>518</v>
      </c>
      <c r="W13" s="341" t="str">
        <f t="shared" si="7"/>
        <v>Chennai-India</v>
      </c>
      <c r="X13" s="327" t="s">
        <v>515</v>
      </c>
      <c r="Y13" s="326" t="s">
        <v>498</v>
      </c>
      <c r="Z13" s="325">
        <v>3</v>
      </c>
      <c r="AA13" s="326" t="s">
        <v>143</v>
      </c>
      <c r="AB13" s="342">
        <v>0</v>
      </c>
      <c r="AC13" s="356">
        <v>6</v>
      </c>
      <c r="AD13" s="356" t="str">
        <f t="shared" si="8"/>
        <v/>
      </c>
      <c r="AT13" s="219" t="str">
        <f t="shared" si="4"/>
        <v>Box cover (for plastic box)</v>
      </c>
      <c r="AU13" s="58"/>
      <c r="AV13" s="37"/>
      <c r="AW13" s="37"/>
      <c r="AX13" s="37"/>
      <c r="AY13" s="37"/>
      <c r="AZ13" s="32"/>
      <c r="BA13" s="1639">
        <f>N47</f>
        <v>0</v>
      </c>
      <c r="BE13" s="2"/>
      <c r="BF13" s="2"/>
      <c r="BG13" s="2"/>
      <c r="BH13" s="2"/>
      <c r="BI13" s="2"/>
      <c r="BJ13" s="2"/>
      <c r="BK13" s="1650"/>
    </row>
    <row r="14" spans="3:80" ht="15" thickBot="1">
      <c r="R14" s="525" t="s">
        <v>519</v>
      </c>
      <c r="S14" s="529">
        <f>VLOOKUP(1,W62:BQ78,26,FALSE)</f>
        <v>600</v>
      </c>
      <c r="W14" s="343" t="str">
        <f t="shared" si="7"/>
        <v>Chennai-Rest fo Asia</v>
      </c>
      <c r="X14" s="349" t="s">
        <v>515</v>
      </c>
      <c r="Y14" s="344" t="s">
        <v>520</v>
      </c>
      <c r="Z14" s="346">
        <v>10</v>
      </c>
      <c r="AA14" s="347" t="s">
        <v>143</v>
      </c>
      <c r="AB14" s="348">
        <v>0</v>
      </c>
      <c r="AC14" s="357">
        <v>10</v>
      </c>
      <c r="AD14" s="357" t="str">
        <f t="shared" si="8"/>
        <v>Oversea</v>
      </c>
      <c r="BD14" s="98" t="s">
        <v>521</v>
      </c>
      <c r="BE14" s="99"/>
      <c r="BF14" s="99"/>
      <c r="BG14" s="99"/>
      <c r="BH14" s="99"/>
      <c r="BI14" s="1423"/>
      <c r="BJ14" s="1640"/>
      <c r="BM14" s="98" t="s">
        <v>522</v>
      </c>
      <c r="BN14" s="99"/>
      <c r="BO14" s="99"/>
      <c r="BP14" s="99"/>
      <c r="BQ14" s="99"/>
      <c r="BR14" s="1423"/>
      <c r="BS14" s="1640"/>
      <c r="BT14" s="1640"/>
      <c r="BV14" s="98" t="s">
        <v>523</v>
      </c>
      <c r="BW14" s="99"/>
      <c r="BX14" s="99"/>
      <c r="BY14" s="99"/>
      <c r="BZ14" s="99"/>
      <c r="CA14" s="1423"/>
      <c r="CB14" s="1640"/>
    </row>
    <row r="15" spans="3:80">
      <c r="R15" s="525" t="s">
        <v>524</v>
      </c>
      <c r="S15" s="540" t="str">
        <f>IF(L11=AF27,VLOOKUP(1,W62:BQ78,27,FALSE)&amp;" pcs/box",VLOOKUP(1,W62:BQ78,27,FALSE))</f>
        <v>60 pcs/box</v>
      </c>
      <c r="W15" s="341" t="str">
        <f t="shared" si="7"/>
        <v xml:space="preserve">Chennai-North America </v>
      </c>
      <c r="X15" s="327" t="s">
        <v>515</v>
      </c>
      <c r="Y15" s="327" t="s">
        <v>510</v>
      </c>
      <c r="Z15" s="325">
        <v>10</v>
      </c>
      <c r="AA15" s="326" t="s">
        <v>143</v>
      </c>
      <c r="AB15" s="342">
        <v>0</v>
      </c>
      <c r="AC15" s="356">
        <v>12</v>
      </c>
      <c r="AD15" s="356" t="str">
        <f t="shared" si="8"/>
        <v>Oversea</v>
      </c>
      <c r="BD15" s="78">
        <f t="shared" ref="BD15:BI16" si="11">BF2</f>
        <v>2024</v>
      </c>
      <c r="BE15" s="1523">
        <f t="shared" si="11"/>
        <v>2025</v>
      </c>
      <c r="BF15" s="1523">
        <f t="shared" si="11"/>
        <v>2026</v>
      </c>
      <c r="BG15" s="1523">
        <f t="shared" si="11"/>
        <v>2027</v>
      </c>
      <c r="BH15" s="1523">
        <f t="shared" si="11"/>
        <v>2028</v>
      </c>
      <c r="BI15" s="79">
        <f t="shared" si="11"/>
        <v>2029</v>
      </c>
      <c r="BJ15" s="1538" t="s">
        <v>296</v>
      </c>
      <c r="BM15" s="78">
        <f t="shared" ref="BM15:BR16" si="12">BF2</f>
        <v>2024</v>
      </c>
      <c r="BN15" s="1523">
        <f t="shared" si="12"/>
        <v>2025</v>
      </c>
      <c r="BO15" s="1523">
        <f t="shared" si="12"/>
        <v>2026</v>
      </c>
      <c r="BP15" s="1523">
        <f t="shared" si="12"/>
        <v>2027</v>
      </c>
      <c r="BQ15" s="1523">
        <f t="shared" si="12"/>
        <v>2028</v>
      </c>
      <c r="BR15" s="79">
        <f t="shared" si="12"/>
        <v>2029</v>
      </c>
      <c r="BS15" s="1538" t="s">
        <v>296</v>
      </c>
      <c r="BT15" s="69"/>
      <c r="BV15" s="78">
        <f>BM15</f>
        <v>2024</v>
      </c>
      <c r="BW15" s="1523">
        <f t="shared" ref="BW15:BW16" si="13">BN15</f>
        <v>2025</v>
      </c>
      <c r="BX15" s="1523">
        <f t="shared" ref="BX15:BX16" si="14">BO15</f>
        <v>2026</v>
      </c>
      <c r="BY15" s="1523">
        <f t="shared" ref="BY15:BY16" si="15">BP15</f>
        <v>2027</v>
      </c>
      <c r="BZ15" s="1523">
        <f t="shared" ref="BZ15:BZ16" si="16">BQ15</f>
        <v>2028</v>
      </c>
      <c r="CA15" s="79">
        <f t="shared" ref="CA15:CA16" si="17">BR15</f>
        <v>2029</v>
      </c>
      <c r="CB15" s="1538" t="s">
        <v>296</v>
      </c>
    </row>
    <row r="16" spans="3:80" ht="15" thickBot="1">
      <c r="W16" s="343" t="str">
        <f t="shared" si="7"/>
        <v>Chennai-China + South pacific</v>
      </c>
      <c r="X16" s="349" t="s">
        <v>515</v>
      </c>
      <c r="Y16" s="349" t="s">
        <v>25</v>
      </c>
      <c r="Z16" s="350">
        <v>10</v>
      </c>
      <c r="AA16" s="351" t="s">
        <v>143</v>
      </c>
      <c r="AB16" s="352">
        <v>0.1</v>
      </c>
      <c r="AC16" s="358">
        <v>10</v>
      </c>
      <c r="AD16" s="358" t="str">
        <f t="shared" si="8"/>
        <v>Oversea</v>
      </c>
      <c r="BD16" s="1054">
        <f t="shared" si="11"/>
        <v>0</v>
      </c>
      <c r="BE16" s="1548">
        <f t="shared" si="11"/>
        <v>13.888888888888888</v>
      </c>
      <c r="BF16" s="1548">
        <f t="shared" si="11"/>
        <v>13.888888888888888</v>
      </c>
      <c r="BG16" s="1548">
        <f t="shared" si="11"/>
        <v>13.888888888888888</v>
      </c>
      <c r="BH16" s="1548">
        <f t="shared" si="11"/>
        <v>13.888888888888888</v>
      </c>
      <c r="BI16" s="1549">
        <f t="shared" si="11"/>
        <v>13.888888888888888</v>
      </c>
      <c r="BJ16" s="1539"/>
      <c r="BM16" s="1054">
        <f t="shared" si="12"/>
        <v>0</v>
      </c>
      <c r="BN16" s="1548">
        <f t="shared" si="12"/>
        <v>13.888888888888888</v>
      </c>
      <c r="BO16" s="1548">
        <f t="shared" si="12"/>
        <v>13.888888888888888</v>
      </c>
      <c r="BP16" s="1548">
        <f t="shared" si="12"/>
        <v>13.888888888888888</v>
      </c>
      <c r="BQ16" s="1548">
        <f t="shared" si="12"/>
        <v>13.888888888888888</v>
      </c>
      <c r="BR16" s="1549">
        <f t="shared" si="12"/>
        <v>13.888888888888888</v>
      </c>
      <c r="BS16" s="1539"/>
      <c r="BT16" s="69"/>
      <c r="BV16" s="1054">
        <f t="shared" ref="BV16" si="18">BM16</f>
        <v>0</v>
      </c>
      <c r="BW16" s="1548">
        <f t="shared" si="13"/>
        <v>13.888888888888888</v>
      </c>
      <c r="BX16" s="1548">
        <f t="shared" si="14"/>
        <v>13.888888888888888</v>
      </c>
      <c r="BY16" s="1548">
        <f t="shared" si="15"/>
        <v>13.888888888888888</v>
      </c>
      <c r="BZ16" s="1548">
        <f t="shared" si="16"/>
        <v>13.888888888888888</v>
      </c>
      <c r="CA16" s="1549">
        <f t="shared" si="17"/>
        <v>13.888888888888888</v>
      </c>
      <c r="CB16" s="1539"/>
    </row>
    <row r="17" spans="3:80" ht="15" thickBot="1">
      <c r="C17" s="2432" t="s">
        <v>525</v>
      </c>
      <c r="D17" s="2433"/>
      <c r="E17" s="2433"/>
      <c r="F17" s="2433"/>
      <c r="G17" s="2434"/>
      <c r="J17" s="1623" t="s">
        <v>526</v>
      </c>
      <c r="K17" s="1624"/>
      <c r="L17" s="1624"/>
      <c r="M17" s="1624"/>
      <c r="N17" s="1624"/>
      <c r="O17" s="1625"/>
      <c r="W17" s="341" t="str">
        <f t="shared" si="7"/>
        <v>Daegu-Europe</v>
      </c>
      <c r="X17" s="324" t="s">
        <v>527</v>
      </c>
      <c r="Y17" s="323" t="s">
        <v>505</v>
      </c>
      <c r="Z17" s="325">
        <v>15</v>
      </c>
      <c r="AA17" s="326" t="s">
        <v>143</v>
      </c>
      <c r="AB17" s="342">
        <v>0</v>
      </c>
      <c r="AC17" s="356">
        <v>12</v>
      </c>
      <c r="AD17" s="356" t="str">
        <f t="shared" si="8"/>
        <v>Oversea</v>
      </c>
      <c r="BD17" s="1550"/>
      <c r="BE17" s="1551"/>
      <c r="BF17" s="1552"/>
      <c r="BG17" s="1552"/>
      <c r="BH17" s="1552"/>
      <c r="BI17" s="1553"/>
      <c r="BJ17" s="1641"/>
      <c r="BM17" s="1550"/>
      <c r="BN17" s="1551"/>
      <c r="BO17" s="1552"/>
      <c r="BP17" s="1552"/>
      <c r="BQ17" s="1552"/>
      <c r="BR17" s="1553"/>
      <c r="BS17" s="1641"/>
      <c r="BT17" s="1640"/>
      <c r="BV17" s="1550"/>
      <c r="BW17" s="1551"/>
      <c r="BX17" s="1552"/>
      <c r="BY17" s="1552"/>
      <c r="BZ17" s="1552"/>
      <c r="CA17" s="1553"/>
      <c r="CB17" s="1641"/>
    </row>
    <row r="18" spans="3:80" ht="14.7" customHeight="1">
      <c r="C18" s="286"/>
      <c r="D18" s="287" t="s">
        <v>528</v>
      </c>
      <c r="E18" s="553"/>
      <c r="F18" s="289" t="s">
        <v>529</v>
      </c>
      <c r="G18" s="2463" t="s">
        <v>530</v>
      </c>
      <c r="J18" s="554"/>
      <c r="K18" s="555" t="str">
        <f>IF(SUM(L19:O19)&lt;&gt;1,"MAKE 1 choice only!","")</f>
        <v/>
      </c>
      <c r="L18" s="288" t="s">
        <v>531</v>
      </c>
      <c r="M18" s="288" t="s">
        <v>532</v>
      </c>
      <c r="N18" s="288" t="s">
        <v>533</v>
      </c>
      <c r="O18" s="289" t="s">
        <v>534</v>
      </c>
      <c r="T18" s="804"/>
      <c r="W18" s="343" t="str">
        <f t="shared" si="7"/>
        <v>Daegu-India</v>
      </c>
      <c r="X18" s="347" t="s">
        <v>527</v>
      </c>
      <c r="Y18" s="349" t="s">
        <v>498</v>
      </c>
      <c r="Z18" s="346">
        <v>10</v>
      </c>
      <c r="AA18" s="347" t="s">
        <v>143</v>
      </c>
      <c r="AB18" s="348">
        <v>0.1</v>
      </c>
      <c r="AC18" s="357">
        <v>10</v>
      </c>
      <c r="AD18" s="357" t="str">
        <f t="shared" si="8"/>
        <v>Oversea</v>
      </c>
      <c r="BD18" s="1588">
        <f t="shared" ref="BD18:BI22" si="19">BF5*(1-$R40)</f>
        <v>0</v>
      </c>
      <c r="BE18" s="1589">
        <f t="shared" si="19"/>
        <v>0</v>
      </c>
      <c r="BF18" s="1589">
        <f t="shared" si="19"/>
        <v>0</v>
      </c>
      <c r="BG18" s="1589">
        <f t="shared" si="19"/>
        <v>0</v>
      </c>
      <c r="BH18" s="1589">
        <f t="shared" si="19"/>
        <v>0</v>
      </c>
      <c r="BI18" s="1646">
        <f t="shared" si="19"/>
        <v>0</v>
      </c>
      <c r="BJ18" s="1644">
        <f>P40</f>
        <v>0</v>
      </c>
      <c r="BM18" s="1588">
        <f>BF5*(1-$R$40)/(1-'Financials Parameters'!$Q$22)</f>
        <v>0</v>
      </c>
      <c r="BN18" s="1589">
        <f>BG5*(1-$R$40)/(1-'Financials Parameters'!$Q$22)</f>
        <v>0</v>
      </c>
      <c r="BO18" s="1589">
        <f>BH5*(1-$R$40)/(1-'Financials Parameters'!$Q$22)</f>
        <v>0</v>
      </c>
      <c r="BP18" s="1589">
        <f>BI5*(1-$R$40)/(1-'Financials Parameters'!$Q$22)</f>
        <v>0</v>
      </c>
      <c r="BQ18" s="1589">
        <f>BJ5*(1-$R$40)/(1-'Financials Parameters'!$Q$22)</f>
        <v>0</v>
      </c>
      <c r="BR18" s="1646">
        <f>BK5*(1-$R$40)/(1-'Financials Parameters'!$Q$22)</f>
        <v>0</v>
      </c>
      <c r="BS18" s="1644" t="str">
        <f>Y45</f>
        <v xml:space="preserve">North America </v>
      </c>
      <c r="BT18" s="1650"/>
      <c r="BV18" s="1588">
        <f>BM18*($R$40)/(1-'Financials Parameters'!$Q$22)</f>
        <v>0</v>
      </c>
      <c r="BW18" s="1589">
        <f>BN18*($R$40)/(1-'Financials Parameters'!$Q$22)</f>
        <v>0</v>
      </c>
      <c r="BX18" s="1589">
        <f>BO18*($R$40)/(1-'Financials Parameters'!$Q$22)</f>
        <v>0</v>
      </c>
      <c r="BY18" s="1589">
        <f>BP18*($R$40)/(1-'Financials Parameters'!$Q$22)</f>
        <v>0</v>
      </c>
      <c r="BZ18" s="1589">
        <f>BQ18*($R$40)/(1-'Financials Parameters'!$Q$22)</f>
        <v>0</v>
      </c>
      <c r="CA18" s="1646">
        <f>BR18*($R$40)/(1-'Financials Parameters'!$Q$22)</f>
        <v>0</v>
      </c>
      <c r="CB18" s="1644">
        <f>AH45</f>
        <v>0</v>
      </c>
    </row>
    <row r="19" spans="3:80" ht="15" thickBot="1">
      <c r="C19" s="290"/>
      <c r="D19" s="291" t="s">
        <v>535</v>
      </c>
      <c r="E19" s="556"/>
      <c r="F19" s="293" t="s">
        <v>529</v>
      </c>
      <c r="G19" s="2464"/>
      <c r="J19" s="557"/>
      <c r="K19" s="291" t="s">
        <v>536</v>
      </c>
      <c r="L19" s="558">
        <v>1</v>
      </c>
      <c r="M19" s="558"/>
      <c r="N19" s="558"/>
      <c r="O19" s="559"/>
      <c r="W19" s="341" t="str">
        <f t="shared" si="7"/>
        <v>Daegu-China + South pacific</v>
      </c>
      <c r="X19" s="326" t="s">
        <v>527</v>
      </c>
      <c r="Y19" s="323" t="s">
        <v>25</v>
      </c>
      <c r="Z19" s="325">
        <v>12</v>
      </c>
      <c r="AA19" s="326" t="s">
        <v>143</v>
      </c>
      <c r="AB19" s="342">
        <v>0</v>
      </c>
      <c r="AC19" s="356">
        <v>10</v>
      </c>
      <c r="AD19" s="356" t="str">
        <f t="shared" si="8"/>
        <v>Oversea</v>
      </c>
      <c r="BD19" s="1591">
        <f t="shared" si="19"/>
        <v>0</v>
      </c>
      <c r="BE19" s="1592">
        <f t="shared" si="19"/>
        <v>0</v>
      </c>
      <c r="BF19" s="1592">
        <f t="shared" si="19"/>
        <v>0</v>
      </c>
      <c r="BG19" s="1592">
        <f t="shared" si="19"/>
        <v>0</v>
      </c>
      <c r="BH19" s="1592">
        <f t="shared" si="19"/>
        <v>0</v>
      </c>
      <c r="BI19" s="1647">
        <f t="shared" si="19"/>
        <v>0</v>
      </c>
      <c r="BJ19" s="1645"/>
      <c r="BM19" s="1591"/>
      <c r="BN19" s="1592"/>
      <c r="BO19" s="1592"/>
      <c r="BP19" s="1592"/>
      <c r="BQ19" s="1592"/>
      <c r="BR19" s="1647"/>
      <c r="BS19" s="1645"/>
      <c r="BT19" s="1650"/>
      <c r="BV19" s="1591"/>
      <c r="BW19" s="1592"/>
      <c r="BX19" s="1592"/>
      <c r="BY19" s="1592"/>
      <c r="BZ19" s="1592"/>
      <c r="CA19" s="1647"/>
      <c r="CB19" s="1645"/>
    </row>
    <row r="20" spans="3:80">
      <c r="C20" s="290"/>
      <c r="D20" s="291" t="s">
        <v>537</v>
      </c>
      <c r="E20" s="560">
        <f>IF($G$20="Returnable",F26/1000,F27/1000)*VLOOKUP("EUR"&amp;H3,'Financials Parameters'!D29:E53,2,FALSE)</f>
        <v>2.5000000000000001E-3</v>
      </c>
      <c r="F20" s="293" t="str">
        <f>"K"&amp;$H$3&amp;"/g"</f>
        <v>KEUR/g</v>
      </c>
      <c r="G20" s="2427" t="s">
        <v>538</v>
      </c>
      <c r="J20" s="561"/>
      <c r="K20" s="287" t="s">
        <v>539</v>
      </c>
      <c r="L20" s="562">
        <v>44</v>
      </c>
      <c r="M20" s="563"/>
      <c r="N20" s="562"/>
      <c r="O20" s="564"/>
      <c r="W20" s="343" t="str">
        <f t="shared" si="7"/>
        <v>Daegu-Rest of Asia</v>
      </c>
      <c r="X20" s="347" t="s">
        <v>527</v>
      </c>
      <c r="Y20" s="344" t="s">
        <v>502</v>
      </c>
      <c r="Z20" s="346">
        <v>15</v>
      </c>
      <c r="AA20" s="347" t="s">
        <v>143</v>
      </c>
      <c r="AB20" s="348">
        <v>0</v>
      </c>
      <c r="AC20" s="357">
        <v>10</v>
      </c>
      <c r="AD20" s="357" t="str">
        <f t="shared" si="8"/>
        <v>Oversea</v>
      </c>
      <c r="BD20" s="1559">
        <f t="shared" si="19"/>
        <v>0</v>
      </c>
      <c r="BE20" s="1560">
        <f t="shared" si="19"/>
        <v>0</v>
      </c>
      <c r="BF20" s="1560">
        <f t="shared" si="19"/>
        <v>0</v>
      </c>
      <c r="BG20" s="1560">
        <f t="shared" si="19"/>
        <v>0</v>
      </c>
      <c r="BH20" s="1560">
        <f t="shared" si="19"/>
        <v>0</v>
      </c>
      <c r="BI20" s="1633">
        <f t="shared" si="19"/>
        <v>0</v>
      </c>
      <c r="BJ20" s="1637">
        <f>P42</f>
        <v>0</v>
      </c>
      <c r="BM20" s="1559">
        <f>BF7*(1-$R$40)/(1-'Financials Parameters'!$Q$22)</f>
        <v>0</v>
      </c>
      <c r="BN20" s="1560">
        <f>BG7*(1-$R$40)/(1-'Financials Parameters'!$Q$22)</f>
        <v>0</v>
      </c>
      <c r="BO20" s="1560">
        <f>BH7*(1-$R$40)/(1-'Financials Parameters'!$Q$22)</f>
        <v>0</v>
      </c>
      <c r="BP20" s="1560">
        <f>BI7*(1-$R$40)/(1-'Financials Parameters'!$Q$22)</f>
        <v>0</v>
      </c>
      <c r="BQ20" s="1560">
        <f>BJ7*(1-$R$40)/(1-'Financials Parameters'!$Q$22)</f>
        <v>0</v>
      </c>
      <c r="BR20" s="1633">
        <f>BK7*(1-$R$40)/(1-'Financials Parameters'!$Q$22)</f>
        <v>0</v>
      </c>
      <c r="BS20" s="1637" t="str">
        <f>Y47</f>
        <v>Europe</v>
      </c>
      <c r="BT20" s="1650"/>
      <c r="BV20" s="1559">
        <f>BM20*($R$40)/(1-'Financials Parameters'!$Q$22)</f>
        <v>0</v>
      </c>
      <c r="BW20" s="1560">
        <f>BN20*($R$40)/(1-'Financials Parameters'!$Q$22)</f>
        <v>0</v>
      </c>
      <c r="BX20" s="1560">
        <f>BO20*($R$40)/(1-'Financials Parameters'!$Q$22)</f>
        <v>0</v>
      </c>
      <c r="BY20" s="1560">
        <f>BP20*($R$40)/(1-'Financials Parameters'!$Q$22)</f>
        <v>0</v>
      </c>
      <c r="BZ20" s="1560">
        <f>BQ20*($R$40)/(1-'Financials Parameters'!$Q$22)</f>
        <v>0</v>
      </c>
      <c r="CA20" s="1633">
        <f>BR20*($R$40)/(1-'Financials Parameters'!$Q$22)</f>
        <v>0</v>
      </c>
      <c r="CB20" s="1637">
        <f>AH51</f>
        <v>0</v>
      </c>
    </row>
    <row r="21" spans="3:80">
      <c r="C21" s="290"/>
      <c r="D21" s="291" t="s">
        <v>540</v>
      </c>
      <c r="E21" s="565">
        <f>E18*((POWER(E19/2,2)*PI())-(POWER((E19-4)/2,2)*PI()))</f>
        <v>0</v>
      </c>
      <c r="F21" s="293" t="s">
        <v>541</v>
      </c>
      <c r="G21" s="2427"/>
      <c r="J21" s="557"/>
      <c r="K21" s="291" t="s">
        <v>542</v>
      </c>
      <c r="L21" s="566">
        <v>16</v>
      </c>
      <c r="M21" s="379"/>
      <c r="N21" s="566"/>
      <c r="O21" s="567"/>
      <c r="W21" s="341" t="str">
        <f t="shared" si="7"/>
        <v xml:space="preserve">Daegu-North America </v>
      </c>
      <c r="X21" s="324" t="s">
        <v>527</v>
      </c>
      <c r="Y21" s="327" t="s">
        <v>510</v>
      </c>
      <c r="Z21" s="325">
        <v>15</v>
      </c>
      <c r="AA21" s="326" t="s">
        <v>143</v>
      </c>
      <c r="AB21" s="342">
        <v>0</v>
      </c>
      <c r="AC21" s="356">
        <v>12</v>
      </c>
      <c r="AD21" s="356" t="str">
        <f t="shared" si="8"/>
        <v>Oversea</v>
      </c>
      <c r="BD21" s="1562">
        <f t="shared" si="19"/>
        <v>0</v>
      </c>
      <c r="BE21" s="1563">
        <f t="shared" si="19"/>
        <v>0</v>
      </c>
      <c r="BF21" s="1563">
        <f t="shared" si="19"/>
        <v>0</v>
      </c>
      <c r="BG21" s="1563">
        <f t="shared" si="19"/>
        <v>0</v>
      </c>
      <c r="BH21" s="1563">
        <f t="shared" si="19"/>
        <v>0</v>
      </c>
      <c r="BI21" s="1634">
        <f t="shared" si="19"/>
        <v>0</v>
      </c>
      <c r="BJ21" s="1637">
        <f>P43</f>
        <v>0</v>
      </c>
      <c r="BM21" s="1562">
        <f>BF8*(1-$R$40)/(1-'Financials Parameters'!$Q$22)</f>
        <v>0</v>
      </c>
      <c r="BN21" s="1563">
        <f>BG8*(1-$R$40)/(1-'Financials Parameters'!$Q$22)</f>
        <v>0</v>
      </c>
      <c r="BO21" s="1563">
        <f>BH8*(1-$R$40)/(1-'Financials Parameters'!$Q$22)</f>
        <v>0</v>
      </c>
      <c r="BP21" s="1563">
        <f>BI8*(1-$R$40)/(1-'Financials Parameters'!$Q$22)</f>
        <v>0</v>
      </c>
      <c r="BQ21" s="1563">
        <f>BJ8*(1-$R$40)/(1-'Financials Parameters'!$Q$22)</f>
        <v>0</v>
      </c>
      <c r="BR21" s="1634">
        <f>BK8*(1-$R$40)/(1-'Financials Parameters'!$Q$22)</f>
        <v>0</v>
      </c>
      <c r="BS21" s="1637" t="str">
        <f>Y48</f>
        <v>India</v>
      </c>
      <c r="BT21" s="1650"/>
      <c r="BV21" s="1562">
        <f>BM21*($R$40)/(1-'Financials Parameters'!$Q$22)</f>
        <v>0</v>
      </c>
      <c r="BW21" s="1563">
        <f>BN21*($R$40)/(1-'Financials Parameters'!$Q$22)</f>
        <v>0</v>
      </c>
      <c r="BX21" s="1563">
        <f>BO21*($R$40)/(1-'Financials Parameters'!$Q$22)</f>
        <v>0</v>
      </c>
      <c r="BY21" s="1563">
        <f>BP21*($R$40)/(1-'Financials Parameters'!$Q$22)</f>
        <v>0</v>
      </c>
      <c r="BZ21" s="1563">
        <f>BQ21*($R$40)/(1-'Financials Parameters'!$Q$22)</f>
        <v>0</v>
      </c>
      <c r="CA21" s="1634">
        <f>BR21*($R$40)/(1-'Financials Parameters'!$Q$22)</f>
        <v>0</v>
      </c>
      <c r="CB21" s="1637">
        <f>AH52</f>
        <v>0</v>
      </c>
    </row>
    <row r="22" spans="3:80">
      <c r="C22" s="290"/>
      <c r="D22" s="291" t="s">
        <v>543</v>
      </c>
      <c r="E22" s="568">
        <f>E21*0.001</f>
        <v>0</v>
      </c>
      <c r="F22" s="293" t="s">
        <v>544</v>
      </c>
      <c r="G22" s="2427"/>
      <c r="J22" s="557"/>
      <c r="K22" s="291" t="s">
        <v>545</v>
      </c>
      <c r="L22" s="566">
        <v>9</v>
      </c>
      <c r="M22" s="569"/>
      <c r="N22" s="566"/>
      <c r="O22" s="567"/>
      <c r="W22" s="343" t="str">
        <f t="shared" si="7"/>
        <v>ElFahs-India</v>
      </c>
      <c r="X22" s="347" t="s">
        <v>546</v>
      </c>
      <c r="Y22" s="349" t="s">
        <v>498</v>
      </c>
      <c r="Z22" s="346">
        <v>15</v>
      </c>
      <c r="AA22" s="347" t="s">
        <v>143</v>
      </c>
      <c r="AB22" s="348">
        <v>0.1</v>
      </c>
      <c r="AC22" s="357">
        <v>14</v>
      </c>
      <c r="AD22" s="357" t="str">
        <f t="shared" si="8"/>
        <v>Oversea</v>
      </c>
      <c r="BD22" s="1559">
        <f t="shared" si="19"/>
        <v>0</v>
      </c>
      <c r="BE22" s="1563">
        <f t="shared" si="19"/>
        <v>0</v>
      </c>
      <c r="BF22" s="1563">
        <f t="shared" si="19"/>
        <v>0</v>
      </c>
      <c r="BG22" s="1563">
        <f t="shared" si="19"/>
        <v>0</v>
      </c>
      <c r="BH22" s="1563">
        <f t="shared" si="19"/>
        <v>0</v>
      </c>
      <c r="BI22" s="1634">
        <f t="shared" si="19"/>
        <v>0</v>
      </c>
      <c r="BJ22" s="1637">
        <f>P44</f>
        <v>0</v>
      </c>
      <c r="BM22" s="1559">
        <f>BF9*(1-$R$40)/(1-'Financials Parameters'!$Q$22)</f>
        <v>0</v>
      </c>
      <c r="BN22" s="1563">
        <f>BG9*(1-$R$40)/(1-'Financials Parameters'!$Q$22)</f>
        <v>0</v>
      </c>
      <c r="BO22" s="1563">
        <f>BH9*(1-$R$40)/(1-'Financials Parameters'!$Q$22)</f>
        <v>0</v>
      </c>
      <c r="BP22" s="1563">
        <f>BI9*(1-$R$40)/(1-'Financials Parameters'!$Q$22)</f>
        <v>0</v>
      </c>
      <c r="BQ22" s="1563">
        <f>BJ9*(1-$R$40)/(1-'Financials Parameters'!$Q$22)</f>
        <v>0</v>
      </c>
      <c r="BR22" s="1634">
        <f>BK9*(1-$R$40)/(1-'Financials Parameters'!$Q$22)</f>
        <v>0</v>
      </c>
      <c r="BS22" s="1637" t="str">
        <f>Y49</f>
        <v>China + South pacific</v>
      </c>
      <c r="BT22" s="1650"/>
      <c r="BV22" s="1559">
        <f>BM22*($R$40)/(1-'Financials Parameters'!$Q$22)</f>
        <v>0</v>
      </c>
      <c r="BW22" s="1563">
        <f>BN22*($R$40)/(1-'Financials Parameters'!$Q$22)</f>
        <v>0</v>
      </c>
      <c r="BX22" s="1563">
        <f>BO22*($R$40)/(1-'Financials Parameters'!$Q$22)</f>
        <v>0</v>
      </c>
      <c r="BY22" s="1563">
        <f>BP22*($R$40)/(1-'Financials Parameters'!$Q$22)</f>
        <v>0</v>
      </c>
      <c r="BZ22" s="1563">
        <f>BQ22*($R$40)/(1-'Financials Parameters'!$Q$22)</f>
        <v>0</v>
      </c>
      <c r="CA22" s="1634">
        <f>BR22*($R$40)/(1-'Financials Parameters'!$Q$22)</f>
        <v>0</v>
      </c>
      <c r="CB22" s="1637">
        <f>AH53</f>
        <v>0</v>
      </c>
    </row>
    <row r="23" spans="3:80">
      <c r="C23" s="290"/>
      <c r="D23" s="291" t="s">
        <v>547</v>
      </c>
      <c r="E23" s="570">
        <f>E22*E20/(1-0.6)</f>
        <v>0</v>
      </c>
      <c r="F23" s="293" t="str">
        <f>"K"&amp;$H$3&amp;"/pc"</f>
        <v>KEUR/pc</v>
      </c>
      <c r="G23" s="2427"/>
      <c r="J23" s="557"/>
      <c r="K23" s="291" t="s">
        <v>548</v>
      </c>
      <c r="L23" s="379"/>
      <c r="M23" s="569"/>
      <c r="N23" s="379"/>
      <c r="O23" s="567"/>
      <c r="W23" s="341" t="str">
        <f t="shared" si="7"/>
        <v>ElFahs-Rest of Asia</v>
      </c>
      <c r="X23" s="326" t="s">
        <v>546</v>
      </c>
      <c r="Y23" s="324" t="s">
        <v>502</v>
      </c>
      <c r="Z23" s="325">
        <v>15</v>
      </c>
      <c r="AA23" s="326" t="s">
        <v>143</v>
      </c>
      <c r="AB23" s="342">
        <v>0</v>
      </c>
      <c r="AC23" s="356">
        <v>14</v>
      </c>
      <c r="AD23" s="356" t="str">
        <f t="shared" si="8"/>
        <v>Oversea</v>
      </c>
      <c r="BD23" s="1556"/>
      <c r="BE23" s="1557"/>
      <c r="BF23" s="1557"/>
      <c r="BG23" s="1557"/>
      <c r="BH23" s="1557"/>
      <c r="BI23" s="1635"/>
      <c r="BJ23" s="1638"/>
      <c r="BM23" s="1556">
        <f>BF10*(1-$R$40)/(1-'Financials Parameters'!$Q$22)</f>
        <v>0</v>
      </c>
      <c r="BN23" s="1557">
        <f>BG10*(1-$R$40)/(1-'Financials Parameters'!$Q$22)</f>
        <v>0</v>
      </c>
      <c r="BO23" s="1557">
        <f>BH10*(1-$R$40)/(1-'Financials Parameters'!$Q$22)</f>
        <v>0</v>
      </c>
      <c r="BP23" s="1557">
        <f>BI10*(1-$R$40)/(1-'Financials Parameters'!$Q$22)</f>
        <v>0</v>
      </c>
      <c r="BQ23" s="1557">
        <f>BJ10*(1-$R$40)/(1-'Financials Parameters'!$Q$22)</f>
        <v>0</v>
      </c>
      <c r="BR23" s="1635">
        <f>BK10*(1-$R$40)/(1-'Financials Parameters'!$Q$22)</f>
        <v>0</v>
      </c>
      <c r="BS23" s="1638"/>
      <c r="BT23" s="1650"/>
      <c r="BV23" s="1556"/>
      <c r="BW23" s="1557"/>
      <c r="BX23" s="1557"/>
      <c r="BY23" s="1557"/>
      <c r="BZ23" s="1557"/>
      <c r="CA23" s="1635"/>
      <c r="CB23" s="1638"/>
    </row>
    <row r="24" spans="3:80">
      <c r="C24" s="290"/>
      <c r="D24" s="291" t="s">
        <v>168</v>
      </c>
      <c r="E24" s="571">
        <f>VLOOKUP("Vrai",Invest_retainer[],3,FALSE)*VLOOKUP("EUR"&amp;H3,'Financials Parameters'!D29:E53,2,FALSE)</f>
        <v>10</v>
      </c>
      <c r="F24" s="293" t="str">
        <f>"K"&amp;$H$3</f>
        <v>KEUR</v>
      </c>
      <c r="G24" s="2427"/>
      <c r="J24" s="557"/>
      <c r="K24" s="291" t="s">
        <v>549</v>
      </c>
      <c r="L24" s="297">
        <f>L20*L22*L21</f>
        <v>6336</v>
      </c>
      <c r="M24" s="572">
        <f>(M23/2)^2*PI()*M22</f>
        <v>0</v>
      </c>
      <c r="N24" s="297">
        <f>N20*N22*N21</f>
        <v>0</v>
      </c>
      <c r="O24" s="573"/>
      <c r="W24" s="343" t="str">
        <f t="shared" si="7"/>
        <v>ElFahs-Europe</v>
      </c>
      <c r="X24" s="347" t="s">
        <v>546</v>
      </c>
      <c r="Y24" s="349" t="s">
        <v>505</v>
      </c>
      <c r="Z24" s="346">
        <v>3.5000000000000004</v>
      </c>
      <c r="AA24" s="347" t="s">
        <v>143</v>
      </c>
      <c r="AB24" s="348">
        <v>0</v>
      </c>
      <c r="AC24" s="357">
        <v>8</v>
      </c>
      <c r="AD24" s="357" t="str">
        <f t="shared" si="8"/>
        <v/>
      </c>
      <c r="BD24" s="1555">
        <f t="shared" ref="BD24:BI25" si="20">BF11*(1-$R46)</f>
        <v>0</v>
      </c>
      <c r="BE24" s="26">
        <f t="shared" si="20"/>
        <v>0</v>
      </c>
      <c r="BF24" s="26">
        <f t="shared" si="20"/>
        <v>0</v>
      </c>
      <c r="BG24" s="26">
        <f t="shared" si="20"/>
        <v>0</v>
      </c>
      <c r="BH24" s="26">
        <f t="shared" si="20"/>
        <v>0</v>
      </c>
      <c r="BI24" s="829">
        <f t="shared" si="20"/>
        <v>0</v>
      </c>
      <c r="BJ24" s="1637">
        <f>P46</f>
        <v>0</v>
      </c>
      <c r="BM24" s="1555">
        <f>BF11*(1-$R$40)/(1-'Financials Parameters'!$Q$22)</f>
        <v>0</v>
      </c>
      <c r="BN24" s="26">
        <f>BG11*(1-$R$40)/(1-'Financials Parameters'!$Q$22)</f>
        <v>0</v>
      </c>
      <c r="BO24" s="26">
        <f>BH11*(1-$R$40)/(1-'Financials Parameters'!$Q$22)</f>
        <v>0</v>
      </c>
      <c r="BP24" s="26">
        <f>BI11*(1-$R$40)/(1-'Financials Parameters'!$Q$22)</f>
        <v>0</v>
      </c>
      <c r="BQ24" s="26">
        <f>BJ11*(1-$R$40)/(1-'Financials Parameters'!$Q$22)</f>
        <v>0</v>
      </c>
      <c r="BR24" s="829">
        <f>BK11*(1-$R$40)/(1-'Financials Parameters'!$Q$22)</f>
        <v>0</v>
      </c>
      <c r="BS24" s="1637" t="str">
        <f>Y51</f>
        <v>Rest of Asia</v>
      </c>
      <c r="BT24" s="1650"/>
      <c r="BV24" s="1555">
        <f>BM24*($R$40)/(1-'Financials Parameters'!$Q$22)</f>
        <v>0</v>
      </c>
      <c r="BW24" s="26">
        <f>BN24*($R$40)/(1-'Financials Parameters'!$Q$22)</f>
        <v>0</v>
      </c>
      <c r="BX24" s="26">
        <f>BO24*($R$40)/(1-'Financials Parameters'!$Q$22)</f>
        <v>0</v>
      </c>
      <c r="BY24" s="26">
        <f>BP24*($R$40)/(1-'Financials Parameters'!$Q$22)</f>
        <v>0</v>
      </c>
      <c r="BZ24" s="26">
        <f>BQ24*($R$40)/(1-'Financials Parameters'!$Q$22)</f>
        <v>0</v>
      </c>
      <c r="CA24" s="829">
        <f>BR24*($R$40)/(1-'Financials Parameters'!$Q$22)</f>
        <v>0</v>
      </c>
      <c r="CB24" s="1637">
        <f>AH55</f>
        <v>0</v>
      </c>
    </row>
    <row r="25" spans="3:80" ht="15" thickBot="1">
      <c r="C25" s="294"/>
      <c r="D25" s="295" t="s">
        <v>550</v>
      </c>
      <c r="E25" s="574">
        <f>VLOOKUP("Vrai",Invest_retainer[],4,FALSE)</f>
        <v>4000</v>
      </c>
      <c r="F25" s="296" t="s">
        <v>551</v>
      </c>
      <c r="G25" s="2428"/>
      <c r="J25" s="557"/>
      <c r="K25" s="291" t="s">
        <v>552</v>
      </c>
      <c r="L25" s="575"/>
      <c r="M25" s="576"/>
      <c r="N25" s="577">
        <f>IF(L11=AF27,0,N29)</f>
        <v>0</v>
      </c>
      <c r="O25" s="573"/>
      <c r="W25" s="341" t="str">
        <f t="shared" si="7"/>
        <v xml:space="preserve">ElFahs-North America </v>
      </c>
      <c r="X25" s="326" t="s">
        <v>546</v>
      </c>
      <c r="Y25" s="327" t="s">
        <v>510</v>
      </c>
      <c r="Z25" s="325">
        <v>10</v>
      </c>
      <c r="AA25" s="326" t="s">
        <v>143</v>
      </c>
      <c r="AB25" s="342">
        <v>0</v>
      </c>
      <c r="AC25" s="356">
        <v>12</v>
      </c>
      <c r="AD25" s="356" t="str">
        <f t="shared" si="8"/>
        <v>Oversea</v>
      </c>
      <c r="AF25" s="66" t="b">
        <v>1</v>
      </c>
      <c r="BD25" s="1580">
        <f t="shared" si="20"/>
        <v>0</v>
      </c>
      <c r="BE25" s="37" t="e">
        <f t="shared" si="20"/>
        <v>#N/A</v>
      </c>
      <c r="BF25" s="37" t="e">
        <f t="shared" si="20"/>
        <v>#N/A</v>
      </c>
      <c r="BG25" s="37" t="e">
        <f t="shared" si="20"/>
        <v>#N/A</v>
      </c>
      <c r="BH25" s="37" t="e">
        <f t="shared" si="20"/>
        <v>#N/A</v>
      </c>
      <c r="BI25" s="1636" t="e">
        <f t="shared" si="20"/>
        <v>#N/A</v>
      </c>
      <c r="BJ25" s="1639" t="e">
        <f>P47</f>
        <v>#N/A</v>
      </c>
      <c r="BM25" s="1580">
        <f>BF12*(1-$R$40)/(1-'Financials Parameters'!$Q$22)</f>
        <v>0</v>
      </c>
      <c r="BN25" s="37" t="e">
        <f>BG12*(1-$R$40)/(1-'Financials Parameters'!$Q$22)</f>
        <v>#N/A</v>
      </c>
      <c r="BO25" s="37" t="e">
        <f>BH12*(1-$R$40)/(1-'Financials Parameters'!$Q$22)</f>
        <v>#N/A</v>
      </c>
      <c r="BP25" s="37" t="e">
        <f>BI12*(1-$R$40)/(1-'Financials Parameters'!$Q$22)</f>
        <v>#N/A</v>
      </c>
      <c r="BQ25" s="37" t="e">
        <f>BJ12*(1-$R$40)/(1-'Financials Parameters'!$Q$22)</f>
        <v>#N/A</v>
      </c>
      <c r="BR25" s="1636" t="e">
        <f>BK12*(1-$R$40)/(1-'Financials Parameters'!$Q$22)</f>
        <v>#N/A</v>
      </c>
      <c r="BS25" s="1639">
        <f>Y56</f>
        <v>0</v>
      </c>
      <c r="BT25" s="1650"/>
      <c r="BV25" s="1580">
        <f>BM25*($R$40)/(1-'Financials Parameters'!$Q$22)</f>
        <v>0</v>
      </c>
      <c r="BW25" s="37" t="e">
        <f>BN25*($R$40)/(1-'Financials Parameters'!$Q$22)</f>
        <v>#N/A</v>
      </c>
      <c r="BX25" s="37" t="e">
        <f>BO25*($R$40)/(1-'Financials Parameters'!$Q$22)</f>
        <v>#N/A</v>
      </c>
      <c r="BY25" s="37" t="e">
        <f>BP25*($R$40)/(1-'Financials Parameters'!$Q$22)</f>
        <v>#N/A</v>
      </c>
      <c r="BZ25" s="37" t="e">
        <f>BQ25*($R$40)/(1-'Financials Parameters'!$Q$22)</f>
        <v>#N/A</v>
      </c>
      <c r="CA25" s="1636" t="e">
        <f>BR25*($R$40)/(1-'Financials Parameters'!$Q$22)</f>
        <v>#N/A</v>
      </c>
      <c r="CB25" s="1639">
        <f>AH56</f>
        <v>0</v>
      </c>
    </row>
    <row r="26" spans="3:80" ht="18" customHeight="1" thickBot="1">
      <c r="C26" s="578"/>
      <c r="D26" s="579"/>
      <c r="E26" s="579" t="s">
        <v>553</v>
      </c>
      <c r="F26" s="580">
        <v>4.5</v>
      </c>
      <c r="G26" s="581" t="s">
        <v>554</v>
      </c>
      <c r="J26" s="557"/>
      <c r="K26" s="291" t="s">
        <v>555</v>
      </c>
      <c r="L26" s="292">
        <v>10</v>
      </c>
      <c r="M26" s="582">
        <v>10</v>
      </c>
      <c r="N26" s="292">
        <v>14</v>
      </c>
      <c r="O26" s="567"/>
      <c r="W26" s="343" t="str">
        <f t="shared" si="7"/>
        <v>ElFahs-China + South pacific</v>
      </c>
      <c r="X26" s="347" t="s">
        <v>546</v>
      </c>
      <c r="Y26" s="349" t="s">
        <v>25</v>
      </c>
      <c r="Z26" s="346">
        <v>15</v>
      </c>
      <c r="AA26" s="347" t="s">
        <v>143</v>
      </c>
      <c r="AB26" s="348">
        <v>0</v>
      </c>
      <c r="AC26" s="357">
        <v>14</v>
      </c>
      <c r="AD26" s="357" t="str">
        <f t="shared" si="8"/>
        <v>Oversea</v>
      </c>
      <c r="AF26" s="66" t="s">
        <v>556</v>
      </c>
      <c r="AG26" s="66" t="s">
        <v>557</v>
      </c>
      <c r="AH26" s="66" t="s">
        <v>558</v>
      </c>
      <c r="AT26" s="219"/>
      <c r="AU26" s="45" t="s">
        <v>559</v>
      </c>
      <c r="AV26" s="65"/>
      <c r="AW26" s="65"/>
      <c r="AX26" s="65"/>
      <c r="AY26" s="65"/>
      <c r="AZ26" s="47"/>
      <c r="BA26" s="1640"/>
      <c r="BD26" s="98" t="s">
        <v>560</v>
      </c>
      <c r="BE26" s="99"/>
      <c r="BF26" s="99"/>
      <c r="BG26" s="99"/>
      <c r="BH26" s="99"/>
      <c r="BI26" s="1423"/>
      <c r="BJ26" s="1640"/>
      <c r="BM26" s="98" t="s">
        <v>560</v>
      </c>
      <c r="BN26" s="99"/>
      <c r="BO26" s="99"/>
      <c r="BP26" s="99"/>
      <c r="BQ26" s="99"/>
      <c r="BR26" s="1423"/>
      <c r="BS26" s="1640"/>
      <c r="BT26" s="1640"/>
      <c r="BV26" s="1651" t="s">
        <v>560</v>
      </c>
      <c r="BW26" s="1652"/>
      <c r="BX26" s="1652"/>
      <c r="BY26" s="1652"/>
      <c r="BZ26" s="1652"/>
      <c r="CA26" s="1653"/>
      <c r="CB26" s="1640"/>
    </row>
    <row r="27" spans="3:80" ht="15" thickBot="1">
      <c r="C27" s="583"/>
      <c r="D27" s="584"/>
      <c r="E27" s="584" t="s">
        <v>561</v>
      </c>
      <c r="F27" s="585">
        <v>2.5</v>
      </c>
      <c r="G27" s="586" t="s">
        <v>554</v>
      </c>
      <c r="J27" s="557"/>
      <c r="K27" s="291" t="s">
        <v>562</v>
      </c>
      <c r="L27" s="292">
        <v>3</v>
      </c>
      <c r="M27" s="582">
        <v>3</v>
      </c>
      <c r="N27" s="292">
        <v>3</v>
      </c>
      <c r="O27" s="567"/>
      <c r="W27" s="341" t="str">
        <f t="shared" si="7"/>
        <v>Frankfurt-Europe</v>
      </c>
      <c r="X27" s="327" t="s">
        <v>563</v>
      </c>
      <c r="Y27" s="323" t="s">
        <v>505</v>
      </c>
      <c r="Z27" s="325">
        <v>3.5</v>
      </c>
      <c r="AA27" s="326" t="s">
        <v>143</v>
      </c>
      <c r="AB27" s="342">
        <v>0</v>
      </c>
      <c r="AC27" s="356">
        <v>6</v>
      </c>
      <c r="AD27" s="356" t="str">
        <f t="shared" si="8"/>
        <v/>
      </c>
      <c r="AF27" s="490" t="s">
        <v>509</v>
      </c>
      <c r="AG27" s="490" t="s">
        <v>564</v>
      </c>
      <c r="AH27" s="66" t="s">
        <v>565</v>
      </c>
      <c r="AT27" s="219"/>
      <c r="AU27" s="78">
        <f t="shared" ref="AU27:AZ28" si="21">BF2</f>
        <v>2024</v>
      </c>
      <c r="AV27" s="1523">
        <f t="shared" si="21"/>
        <v>2025</v>
      </c>
      <c r="AW27" s="1523">
        <f t="shared" si="21"/>
        <v>2026</v>
      </c>
      <c r="AX27" s="1523">
        <f t="shared" si="21"/>
        <v>2027</v>
      </c>
      <c r="AY27" s="1523">
        <f t="shared" si="21"/>
        <v>2028</v>
      </c>
      <c r="AZ27" s="79">
        <f t="shared" si="21"/>
        <v>2029</v>
      </c>
      <c r="BA27" s="1538" t="s">
        <v>296</v>
      </c>
      <c r="BD27" s="78">
        <f>BD15</f>
        <v>2024</v>
      </c>
      <c r="BE27" s="1523">
        <f t="shared" ref="BE27:BI27" si="22">BE15</f>
        <v>2025</v>
      </c>
      <c r="BF27" s="1523">
        <f t="shared" si="22"/>
        <v>2026</v>
      </c>
      <c r="BG27" s="1523">
        <f t="shared" si="22"/>
        <v>2027</v>
      </c>
      <c r="BH27" s="1523">
        <f t="shared" si="22"/>
        <v>2028</v>
      </c>
      <c r="BI27" s="79">
        <f t="shared" si="22"/>
        <v>2029</v>
      </c>
      <c r="BJ27" s="1538" t="s">
        <v>296</v>
      </c>
      <c r="BM27" s="78">
        <f>BM15</f>
        <v>2024</v>
      </c>
      <c r="BN27" s="1523">
        <f t="shared" ref="BN27:BR27" si="23">BN15</f>
        <v>2025</v>
      </c>
      <c r="BO27" s="1523">
        <f t="shared" si="23"/>
        <v>2026</v>
      </c>
      <c r="BP27" s="1523">
        <f t="shared" si="23"/>
        <v>2027</v>
      </c>
      <c r="BQ27" s="1523">
        <f t="shared" si="23"/>
        <v>2028</v>
      </c>
      <c r="BR27" s="79">
        <f t="shared" si="23"/>
        <v>2029</v>
      </c>
      <c r="BS27" s="1538" t="s">
        <v>296</v>
      </c>
      <c r="BT27" s="69"/>
      <c r="BV27" s="78">
        <f>BV15</f>
        <v>2024</v>
      </c>
      <c r="BW27" s="1523">
        <f t="shared" ref="BW27:CA27" si="24">BW15</f>
        <v>2025</v>
      </c>
      <c r="BX27" s="1523">
        <f t="shared" si="24"/>
        <v>2026</v>
      </c>
      <c r="BY27" s="1523">
        <f t="shared" si="24"/>
        <v>2027</v>
      </c>
      <c r="BZ27" s="1523">
        <f t="shared" si="24"/>
        <v>2028</v>
      </c>
      <c r="CA27" s="79">
        <f t="shared" si="24"/>
        <v>2029</v>
      </c>
      <c r="CB27" s="1538" t="s">
        <v>296</v>
      </c>
    </row>
    <row r="28" spans="3:80" ht="15" thickBot="1">
      <c r="J28" s="557"/>
      <c r="K28" s="291" t="s">
        <v>566</v>
      </c>
      <c r="L28" s="379"/>
      <c r="M28" s="572">
        <f>IF(L11=AF27,M23,SIN(ACOS((M23+M27)/2/(M23+M27)))*(M23+M27))</f>
        <v>0</v>
      </c>
      <c r="N28" s="587">
        <v>94</v>
      </c>
      <c r="O28" s="567"/>
      <c r="W28" s="343" t="str">
        <f t="shared" si="7"/>
        <v>Frankfurt-India</v>
      </c>
      <c r="X28" s="349" t="s">
        <v>563</v>
      </c>
      <c r="Y28" s="349" t="s">
        <v>498</v>
      </c>
      <c r="Z28" s="346">
        <v>15</v>
      </c>
      <c r="AA28" s="347" t="s">
        <v>143</v>
      </c>
      <c r="AB28" s="348">
        <v>0.1</v>
      </c>
      <c r="AC28" s="357">
        <v>12</v>
      </c>
      <c r="AD28" s="357" t="str">
        <f t="shared" si="8"/>
        <v>Oversea</v>
      </c>
      <c r="AF28" s="66" t="s">
        <v>567</v>
      </c>
      <c r="AG28" s="66" t="s">
        <v>568</v>
      </c>
      <c r="AH28" s="66"/>
      <c r="AT28" s="219"/>
      <c r="AU28" s="1054">
        <f t="shared" si="21"/>
        <v>0</v>
      </c>
      <c r="AV28" s="1548">
        <f t="shared" si="21"/>
        <v>13.888888888888888</v>
      </c>
      <c r="AW28" s="1548">
        <f t="shared" si="21"/>
        <v>13.888888888888888</v>
      </c>
      <c r="AX28" s="1548">
        <f t="shared" si="21"/>
        <v>13.888888888888888</v>
      </c>
      <c r="AY28" s="1548">
        <f t="shared" si="21"/>
        <v>13.888888888888888</v>
      </c>
      <c r="AZ28" s="1549">
        <f t="shared" si="21"/>
        <v>13.888888888888888</v>
      </c>
      <c r="BA28" s="1539"/>
      <c r="BD28" s="1054">
        <f t="shared" ref="BD28:BI28" si="25">BD16</f>
        <v>0</v>
      </c>
      <c r="BE28" s="1548">
        <f t="shared" si="25"/>
        <v>13.888888888888888</v>
      </c>
      <c r="BF28" s="1548">
        <f t="shared" si="25"/>
        <v>13.888888888888888</v>
      </c>
      <c r="BG28" s="1548">
        <f t="shared" si="25"/>
        <v>13.888888888888888</v>
      </c>
      <c r="BH28" s="1548">
        <f t="shared" si="25"/>
        <v>13.888888888888888</v>
      </c>
      <c r="BI28" s="1549">
        <f t="shared" si="25"/>
        <v>13.888888888888888</v>
      </c>
      <c r="BJ28" s="1539"/>
      <c r="BM28" s="1054">
        <f t="shared" ref="BM28:BR28" si="26">BM16</f>
        <v>0</v>
      </c>
      <c r="BN28" s="1548">
        <f t="shared" si="26"/>
        <v>13.888888888888888</v>
      </c>
      <c r="BO28" s="1548">
        <f t="shared" si="26"/>
        <v>13.888888888888888</v>
      </c>
      <c r="BP28" s="1548">
        <f t="shared" si="26"/>
        <v>13.888888888888888</v>
      </c>
      <c r="BQ28" s="1548">
        <f t="shared" si="26"/>
        <v>13.888888888888888</v>
      </c>
      <c r="BR28" s="1549">
        <f t="shared" si="26"/>
        <v>13.888888888888888</v>
      </c>
      <c r="BS28" s="1539"/>
      <c r="BT28" s="69"/>
      <c r="BV28" s="1054">
        <f t="shared" ref="BV28:CA28" si="27">BV16</f>
        <v>0</v>
      </c>
      <c r="BW28" s="1548">
        <f t="shared" si="27"/>
        <v>13.888888888888888</v>
      </c>
      <c r="BX28" s="1548">
        <f t="shared" si="27"/>
        <v>13.888888888888888</v>
      </c>
      <c r="BY28" s="1548">
        <f t="shared" si="27"/>
        <v>13.888888888888888</v>
      </c>
      <c r="BZ28" s="1548">
        <f t="shared" si="27"/>
        <v>13.888888888888888</v>
      </c>
      <c r="CA28" s="1549">
        <f t="shared" si="27"/>
        <v>13.888888888888888</v>
      </c>
      <c r="CB28" s="1539"/>
    </row>
    <row r="29" spans="3:80" ht="15" thickBot="1">
      <c r="J29" s="557"/>
      <c r="K29" s="291" t="s">
        <v>569</v>
      </c>
      <c r="L29" s="379"/>
      <c r="M29" s="379"/>
      <c r="N29" s="566">
        <v>0</v>
      </c>
      <c r="O29" s="567"/>
      <c r="W29" s="341" t="str">
        <f t="shared" si="7"/>
        <v>Frankfurt-Rest of Asia</v>
      </c>
      <c r="X29" s="327" t="s">
        <v>563</v>
      </c>
      <c r="Y29" s="324" t="s">
        <v>502</v>
      </c>
      <c r="Z29" s="325">
        <v>15</v>
      </c>
      <c r="AA29" s="326" t="s">
        <v>143</v>
      </c>
      <c r="AB29" s="342">
        <v>0</v>
      </c>
      <c r="AC29" s="356">
        <v>12</v>
      </c>
      <c r="AD29" s="356" t="str">
        <f t="shared" si="8"/>
        <v>Oversea</v>
      </c>
      <c r="AT29" s="219" t="str">
        <f>E39</f>
        <v>Label (etiquette Galia)</v>
      </c>
      <c r="AU29" s="1550"/>
      <c r="AV29" s="1551"/>
      <c r="AW29" s="1552"/>
      <c r="AX29" s="1552"/>
      <c r="AY29" s="1552"/>
      <c r="AZ29" s="1553"/>
      <c r="BA29" s="1641"/>
      <c r="BD29" s="1550"/>
      <c r="BE29" s="1551"/>
      <c r="BF29" s="1552"/>
      <c r="BG29" s="1552"/>
      <c r="BH29" s="1552"/>
      <c r="BI29" s="1553"/>
      <c r="BJ29" s="1641"/>
      <c r="BM29" s="1550"/>
      <c r="BN29" s="1551"/>
      <c r="BO29" s="1552"/>
      <c r="BP29" s="1552"/>
      <c r="BQ29" s="1552"/>
      <c r="BR29" s="1553"/>
      <c r="BS29" s="1641"/>
      <c r="BT29" s="1640"/>
      <c r="BV29" s="1550"/>
      <c r="BW29" s="1551"/>
      <c r="BX29" s="1552"/>
      <c r="BY29" s="1552"/>
      <c r="BZ29" s="1552"/>
      <c r="CA29" s="1553"/>
      <c r="CB29" s="1641"/>
    </row>
    <row r="30" spans="3:80" ht="15" thickBot="1">
      <c r="J30" s="588"/>
      <c r="K30" s="295" t="s">
        <v>570</v>
      </c>
      <c r="L30" s="589"/>
      <c r="M30" s="589"/>
      <c r="N30" s="590">
        <v>57</v>
      </c>
      <c r="O30" s="591"/>
      <c r="W30" s="343" t="str">
        <f t="shared" si="7"/>
        <v>Frankfurt-China + South pacific</v>
      </c>
      <c r="X30" s="349" t="s">
        <v>563</v>
      </c>
      <c r="Y30" s="344" t="s">
        <v>25</v>
      </c>
      <c r="Z30" s="346">
        <v>15</v>
      </c>
      <c r="AA30" s="347" t="s">
        <v>143</v>
      </c>
      <c r="AB30" s="348">
        <v>0</v>
      </c>
      <c r="AC30" s="357">
        <v>12</v>
      </c>
      <c r="AD30" s="357" t="str">
        <f t="shared" si="8"/>
        <v>Oversea</v>
      </c>
      <c r="AT30" s="2188" t="str">
        <f>E40</f>
        <v>Carboard divider horizontal</v>
      </c>
      <c r="AU30" s="1582">
        <f>M40</f>
        <v>0</v>
      </c>
      <c r="AV30" s="1589"/>
      <c r="AW30" s="1589"/>
      <c r="AX30" s="1589"/>
      <c r="AY30" s="1589"/>
      <c r="AZ30" s="1646"/>
      <c r="BA30" s="1644">
        <f t="shared" ref="BA30:BA38" si="28">SUM(AU30:AZ30)</f>
        <v>0</v>
      </c>
      <c r="BD30" s="1582">
        <f>AU30*(1-$R40)</f>
        <v>0</v>
      </c>
      <c r="BE30" s="1589">
        <v>0</v>
      </c>
      <c r="BF30" s="1589"/>
      <c r="BG30" s="1589"/>
      <c r="BH30" s="1589"/>
      <c r="BI30" s="1646"/>
      <c r="BJ30" s="1644">
        <f>SUM(BD30:BI30)</f>
        <v>0</v>
      </c>
      <c r="BM30" s="1582">
        <f>AU30*(1-$R$40)/(1-'Financials Parameters'!$Q$22)</f>
        <v>0</v>
      </c>
      <c r="BN30" s="1589"/>
      <c r="BO30" s="1589"/>
      <c r="BP30" s="1589"/>
      <c r="BQ30" s="1589"/>
      <c r="BR30" s="1646"/>
      <c r="BS30" s="1644">
        <f>SUM(BM30:BR30)</f>
        <v>0</v>
      </c>
      <c r="BT30" s="1650"/>
      <c r="BV30" s="1582">
        <f>BM30*$R$40/(1-'Financials Parameters'!$Q$22)</f>
        <v>0</v>
      </c>
      <c r="BW30" s="1589"/>
      <c r="BX30" s="1589"/>
      <c r="BY30" s="1589"/>
      <c r="BZ30" s="1589"/>
      <c r="CA30" s="1646"/>
      <c r="CB30" s="1644">
        <f>SUM(BV30:CA30)</f>
        <v>0</v>
      </c>
    </row>
    <row r="31" spans="3:80">
      <c r="W31" s="341" t="str">
        <f t="shared" si="7"/>
        <v xml:space="preserve">Frankfurt-North America </v>
      </c>
      <c r="X31" s="327" t="s">
        <v>563</v>
      </c>
      <c r="Y31" s="327" t="s">
        <v>510</v>
      </c>
      <c r="Z31" s="325">
        <v>10</v>
      </c>
      <c r="AA31" s="326" t="s">
        <v>143</v>
      </c>
      <c r="AB31" s="342">
        <v>0</v>
      </c>
      <c r="AC31" s="356">
        <v>12</v>
      </c>
      <c r="AD31" s="356" t="str">
        <f t="shared" si="8"/>
        <v>Oversea</v>
      </c>
      <c r="AT31" s="2188"/>
      <c r="AU31" s="1585"/>
      <c r="AV31" s="1592"/>
      <c r="AW31" s="1592"/>
      <c r="AX31" s="1592"/>
      <c r="AY31" s="1592"/>
      <c r="AZ31" s="1647"/>
      <c r="BA31" s="1645">
        <f t="shared" si="28"/>
        <v>0</v>
      </c>
      <c r="BD31" s="1585">
        <f>AU31*(1-$R41)</f>
        <v>0</v>
      </c>
      <c r="BE31" s="1592"/>
      <c r="BF31" s="1592"/>
      <c r="BG31" s="1592"/>
      <c r="BH31" s="1592"/>
      <c r="BI31" s="1647"/>
      <c r="BJ31" s="1645">
        <f t="shared" ref="BJ31:BJ34" si="29">SUM(BD31:BI31)</f>
        <v>0</v>
      </c>
      <c r="BM31" s="1585">
        <f>AU31*(1-$R$40)/(1-'Financials Parameters'!$Q$22)</f>
        <v>0</v>
      </c>
      <c r="BN31" s="1592"/>
      <c r="BO31" s="1592"/>
      <c r="BP31" s="1592"/>
      <c r="BQ31" s="1592"/>
      <c r="BR31" s="1647"/>
      <c r="BS31" s="1645">
        <f t="shared" ref="BS31:BS35" si="30">SUM(BM31:BR31)</f>
        <v>0</v>
      </c>
      <c r="BT31" s="1650"/>
      <c r="BV31" s="1585">
        <f>BM31*$R$40/(1-'Financials Parameters'!$Q$22)</f>
        <v>0</v>
      </c>
      <c r="BW31" s="1592"/>
      <c r="BX31" s="1592"/>
      <c r="BY31" s="1592"/>
      <c r="BZ31" s="1592"/>
      <c r="CA31" s="1647"/>
      <c r="CB31" s="1645">
        <f t="shared" ref="CB31:CB35" si="31">SUM(BV31:CA31)</f>
        <v>0</v>
      </c>
    </row>
    <row r="32" spans="3:80">
      <c r="W32" s="343" t="str">
        <f t="shared" si="7"/>
        <v>Kunshan-Europe</v>
      </c>
      <c r="X32" s="344" t="s">
        <v>384</v>
      </c>
      <c r="Y32" s="344" t="s">
        <v>505</v>
      </c>
      <c r="Z32" s="346">
        <v>18</v>
      </c>
      <c r="AA32" s="347" t="s">
        <v>143</v>
      </c>
      <c r="AB32" s="348">
        <v>0</v>
      </c>
      <c r="AC32" s="357">
        <v>12</v>
      </c>
      <c r="AD32" s="357" t="str">
        <f t="shared" si="8"/>
        <v>Oversea</v>
      </c>
      <c r="AT32" s="219" t="str">
        <f t="shared" ref="AT32:AT37" si="32">E42</f>
        <v>Cardboard box C16 300 X 200 H125</v>
      </c>
      <c r="AU32" s="1554">
        <f t="shared" ref="AU32:AU37" si="33">M42</f>
        <v>0</v>
      </c>
      <c r="AV32" s="1560"/>
      <c r="AW32" s="1560"/>
      <c r="AX32" s="1560"/>
      <c r="AY32" s="1560"/>
      <c r="AZ32" s="1633"/>
      <c r="BA32" s="1637">
        <f t="shared" si="28"/>
        <v>0</v>
      </c>
      <c r="BD32" s="1554">
        <f>AU32*(1-$R42)</f>
        <v>0</v>
      </c>
      <c r="BE32" s="1560"/>
      <c r="BF32" s="1560"/>
      <c r="BG32" s="1560"/>
      <c r="BH32" s="1560"/>
      <c r="BI32" s="1633"/>
      <c r="BJ32" s="1637">
        <f t="shared" si="29"/>
        <v>0</v>
      </c>
      <c r="BM32" s="1554">
        <f>AU32*(1-$R$40)/(1-'Financials Parameters'!$Q$22)</f>
        <v>0</v>
      </c>
      <c r="BN32" s="1560"/>
      <c r="BO32" s="1560"/>
      <c r="BP32" s="1560"/>
      <c r="BQ32" s="1560"/>
      <c r="BR32" s="1633"/>
      <c r="BS32" s="1637">
        <f t="shared" si="30"/>
        <v>0</v>
      </c>
      <c r="BT32" s="1650"/>
      <c r="BV32" s="1554">
        <f>BM32*$R$40/(1-'Financials Parameters'!$Q$22)</f>
        <v>0</v>
      </c>
      <c r="BW32" s="1560"/>
      <c r="BX32" s="1560"/>
      <c r="BY32" s="1560"/>
      <c r="BZ32" s="1560"/>
      <c r="CA32" s="1633"/>
      <c r="CB32" s="1637">
        <f t="shared" si="31"/>
        <v>0</v>
      </c>
    </row>
    <row r="33" spans="3:80">
      <c r="W33" s="341" t="str">
        <f>CONCATENATE(X33,"-",Y33)</f>
        <v>Kunshan-India</v>
      </c>
      <c r="X33" s="327" t="s">
        <v>384</v>
      </c>
      <c r="Y33" s="327" t="s">
        <v>498</v>
      </c>
      <c r="Z33" s="325">
        <v>10</v>
      </c>
      <c r="AA33" s="326" t="s">
        <v>143</v>
      </c>
      <c r="AB33" s="342">
        <v>0.1</v>
      </c>
      <c r="AC33" s="356">
        <v>10</v>
      </c>
      <c r="AD33" s="356" t="str">
        <f t="shared" si="8"/>
        <v>Oversea</v>
      </c>
      <c r="AT33" s="219" t="str">
        <f t="shared" si="32"/>
        <v>Wood pallet 800 x 600</v>
      </c>
      <c r="AU33" s="1555">
        <f t="shared" si="33"/>
        <v>0</v>
      </c>
      <c r="AV33" s="1563"/>
      <c r="AW33" s="1563"/>
      <c r="AX33" s="1563"/>
      <c r="AY33" s="1563"/>
      <c r="AZ33" s="1634"/>
      <c r="BA33" s="1637">
        <f t="shared" si="28"/>
        <v>0</v>
      </c>
      <c r="BD33" s="1555">
        <f>AU33*(1-$R43)</f>
        <v>0</v>
      </c>
      <c r="BE33" s="1563"/>
      <c r="BF33" s="1563"/>
      <c r="BG33" s="1563"/>
      <c r="BH33" s="1563"/>
      <c r="BI33" s="1634"/>
      <c r="BJ33" s="1637">
        <f t="shared" si="29"/>
        <v>0</v>
      </c>
      <c r="BM33" s="1555">
        <f>AU33*(1-$R$40)/(1-'Financials Parameters'!$Q$22)</f>
        <v>0</v>
      </c>
      <c r="BN33" s="1563"/>
      <c r="BO33" s="1563"/>
      <c r="BP33" s="1563"/>
      <c r="BQ33" s="1563"/>
      <c r="BR33" s="1634"/>
      <c r="BS33" s="1637">
        <f t="shared" si="30"/>
        <v>0</v>
      </c>
      <c r="BT33" s="1650"/>
      <c r="BV33" s="1555">
        <f>BM33*$R$40/(1-'Financials Parameters'!$Q$22)</f>
        <v>0</v>
      </c>
      <c r="BW33" s="1563"/>
      <c r="BX33" s="1563"/>
      <c r="BY33" s="1563"/>
      <c r="BZ33" s="1563"/>
      <c r="CA33" s="1634"/>
      <c r="CB33" s="1637">
        <f t="shared" si="31"/>
        <v>0</v>
      </c>
    </row>
    <row r="34" spans="3:80">
      <c r="W34" s="343" t="str">
        <f t="shared" si="7"/>
        <v>Kunshan-China + South pacific</v>
      </c>
      <c r="X34" s="349" t="s">
        <v>384</v>
      </c>
      <c r="Y34" s="345" t="s">
        <v>25</v>
      </c>
      <c r="Z34" s="346">
        <v>3</v>
      </c>
      <c r="AA34" s="347" t="s">
        <v>143</v>
      </c>
      <c r="AB34" s="348">
        <v>0</v>
      </c>
      <c r="AC34" s="357">
        <v>6</v>
      </c>
      <c r="AD34" s="357" t="str">
        <f t="shared" si="8"/>
        <v/>
      </c>
      <c r="AT34" s="219" t="str">
        <f t="shared" si="32"/>
        <v>Brush retainer</v>
      </c>
      <c r="AU34" s="1554">
        <f t="shared" si="33"/>
        <v>0</v>
      </c>
      <c r="AV34" s="1563"/>
      <c r="AW34" s="1563"/>
      <c r="AX34" s="1563"/>
      <c r="AY34" s="1563"/>
      <c r="AZ34" s="1634"/>
      <c r="BA34" s="1637">
        <f t="shared" si="28"/>
        <v>0</v>
      </c>
      <c r="BD34" s="1554">
        <f>AU34*(1-$R44)</f>
        <v>0</v>
      </c>
      <c r="BE34" s="1563"/>
      <c r="BF34" s="1563"/>
      <c r="BG34" s="1563"/>
      <c r="BH34" s="1563"/>
      <c r="BI34" s="1634"/>
      <c r="BJ34" s="1637">
        <f t="shared" si="29"/>
        <v>0</v>
      </c>
      <c r="BM34" s="1554">
        <f>AU34*(1-$R$40)/(1-'Financials Parameters'!$Q$22)</f>
        <v>0</v>
      </c>
      <c r="BN34" s="1563"/>
      <c r="BO34" s="1563"/>
      <c r="BP34" s="1563"/>
      <c r="BQ34" s="1563"/>
      <c r="BR34" s="1634"/>
      <c r="BS34" s="1637">
        <f t="shared" si="30"/>
        <v>0</v>
      </c>
      <c r="BT34" s="1650"/>
      <c r="BV34" s="1554">
        <f>BM34*$R$40/(1-'Financials Parameters'!$Q$22)</f>
        <v>0</v>
      </c>
      <c r="BW34" s="1563"/>
      <c r="BX34" s="1563"/>
      <c r="BY34" s="1563"/>
      <c r="BZ34" s="1563"/>
      <c r="CA34" s="1634"/>
      <c r="CB34" s="1637">
        <f t="shared" si="31"/>
        <v>0</v>
      </c>
    </row>
    <row r="35" spans="3:80" ht="15" thickBot="1">
      <c r="W35" s="341" t="str">
        <f t="shared" si="7"/>
        <v xml:space="preserve">Kunshan-North America </v>
      </c>
      <c r="X35" s="323" t="s">
        <v>384</v>
      </c>
      <c r="Y35" s="327" t="s">
        <v>510</v>
      </c>
      <c r="Z35" s="325">
        <v>15</v>
      </c>
      <c r="AA35" s="326" t="s">
        <v>143</v>
      </c>
      <c r="AB35" s="342">
        <v>0</v>
      </c>
      <c r="AC35" s="356">
        <v>10</v>
      </c>
      <c r="AD35" s="356" t="str">
        <f t="shared" si="8"/>
        <v>Oversea</v>
      </c>
      <c r="AT35" s="219" t="str">
        <f t="shared" si="32"/>
        <v>Cardboard corner</v>
      </c>
      <c r="AU35" s="1556">
        <f t="shared" si="33"/>
        <v>0</v>
      </c>
      <c r="AV35" s="1557"/>
      <c r="AW35" s="1557"/>
      <c r="AX35" s="1557"/>
      <c r="AY35" s="1557"/>
      <c r="AZ35" s="1635"/>
      <c r="BA35" s="1638">
        <f t="shared" si="28"/>
        <v>0</v>
      </c>
      <c r="BD35" s="1556"/>
      <c r="BE35" s="1557"/>
      <c r="BF35" s="1557"/>
      <c r="BG35" s="1557"/>
      <c r="BH35" s="1557"/>
      <c r="BI35" s="1635"/>
      <c r="BJ35" s="1638"/>
      <c r="BM35" s="1556">
        <f>AU35*(1-$R$40)/(1-'Financials Parameters'!$Q$22)</f>
        <v>0</v>
      </c>
      <c r="BN35" s="1557"/>
      <c r="BO35" s="1557"/>
      <c r="BP35" s="1557"/>
      <c r="BQ35" s="1557"/>
      <c r="BR35" s="1635"/>
      <c r="BS35" s="1638">
        <f t="shared" si="30"/>
        <v>0</v>
      </c>
      <c r="BT35" s="1650"/>
      <c r="BV35" s="1556">
        <f>BM35*$R$40/(1-'Financials Parameters'!$Q$22)</f>
        <v>0</v>
      </c>
      <c r="BW35" s="1557"/>
      <c r="BX35" s="1557"/>
      <c r="BY35" s="1557"/>
      <c r="BZ35" s="1557"/>
      <c r="CA35" s="1635"/>
      <c r="CB35" s="1638">
        <f t="shared" si="31"/>
        <v>0</v>
      </c>
    </row>
    <row r="36" spans="3:80" ht="18.600000000000001" thickBot="1">
      <c r="C36" s="592" t="s">
        <v>473</v>
      </c>
      <c r="D36" s="593"/>
      <c r="E36" s="594" t="str">
        <f>IF(AD3="Oversea","Definition of packaging for 'Oversea' transportation","Definition of packaging for 'local to local' transportation")</f>
        <v>Definition of packaging for 'local to local' transportation</v>
      </c>
      <c r="F36" s="593"/>
      <c r="G36" s="593"/>
      <c r="H36" s="593"/>
      <c r="I36" s="593"/>
      <c r="J36" s="593"/>
      <c r="K36" s="593"/>
      <c r="L36" s="595"/>
      <c r="M36" s="596" t="s">
        <v>571</v>
      </c>
      <c r="N36" s="597"/>
      <c r="O36" s="597"/>
      <c r="P36" s="597"/>
      <c r="Q36" s="597"/>
      <c r="R36" s="597"/>
      <c r="S36" s="597"/>
      <c r="T36" s="597"/>
      <c r="U36" s="598"/>
      <c r="W36" s="343" t="str">
        <f t="shared" si="7"/>
        <v>Kunshan-Rest of Asia</v>
      </c>
      <c r="X36" s="344" t="s">
        <v>384</v>
      </c>
      <c r="Y36" s="349" t="s">
        <v>502</v>
      </c>
      <c r="Z36" s="346">
        <v>3</v>
      </c>
      <c r="AA36" s="347" t="s">
        <v>143</v>
      </c>
      <c r="AB36" s="348">
        <v>0</v>
      </c>
      <c r="AC36" s="357">
        <v>10</v>
      </c>
      <c r="AD36" s="357" t="str">
        <f t="shared" si="8"/>
        <v>Oversea</v>
      </c>
      <c r="AT36" s="219" t="str">
        <f t="shared" si="32"/>
        <v>Pallet cover</v>
      </c>
      <c r="AU36" s="1555">
        <f t="shared" si="33"/>
        <v>0</v>
      </c>
      <c r="AV36" s="26"/>
      <c r="AW36" s="26"/>
      <c r="AX36" s="26"/>
      <c r="AY36" s="26"/>
      <c r="AZ36" s="829"/>
      <c r="BA36" s="1637">
        <f t="shared" si="28"/>
        <v>0</v>
      </c>
      <c r="BD36" s="1555">
        <f>AU36*(1-$R46)</f>
        <v>0</v>
      </c>
      <c r="BE36" s="26"/>
      <c r="BF36" s="26"/>
      <c r="BG36" s="26"/>
      <c r="BH36" s="26"/>
      <c r="BI36" s="829"/>
      <c r="BJ36" s="1637">
        <f>SUM(BD36:BI36)</f>
        <v>0</v>
      </c>
      <c r="BM36" s="1555">
        <f>AU36*(1-$R$40)/(1-'Financials Parameters'!$Q$22)</f>
        <v>0</v>
      </c>
      <c r="BN36" s="26"/>
      <c r="BO36" s="26"/>
      <c r="BP36" s="26"/>
      <c r="BQ36" s="26"/>
      <c r="BR36" s="829"/>
      <c r="BS36" s="1637">
        <f>SUM(BM36:BR36)</f>
        <v>0</v>
      </c>
      <c r="BT36" s="1650"/>
      <c r="BV36" s="1555">
        <f>BM36*$R$40/(1-'Financials Parameters'!$Q$22)</f>
        <v>0</v>
      </c>
      <c r="BW36" s="26"/>
      <c r="BX36" s="26"/>
      <c r="BY36" s="26"/>
      <c r="BZ36" s="26"/>
      <c r="CA36" s="829"/>
      <c r="CB36" s="1637">
        <f>SUM(BV36:CA36)</f>
        <v>0</v>
      </c>
    </row>
    <row r="37" spans="3:80" ht="18.600000000000001" thickBot="1">
      <c r="C37" s="599" t="str">
        <f>IF(H40="Not allowed","Cardboard dividers cannot be selected with returnable plastic box!!!","")</f>
        <v/>
      </c>
      <c r="D37" s="600"/>
      <c r="E37" s="600"/>
      <c r="F37" s="600"/>
      <c r="G37" s="600"/>
      <c r="H37" s="600"/>
      <c r="I37" s="600"/>
      <c r="J37" s="600"/>
      <c r="K37" s="600"/>
      <c r="L37" s="601"/>
      <c r="M37" s="602" t="s">
        <v>572</v>
      </c>
      <c r="N37" s="603">
        <f>IF(AD3=AD6,50%,10%)</f>
        <v>0.1</v>
      </c>
      <c r="O37" s="603"/>
      <c r="P37" s="604" t="s">
        <v>573</v>
      </c>
      <c r="Q37" s="605">
        <f>AC3+IF(SUM('Product Added value'!N52:N79)=0,0,L65)</f>
        <v>8</v>
      </c>
      <c r="R37" s="818"/>
      <c r="S37" s="606"/>
      <c r="T37" s="606"/>
      <c r="U37" s="607"/>
      <c r="W37" s="341" t="str">
        <f t="shared" si="7"/>
        <v>Monterrey-India</v>
      </c>
      <c r="X37" s="327" t="s">
        <v>574</v>
      </c>
      <c r="Y37" s="327" t="s">
        <v>498</v>
      </c>
      <c r="Z37" s="325">
        <v>10</v>
      </c>
      <c r="AA37" s="326" t="s">
        <v>143</v>
      </c>
      <c r="AB37" s="342">
        <v>0.1</v>
      </c>
      <c r="AC37" s="356">
        <v>12</v>
      </c>
      <c r="AD37" s="356" t="str">
        <f t="shared" si="8"/>
        <v>Oversea</v>
      </c>
      <c r="AT37" s="219" t="str">
        <f t="shared" si="32"/>
        <v>Box cover (for plastic box)</v>
      </c>
      <c r="AU37" s="1648">
        <f t="shared" si="33"/>
        <v>0</v>
      </c>
      <c r="AV37" s="81"/>
      <c r="AW37" s="81"/>
      <c r="AX37" s="81"/>
      <c r="AY37" s="81"/>
      <c r="AZ37" s="830"/>
      <c r="BA37" s="1639">
        <f t="shared" si="28"/>
        <v>0</v>
      </c>
      <c r="BD37" s="1648">
        <f>AU37*(1-$R47)</f>
        <v>0</v>
      </c>
      <c r="BE37" s="81"/>
      <c r="BF37" s="81"/>
      <c r="BG37" s="81"/>
      <c r="BH37" s="81"/>
      <c r="BI37" s="830"/>
      <c r="BJ37" s="1639">
        <f>SUM(BD37:BI37)</f>
        <v>0</v>
      </c>
      <c r="BM37" s="1648">
        <f>AU37*(1-$R$40)/(1-'Financials Parameters'!$Q$22)</f>
        <v>0</v>
      </c>
      <c r="BN37" s="81"/>
      <c r="BO37" s="81"/>
      <c r="BP37" s="81"/>
      <c r="BQ37" s="81"/>
      <c r="BR37" s="830"/>
      <c r="BS37" s="1639">
        <f>SUM(BM37:BR37)</f>
        <v>0</v>
      </c>
      <c r="BT37" s="1650"/>
      <c r="BV37" s="1648">
        <f>BM37*$R$40/(1-'Financials Parameters'!$Q$22)</f>
        <v>0</v>
      </c>
      <c r="BW37" s="81"/>
      <c r="BX37" s="81"/>
      <c r="BY37" s="81"/>
      <c r="BZ37" s="81"/>
      <c r="CA37" s="830"/>
      <c r="CB37" s="1639">
        <f>SUM(BV37:CA37)</f>
        <v>0</v>
      </c>
    </row>
    <row r="38" spans="3:80" ht="15" thickBot="1">
      <c r="C38" t="s">
        <v>575</v>
      </c>
      <c r="F38" t="s">
        <v>576</v>
      </c>
      <c r="G38" t="s">
        <v>577</v>
      </c>
      <c r="H38" t="s">
        <v>578</v>
      </c>
      <c r="I38" t="s">
        <v>579</v>
      </c>
      <c r="J38" t="str">
        <f>"Unit Cost "&amp;H3</f>
        <v>Unit Cost EUR</v>
      </c>
      <c r="K38" t="str">
        <f>"Cost/prod "&amp;$H$3</f>
        <v>Cost/prod EUR</v>
      </c>
      <c r="L38" t="str">
        <f>"Cost/prod "&amp;E4</f>
        <v>Cost/prod RMB</v>
      </c>
      <c r="M38" s="6" t="str">
        <f>"Tooling cost K"&amp;H3</f>
        <v>Tooling cost KEUR</v>
      </c>
      <c r="N38" t="s">
        <v>580</v>
      </c>
      <c r="O38" s="66" t="str">
        <f>H3&amp;" /Pc"</f>
        <v>EUR /Pc</v>
      </c>
      <c r="P38" t="str">
        <f>"Invest K"&amp;$H$3</f>
        <v>Invest KEUR</v>
      </c>
      <c r="Q38" t="s">
        <v>364</v>
      </c>
      <c r="R38" t="s">
        <v>581</v>
      </c>
      <c r="S38" t="str">
        <f>"Total invest K"&amp;E4</f>
        <v>Total invest KRMB</v>
      </c>
      <c r="T38" s="7" t="s">
        <v>582</v>
      </c>
      <c r="U38" s="608" t="s">
        <v>583</v>
      </c>
      <c r="W38" s="343" t="str">
        <f t="shared" si="7"/>
        <v>Monterrey-China + South pacific</v>
      </c>
      <c r="X38" s="349" t="s">
        <v>574</v>
      </c>
      <c r="Y38" s="349" t="s">
        <v>25</v>
      </c>
      <c r="Z38" s="346">
        <v>15</v>
      </c>
      <c r="AA38" s="347" t="s">
        <v>143</v>
      </c>
      <c r="AB38" s="348">
        <v>0</v>
      </c>
      <c r="AC38" s="357">
        <v>12</v>
      </c>
      <c r="AD38" s="357" t="str">
        <f t="shared" si="8"/>
        <v>Oversea</v>
      </c>
      <c r="AT38" s="219">
        <f>E49</f>
        <v>0</v>
      </c>
      <c r="AU38" s="1649">
        <f t="shared" ref="AU38:AZ38" si="34">SUM(BF5:BF12)+SUM(AU30:AU37)</f>
        <v>0</v>
      </c>
      <c r="AV38" s="1609" t="e">
        <f t="shared" si="34"/>
        <v>#N/A</v>
      </c>
      <c r="AW38" s="1609" t="e">
        <f t="shared" si="34"/>
        <v>#N/A</v>
      </c>
      <c r="AX38" s="1609" t="e">
        <f t="shared" si="34"/>
        <v>#N/A</v>
      </c>
      <c r="AY38" s="1609" t="e">
        <f t="shared" si="34"/>
        <v>#N/A</v>
      </c>
      <c r="AZ38" s="1610" t="e">
        <f t="shared" si="34"/>
        <v>#N/A</v>
      </c>
      <c r="BA38" s="1643" t="e">
        <f t="shared" si="28"/>
        <v>#N/A</v>
      </c>
      <c r="BD38" s="1649">
        <f t="shared" ref="BD38:BI38" si="35">SUM(BD18:BD25)+SUM(BD30:BD37)</f>
        <v>0</v>
      </c>
      <c r="BE38" s="1609" t="e">
        <f t="shared" si="35"/>
        <v>#N/A</v>
      </c>
      <c r="BF38" s="1609" t="e">
        <f t="shared" si="35"/>
        <v>#N/A</v>
      </c>
      <c r="BG38" s="1609" t="e">
        <f t="shared" si="35"/>
        <v>#N/A</v>
      </c>
      <c r="BH38" s="1609" t="e">
        <f t="shared" si="35"/>
        <v>#N/A</v>
      </c>
      <c r="BI38" s="1610" t="e">
        <f t="shared" si="35"/>
        <v>#N/A</v>
      </c>
      <c r="BJ38" s="1643" t="e">
        <f>SUM(BD38:BI38)</f>
        <v>#N/A</v>
      </c>
      <c r="BM38" s="1649">
        <f t="shared" ref="BM38:BR38" si="36">SUM(BM18:BM25)+SUM(BM30:BM37)</f>
        <v>0</v>
      </c>
      <c r="BN38" s="1609" t="e">
        <f t="shared" si="36"/>
        <v>#N/A</v>
      </c>
      <c r="BO38" s="1609" t="e">
        <f t="shared" si="36"/>
        <v>#N/A</v>
      </c>
      <c r="BP38" s="1609" t="e">
        <f t="shared" si="36"/>
        <v>#N/A</v>
      </c>
      <c r="BQ38" s="1609" t="e">
        <f t="shared" si="36"/>
        <v>#N/A</v>
      </c>
      <c r="BR38" s="1610" t="e">
        <f t="shared" si="36"/>
        <v>#N/A</v>
      </c>
      <c r="BS38" s="1643" t="e">
        <f>SUM(BM38:BR38)</f>
        <v>#N/A</v>
      </c>
      <c r="BT38" s="1650"/>
      <c r="BV38" s="1649">
        <f t="shared" ref="BV38:CA38" si="37">SUM(BV18:BV25)+SUM(BV30:BV37)</f>
        <v>0</v>
      </c>
      <c r="BW38" s="1609" t="e">
        <f t="shared" si="37"/>
        <v>#N/A</v>
      </c>
      <c r="BX38" s="1609" t="e">
        <f t="shared" si="37"/>
        <v>#N/A</v>
      </c>
      <c r="BY38" s="1609" t="e">
        <f t="shared" si="37"/>
        <v>#N/A</v>
      </c>
      <c r="BZ38" s="1609" t="e">
        <f t="shared" si="37"/>
        <v>#N/A</v>
      </c>
      <c r="CA38" s="1610" t="e">
        <f t="shared" si="37"/>
        <v>#N/A</v>
      </c>
      <c r="CB38" s="1643" t="e">
        <f>SUM(BV38:CA38)</f>
        <v>#N/A</v>
      </c>
    </row>
    <row r="39" spans="3:80">
      <c r="C39" s="609" t="s">
        <v>584</v>
      </c>
      <c r="D39" s="610"/>
      <c r="E39" s="611" t="s">
        <v>585</v>
      </c>
      <c r="F39" s="2108"/>
      <c r="G39" s="609" t="s">
        <v>584</v>
      </c>
      <c r="H39" s="612">
        <f>IF(C39="YES",1,0)</f>
        <v>0</v>
      </c>
      <c r="I39" s="613">
        <v>1</v>
      </c>
      <c r="J39" s="614">
        <f>0.0062*VLOOKUP("EUR"&amp;H3,'Financials Parameters'!D29:E53,2,FALSE)</f>
        <v>6.1999999999999998E-3</v>
      </c>
      <c r="K39" s="615">
        <f>IF(E39&lt;&gt;"",H39*J39,"")</f>
        <v>0</v>
      </c>
      <c r="L39" s="616">
        <f>K39*VLOOKUP($H$3&amp;$E$4,'Financials Parameters'!D29:E53,2,FALSE)</f>
        <v>0</v>
      </c>
      <c r="M39" s="617"/>
      <c r="N39" s="618"/>
      <c r="O39" s="618"/>
      <c r="P39" s="619"/>
      <c r="Q39" s="620"/>
      <c r="R39" s="621"/>
      <c r="S39" s="622"/>
      <c r="T39" s="623"/>
      <c r="U39" s="624"/>
      <c r="W39" s="341" t="str">
        <f t="shared" si="7"/>
        <v>Monterrey-Rest of Asia</v>
      </c>
      <c r="X39" s="327" t="s">
        <v>574</v>
      </c>
      <c r="Y39" s="324" t="s">
        <v>502</v>
      </c>
      <c r="Z39" s="325">
        <v>15</v>
      </c>
      <c r="AA39" s="326" t="s">
        <v>143</v>
      </c>
      <c r="AB39" s="342">
        <v>0</v>
      </c>
      <c r="AC39" s="356">
        <v>12</v>
      </c>
      <c r="AD39" s="356" t="str">
        <f t="shared" si="8"/>
        <v>Oversea</v>
      </c>
    </row>
    <row r="40" spans="3:80">
      <c r="C40" s="625" t="s">
        <v>514</v>
      </c>
      <c r="D40" s="626"/>
      <c r="E40" s="627" t="str">
        <f>IF(L11=AF27,L11&amp;" horizontal",L11)</f>
        <v>Carboard divider horizontal</v>
      </c>
      <c r="F40" s="628" t="str">
        <f>IF(L11=AH27,"YES","No")</f>
        <v>No</v>
      </c>
      <c r="G40" s="625" t="s">
        <v>584</v>
      </c>
      <c r="H40" s="629">
        <f>IF(C40="YES",IF(L11&lt;&gt;AF27,1/VLOOKUP(1,W62:BJ80,27,FALSE),IF(SUM(W62:W68)=1,VLOOKUP(1,W62:BJ80,20,FALSE)/VLOOKUP(1,W62:BJ80,26,FALSE),"Not allowed")))</f>
        <v>1E-3</v>
      </c>
      <c r="I40" s="630" t="str">
        <f>IF(L11=AF27,"m²",1)</f>
        <v>m²</v>
      </c>
      <c r="J40" s="631">
        <f>2/7.8</f>
        <v>0.25641025641025644</v>
      </c>
      <c r="K40" s="632">
        <f>IF(E40&lt;&gt;"",H40*J40,"")</f>
        <v>2.5641025641025646E-4</v>
      </c>
      <c r="L40" s="633">
        <f>K40*VLOOKUP($H$3&amp;$E$4,'Financials Parameters'!D29:E53,2,FALSE)</f>
        <v>1.9945897435897442E-3</v>
      </c>
      <c r="M40" s="1527">
        <f>IF(C39="Yes",VLOOKUP(1,$W$62:$AX$78,IF($L$11=$AF$27,19,23),FALSE)/1000*VLOOKUP(AQ60&amp;H3,'Financials Parameters'!D29:E53,2,FALSE),0)</f>
        <v>0</v>
      </c>
      <c r="N40" s="1529">
        <f>IFERROR(IF(L11=AH27,L6*L4*Q37*(1+N37)*1000/VLOOKUP(1,W62:AX80,27,FALSE),0),0)</f>
        <v>0</v>
      </c>
      <c r="O40" s="1531"/>
      <c r="P40" s="2138">
        <f>IFERROR(IF($L$11=$AH$27,N40*IF(O40="",VLOOKUP(1,$W$62:$AX$80,22,FALSE)/1000*VLOOKUP($AQ$60&amp;$H$3,'Financials Parameters'!D29:E53,2,FALSE),O40/1000),0),0)</f>
        <v>0</v>
      </c>
      <c r="Q40" s="1533" t="s">
        <v>149</v>
      </c>
      <c r="R40" s="1535">
        <v>0</v>
      </c>
      <c r="S40" s="1524">
        <f>IFERROR(+(M40+P40)*(1-R40)*VLOOKUP($H$3&amp;$E$4,'Financials Parameters'!D29:E53,2,FALSE),0)</f>
        <v>0</v>
      </c>
      <c r="T40" s="634"/>
      <c r="U40" s="1526">
        <f>IFERROR(IF(F40="YES",VLOOKUP(1,$W$62:$BQ$80,4,FALSE)*($N$13/$S$15),0),0)</f>
        <v>0</v>
      </c>
      <c r="W40" s="343" t="str">
        <f>CONCATENATE(X40,"-",Y40)</f>
        <v xml:space="preserve">Monterrey-North America </v>
      </c>
      <c r="X40" s="349" t="s">
        <v>574</v>
      </c>
      <c r="Y40" s="349" t="s">
        <v>510</v>
      </c>
      <c r="Z40" s="346">
        <v>3</v>
      </c>
      <c r="AA40" s="347" t="s">
        <v>143</v>
      </c>
      <c r="AB40" s="348">
        <v>0</v>
      </c>
      <c r="AC40" s="357">
        <v>6</v>
      </c>
      <c r="AD40" s="357" t="str">
        <f t="shared" si="8"/>
        <v/>
      </c>
    </row>
    <row r="41" spans="3:80">
      <c r="C41" s="625" t="s">
        <v>584</v>
      </c>
      <c r="D41" s="626"/>
      <c r="E41" s="627" t="str">
        <f>IF(AND(L11=AF27,C41="YES"),L11 &amp; " Vertical","")</f>
        <v/>
      </c>
      <c r="F41" s="628" t="str">
        <f>IF(AND(L11=AF27,C41="Yes"),"N0","")</f>
        <v/>
      </c>
      <c r="G41" s="625" t="s">
        <v>584</v>
      </c>
      <c r="H41" s="629" t="str">
        <f>IF(E41&lt;&gt;"",VLOOKUP(1,W62:AX78,21,FALSE)/VLOOKUP(1,W62:AX78,26,FALSE),"")</f>
        <v/>
      </c>
      <c r="I41" s="630" t="s">
        <v>586</v>
      </c>
      <c r="J41" s="631" t="str">
        <f>IF(E41&lt;&gt;"",AN60*VLOOKUP($AQ$60&amp;H3,'Financials Parameters'!D29:E53,2,FALSE),"")</f>
        <v/>
      </c>
      <c r="K41" s="632" t="str">
        <f>IF(E41&lt;&gt;"",H41*J41,"")</f>
        <v/>
      </c>
      <c r="L41" s="633" t="str">
        <f>IF(K41&lt;&gt;"",K41*VLOOKUP($H$3&amp;$E$4,'Financials Parameters'!D29:E53,2,FALSE),"")</f>
        <v/>
      </c>
      <c r="M41" s="1528"/>
      <c r="N41" s="1530"/>
      <c r="O41" s="1532"/>
      <c r="P41" s="2139"/>
      <c r="Q41" s="1534"/>
      <c r="R41" s="1536"/>
      <c r="S41" s="1525"/>
      <c r="T41" s="635"/>
      <c r="U41" s="1526"/>
      <c r="W41" s="341" t="str">
        <f t="shared" si="7"/>
        <v>Monterrey-Europe</v>
      </c>
      <c r="X41" s="327" t="s">
        <v>574</v>
      </c>
      <c r="Y41" s="327" t="s">
        <v>505</v>
      </c>
      <c r="Z41" s="325">
        <v>10</v>
      </c>
      <c r="AA41" s="326" t="s">
        <v>143</v>
      </c>
      <c r="AB41" s="342">
        <v>0</v>
      </c>
      <c r="AC41" s="356">
        <v>10</v>
      </c>
      <c r="AD41" s="356" t="str">
        <f t="shared" si="8"/>
        <v>Oversea</v>
      </c>
    </row>
    <row r="42" spans="3:80">
      <c r="C42" s="625" t="s">
        <v>514</v>
      </c>
      <c r="D42" s="626"/>
      <c r="E42" s="627" t="str">
        <f>L10&amp;" "&amp;M10&amp;" "&amp; N10</f>
        <v>Cardboard box C16 300 X 200 H125</v>
      </c>
      <c r="F42" s="628" t="str">
        <f>IF(L8="Yes","Yes","No")</f>
        <v>No</v>
      </c>
      <c r="G42" s="625" t="s">
        <v>584</v>
      </c>
      <c r="H42" s="636">
        <f>IF(C42="YES",1/VLOOKUP(1,W62:BJ78,26,FALSE),0)</f>
        <v>1.6666666666666668E-3</v>
      </c>
      <c r="I42" s="630">
        <v>1</v>
      </c>
      <c r="J42" s="631">
        <f>IF(L8="NO",VLOOKUP(1,$W$62:$BQ$80,8,FALSE)*VLOOKUP(VLOOKUP(1,W62:AD80,7,FALSE)&amp;H3,'Financials Parameters'!D29:E53,2,FALSE),0)</f>
        <v>0.18</v>
      </c>
      <c r="K42" s="632">
        <f>+H42*J42</f>
        <v>3.0000000000000003E-4</v>
      </c>
      <c r="L42" s="633">
        <f>K42*VLOOKUP($H$3&amp;$E$4,'Financials Parameters'!D29:E53,2,FALSE)</f>
        <v>2.3336700000000004E-3</v>
      </c>
      <c r="M42" s="637">
        <v>0</v>
      </c>
      <c r="N42" s="638">
        <f>IFERROR(IF(AND(L8="YES",C42="YES"),1/VLOOKUP(1,W62:AX78,26,FALSE)*L6*Q37*(1+N37)*1000,0),0)</f>
        <v>0</v>
      </c>
      <c r="O42" s="808"/>
      <c r="P42" s="2140">
        <f>IFERROR(IF($L$11=$AH$27,N42*IF(O42="",VLOOKUP(1,$W$62:$AX$80,8,FALSE)/1000*VLOOKUP($AQ$60&amp;$H$3,'Financials Parameters'!D29:E53,2,FALSE),O42/1000),0),0)</f>
        <v>0</v>
      </c>
      <c r="Q42" s="639" t="s">
        <v>149</v>
      </c>
      <c r="R42" s="640">
        <v>0</v>
      </c>
      <c r="S42" s="641">
        <f>IFERROR(+(M42+P42)*(1-R42)*VLOOKUP($H$3&amp;$E$4,'Financials Parameters'!D29:E53,2,FALSE),0)</f>
        <v>0</v>
      </c>
      <c r="T42" s="642"/>
      <c r="U42" s="624">
        <f>IFERROR(IF(F42="YES",VLOOKUP(1,$W$62:$BQ$80,5,FALSE)*($N$13/$S$14),0),0)</f>
        <v>0</v>
      </c>
      <c r="W42" s="343" t="str">
        <f t="shared" si="7"/>
        <v>Poitiers-India</v>
      </c>
      <c r="X42" s="349" t="s">
        <v>587</v>
      </c>
      <c r="Y42" s="344" t="s">
        <v>498</v>
      </c>
      <c r="Z42" s="346">
        <v>15</v>
      </c>
      <c r="AA42" s="347" t="s">
        <v>143</v>
      </c>
      <c r="AB42" s="348">
        <v>0.1</v>
      </c>
      <c r="AC42" s="357">
        <v>12</v>
      </c>
      <c r="AD42" s="357" t="str">
        <f t="shared" si="8"/>
        <v>Oversea</v>
      </c>
    </row>
    <row r="43" spans="3:80">
      <c r="C43" s="643" t="s">
        <v>514</v>
      </c>
      <c r="D43" s="644"/>
      <c r="E43" s="645" t="str">
        <f>L9</f>
        <v>Wood pallet 800 x 600</v>
      </c>
      <c r="F43" s="646" t="str">
        <f>IF(L8="Yes","Yes","No")</f>
        <v>No</v>
      </c>
      <c r="G43" s="643" t="s">
        <v>584</v>
      </c>
      <c r="H43" s="636">
        <f>IF(C43="YES",1/N13,0)</f>
        <v>6.3333333333333346E-5</v>
      </c>
      <c r="I43" s="630">
        <v>1</v>
      </c>
      <c r="J43" s="631">
        <f>IF(L8="NO",VLOOKUP(AF25,W84:AI88,7,FALSE)*VLOOKUP(VLOOKUP(AF25,W84:AI88,6,FALSE)&amp;E4,'Financials Parameters'!D29:E53,2,FALSE),0)</f>
        <v>38.894500000000001</v>
      </c>
      <c r="K43" s="632">
        <f>+H43*J43</f>
        <v>2.463318333333334E-3</v>
      </c>
      <c r="L43" s="633">
        <f>K43*VLOOKUP($H$3&amp;$E$4,'Financials Parameters'!D29:E53,2,FALSE)</f>
        <v>1.9161906983166672E-2</v>
      </c>
      <c r="M43" s="637">
        <v>0</v>
      </c>
      <c r="N43" s="638">
        <f>IFERROR(ROUNDUP(IF(SUM(W69:W78)&gt;1,IF(L12=AF28,1/VLOOKUP(AF25,W84:AI87,9,FALSE),1/VLOOKUP(AF25,W84:AI87,10,FALSE))*L6*Q37*(1+N37)*1000),0),0)</f>
        <v>0</v>
      </c>
      <c r="O43" s="809"/>
      <c r="P43" s="2140">
        <f>IF(SUM(W69:W78)=1,N43*IF(O43="",VLOOKUP(AF25,$W$84:$AI$87,7,FALSE)/1000*VLOOKUP($AQ$60&amp;$H$3,'Financials Parameters'!D29:E53,2,FALSE),O43/1000),0)</f>
        <v>0</v>
      </c>
      <c r="Q43" s="639" t="s">
        <v>149</v>
      </c>
      <c r="R43" s="640">
        <v>0</v>
      </c>
      <c r="S43" s="641">
        <f>+(M43+P43)*(1-R43)*VLOOKUP($H$3&amp;$E$4,'Financials Parameters'!D29:E53,2,FALSE)</f>
        <v>0</v>
      </c>
      <c r="T43" s="642"/>
      <c r="U43" s="624">
        <f>IF(F43="YES",5,0)</f>
        <v>0</v>
      </c>
      <c r="W43" s="341" t="str">
        <f t="shared" si="7"/>
        <v>Poitiers-Rest of Asia</v>
      </c>
      <c r="X43" s="327" t="s">
        <v>587</v>
      </c>
      <c r="Y43" s="327" t="s">
        <v>502</v>
      </c>
      <c r="Z43" s="325">
        <v>15</v>
      </c>
      <c r="AA43" s="326" t="s">
        <v>143</v>
      </c>
      <c r="AB43" s="342">
        <v>0</v>
      </c>
      <c r="AC43" s="356">
        <v>12</v>
      </c>
      <c r="AD43" s="356" t="str">
        <f t="shared" si="8"/>
        <v>Oversea</v>
      </c>
    </row>
    <row r="44" spans="3:80">
      <c r="C44" s="643" t="s">
        <v>584</v>
      </c>
      <c r="D44" s="644"/>
      <c r="E44" s="645" t="s">
        <v>588</v>
      </c>
      <c r="F44" s="646" t="str">
        <f>IF(G20="Returnable","Yes","No")</f>
        <v>No</v>
      </c>
      <c r="G44" s="643" t="s">
        <v>584</v>
      </c>
      <c r="H44" s="647">
        <f>IF(C44="YES",1,0)</f>
        <v>0</v>
      </c>
      <c r="I44" s="630">
        <v>1</v>
      </c>
      <c r="J44" s="631">
        <f>IF(OR(G20="Returnable",C44="NO"),0,E23)</f>
        <v>0</v>
      </c>
      <c r="K44" s="632">
        <f>+H44*J44</f>
        <v>0</v>
      </c>
      <c r="L44" s="633">
        <f>K44*VLOOKUP($H$3&amp;$E$4,'Financials Parameters'!D29:E53,2,FALSE)</f>
        <v>0</v>
      </c>
      <c r="M44" s="1023">
        <f>IF(C44="YES",E24,0)</f>
        <v>0</v>
      </c>
      <c r="N44" s="638">
        <f>IF(C44="YES",IF(G20="Returnable",L6*L4*Q37*(1+N37)*1000/H44,0),0)</f>
        <v>0</v>
      </c>
      <c r="O44" s="809"/>
      <c r="P44" s="2140">
        <f>N44*IF(O44="",E23*VLOOKUP($AQ$60&amp;$H$3,'Financials Parameters'!D29:E53,2,FALSE)/1000,O44/1000)</f>
        <v>0</v>
      </c>
      <c r="Q44" s="639" t="s">
        <v>149</v>
      </c>
      <c r="R44" s="640">
        <v>0</v>
      </c>
      <c r="S44" s="641">
        <f>+(M44+P44)*(1-R44)*VLOOKUP($H$3&amp;$E$4,'Financials Parameters'!D29:E53,2,FALSE)</f>
        <v>0</v>
      </c>
      <c r="T44" s="642" t="str">
        <f>IFERROR(E25&amp;"Kpcs","")</f>
        <v>4000Kpcs</v>
      </c>
      <c r="U44" s="624">
        <f>IF(AND(F44="YES",C44="YES"),E22*N13/1000,0)</f>
        <v>0</v>
      </c>
      <c r="W44" s="343" t="str">
        <f t="shared" si="7"/>
        <v>Poitiers-Europe</v>
      </c>
      <c r="X44" s="349" t="s">
        <v>587</v>
      </c>
      <c r="Y44" s="345" t="s">
        <v>505</v>
      </c>
      <c r="Z44" s="346">
        <v>3.5000000000000004</v>
      </c>
      <c r="AA44" s="347" t="s">
        <v>143</v>
      </c>
      <c r="AB44" s="348">
        <v>0</v>
      </c>
      <c r="AC44" s="357">
        <v>6</v>
      </c>
      <c r="AD44" s="357" t="str">
        <f t="shared" si="8"/>
        <v/>
      </c>
    </row>
    <row r="45" spans="3:80">
      <c r="C45" s="643" t="s">
        <v>584</v>
      </c>
      <c r="D45" s="644"/>
      <c r="E45" s="645" t="s">
        <v>589</v>
      </c>
      <c r="F45" s="646" t="s">
        <v>584</v>
      </c>
      <c r="G45" s="643" t="s">
        <v>584</v>
      </c>
      <c r="H45" s="636">
        <f>IFERROR($AE$92/$N$13,0)</f>
        <v>1.2666666666666669E-4</v>
      </c>
      <c r="I45" s="630" t="s">
        <v>225</v>
      </c>
      <c r="J45" s="631">
        <f>AC92*VLOOKUP(AB92&amp;H3,'Financials Parameters'!D29:E53,2,FALSE)</f>
        <v>0.19939999999999999</v>
      </c>
      <c r="K45" s="632">
        <f>IF(C45="YES",+H45*J45,0)</f>
        <v>0</v>
      </c>
      <c r="L45" s="633">
        <f>K45*VLOOKUP($H$3&amp;$E$4,'Financials Parameters'!D29:E53,2,FALSE)</f>
        <v>0</v>
      </c>
      <c r="M45" s="637"/>
      <c r="N45" s="648"/>
      <c r="O45" s="648"/>
      <c r="P45" s="2141"/>
      <c r="Q45" s="649"/>
      <c r="R45" s="650"/>
      <c r="S45" s="651"/>
      <c r="T45" s="652"/>
      <c r="U45" s="624"/>
      <c r="W45" s="341" t="str">
        <f t="shared" si="7"/>
        <v xml:space="preserve">Poitiers-North America </v>
      </c>
      <c r="X45" s="327" t="s">
        <v>587</v>
      </c>
      <c r="Y45" s="326" t="s">
        <v>510</v>
      </c>
      <c r="Z45" s="325">
        <v>10</v>
      </c>
      <c r="AA45" s="326" t="s">
        <v>143</v>
      </c>
      <c r="AB45" s="342">
        <v>0</v>
      </c>
      <c r="AC45" s="356">
        <v>12</v>
      </c>
      <c r="AD45" s="356" t="str">
        <f t="shared" si="8"/>
        <v>Oversea</v>
      </c>
      <c r="AH45" s="669"/>
    </row>
    <row r="46" spans="3:80">
      <c r="C46" s="643" t="s">
        <v>584</v>
      </c>
      <c r="D46" s="644"/>
      <c r="E46" s="645" t="s">
        <v>590</v>
      </c>
      <c r="F46" s="646" t="str">
        <f>IF(L8="Yes","Yes","No")</f>
        <v>No</v>
      </c>
      <c r="G46" s="643" t="s">
        <v>584</v>
      </c>
      <c r="H46" s="647">
        <f>IF(C46="YES",1/N13,0)</f>
        <v>0</v>
      </c>
      <c r="I46" s="630">
        <v>1</v>
      </c>
      <c r="J46" s="653"/>
      <c r="K46" s="632">
        <f>+H46*J46</f>
        <v>0</v>
      </c>
      <c r="L46" s="633">
        <f>K46*VLOOKUP($H$3&amp;$E$4,'Financials Parameters'!D29:E53,2,FALSE)</f>
        <v>0</v>
      </c>
      <c r="M46" s="637">
        <v>0</v>
      </c>
      <c r="N46" s="654">
        <f>IF(C46="YES",IF(F46="Yes",N43,0),0)</f>
        <v>0</v>
      </c>
      <c r="O46" s="654"/>
      <c r="P46" s="2140">
        <f>IF(O46="",N46*VLOOKUP(AF25,W84:AD92,2,FALSE),O46*N46)/1000</f>
        <v>0</v>
      </c>
      <c r="Q46" s="639" t="s">
        <v>149</v>
      </c>
      <c r="R46" s="640">
        <v>0</v>
      </c>
      <c r="S46" s="641">
        <f>IFERROR(+(M46+P46)*(1-R46)*VLOOKUP($H$3&amp;$E$4,'Financials Parameters'!D29:E53,2,FALSE),0)</f>
        <v>0</v>
      </c>
      <c r="T46" s="642"/>
      <c r="U46" s="624">
        <f>IF(C46="Yes",IF(F46="YES",1.5,0),0)</f>
        <v>0</v>
      </c>
      <c r="W46" s="343" t="str">
        <f t="shared" ref="W46:W51" si="38">CONCATENATE(X46,"-",Y46)</f>
        <v>Poitiers-China + South pacific</v>
      </c>
      <c r="X46" s="349" t="s">
        <v>587</v>
      </c>
      <c r="Y46" s="349" t="s">
        <v>25</v>
      </c>
      <c r="Z46" s="346">
        <v>15</v>
      </c>
      <c r="AA46" s="347" t="s">
        <v>143</v>
      </c>
      <c r="AB46" s="348">
        <v>0</v>
      </c>
      <c r="AC46" s="357">
        <v>12</v>
      </c>
      <c r="AD46" s="357" t="str">
        <f t="shared" ref="AD46:AD51" si="39">IF(AC46&gt;8,"Oversea","")</f>
        <v>Oversea</v>
      </c>
      <c r="AH46" s="669"/>
    </row>
    <row r="47" spans="3:80" ht="15" thickBot="1">
      <c r="C47" s="2068" t="s">
        <v>584</v>
      </c>
      <c r="D47" s="2069"/>
      <c r="E47" s="2070" t="s">
        <v>591</v>
      </c>
      <c r="F47" s="2071" t="str">
        <f>IF(L8="Yes","Yes","No")</f>
        <v>No</v>
      </c>
      <c r="G47" s="2068" t="s">
        <v>584</v>
      </c>
      <c r="H47" s="2072">
        <f>IF(C47="YES",1/VLOOKUP(1,W62:AV78,26,FALSE),0)</f>
        <v>0</v>
      </c>
      <c r="I47" s="2073">
        <v>1</v>
      </c>
      <c r="J47" s="2074"/>
      <c r="K47" s="2075">
        <f t="shared" ref="K47" si="40">+H47*J47</f>
        <v>0</v>
      </c>
      <c r="L47" s="656">
        <f>K47*VLOOKUP($H$3&amp;$E$4,'Financials Parameters'!D$29:E$53,2,FALSE)</f>
        <v>0</v>
      </c>
      <c r="M47" s="2076">
        <v>0</v>
      </c>
      <c r="N47" s="2077">
        <f>IF(C47="YES",IF(F47="Yes",N42,0),0)</f>
        <v>0</v>
      </c>
      <c r="O47" s="2077"/>
      <c r="P47" s="2136" t="e">
        <f>IF(O47="",N47*VLOOKUP(1,W69:BS78,48,FALSE),O47*N47)/1000</f>
        <v>#N/A</v>
      </c>
      <c r="Q47" s="2078" t="s">
        <v>149</v>
      </c>
      <c r="R47" s="827">
        <v>0</v>
      </c>
      <c r="S47" s="2137">
        <f>IFERROR(+(M47+P47)*(1-R47)*VLOOKUP($H$3&amp;$E$4,'Financials Parameters'!D29:E53,2,FALSE),0)</f>
        <v>0</v>
      </c>
      <c r="T47" s="2079"/>
      <c r="U47" s="624">
        <f>IFERROR(IF(C47="Yes",IF(F47="YES",VLOOKUP(1,$W$62:$BS$78,49,FALSE)*($N$13/$S$14),0),0),0)</f>
        <v>0</v>
      </c>
      <c r="W47" s="341" t="str">
        <f t="shared" si="38"/>
        <v>Tianjin-Europe</v>
      </c>
      <c r="X47" s="327" t="s">
        <v>592</v>
      </c>
      <c r="Y47" s="326" t="s">
        <v>505</v>
      </c>
      <c r="Z47" s="325">
        <v>18</v>
      </c>
      <c r="AA47" s="326" t="s">
        <v>143</v>
      </c>
      <c r="AB47" s="342">
        <v>0</v>
      </c>
      <c r="AC47" s="356">
        <v>12</v>
      </c>
      <c r="AD47" s="356" t="str">
        <f t="shared" si="39"/>
        <v>Oversea</v>
      </c>
      <c r="AH47" s="669"/>
    </row>
    <row r="48" spans="3:80" ht="15" thickBot="1">
      <c r="C48" s="2429" t="s">
        <v>593</v>
      </c>
      <c r="D48" s="2430"/>
      <c r="E48" s="2430"/>
      <c r="F48" s="2430"/>
      <c r="G48" s="2430"/>
      <c r="H48" s="2430"/>
      <c r="I48" s="2430"/>
      <c r="J48" s="2430"/>
      <c r="K48" s="2430"/>
      <c r="L48" s="2430"/>
      <c r="M48" s="2430"/>
      <c r="N48" s="2430"/>
      <c r="O48" s="2430"/>
      <c r="P48" s="2430"/>
      <c r="Q48" s="2430"/>
      <c r="R48" s="2430"/>
      <c r="S48" s="2430"/>
      <c r="T48" s="2430"/>
      <c r="U48" s="2431"/>
      <c r="W48" s="343" t="str">
        <f t="shared" si="38"/>
        <v>Tianjin-India</v>
      </c>
      <c r="X48" s="349" t="s">
        <v>592</v>
      </c>
      <c r="Y48" s="349" t="s">
        <v>498</v>
      </c>
      <c r="Z48" s="346">
        <v>10</v>
      </c>
      <c r="AA48" s="347" t="s">
        <v>143</v>
      </c>
      <c r="AB48" s="348">
        <v>0.1</v>
      </c>
      <c r="AC48" s="357">
        <v>10</v>
      </c>
      <c r="AD48" s="357" t="str">
        <f t="shared" si="39"/>
        <v>Oversea</v>
      </c>
      <c r="AH48" s="669"/>
    </row>
    <row r="49" spans="3:71">
      <c r="C49" s="2105"/>
      <c r="D49" s="2096"/>
      <c r="E49" s="2097"/>
      <c r="F49" s="2096" t="s">
        <v>584</v>
      </c>
      <c r="G49" s="2090" t="s">
        <v>584</v>
      </c>
      <c r="H49" s="2091"/>
      <c r="I49" s="2087"/>
      <c r="J49" s="2102"/>
      <c r="K49" s="615">
        <f t="shared" ref="K49" si="41">IF(F49="No",+H49*J49,0)</f>
        <v>0</v>
      </c>
      <c r="L49" s="2109">
        <f>K49*VLOOKUP($H$3&amp;$E$4,'Financials Parameters'!D$29:E$53,2,FALSE)</f>
        <v>0</v>
      </c>
      <c r="M49" s="2084"/>
      <c r="N49" s="2147">
        <f t="shared" ref="N49:N54" si="42">IF(F49="Yes",$L$6*$L$4*$Q$37*(1+$N$37)*1000/H49,0)</f>
        <v>0</v>
      </c>
      <c r="O49" s="2112"/>
      <c r="P49" s="2142">
        <f>N49*J49/1000</f>
        <v>0</v>
      </c>
      <c r="Q49" s="2148" t="s">
        <v>149</v>
      </c>
      <c r="R49" s="2149">
        <v>0</v>
      </c>
      <c r="S49" s="2143">
        <f>+(M49+P49)*(1-R49)*VLOOKUP($H$3&amp;$E$4,'Financials Parameters'!D$29:E$53,2,FALSE)</f>
        <v>0</v>
      </c>
      <c r="T49" s="2161"/>
      <c r="U49" s="2162"/>
      <c r="W49" s="341" t="str">
        <f t="shared" si="38"/>
        <v>Tianjin-China + South pacific</v>
      </c>
      <c r="X49" s="327" t="s">
        <v>592</v>
      </c>
      <c r="Y49" s="326" t="s">
        <v>25</v>
      </c>
      <c r="Z49" s="325">
        <v>3</v>
      </c>
      <c r="AA49" s="326" t="s">
        <v>143</v>
      </c>
      <c r="AB49" s="342">
        <v>0</v>
      </c>
      <c r="AC49" s="356">
        <v>6</v>
      </c>
      <c r="AD49" s="356" t="str">
        <f t="shared" si="39"/>
        <v/>
      </c>
      <c r="AH49" s="669"/>
      <c r="AL49" s="219">
        <f>E50</f>
        <v>0</v>
      </c>
      <c r="BL49" s="1650"/>
    </row>
    <row r="50" spans="3:71">
      <c r="C50" s="2106"/>
      <c r="D50" s="2098"/>
      <c r="E50" s="2099"/>
      <c r="F50" s="2098" t="s">
        <v>584</v>
      </c>
      <c r="G50" s="2092" t="s">
        <v>584</v>
      </c>
      <c r="H50" s="2093"/>
      <c r="I50" s="2088"/>
      <c r="J50" s="2103"/>
      <c r="K50" s="632">
        <f>IF(F50="No",+H50*J50,0)</f>
        <v>0</v>
      </c>
      <c r="L50" s="2110">
        <f>K50*VLOOKUP($H$3&amp;$E$4,'Financials Parameters'!D$29:E$53,2,FALSE)</f>
        <v>0</v>
      </c>
      <c r="M50" s="2085"/>
      <c r="N50" s="654">
        <f t="shared" si="42"/>
        <v>0</v>
      </c>
      <c r="O50" s="2113"/>
      <c r="P50" s="2140">
        <f t="shared" ref="P50" si="43">N50*J50/1000</f>
        <v>0</v>
      </c>
      <c r="Q50" s="2150" t="s">
        <v>149</v>
      </c>
      <c r="R50" s="2151">
        <v>0</v>
      </c>
      <c r="S50" s="2144">
        <f>+(M50+P50)*(1-R50)*VLOOKUP($H$3&amp;$E$4,'Financials Parameters'!D$29:E$53,2,FALSE)</f>
        <v>0</v>
      </c>
      <c r="T50" s="2159"/>
      <c r="U50" s="2163"/>
      <c r="W50" s="343" t="str">
        <f t="shared" si="38"/>
        <v xml:space="preserve">Tianjin-North America </v>
      </c>
      <c r="X50" s="349" t="s">
        <v>592</v>
      </c>
      <c r="Y50" s="349" t="s">
        <v>510</v>
      </c>
      <c r="Z50" s="346">
        <v>15</v>
      </c>
      <c r="AA50" s="347" t="s">
        <v>143</v>
      </c>
      <c r="AB50" s="348">
        <v>0</v>
      </c>
      <c r="AC50" s="357">
        <v>12</v>
      </c>
      <c r="AD50" s="357" t="str">
        <f t="shared" si="39"/>
        <v>Oversea</v>
      </c>
      <c r="AL50" s="219">
        <f>E53</f>
        <v>0</v>
      </c>
      <c r="BL50" s="1650"/>
    </row>
    <row r="51" spans="3:71">
      <c r="C51" s="2106"/>
      <c r="D51" s="2098"/>
      <c r="E51" s="2099"/>
      <c r="F51" s="2098" t="s">
        <v>584</v>
      </c>
      <c r="G51" s="2092" t="s">
        <v>584</v>
      </c>
      <c r="H51" s="2093"/>
      <c r="I51" s="2088"/>
      <c r="J51" s="2103"/>
      <c r="K51" s="632">
        <f t="shared" ref="K51:K52" si="44">IF(F51="No",+H51*J51,0)</f>
        <v>0</v>
      </c>
      <c r="L51" s="2110">
        <f>K51*VLOOKUP($H$3&amp;$E$4,'Financials Parameters'!D$29:E$53,2,FALSE)</f>
        <v>0</v>
      </c>
      <c r="M51" s="2085"/>
      <c r="N51" s="654">
        <f t="shared" si="42"/>
        <v>0</v>
      </c>
      <c r="O51" s="2113"/>
      <c r="P51" s="2140">
        <f>N51*J51/1000</f>
        <v>0</v>
      </c>
      <c r="Q51" s="2150" t="s">
        <v>149</v>
      </c>
      <c r="R51" s="2151">
        <v>0</v>
      </c>
      <c r="S51" s="2144">
        <f>+(M51+P51)*(1-R51)*VLOOKUP($H$3&amp;$E$4,'Financials Parameters'!D$29:E$53,2,FALSE)</f>
        <v>0</v>
      </c>
      <c r="T51" s="2159"/>
      <c r="U51" s="2163"/>
      <c r="W51" s="341" t="str">
        <f t="shared" si="38"/>
        <v>Tianjin-Rest of Asia</v>
      </c>
      <c r="X51" s="327" t="s">
        <v>592</v>
      </c>
      <c r="Y51" s="326" t="s">
        <v>502</v>
      </c>
      <c r="Z51" s="325">
        <v>3</v>
      </c>
      <c r="AA51" s="326" t="s">
        <v>143</v>
      </c>
      <c r="AB51" s="342">
        <v>0</v>
      </c>
      <c r="AC51" s="356">
        <v>10</v>
      </c>
      <c r="AD51" s="356" t="str">
        <f t="shared" si="39"/>
        <v>Oversea</v>
      </c>
      <c r="AL51" s="219">
        <f>E54</f>
        <v>0</v>
      </c>
      <c r="BL51" s="1650"/>
    </row>
    <row r="52" spans="3:71">
      <c r="C52" s="2106"/>
      <c r="D52" s="2098"/>
      <c r="E52" s="2099"/>
      <c r="F52" s="2098" t="s">
        <v>584</v>
      </c>
      <c r="G52" s="2092" t="s">
        <v>584</v>
      </c>
      <c r="H52" s="2093"/>
      <c r="I52" s="2088"/>
      <c r="J52" s="2103"/>
      <c r="K52" s="632">
        <f t="shared" si="44"/>
        <v>0</v>
      </c>
      <c r="L52" s="2110">
        <f>K52*VLOOKUP($H$3&amp;$E$4,'Financials Parameters'!D$29:E$53,2,FALSE)</f>
        <v>0</v>
      </c>
      <c r="M52" s="2085"/>
      <c r="N52" s="654">
        <f t="shared" si="42"/>
        <v>0</v>
      </c>
      <c r="O52" s="2113"/>
      <c r="P52" s="2140">
        <f>N52*J52/1000</f>
        <v>0</v>
      </c>
      <c r="Q52" s="2150" t="s">
        <v>149</v>
      </c>
      <c r="R52" s="2151">
        <v>0</v>
      </c>
      <c r="S52" s="2144">
        <f>+(M52+P52)*(1-R52)*VLOOKUP($H$3&amp;$E$4,'Financials Parameters'!D$29:E$53,2,FALSE)</f>
        <v>0</v>
      </c>
      <c r="T52" s="2159"/>
      <c r="U52" s="2163"/>
      <c r="BL52" s="1206"/>
    </row>
    <row r="53" spans="3:71">
      <c r="C53" s="2106"/>
      <c r="D53" s="2098"/>
      <c r="E53" s="2099"/>
      <c r="F53" s="2098" t="s">
        <v>584</v>
      </c>
      <c r="G53" s="2092" t="s">
        <v>584</v>
      </c>
      <c r="H53" s="2093"/>
      <c r="I53" s="2088"/>
      <c r="J53" s="2103"/>
      <c r="K53" s="632">
        <f t="shared" ref="K53:K54" si="45">IF(F53="No",+H53*J53,0)</f>
        <v>0</v>
      </c>
      <c r="L53" s="2110">
        <f>K53*VLOOKUP($H$3&amp;$E$4,'Financials Parameters'!D$29:E$53,2,FALSE)</f>
        <v>0</v>
      </c>
      <c r="M53" s="2085"/>
      <c r="N53" s="654">
        <f t="shared" si="42"/>
        <v>0</v>
      </c>
      <c r="O53" s="2113"/>
      <c r="P53" s="2140">
        <f>N53*J53/1000</f>
        <v>0</v>
      </c>
      <c r="Q53" s="2150" t="s">
        <v>149</v>
      </c>
      <c r="R53" s="2151">
        <v>0</v>
      </c>
      <c r="S53" s="2144">
        <f>+(M53+P53)*(1-R53)*VLOOKUP($H$3&amp;$E$4,'Financials Parameters'!D$29:E$53,2,FALSE)</f>
        <v>0</v>
      </c>
      <c r="T53" s="2159"/>
      <c r="U53" s="2163"/>
    </row>
    <row r="54" spans="3:71" ht="15" thickBot="1">
      <c r="C54" s="2107"/>
      <c r="D54" s="2100"/>
      <c r="E54" s="2101"/>
      <c r="F54" s="2100" t="s">
        <v>584</v>
      </c>
      <c r="G54" s="2094" t="s">
        <v>584</v>
      </c>
      <c r="H54" s="2095"/>
      <c r="I54" s="2089"/>
      <c r="J54" s="2104"/>
      <c r="K54" s="655">
        <f t="shared" si="45"/>
        <v>0</v>
      </c>
      <c r="L54" s="2111">
        <f>K54*VLOOKUP($H$3&amp;$E$4,'Financials Parameters'!D$29:E$53,2,FALSE)</f>
        <v>0</v>
      </c>
      <c r="M54" s="2086"/>
      <c r="N54" s="657">
        <f t="shared" si="42"/>
        <v>0</v>
      </c>
      <c r="O54" s="2114"/>
      <c r="P54" s="2145">
        <f>N54*J54/1000</f>
        <v>0</v>
      </c>
      <c r="Q54" s="2152" t="s">
        <v>149</v>
      </c>
      <c r="R54" s="2153">
        <v>0</v>
      </c>
      <c r="S54" s="2146">
        <f>+(M54+P54)*(1-R54)*VLOOKUP($H$3&amp;$E$4,'Financials Parameters'!D$29:E$53,2,FALSE)</f>
        <v>0</v>
      </c>
      <c r="T54" s="2160"/>
      <c r="U54" s="2164"/>
    </row>
    <row r="55" spans="3:71" ht="15" thickBot="1">
      <c r="K55" s="2080">
        <f>+SUM(K39:K54)</f>
        <v>3.0197285897435905E-3</v>
      </c>
      <c r="L55" s="2081">
        <f>+SUM(L39:L54)</f>
        <v>2.3490166726756419E-2</v>
      </c>
      <c r="M55" s="658">
        <f>SUM(M39:M54)</f>
        <v>0</v>
      </c>
      <c r="P55" s="659" t="e">
        <f>SUM(P39:P54)</f>
        <v>#N/A</v>
      </c>
      <c r="R55" s="2082">
        <f>(M40+P40)*R40+P42*R42+P43*R43+(M44+P44)*R44</f>
        <v>0</v>
      </c>
      <c r="S55" s="2083">
        <f>+SUM(S39:S50)</f>
        <v>0</v>
      </c>
      <c r="T55" s="660"/>
      <c r="U55" s="661">
        <f>SUM(U39:U54)</f>
        <v>0</v>
      </c>
      <c r="AK55" s="669"/>
      <c r="AN55" s="674"/>
      <c r="AR55" s="675" t="s">
        <v>594</v>
      </c>
      <c r="AS55" s="675"/>
    </row>
    <row r="56" spans="3:71" ht="15" thickBot="1">
      <c r="K56" s="17"/>
      <c r="L56" s="662" t="str">
        <f>E4&amp;"/pc"</f>
        <v>RMB/pc</v>
      </c>
      <c r="R56" s="828" t="str">
        <f>"K "&amp;E4</f>
        <v>K RMB</v>
      </c>
      <c r="S56" s="826" t="str">
        <f>"K "&amp;E4</f>
        <v>K RMB</v>
      </c>
      <c r="AK56" s="669"/>
      <c r="AN56" s="674"/>
      <c r="AR56" s="675"/>
      <c r="AS56" s="675"/>
    </row>
    <row r="57" spans="3:71">
      <c r="K57" s="17"/>
      <c r="R57" s="2154" t="s">
        <v>595</v>
      </c>
      <c r="S57" s="2156" t="s">
        <v>596</v>
      </c>
      <c r="AR57" s="676">
        <v>0.5</v>
      </c>
      <c r="AS57" s="677">
        <v>1.5</v>
      </c>
    </row>
    <row r="58" spans="3:71" ht="18">
      <c r="R58" s="2155"/>
      <c r="S58" s="2157"/>
      <c r="W58" s="678"/>
      <c r="AB58" s="371" t="s">
        <v>597</v>
      </c>
      <c r="AC58" s="372"/>
      <c r="AD58" s="372"/>
      <c r="AE58" s="372"/>
      <c r="AF58" s="372"/>
      <c r="AG58" s="372"/>
      <c r="AH58" s="372"/>
      <c r="AI58" s="372"/>
      <c r="AJ58" s="372"/>
      <c r="AK58" s="372"/>
      <c r="AL58" s="372"/>
      <c r="AM58" s="373"/>
      <c r="AN58" s="679" t="s">
        <v>598</v>
      </c>
      <c r="AO58" s="680"/>
      <c r="AP58" s="681"/>
      <c r="AQ58" s="680"/>
      <c r="AR58" s="675" t="s">
        <v>599</v>
      </c>
      <c r="AS58" s="675"/>
      <c r="AT58" s="675"/>
      <c r="AV58" s="219"/>
    </row>
    <row r="59" spans="3:71" ht="43.8" thickBot="1">
      <c r="AL59" s="669"/>
      <c r="AN59" s="682" t="s">
        <v>600</v>
      </c>
      <c r="AO59" s="682" t="s">
        <v>601</v>
      </c>
      <c r="AP59" s="682"/>
      <c r="AQ59" s="682"/>
      <c r="AR59" s="682" t="s">
        <v>602</v>
      </c>
      <c r="AS59" s="682" t="s">
        <v>603</v>
      </c>
      <c r="AT59" s="682" t="s">
        <v>601</v>
      </c>
    </row>
    <row r="60" spans="3:71" ht="20.7" customHeight="1" thickBot="1">
      <c r="W60" s="683" t="s">
        <v>604</v>
      </c>
      <c r="X60" s="684">
        <f>IF(L8="NO",MIN(X62:X68),MIN(X69:X78))</f>
        <v>2.3E-3</v>
      </c>
      <c r="Y60">
        <v>3</v>
      </c>
      <c r="Z60">
        <f>Y60+1</f>
        <v>4</v>
      </c>
      <c r="AA60">
        <f t="shared" ref="AA60:AM60" si="46">Z60+1</f>
        <v>5</v>
      </c>
      <c r="AB60">
        <f t="shared" si="46"/>
        <v>6</v>
      </c>
      <c r="AC60">
        <f t="shared" si="46"/>
        <v>7</v>
      </c>
      <c r="AD60">
        <f t="shared" si="46"/>
        <v>8</v>
      </c>
      <c r="AE60">
        <f t="shared" si="46"/>
        <v>9</v>
      </c>
      <c r="AF60">
        <f t="shared" si="46"/>
        <v>10</v>
      </c>
      <c r="AG60">
        <f t="shared" si="46"/>
        <v>11</v>
      </c>
      <c r="AH60">
        <f t="shared" si="46"/>
        <v>12</v>
      </c>
      <c r="AI60">
        <f t="shared" si="46"/>
        <v>13</v>
      </c>
      <c r="AJ60">
        <f t="shared" si="46"/>
        <v>14</v>
      </c>
      <c r="AK60">
        <f t="shared" si="46"/>
        <v>15</v>
      </c>
      <c r="AL60">
        <f t="shared" si="46"/>
        <v>16</v>
      </c>
      <c r="AM60">
        <f t="shared" si="46"/>
        <v>17</v>
      </c>
      <c r="AN60" s="685">
        <v>2</v>
      </c>
      <c r="AO60" s="686">
        <v>2000</v>
      </c>
      <c r="AP60" s="685" t="s">
        <v>161</v>
      </c>
      <c r="AQ60" s="685" t="s">
        <v>450</v>
      </c>
      <c r="AR60" s="685">
        <v>3</v>
      </c>
      <c r="AS60" s="687">
        <v>6.25</v>
      </c>
      <c r="AT60" s="686">
        <f>1/0.12*3000</f>
        <v>25000</v>
      </c>
      <c r="AU60" s="688" t="s">
        <v>605</v>
      </c>
      <c r="AV60" s="689"/>
      <c r="AW60" s="689"/>
      <c r="AX60" s="689"/>
      <c r="AY60" s="690" t="s">
        <v>606</v>
      </c>
      <c r="AZ60" s="691"/>
      <c r="BA60" s="691"/>
      <c r="BB60" s="691"/>
      <c r="BC60" s="692"/>
      <c r="BD60" s="690" t="s">
        <v>532</v>
      </c>
      <c r="BE60" s="691"/>
      <c r="BF60" s="691"/>
      <c r="BG60" s="691"/>
      <c r="BH60" s="691"/>
      <c r="BI60" s="691"/>
      <c r="BJ60" s="692"/>
      <c r="BK60" s="690" t="s">
        <v>533</v>
      </c>
      <c r="BL60" s="693"/>
      <c r="BM60" s="693"/>
      <c r="BN60" s="693"/>
      <c r="BO60" s="693"/>
      <c r="BP60" s="693"/>
      <c r="BQ60" s="693"/>
    </row>
    <row r="61" spans="3:71" ht="43.8" thickBot="1">
      <c r="W61" s="698" t="s">
        <v>536</v>
      </c>
      <c r="X61" s="699" t="s">
        <v>607</v>
      </c>
      <c r="Y61" s="682" t="s">
        <v>608</v>
      </c>
      <c r="Z61" s="700" t="s">
        <v>609</v>
      </c>
      <c r="AA61" s="700" t="s">
        <v>610</v>
      </c>
      <c r="AB61" s="494"/>
      <c r="AC61" s="681" t="s">
        <v>266</v>
      </c>
      <c r="AD61" s="701" t="s">
        <v>611</v>
      </c>
      <c r="AE61" s="682" t="s">
        <v>612</v>
      </c>
      <c r="AF61" s="682" t="s">
        <v>613</v>
      </c>
      <c r="AG61" s="682" t="s">
        <v>614</v>
      </c>
      <c r="AH61" s="682" t="s">
        <v>615</v>
      </c>
      <c r="AI61" s="682" t="s">
        <v>616</v>
      </c>
      <c r="AJ61" s="682" t="s">
        <v>617</v>
      </c>
      <c r="AK61" s="682" t="s">
        <v>618</v>
      </c>
      <c r="AL61" s="702" t="s">
        <v>619</v>
      </c>
      <c r="AM61" s="682" t="s">
        <v>620</v>
      </c>
      <c r="AN61" s="682" t="s">
        <v>621</v>
      </c>
      <c r="AO61" s="682" t="s">
        <v>622</v>
      </c>
      <c r="AP61" s="682" t="s">
        <v>623</v>
      </c>
      <c r="AQ61" s="699" t="s">
        <v>624</v>
      </c>
      <c r="AR61" s="682" t="s">
        <v>625</v>
      </c>
      <c r="AS61" s="682" t="s">
        <v>622</v>
      </c>
      <c r="AT61" s="682" t="s">
        <v>626</v>
      </c>
      <c r="AU61" s="703" t="s">
        <v>627</v>
      </c>
      <c r="AV61" s="703" t="s">
        <v>628</v>
      </c>
      <c r="AW61" s="703" t="s">
        <v>629</v>
      </c>
      <c r="AX61" s="703" t="s">
        <v>630</v>
      </c>
      <c r="AY61" s="704" t="s">
        <v>631</v>
      </c>
      <c r="AZ61" s="704" t="s">
        <v>632</v>
      </c>
      <c r="BA61" s="704" t="s">
        <v>633</v>
      </c>
      <c r="BB61" s="705" t="s">
        <v>634</v>
      </c>
      <c r="BC61" s="705" t="s">
        <v>296</v>
      </c>
      <c r="BD61" s="704" t="s">
        <v>635</v>
      </c>
      <c r="BE61" s="704" t="s">
        <v>636</v>
      </c>
      <c r="BF61" s="704" t="s">
        <v>632</v>
      </c>
      <c r="BG61" s="704" t="s">
        <v>637</v>
      </c>
      <c r="BH61" s="704" t="s">
        <v>638</v>
      </c>
      <c r="BI61" s="705" t="s">
        <v>634</v>
      </c>
      <c r="BJ61" s="705" t="s">
        <v>296</v>
      </c>
      <c r="BK61" s="704" t="s">
        <v>631</v>
      </c>
      <c r="BL61" s="704" t="s">
        <v>639</v>
      </c>
      <c r="BM61" s="704" t="s">
        <v>632</v>
      </c>
      <c r="BN61" s="704" t="s">
        <v>637</v>
      </c>
      <c r="BO61" s="704" t="s">
        <v>633</v>
      </c>
      <c r="BP61" s="705" t="s">
        <v>634</v>
      </c>
      <c r="BQ61" s="705" t="s">
        <v>296</v>
      </c>
      <c r="BR61" s="705" t="s">
        <v>640</v>
      </c>
      <c r="BS61" s="705" t="s">
        <v>641</v>
      </c>
    </row>
    <row r="62" spans="3:71" ht="18.600000000000001" thickBot="1">
      <c r="E62" s="663" t="s">
        <v>642</v>
      </c>
      <c r="F62" s="664"/>
      <c r="G62" s="664"/>
      <c r="H62" s="664"/>
      <c r="I62" s="664"/>
      <c r="J62" s="664"/>
      <c r="K62" s="664"/>
      <c r="L62" s="664"/>
      <c r="M62" s="664"/>
      <c r="N62" s="664"/>
      <c r="O62" s="664"/>
      <c r="P62" s="664"/>
      <c r="Q62" s="1750" t="str">
        <f>IFERROR(VLOOKUP(I65,'Financials Parameters'!I5:K15,3,FALSE),"-")</f>
        <v>China + South pacific</v>
      </c>
      <c r="R62" s="1284"/>
      <c r="W62" s="708" t="str">
        <f>IF(X62=$X$60,1,"")</f>
        <v/>
      </c>
      <c r="X62" s="743" t="str">
        <f t="shared" ref="X62:X78" si="47">IFERROR(IF(AX62=1,IF($L$11&lt;&gt;$AH$27,($AD62+IF($L$11=$AF$27,$AN62,$AR62*$AT62))/$AV62,$AD62/$AV62),""),10000)</f>
        <v/>
      </c>
      <c r="Y62" s="1431">
        <f t="shared" ref="Y62:Y73" si="48">IFERROR(IF($L$11=$AF$27,AN62/AW62,IF($L$11=$AG$27,AR62/AW62,"")),1000)</f>
        <v>0.04</v>
      </c>
      <c r="Z62" s="709">
        <f t="shared" ref="Z62:Z78" si="49">MID(AE62,1,3)*MID(AE62,7,3)*IF($L$11=$AG$27,$AR$57,$AS$57)/10000000</f>
        <v>3.5999999999999997E-2</v>
      </c>
      <c r="AA62" s="710">
        <v>0</v>
      </c>
      <c r="AB62" s="711" t="s">
        <v>643</v>
      </c>
      <c r="AC62" s="712" t="s">
        <v>450</v>
      </c>
      <c r="AD62" s="713">
        <v>0.57999999999999996</v>
      </c>
      <c r="AE62" s="713" t="str">
        <f>AF26</f>
        <v>600 X 400</v>
      </c>
      <c r="AF62" s="714">
        <v>250</v>
      </c>
      <c r="AG62" s="715" t="s">
        <v>644</v>
      </c>
      <c r="AH62" s="714">
        <f>2*(ROUNDDOWN(1000/$AF62,0))</f>
        <v>8</v>
      </c>
      <c r="AI62" s="714">
        <f>2*(ROUNDDOWN(1400/$AF62,0))</f>
        <v>10</v>
      </c>
      <c r="AJ62" s="714">
        <f>AH62*2</f>
        <v>16</v>
      </c>
      <c r="AK62" s="714">
        <f>'Transp-Packaging-AMS'!$AI62*2</f>
        <v>20</v>
      </c>
      <c r="AL62" s="716">
        <v>12</v>
      </c>
      <c r="AM62" s="713" t="s">
        <v>645</v>
      </c>
      <c r="AN62" s="713">
        <f t="shared" ref="AN62:AN68" si="50">AP62*AN$60</f>
        <v>9.6</v>
      </c>
      <c r="AO62" s="717">
        <f>(AP62+AQ62)*AO$60</f>
        <v>15072</v>
      </c>
      <c r="AP62" s="718">
        <f t="shared" ref="AP62:AP68" si="51">((MID(AE62,7,3)*MID(AE62,1,3)*(BB62*$L$19+BI62*$M$19+BP62*$N$19)/1000000))</f>
        <v>4.8</v>
      </c>
      <c r="AQ62" s="718">
        <f t="shared" ref="AQ62:AQ68" si="52">((MID(AE62,1,3)*($L$19*$L$22+$M$19*$M$22+$N$19*$N$22)*(AY62*$L$19+BD62*$M$19+BK62*$N$19)+MID(AE62,7,3)*($L$19*$L$22+$M$19*$M$22+$N$19*$N$22)*(AZ62*$L$19+BF62*$M$19+BM62*$N$19))*(BB62*$L$19+BI62*$M$19+BP62*$N$19))/1000000</f>
        <v>2.7360000000000002</v>
      </c>
      <c r="AR62" s="713">
        <f t="shared" ref="AR62:AR68" si="53">IF($L$11=$AF$27,0,IF($L$11=$AG$27,MID(AE62,7,3)*MID(AE62,1,3)*AR$60/1000000,AS$60*MID(AE62,7,3)*MID(AE62,1,3)/1000000))</f>
        <v>0</v>
      </c>
      <c r="AS62" s="717">
        <f t="shared" ref="AS62:AS78" si="54">(MID(AE62,7,3)*MID(AE62,1,3)/1000000)*AT$60</f>
        <v>6000</v>
      </c>
      <c r="AT62" s="719">
        <f t="shared" ref="AT62:AT78" si="55">(BB62*$L$19+BI62*$M$19+BP62*$N$19)</f>
        <v>20</v>
      </c>
      <c r="AU62" s="720">
        <f t="shared" ref="AU62:AU68" si="56">BJ62*$N$5*$M$19+BC62*$N$5*$L$19+BQ62*$N$5*$N$19+0.5</f>
        <v>72.5</v>
      </c>
      <c r="AV62" s="721">
        <f t="shared" ref="AV62:AV78" si="57">BJ62*$M$19+BC62*$L$19+BQ62*$N$19</f>
        <v>4800</v>
      </c>
      <c r="AW62" s="721">
        <f t="shared" ref="AW62:AW78" si="58">BA62*$L$19+BH62*$M$19+BO62*$N$19</f>
        <v>240</v>
      </c>
      <c r="AX62" s="721">
        <f>IF(AU62&lt;AL62,1,0)</f>
        <v>0</v>
      </c>
      <c r="AY62" s="722">
        <f t="shared" ref="AY62:AY68" si="59">INT((MID(AE62,1,3)-2*IF($L$11=$AF$27,$L$27,$L$26))/($L$20+IF($L$11=$AF$27,$L$27,$L$26)))</f>
        <v>12</v>
      </c>
      <c r="AZ62" s="723">
        <f t="shared" ref="AZ62:AZ68" si="60">INT((MID(AE62,7,3)-2*IF($L$11=$AF$27,$L$27,$L$26))/($L$21+IF($L$11=$AF$27,$L$27,$L$26)))</f>
        <v>20</v>
      </c>
      <c r="BA62" s="723">
        <f>AZ62*AY62</f>
        <v>240</v>
      </c>
      <c r="BB62" s="721">
        <f t="shared" ref="BB62:BB68" si="61">INT($AF62/($L$22+$L$27))</f>
        <v>20</v>
      </c>
      <c r="BC62" s="721">
        <f t="shared" ref="BC62:BC78" si="62">$BA62*$BB62</f>
        <v>4800</v>
      </c>
      <c r="BD62" s="722">
        <f t="shared" ref="BD62:BD68" si="63">INT(((MID(AE62,1,3)-2*IF($L$11=$AF$27,$M$27,$M$26))/($M$23+IF($L$11=$AF$27,$M$27,$M$26))))</f>
        <v>198</v>
      </c>
      <c r="BE62" s="722">
        <f t="shared" ref="BE62:BE68" si="64">INT((MID(AE62,1,3)-$M$23/2-2*IF($L$11=$AF$27,$M$27,$M$26))/($M$23+IF($L$11=$AF$27,$M$27,$M$26)))</f>
        <v>198</v>
      </c>
      <c r="BF62" s="723">
        <f t="shared" ref="BF62:BF68" si="65">INT((MID(AE62,7,3)-2*IF($L$11=$AF$27,$M$27,$M$26/COS(PI()/6)))/($M$28+IF($L$11=$AF$27,$M$27,$M$26/COS(PI()/6))))</f>
        <v>131</v>
      </c>
      <c r="BG62" s="724" t="b">
        <f>ISODD('Transp-Packaging-AMS'!$BF62)</f>
        <v>1</v>
      </c>
      <c r="BH62" s="723">
        <f t="shared" ref="BH62:BH78" si="66">IF($L$11=$AF$27,BD62*BF62,IF($BG62=TRUE,($BD62+$BE62)*(($BF62-1)/2)+$BE62,($BD62+$BE62)*($BF62/2)))</f>
        <v>25938</v>
      </c>
      <c r="BI62" s="721">
        <f>INT($AF62/($M$22+$M$27))</f>
        <v>83</v>
      </c>
      <c r="BJ62" s="721">
        <f>$BH62*$BI62</f>
        <v>2152854</v>
      </c>
      <c r="BK62" s="722">
        <f t="shared" ref="BK62:BK68" si="67">INT((MID(AE62,1,3)-2*IF($L$11=$AF$27,$N$27,$N$26))/($N$20-$N$25+IF($L$11=$AF$27,$N$27,$N$26)))</f>
        <v>198</v>
      </c>
      <c r="BL62" s="722">
        <f t="shared" ref="BL62:BL68" si="68">INT((MID(AE62,1,3)-$N$30-2*IF($L$11=$AF$27,$N$27,$N$26))/($N$20-$N$25+IF($L$11=$AF$27,$N$27,$N$26)))</f>
        <v>179</v>
      </c>
      <c r="BM62" s="723">
        <f t="shared" ref="BM62:BM68" si="69">INT((MID(AE62,7,3)-2*IF($L$11=$AF$27,$N$27,$N$26))/($N$28+IF($L$11=$AF$27,$N$27,$N$26)))</f>
        <v>4</v>
      </c>
      <c r="BN62" s="724" t="b">
        <f>ISODD('Transp-Packaging-AMS'!$BM62)</f>
        <v>0</v>
      </c>
      <c r="BO62" s="723">
        <f t="shared" ref="BO62:BO78" si="70">IF($L$11=$AF$27,BK62*BM62,IF($BN62=TRUE,($BK62+$BL62)*(($BM62-1)/2)+$BL62,($BK62+$BL62)*($BM62/2)))</f>
        <v>792</v>
      </c>
      <c r="BP62" s="721">
        <f t="shared" ref="BP62:BP68" si="71">INT($AF62/($N$22+$L$27))</f>
        <v>83</v>
      </c>
      <c r="BQ62" s="721">
        <f>$BO62*$BP62</f>
        <v>65736</v>
      </c>
      <c r="BR62" s="2115"/>
      <c r="BS62" s="721"/>
    </row>
    <row r="63" spans="3:71" ht="15" thickBot="1">
      <c r="E63" s="521"/>
      <c r="F63" s="665"/>
      <c r="G63" s="666" t="s">
        <v>646</v>
      </c>
      <c r="H63" s="665" t="str">
        <f>G4</f>
        <v>China + South pacific</v>
      </c>
      <c r="I63" s="665" t="s">
        <v>488</v>
      </c>
      <c r="J63" s="665" t="str">
        <f>E3</f>
        <v>Kunshan-ASSY</v>
      </c>
      <c r="K63" s="665" t="s">
        <v>231</v>
      </c>
      <c r="L63" s="665"/>
      <c r="M63" s="665"/>
      <c r="N63" s="667">
        <f>IF(G3="DAP",IF($AA$3="%",$Z$3/100*$E$5,$Z$3/$N$13*Y5)+$AB$3*E5,0)</f>
        <v>5.0528719137697783E-2</v>
      </c>
      <c r="O63" s="668" t="str">
        <f>$E$4&amp;"/ pc"</f>
        <v>RMB/ pc</v>
      </c>
      <c r="P63" s="521" t="s">
        <v>647</v>
      </c>
      <c r="Q63" s="805"/>
      <c r="R63" s="534"/>
      <c r="W63" s="725" t="str">
        <f t="shared" ref="W63:W78" si="72">IF(X63=$X$60,1,"")</f>
        <v/>
      </c>
      <c r="X63" s="726" t="str">
        <f t="shared" si="47"/>
        <v/>
      </c>
      <c r="Y63" s="1432">
        <f t="shared" si="48"/>
        <v>3.2000000000000001E-2</v>
      </c>
      <c r="Z63" s="727">
        <f t="shared" si="49"/>
        <v>3.5999999999999997E-2</v>
      </c>
      <c r="AA63" s="728">
        <v>0</v>
      </c>
      <c r="AB63" s="729" t="s">
        <v>648</v>
      </c>
      <c r="AC63" s="730" t="s">
        <v>450</v>
      </c>
      <c r="AD63" s="731">
        <v>0.48</v>
      </c>
      <c r="AE63" s="731" t="str">
        <f>AF26</f>
        <v>600 X 400</v>
      </c>
      <c r="AF63" s="732">
        <v>200</v>
      </c>
      <c r="AG63" s="733" t="s">
        <v>644</v>
      </c>
      <c r="AH63" s="732">
        <v>10</v>
      </c>
      <c r="AI63" s="732">
        <f>2*(ROUNDDOWN(1400/$AF63,0))</f>
        <v>14</v>
      </c>
      <c r="AJ63" s="732">
        <f t="shared" ref="AJ63:AJ68" si="73">AH63*2</f>
        <v>20</v>
      </c>
      <c r="AK63" s="732">
        <f>'Transp-Packaging-AMS'!$AI63*2</f>
        <v>28</v>
      </c>
      <c r="AL63" s="734">
        <f>AL62</f>
        <v>12</v>
      </c>
      <c r="AM63" s="731" t="s">
        <v>645</v>
      </c>
      <c r="AN63" s="731">
        <f t="shared" si="50"/>
        <v>7.68</v>
      </c>
      <c r="AO63" s="735">
        <f t="shared" ref="AO63:AO68" si="74">(AP63+AQ63)*AO$60</f>
        <v>12057.6</v>
      </c>
      <c r="AP63" s="736">
        <f t="shared" si="51"/>
        <v>3.84</v>
      </c>
      <c r="AQ63" s="736">
        <f t="shared" si="52"/>
        <v>2.1888000000000001</v>
      </c>
      <c r="AR63" s="731">
        <f t="shared" si="53"/>
        <v>0</v>
      </c>
      <c r="AS63" s="735">
        <f t="shared" si="54"/>
        <v>6000</v>
      </c>
      <c r="AT63" s="737">
        <f t="shared" si="55"/>
        <v>16</v>
      </c>
      <c r="AU63" s="738">
        <f t="shared" si="56"/>
        <v>58.099999999999994</v>
      </c>
      <c r="AV63" s="739">
        <f t="shared" si="57"/>
        <v>3840</v>
      </c>
      <c r="AW63" s="739">
        <f t="shared" si="58"/>
        <v>240</v>
      </c>
      <c r="AX63" s="739">
        <f t="shared" ref="AX63:AX78" si="75">IF(AU63&lt;AL63,1,0)</f>
        <v>0</v>
      </c>
      <c r="AY63" s="740">
        <f t="shared" si="59"/>
        <v>12</v>
      </c>
      <c r="AZ63" s="741">
        <f t="shared" si="60"/>
        <v>20</v>
      </c>
      <c r="BA63" s="741">
        <f>AZ63*AY63</f>
        <v>240</v>
      </c>
      <c r="BB63" s="739">
        <f t="shared" si="61"/>
        <v>16</v>
      </c>
      <c r="BC63" s="739">
        <f t="shared" si="62"/>
        <v>3840</v>
      </c>
      <c r="BD63" s="740">
        <f t="shared" si="63"/>
        <v>198</v>
      </c>
      <c r="BE63" s="740">
        <f t="shared" si="64"/>
        <v>198</v>
      </c>
      <c r="BF63" s="741">
        <f t="shared" si="65"/>
        <v>131</v>
      </c>
      <c r="BG63" s="742" t="b">
        <f>ISODD('Transp-Packaging-AMS'!$BF63)</f>
        <v>1</v>
      </c>
      <c r="BH63" s="741">
        <f t="shared" si="66"/>
        <v>25938</v>
      </c>
      <c r="BI63" s="739">
        <f>INT('Transp-Packaging-AMS'!$AF63/($M$22+$M$27))</f>
        <v>66</v>
      </c>
      <c r="BJ63" s="739">
        <f>'Transp-Packaging-AMS'!$BH63*'Transp-Packaging-AMS'!$BI63</f>
        <v>1711908</v>
      </c>
      <c r="BK63" s="740">
        <f t="shared" si="67"/>
        <v>198</v>
      </c>
      <c r="BL63" s="740">
        <f t="shared" si="68"/>
        <v>179</v>
      </c>
      <c r="BM63" s="741">
        <f t="shared" si="69"/>
        <v>4</v>
      </c>
      <c r="BN63" s="742" t="b">
        <f>ISODD('Transp-Packaging-AMS'!$BM63)</f>
        <v>0</v>
      </c>
      <c r="BO63" s="741">
        <f t="shared" si="70"/>
        <v>792</v>
      </c>
      <c r="BP63" s="739">
        <f t="shared" si="71"/>
        <v>66</v>
      </c>
      <c r="BQ63" s="739">
        <f t="shared" ref="BQ63:BQ78" si="76">$BO63*$BP63</f>
        <v>52272</v>
      </c>
      <c r="BR63" s="2116"/>
      <c r="BS63" s="739"/>
    </row>
    <row r="64" spans="3:71" ht="15" thickBot="1">
      <c r="E64" s="521"/>
      <c r="F64" s="665"/>
      <c r="G64" s="666" t="s">
        <v>649</v>
      </c>
      <c r="H64" s="665" t="str">
        <f>J63</f>
        <v>Kunshan-ASSY</v>
      </c>
      <c r="I64" s="665" t="s">
        <v>488</v>
      </c>
      <c r="J64" s="665" t="str">
        <f>H63</f>
        <v>China + South pacific</v>
      </c>
      <c r="K64" s="665"/>
      <c r="L64" s="665" t="s">
        <v>650</v>
      </c>
      <c r="M64" s="665"/>
      <c r="N64" s="670">
        <f>N63/L13*U55*2</f>
        <v>0</v>
      </c>
      <c r="O64" s="668" t="str">
        <f>$E$4&amp;"/ pc"</f>
        <v>RMB/ pc</v>
      </c>
      <c r="P64" s="521" t="s">
        <v>651</v>
      </c>
      <c r="Q64" s="805"/>
      <c r="R64" s="534"/>
      <c r="W64" s="708" t="str">
        <f t="shared" si="72"/>
        <v/>
      </c>
      <c r="X64" s="743" t="str">
        <f t="shared" si="47"/>
        <v/>
      </c>
      <c r="Y64" s="1431">
        <f t="shared" si="48"/>
        <v>0.05</v>
      </c>
      <c r="Z64" s="709">
        <f t="shared" si="49"/>
        <v>1.7999999999999999E-2</v>
      </c>
      <c r="AA64" s="710">
        <v>0</v>
      </c>
      <c r="AB64" s="711" t="s">
        <v>652</v>
      </c>
      <c r="AC64" s="712" t="s">
        <v>450</v>
      </c>
      <c r="AD64" s="713">
        <v>0.44</v>
      </c>
      <c r="AE64" s="713" t="str">
        <f>AG26</f>
        <v>400 X 300</v>
      </c>
      <c r="AF64" s="714">
        <v>300</v>
      </c>
      <c r="AG64" s="715" t="s">
        <v>644</v>
      </c>
      <c r="AH64" s="714">
        <v>12</v>
      </c>
      <c r="AI64" s="714">
        <f>4*(ROUNDDOWN(1400/$AF64,0))</f>
        <v>16</v>
      </c>
      <c r="AJ64" s="714">
        <f t="shared" si="73"/>
        <v>24</v>
      </c>
      <c r="AK64" s="714">
        <f>'Transp-Packaging-AMS'!$AI64*2</f>
        <v>32</v>
      </c>
      <c r="AL64" s="744">
        <f t="shared" ref="AL64:AL78" si="77">AL63</f>
        <v>12</v>
      </c>
      <c r="AM64" s="713" t="s">
        <v>645</v>
      </c>
      <c r="AN64" s="713">
        <f t="shared" si="50"/>
        <v>6</v>
      </c>
      <c r="AO64" s="717">
        <f t="shared" si="74"/>
        <v>9465</v>
      </c>
      <c r="AP64" s="718">
        <f t="shared" si="51"/>
        <v>3</v>
      </c>
      <c r="AQ64" s="718">
        <f t="shared" si="52"/>
        <v>1.7324999999999999</v>
      </c>
      <c r="AR64" s="713">
        <f t="shared" si="53"/>
        <v>0</v>
      </c>
      <c r="AS64" s="717">
        <f t="shared" si="54"/>
        <v>3000</v>
      </c>
      <c r="AT64" s="719">
        <f t="shared" si="55"/>
        <v>25</v>
      </c>
      <c r="AU64" s="745">
        <f t="shared" si="56"/>
        <v>45.5</v>
      </c>
      <c r="AV64" s="746">
        <f t="shared" si="57"/>
        <v>3000</v>
      </c>
      <c r="AW64" s="746">
        <f t="shared" si="58"/>
        <v>120</v>
      </c>
      <c r="AX64" s="746">
        <f t="shared" si="75"/>
        <v>0</v>
      </c>
      <c r="AY64" s="722">
        <f t="shared" si="59"/>
        <v>8</v>
      </c>
      <c r="AZ64" s="723">
        <f t="shared" si="60"/>
        <v>15</v>
      </c>
      <c r="BA64" s="723">
        <f t="shared" ref="BA64:BA78" si="78">AZ64*AY64</f>
        <v>120</v>
      </c>
      <c r="BB64" s="746">
        <f t="shared" si="61"/>
        <v>25</v>
      </c>
      <c r="BC64" s="746">
        <f t="shared" si="62"/>
        <v>3000</v>
      </c>
      <c r="BD64" s="722">
        <f t="shared" si="63"/>
        <v>131</v>
      </c>
      <c r="BE64" s="722">
        <f t="shared" si="64"/>
        <v>131</v>
      </c>
      <c r="BF64" s="723">
        <f t="shared" si="65"/>
        <v>98</v>
      </c>
      <c r="BG64" s="724" t="b">
        <f>ISODD('Transp-Packaging-AMS'!$BF64)</f>
        <v>0</v>
      </c>
      <c r="BH64" s="723">
        <f t="shared" si="66"/>
        <v>12838</v>
      </c>
      <c r="BI64" s="746">
        <f>INT('Transp-Packaging-AMS'!$AF64/($M$22+$M$27))</f>
        <v>100</v>
      </c>
      <c r="BJ64" s="746">
        <f>'Transp-Packaging-AMS'!$BH64*'Transp-Packaging-AMS'!$BI64</f>
        <v>1283800</v>
      </c>
      <c r="BK64" s="722">
        <f t="shared" si="67"/>
        <v>131</v>
      </c>
      <c r="BL64" s="722">
        <f t="shared" si="68"/>
        <v>112</v>
      </c>
      <c r="BM64" s="723">
        <f t="shared" si="69"/>
        <v>3</v>
      </c>
      <c r="BN64" s="724" t="b">
        <f>ISODD('Transp-Packaging-AMS'!$BM64)</f>
        <v>1</v>
      </c>
      <c r="BO64" s="723">
        <f t="shared" si="70"/>
        <v>393</v>
      </c>
      <c r="BP64" s="746">
        <f t="shared" si="71"/>
        <v>100</v>
      </c>
      <c r="BQ64" s="746">
        <f t="shared" si="76"/>
        <v>39300</v>
      </c>
      <c r="BR64" s="2117"/>
      <c r="BS64" s="746"/>
    </row>
    <row r="65" spans="5:71" ht="15" thickBot="1">
      <c r="E65" s="521"/>
      <c r="F65" s="666" t="s">
        <v>653</v>
      </c>
      <c r="G65" s="671" t="str">
        <f>'Product Added value'!A4</f>
        <v>Kunshan</v>
      </c>
      <c r="H65" s="665" t="s">
        <v>654</v>
      </c>
      <c r="I65" s="671" t="str">
        <f>IFERROR(VLOOKUP(1,'Product Added value'!N52:O79,2,FALSE),"-")</f>
        <v>Kunshan-ASSY</v>
      </c>
      <c r="J65" s="665" t="s">
        <v>655</v>
      </c>
      <c r="K65" s="665"/>
      <c r="L65" s="1626">
        <f>IFERROR(VLOOKUP(W4,W7:AD51,7,FALSE)-4,"-")</f>
        <v>2</v>
      </c>
      <c r="M65" s="672" t="s">
        <v>656</v>
      </c>
      <c r="N65" s="673">
        <f>IF(SUM('Product Added value'!N52:N79)&lt;&gt;0,IF($AA$4="%",$Z$4/100*$E$5,$Z$4/$N$13*Z5+$AB$3*E5),0)</f>
        <v>3.4648264551564195E-2</v>
      </c>
      <c r="O65" s="668" t="str">
        <f t="shared" ref="O65:O68" si="79">$E$4&amp;"/ pc"</f>
        <v>RMB/ pc</v>
      </c>
      <c r="P65" s="521" t="s">
        <v>657</v>
      </c>
      <c r="Q65" s="805"/>
      <c r="R65" s="534"/>
      <c r="W65" s="725" t="str">
        <f t="shared" si="72"/>
        <v/>
      </c>
      <c r="X65" s="726" t="str">
        <f t="shared" si="47"/>
        <v/>
      </c>
      <c r="Y65" s="1432">
        <f t="shared" si="48"/>
        <v>3.2000000000000001E-2</v>
      </c>
      <c r="Z65" s="727">
        <f t="shared" si="49"/>
        <v>1.7999999999999999E-2</v>
      </c>
      <c r="AA65" s="728">
        <v>0</v>
      </c>
      <c r="AB65" s="729" t="s">
        <v>658</v>
      </c>
      <c r="AC65" s="730" t="s">
        <v>450</v>
      </c>
      <c r="AD65" s="731">
        <v>0.35</v>
      </c>
      <c r="AE65" s="731" t="str">
        <f>AG26</f>
        <v>400 X 300</v>
      </c>
      <c r="AF65" s="732">
        <v>200</v>
      </c>
      <c r="AG65" s="733" t="s">
        <v>644</v>
      </c>
      <c r="AH65" s="732">
        <v>20</v>
      </c>
      <c r="AI65" s="732">
        <f>4*(ROUNDDOWN(1400/$AF65,0))</f>
        <v>28</v>
      </c>
      <c r="AJ65" s="732">
        <f t="shared" si="73"/>
        <v>40</v>
      </c>
      <c r="AK65" s="732">
        <f>'Transp-Packaging-AMS'!$AI65*2</f>
        <v>56</v>
      </c>
      <c r="AL65" s="734">
        <f t="shared" si="77"/>
        <v>12</v>
      </c>
      <c r="AM65" s="731" t="s">
        <v>645</v>
      </c>
      <c r="AN65" s="731">
        <f t="shared" si="50"/>
        <v>3.84</v>
      </c>
      <c r="AO65" s="735">
        <f t="shared" si="74"/>
        <v>6057.5999999999995</v>
      </c>
      <c r="AP65" s="736">
        <f t="shared" si="51"/>
        <v>1.92</v>
      </c>
      <c r="AQ65" s="736">
        <f t="shared" si="52"/>
        <v>1.1088</v>
      </c>
      <c r="AR65" s="731">
        <f t="shared" si="53"/>
        <v>0</v>
      </c>
      <c r="AS65" s="735">
        <f t="shared" si="54"/>
        <v>3000</v>
      </c>
      <c r="AT65" s="737">
        <f t="shared" si="55"/>
        <v>16</v>
      </c>
      <c r="AU65" s="751">
        <f t="shared" si="56"/>
        <v>29.299999999999997</v>
      </c>
      <c r="AV65" s="752">
        <f t="shared" si="57"/>
        <v>1920</v>
      </c>
      <c r="AW65" s="752">
        <f t="shared" si="58"/>
        <v>120</v>
      </c>
      <c r="AX65" s="752">
        <f t="shared" si="75"/>
        <v>0</v>
      </c>
      <c r="AY65" s="740">
        <f t="shared" si="59"/>
        <v>8</v>
      </c>
      <c r="AZ65" s="741">
        <f t="shared" si="60"/>
        <v>15</v>
      </c>
      <c r="BA65" s="741">
        <f t="shared" si="78"/>
        <v>120</v>
      </c>
      <c r="BB65" s="752">
        <f t="shared" si="61"/>
        <v>16</v>
      </c>
      <c r="BC65" s="752">
        <f t="shared" si="62"/>
        <v>1920</v>
      </c>
      <c r="BD65" s="740">
        <f t="shared" si="63"/>
        <v>131</v>
      </c>
      <c r="BE65" s="740">
        <f t="shared" si="64"/>
        <v>131</v>
      </c>
      <c r="BF65" s="741">
        <f t="shared" si="65"/>
        <v>98</v>
      </c>
      <c r="BG65" s="742" t="b">
        <f>ISODD('Transp-Packaging-AMS'!$BF65)</f>
        <v>0</v>
      </c>
      <c r="BH65" s="741">
        <f t="shared" si="66"/>
        <v>12838</v>
      </c>
      <c r="BI65" s="752">
        <f>INT('Transp-Packaging-AMS'!$AF65/($M$22+$M$27))</f>
        <v>66</v>
      </c>
      <c r="BJ65" s="752">
        <f>'Transp-Packaging-AMS'!$BH65*'Transp-Packaging-AMS'!$BI65</f>
        <v>847308</v>
      </c>
      <c r="BK65" s="740">
        <f t="shared" si="67"/>
        <v>131</v>
      </c>
      <c r="BL65" s="740">
        <f t="shared" si="68"/>
        <v>112</v>
      </c>
      <c r="BM65" s="741">
        <f t="shared" si="69"/>
        <v>3</v>
      </c>
      <c r="BN65" s="742" t="b">
        <f>ISODD('Transp-Packaging-AMS'!$BM65)</f>
        <v>1</v>
      </c>
      <c r="BO65" s="741">
        <f t="shared" si="70"/>
        <v>393</v>
      </c>
      <c r="BP65" s="752">
        <f t="shared" si="71"/>
        <v>66</v>
      </c>
      <c r="BQ65" s="752">
        <f t="shared" si="76"/>
        <v>25938</v>
      </c>
      <c r="BR65" s="2118"/>
      <c r="BS65" s="752"/>
    </row>
    <row r="66" spans="5:71" ht="15" thickBot="1">
      <c r="L66" s="822"/>
      <c r="M66" s="823" t="s">
        <v>659</v>
      </c>
      <c r="N66" s="824">
        <f>+N63+N64+N65+N68</f>
        <v>8.5176983689261979E-2</v>
      </c>
      <c r="O66" s="825" t="str">
        <f>$E$4&amp;"/ pce"</f>
        <v>RMB/ pce</v>
      </c>
      <c r="W66" s="708" t="str">
        <f t="shared" si="72"/>
        <v/>
      </c>
      <c r="X66" s="743" t="str">
        <f t="shared" si="47"/>
        <v/>
      </c>
      <c r="Y66" s="1431">
        <f t="shared" si="48"/>
        <v>2.4E-2</v>
      </c>
      <c r="Z66" s="709">
        <f t="shared" si="49"/>
        <v>1.7999999999999999E-2</v>
      </c>
      <c r="AA66" s="710">
        <v>0</v>
      </c>
      <c r="AB66" s="711" t="s">
        <v>660</v>
      </c>
      <c r="AC66" s="712" t="s">
        <v>450</v>
      </c>
      <c r="AD66" s="713">
        <v>0.48409999999999997</v>
      </c>
      <c r="AE66" s="713" t="str">
        <f>AG26</f>
        <v>400 X 300</v>
      </c>
      <c r="AF66" s="714">
        <v>150</v>
      </c>
      <c r="AG66" s="715" t="s">
        <v>644</v>
      </c>
      <c r="AH66" s="714">
        <v>28</v>
      </c>
      <c r="AI66" s="714">
        <f>4*(ROUNDDOWN(1400/$AF66,0))</f>
        <v>36</v>
      </c>
      <c r="AJ66" s="714">
        <f t="shared" si="73"/>
        <v>56</v>
      </c>
      <c r="AK66" s="714">
        <f>'Transp-Packaging-AMS'!$AI66*2</f>
        <v>72</v>
      </c>
      <c r="AL66" s="744">
        <f t="shared" si="77"/>
        <v>12</v>
      </c>
      <c r="AM66" s="713" t="s">
        <v>645</v>
      </c>
      <c r="AN66" s="713">
        <f t="shared" si="50"/>
        <v>2.88</v>
      </c>
      <c r="AO66" s="717">
        <f t="shared" si="74"/>
        <v>4543.2</v>
      </c>
      <c r="AP66" s="718">
        <f t="shared" si="51"/>
        <v>1.44</v>
      </c>
      <c r="AQ66" s="718">
        <f t="shared" si="52"/>
        <v>0.83160000000000001</v>
      </c>
      <c r="AR66" s="713">
        <f t="shared" si="53"/>
        <v>0</v>
      </c>
      <c r="AS66" s="717">
        <f t="shared" si="54"/>
        <v>3000</v>
      </c>
      <c r="AT66" s="719">
        <f t="shared" si="55"/>
        <v>12</v>
      </c>
      <c r="AU66" s="745">
        <f t="shared" si="56"/>
        <v>22.099999999999998</v>
      </c>
      <c r="AV66" s="746">
        <f t="shared" si="57"/>
        <v>1440</v>
      </c>
      <c r="AW66" s="746">
        <f t="shared" si="58"/>
        <v>120</v>
      </c>
      <c r="AX66" s="746">
        <f t="shared" si="75"/>
        <v>0</v>
      </c>
      <c r="AY66" s="722">
        <f t="shared" si="59"/>
        <v>8</v>
      </c>
      <c r="AZ66" s="723">
        <f t="shared" si="60"/>
        <v>15</v>
      </c>
      <c r="BA66" s="723">
        <f t="shared" si="78"/>
        <v>120</v>
      </c>
      <c r="BB66" s="746">
        <f t="shared" si="61"/>
        <v>12</v>
      </c>
      <c r="BC66" s="746">
        <f t="shared" si="62"/>
        <v>1440</v>
      </c>
      <c r="BD66" s="722">
        <f t="shared" si="63"/>
        <v>131</v>
      </c>
      <c r="BE66" s="722">
        <f t="shared" si="64"/>
        <v>131</v>
      </c>
      <c r="BF66" s="723">
        <f t="shared" si="65"/>
        <v>98</v>
      </c>
      <c r="BG66" s="724" t="b">
        <f>ISODD('Transp-Packaging-AMS'!$BF66)</f>
        <v>0</v>
      </c>
      <c r="BH66" s="723">
        <f t="shared" si="66"/>
        <v>12838</v>
      </c>
      <c r="BI66" s="746">
        <f>INT('Transp-Packaging-AMS'!$AF66/($M$22+$M$27))</f>
        <v>50</v>
      </c>
      <c r="BJ66" s="746">
        <f>'Transp-Packaging-AMS'!$BH66*'Transp-Packaging-AMS'!$BI66</f>
        <v>641900</v>
      </c>
      <c r="BK66" s="722">
        <f t="shared" si="67"/>
        <v>131</v>
      </c>
      <c r="BL66" s="722">
        <f t="shared" si="68"/>
        <v>112</v>
      </c>
      <c r="BM66" s="723">
        <f t="shared" si="69"/>
        <v>3</v>
      </c>
      <c r="BN66" s="724" t="b">
        <f>ISODD('Transp-Packaging-AMS'!$BM66)</f>
        <v>1</v>
      </c>
      <c r="BO66" s="723">
        <f t="shared" si="70"/>
        <v>393</v>
      </c>
      <c r="BP66" s="746">
        <f t="shared" si="71"/>
        <v>50</v>
      </c>
      <c r="BQ66" s="746">
        <f t="shared" si="76"/>
        <v>19650</v>
      </c>
      <c r="BR66" s="2117"/>
      <c r="BS66" s="746"/>
    </row>
    <row r="67" spans="5:71" ht="15.6" customHeight="1" thickBot="1">
      <c r="W67" s="725" t="str">
        <f t="shared" si="72"/>
        <v/>
      </c>
      <c r="X67" s="726" t="str">
        <f t="shared" si="47"/>
        <v/>
      </c>
      <c r="Y67" s="1432">
        <f t="shared" si="48"/>
        <v>3.2000000000000001E-2</v>
      </c>
      <c r="Z67" s="727">
        <f t="shared" si="49"/>
        <v>8.9999999999999993E-3</v>
      </c>
      <c r="AA67" s="728">
        <v>0</v>
      </c>
      <c r="AB67" s="729" t="s">
        <v>661</v>
      </c>
      <c r="AC67" s="730" t="s">
        <v>450</v>
      </c>
      <c r="AD67" s="731">
        <v>0.22</v>
      </c>
      <c r="AE67" s="731" t="str">
        <f>AH26</f>
        <v>300 X 200</v>
      </c>
      <c r="AF67" s="732">
        <v>200</v>
      </c>
      <c r="AG67" s="733" t="s">
        <v>644</v>
      </c>
      <c r="AH67" s="732">
        <v>40</v>
      </c>
      <c r="AI67" s="732">
        <f>10*(ROUNDDOWN(1000/$AF67,0))</f>
        <v>50</v>
      </c>
      <c r="AJ67" s="732">
        <f t="shared" si="73"/>
        <v>80</v>
      </c>
      <c r="AK67" s="732">
        <f>'Transp-Packaging-AMS'!$AI67*2</f>
        <v>100</v>
      </c>
      <c r="AL67" s="734">
        <f t="shared" si="77"/>
        <v>12</v>
      </c>
      <c r="AM67" s="731" t="s">
        <v>645</v>
      </c>
      <c r="AN67" s="731">
        <f t="shared" si="50"/>
        <v>1.92</v>
      </c>
      <c r="AO67" s="735">
        <f t="shared" si="74"/>
        <v>3014.4</v>
      </c>
      <c r="AP67" s="736">
        <f t="shared" si="51"/>
        <v>0.96</v>
      </c>
      <c r="AQ67" s="736">
        <f t="shared" si="52"/>
        <v>0.54720000000000002</v>
      </c>
      <c r="AR67" s="731">
        <f t="shared" si="53"/>
        <v>0</v>
      </c>
      <c r="AS67" s="735">
        <f t="shared" si="54"/>
        <v>1500</v>
      </c>
      <c r="AT67" s="737">
        <f t="shared" si="55"/>
        <v>16</v>
      </c>
      <c r="AU67" s="751">
        <f t="shared" si="56"/>
        <v>14.899999999999999</v>
      </c>
      <c r="AV67" s="752">
        <f t="shared" si="57"/>
        <v>960</v>
      </c>
      <c r="AW67" s="752">
        <f t="shared" si="58"/>
        <v>60</v>
      </c>
      <c r="AX67" s="752">
        <f t="shared" si="75"/>
        <v>0</v>
      </c>
      <c r="AY67" s="740">
        <f t="shared" si="59"/>
        <v>6</v>
      </c>
      <c r="AZ67" s="741">
        <f t="shared" si="60"/>
        <v>10</v>
      </c>
      <c r="BA67" s="741">
        <f t="shared" si="78"/>
        <v>60</v>
      </c>
      <c r="BB67" s="752">
        <f t="shared" si="61"/>
        <v>16</v>
      </c>
      <c r="BC67" s="752">
        <f t="shared" si="62"/>
        <v>960</v>
      </c>
      <c r="BD67" s="740">
        <f t="shared" si="63"/>
        <v>98</v>
      </c>
      <c r="BE67" s="740">
        <f t="shared" si="64"/>
        <v>98</v>
      </c>
      <c r="BF67" s="741">
        <f t="shared" si="65"/>
        <v>64</v>
      </c>
      <c r="BG67" s="742" t="b">
        <f>ISODD('Transp-Packaging-AMS'!$BF67)</f>
        <v>0</v>
      </c>
      <c r="BH67" s="741">
        <f t="shared" si="66"/>
        <v>6272</v>
      </c>
      <c r="BI67" s="752">
        <f>INT('Transp-Packaging-AMS'!$AF67/($M$22+$M$27))</f>
        <v>66</v>
      </c>
      <c r="BJ67" s="752">
        <f>'Transp-Packaging-AMS'!$BH67*'Transp-Packaging-AMS'!$BI67</f>
        <v>413952</v>
      </c>
      <c r="BK67" s="740">
        <f t="shared" si="67"/>
        <v>98</v>
      </c>
      <c r="BL67" s="740">
        <f t="shared" si="68"/>
        <v>79</v>
      </c>
      <c r="BM67" s="741">
        <f t="shared" si="69"/>
        <v>2</v>
      </c>
      <c r="BN67" s="742" t="b">
        <f>ISODD('Transp-Packaging-AMS'!$BM67)</f>
        <v>0</v>
      </c>
      <c r="BO67" s="741">
        <f t="shared" si="70"/>
        <v>196</v>
      </c>
      <c r="BP67" s="752">
        <f t="shared" si="71"/>
        <v>66</v>
      </c>
      <c r="BQ67" s="752">
        <f t="shared" si="76"/>
        <v>12936</v>
      </c>
      <c r="BR67" s="2118"/>
      <c r="BS67" s="752"/>
    </row>
    <row r="68" spans="5:71" ht="14.7" customHeight="1" thickBot="1">
      <c r="E68" s="815"/>
      <c r="F68" s="816"/>
      <c r="G68" s="816"/>
      <c r="H68" s="816"/>
      <c r="I68" s="816"/>
      <c r="J68" s="816"/>
      <c r="K68" s="816"/>
      <c r="L68" s="816"/>
      <c r="M68" s="817"/>
      <c r="N68" s="673"/>
      <c r="O68" s="668" t="str">
        <f t="shared" si="79"/>
        <v>RMB/ pc</v>
      </c>
      <c r="P68" s="521" t="s">
        <v>662</v>
      </c>
      <c r="Q68" s="805"/>
      <c r="R68" s="534"/>
      <c r="W68" s="708">
        <f t="shared" si="72"/>
        <v>1</v>
      </c>
      <c r="X68" s="743">
        <f t="shared" si="47"/>
        <v>2.3E-3</v>
      </c>
      <c r="Y68" s="1431">
        <f t="shared" si="48"/>
        <v>0.02</v>
      </c>
      <c r="Z68" s="709">
        <f t="shared" si="49"/>
        <v>8.9999999999999993E-3</v>
      </c>
      <c r="AA68" s="710">
        <v>0</v>
      </c>
      <c r="AB68" s="711" t="s">
        <v>663</v>
      </c>
      <c r="AC68" s="712" t="s">
        <v>450</v>
      </c>
      <c r="AD68" s="713">
        <v>0.18</v>
      </c>
      <c r="AE68" s="713" t="str">
        <f>AH26</f>
        <v>300 X 200</v>
      </c>
      <c r="AF68" s="714">
        <v>125</v>
      </c>
      <c r="AG68" s="715" t="s">
        <v>644</v>
      </c>
      <c r="AH68" s="714">
        <v>64</v>
      </c>
      <c r="AI68" s="714">
        <f>10*(ROUNDDOWN(1000/$AF68,0))</f>
        <v>80</v>
      </c>
      <c r="AJ68" s="714">
        <f t="shared" si="73"/>
        <v>128</v>
      </c>
      <c r="AK68" s="714">
        <f>'Transp-Packaging-AMS'!$AI68*2</f>
        <v>160</v>
      </c>
      <c r="AL68" s="744">
        <f t="shared" si="77"/>
        <v>12</v>
      </c>
      <c r="AM68" s="713" t="s">
        <v>645</v>
      </c>
      <c r="AN68" s="713">
        <f t="shared" si="50"/>
        <v>1.2</v>
      </c>
      <c r="AO68" s="717">
        <f t="shared" si="74"/>
        <v>1884</v>
      </c>
      <c r="AP68" s="718">
        <f t="shared" si="51"/>
        <v>0.6</v>
      </c>
      <c r="AQ68" s="718">
        <f t="shared" si="52"/>
        <v>0.34200000000000003</v>
      </c>
      <c r="AR68" s="713">
        <f t="shared" si="53"/>
        <v>0</v>
      </c>
      <c r="AS68" s="717">
        <f t="shared" si="54"/>
        <v>1500</v>
      </c>
      <c r="AT68" s="719">
        <f t="shared" si="55"/>
        <v>10</v>
      </c>
      <c r="AU68" s="720">
        <f t="shared" si="56"/>
        <v>9.5</v>
      </c>
      <c r="AV68" s="721">
        <f t="shared" si="57"/>
        <v>600</v>
      </c>
      <c r="AW68" s="721">
        <f t="shared" si="58"/>
        <v>60</v>
      </c>
      <c r="AX68" s="721">
        <f t="shared" si="75"/>
        <v>1</v>
      </c>
      <c r="AY68" s="722">
        <f t="shared" si="59"/>
        <v>6</v>
      </c>
      <c r="AZ68" s="723">
        <f t="shared" si="60"/>
        <v>10</v>
      </c>
      <c r="BA68" s="723">
        <f t="shared" si="78"/>
        <v>60</v>
      </c>
      <c r="BB68" s="721">
        <f t="shared" si="61"/>
        <v>10</v>
      </c>
      <c r="BC68" s="721">
        <f t="shared" si="62"/>
        <v>600</v>
      </c>
      <c r="BD68" s="722">
        <f t="shared" si="63"/>
        <v>98</v>
      </c>
      <c r="BE68" s="722">
        <f t="shared" si="64"/>
        <v>98</v>
      </c>
      <c r="BF68" s="723">
        <f t="shared" si="65"/>
        <v>64</v>
      </c>
      <c r="BG68" s="723" t="b">
        <f>ISODD('Transp-Packaging-AMS'!$BF68)</f>
        <v>0</v>
      </c>
      <c r="BH68" s="723">
        <f t="shared" si="66"/>
        <v>6272</v>
      </c>
      <c r="BI68" s="721">
        <f>INT('Transp-Packaging-AMS'!$AF68/($M$22+$M$27))</f>
        <v>41</v>
      </c>
      <c r="BJ68" s="721">
        <f>'Transp-Packaging-AMS'!$BH68*'Transp-Packaging-AMS'!$BI68</f>
        <v>257152</v>
      </c>
      <c r="BK68" s="722">
        <f t="shared" si="67"/>
        <v>98</v>
      </c>
      <c r="BL68" s="722">
        <f t="shared" si="68"/>
        <v>79</v>
      </c>
      <c r="BM68" s="723">
        <f t="shared" si="69"/>
        <v>2</v>
      </c>
      <c r="BN68" s="723" t="b">
        <f>ISODD('Transp-Packaging-AMS'!$BM68)</f>
        <v>0</v>
      </c>
      <c r="BO68" s="723">
        <f t="shared" si="70"/>
        <v>196</v>
      </c>
      <c r="BP68" s="721">
        <f t="shared" si="71"/>
        <v>41</v>
      </c>
      <c r="BQ68" s="721">
        <f t="shared" si="76"/>
        <v>8036</v>
      </c>
      <c r="BR68" s="2115"/>
      <c r="BS68" s="721"/>
    </row>
    <row r="69" spans="5:71" ht="15" customHeight="1" thickBot="1">
      <c r="E69" s="521"/>
      <c r="F69" s="665" t="s">
        <v>664</v>
      </c>
      <c r="G69" s="671" t="str">
        <f>IF(AA3="%",H3,AA3)</f>
        <v>EUR</v>
      </c>
      <c r="H69" s="665" t="str">
        <f>"by "&amp; J63</f>
        <v>by Kunshan-ASSY</v>
      </c>
      <c r="I69" s="665" t="str">
        <f>"and exchange rate "&amp;G69&amp;" to "&amp; E4 &amp;" used for this quote is"</f>
        <v>and exchange rate EUR to RMB used for this quote is</v>
      </c>
      <c r="J69" s="665"/>
      <c r="K69" s="665"/>
      <c r="L69" s="665"/>
      <c r="M69" s="672"/>
      <c r="N69" s="673">
        <f>Y5</f>
        <v>7.7789000000000001</v>
      </c>
      <c r="O69" s="668"/>
      <c r="P69" s="521" t="s">
        <v>304</v>
      </c>
      <c r="Q69" s="805"/>
      <c r="R69" s="534"/>
      <c r="W69" s="737" t="str">
        <f t="shared" si="72"/>
        <v/>
      </c>
      <c r="X69" s="726" t="str">
        <f t="shared" si="47"/>
        <v/>
      </c>
      <c r="Y69" s="1432">
        <f t="shared" si="48"/>
        <v>0</v>
      </c>
      <c r="Z69" s="728">
        <f t="shared" si="49"/>
        <v>1.7999999999999999E-2</v>
      </c>
      <c r="AA69" s="728">
        <v>0.97</v>
      </c>
      <c r="AB69" s="729" t="s">
        <v>665</v>
      </c>
      <c r="AC69" s="730" t="s">
        <v>450</v>
      </c>
      <c r="AD69" s="731">
        <v>13</v>
      </c>
      <c r="AE69" s="731" t="s">
        <v>666</v>
      </c>
      <c r="AF69" s="732">
        <v>170</v>
      </c>
      <c r="AG69" s="733" t="s">
        <v>667</v>
      </c>
      <c r="AH69" s="732">
        <f>4*(ROUNDDOWN(1000/$AF69,0))</f>
        <v>20</v>
      </c>
      <c r="AI69" s="732">
        <f>4*(ROUNDDOWN(1400/$AF69,0))</f>
        <v>32</v>
      </c>
      <c r="AJ69" s="732">
        <f>AH69*2</f>
        <v>40</v>
      </c>
      <c r="AK69" s="732">
        <f>AI69*2</f>
        <v>64</v>
      </c>
      <c r="AL69" s="734">
        <f t="shared" si="77"/>
        <v>12</v>
      </c>
      <c r="AM69" s="731" t="s">
        <v>645</v>
      </c>
      <c r="AN69" s="759"/>
      <c r="AO69" s="760"/>
      <c r="AP69" s="761"/>
      <c r="AQ69" s="761"/>
      <c r="AR69" s="731">
        <f>IF($L$11=$AF$27,0,IF($L$11=$AG$27,MID(AG69,7,3)*MID(AG69,1,3)*AR$60/1000000,AS$60*MID(AG69,7,3)*MID(AG69,1,3)/1000000))</f>
        <v>0</v>
      </c>
      <c r="AS69" s="735">
        <f t="shared" si="54"/>
        <v>3000</v>
      </c>
      <c r="AT69" s="737">
        <f t="shared" si="55"/>
        <v>13</v>
      </c>
      <c r="AU69" s="751">
        <f t="shared" ref="AU69:AU78" si="80">BJ69*$N$5*$M$19+BC69*$N$5*$L$19+BQ69*$N$5*$N$19+AA69</f>
        <v>18.715</v>
      </c>
      <c r="AV69" s="752">
        <f t="shared" si="57"/>
        <v>1183</v>
      </c>
      <c r="AW69" s="752">
        <f t="shared" si="58"/>
        <v>91</v>
      </c>
      <c r="AX69" s="752">
        <f t="shared" si="75"/>
        <v>0</v>
      </c>
      <c r="AY69" s="740">
        <f t="shared" ref="AY69:AY78" si="81">INT((MID(AG69,1,3)-2*IF($L$11=$AF$27,$L$27,$L$26))/($L$20+IF($L$11=$AF$27,$L$27,$L$26)))</f>
        <v>7</v>
      </c>
      <c r="AZ69" s="741">
        <f t="shared" ref="AZ69:AZ78" si="82">INT((MID(AG69,7,3)-2*IF($L$11=$AF$27,$L$27,$L$26))/($L$21+IF($L$11=$AF$27,$L$27,$L$26)))</f>
        <v>13</v>
      </c>
      <c r="BA69" s="741">
        <f t="shared" si="78"/>
        <v>91</v>
      </c>
      <c r="BB69" s="752">
        <f t="shared" ref="BB69:BB78" si="83">INT(MID(AG69,13,3)/($L$22+$L$27))</f>
        <v>13</v>
      </c>
      <c r="BC69" s="752">
        <f t="shared" si="62"/>
        <v>1183</v>
      </c>
      <c r="BD69" s="740">
        <f t="shared" ref="BD69:BD78" si="84">INT(((MID(AG69,1,3)-2*IF($L$11=$AF$27,$M$27,$M$26))/($M$23+IF($L$11=$AF$27,$M$27,$M$26))))</f>
        <v>116</v>
      </c>
      <c r="BE69" s="740">
        <f t="shared" ref="BE69:BE78" si="85">INT((MID(AG69,1,3)-$M$23/2-2*IF($L$11=$AF$27,$M$27,$M$26))/($M$23+IF($L$11=$AF$27,$M$27,$M$26)))</f>
        <v>116</v>
      </c>
      <c r="BF69" s="741">
        <f t="shared" ref="BF69:BF78" si="86">INT((MID(AG69,7,3)-2*IF($L$11=$AF$27,$M$27,$M$26/COS(PI()/6)))/($M$28+IF($L$11=$AF$27,$M$27,$M$26/COS(PI()/6))))</f>
        <v>83</v>
      </c>
      <c r="BG69" s="742" t="b">
        <f>ISODD('Transp-Packaging-AMS'!$BF69)</f>
        <v>1</v>
      </c>
      <c r="BH69" s="741">
        <f t="shared" si="66"/>
        <v>9628</v>
      </c>
      <c r="BI69" s="752">
        <f t="shared" ref="BI69:BI78" si="87">INT((MID(AG69,13,3)/($M$22+$M$27)))</f>
        <v>53</v>
      </c>
      <c r="BJ69" s="752">
        <f>'Transp-Packaging-AMS'!$BH69*'Transp-Packaging-AMS'!$BI69</f>
        <v>510284</v>
      </c>
      <c r="BK69" s="740">
        <f t="shared" ref="BK69:BK78" si="88">INT((MID(AG69,1,3)-2*IF($L$11=$AF$27,$N$27,$N$26))/($N$20-$N$25+IF($L$11=$AF$27,$N$27,$N$26)))</f>
        <v>116</v>
      </c>
      <c r="BL69" s="740">
        <f t="shared" ref="BL69:BL78" si="89">INT((MID(AG69,1,3)-$N$30-2*IF($L$11=$AF$27,$N$27,$N$26))/($N$20-$N$25+IF($L$11=$AF$27,$N$27,$N$26)))</f>
        <v>97</v>
      </c>
      <c r="BM69" s="741">
        <f t="shared" ref="BM69:BM78" si="90">INT((MID(AG69,7,3)-2*IF($L$11=$AF$27,$N$27,$N$26))/($N$28+IF($L$11=$AF$27,$N$27,$N$26)))</f>
        <v>2</v>
      </c>
      <c r="BN69" s="742" t="b">
        <f>ISODD('Transp-Packaging-AMS'!$BM69)</f>
        <v>0</v>
      </c>
      <c r="BO69" s="741">
        <f t="shared" si="70"/>
        <v>232</v>
      </c>
      <c r="BP69" s="752">
        <f t="shared" ref="BP69:BP78" si="91">INT(MID(AG69,13,3)/($N$22+$L$27))</f>
        <v>53</v>
      </c>
      <c r="BQ69" s="752">
        <f t="shared" si="76"/>
        <v>12296</v>
      </c>
      <c r="BR69" s="2118">
        <v>7</v>
      </c>
      <c r="BS69" s="752">
        <v>0.36</v>
      </c>
    </row>
    <row r="70" spans="5:71" ht="14.7" customHeight="1">
      <c r="W70" s="719" t="str">
        <f t="shared" si="72"/>
        <v/>
      </c>
      <c r="X70" s="743" t="str">
        <f t="shared" si="47"/>
        <v/>
      </c>
      <c r="Y70" s="1431">
        <f t="shared" si="48"/>
        <v>0</v>
      </c>
      <c r="Z70" s="710">
        <f t="shared" si="49"/>
        <v>1.7999999999999999E-2</v>
      </c>
      <c r="AA70" s="710">
        <v>0.96</v>
      </c>
      <c r="AB70" s="711" t="s">
        <v>665</v>
      </c>
      <c r="AC70" s="712" t="s">
        <v>450</v>
      </c>
      <c r="AD70" s="713">
        <v>16</v>
      </c>
      <c r="AE70" s="713" t="s">
        <v>666</v>
      </c>
      <c r="AF70" s="714">
        <v>220</v>
      </c>
      <c r="AG70" s="715" t="s">
        <v>668</v>
      </c>
      <c r="AH70" s="714">
        <f>4*(ROUNDDOWN(1000/$AF70,0))</f>
        <v>16</v>
      </c>
      <c r="AI70" s="714">
        <f>4*(ROUNDDOWN(1400/$AF70,0))</f>
        <v>24</v>
      </c>
      <c r="AJ70" s="714">
        <f t="shared" ref="AJ70:AK78" si="92">AH70*2</f>
        <v>32</v>
      </c>
      <c r="AK70" s="714">
        <f t="shared" si="92"/>
        <v>48</v>
      </c>
      <c r="AL70" s="744">
        <f t="shared" si="77"/>
        <v>12</v>
      </c>
      <c r="AM70" s="713" t="s">
        <v>645</v>
      </c>
      <c r="AN70" s="764"/>
      <c r="AO70" s="765"/>
      <c r="AP70" s="766"/>
      <c r="AQ70" s="766"/>
      <c r="AR70" s="713">
        <f t="shared" ref="AR70:AR78" si="93">IF($L$11=$AF$27,0,IF($L$11=$AG$27,MID(AE70,7,3)*MID(AE70,1,3)*AR$60/1000000,AS$60*MID(AE70,7,3)*MID(AE70,1,3)/1000000))</f>
        <v>0</v>
      </c>
      <c r="AS70" s="717">
        <f t="shared" si="54"/>
        <v>3000</v>
      </c>
      <c r="AT70" s="719">
        <f t="shared" si="55"/>
        <v>17</v>
      </c>
      <c r="AU70" s="745">
        <f t="shared" si="80"/>
        <v>24.164999999999999</v>
      </c>
      <c r="AV70" s="746">
        <f t="shared" si="57"/>
        <v>1547</v>
      </c>
      <c r="AW70" s="746">
        <f t="shared" si="58"/>
        <v>91</v>
      </c>
      <c r="AX70" s="746">
        <f t="shared" si="75"/>
        <v>0</v>
      </c>
      <c r="AY70" s="722">
        <f t="shared" si="81"/>
        <v>7</v>
      </c>
      <c r="AZ70" s="723">
        <f t="shared" si="82"/>
        <v>13</v>
      </c>
      <c r="BA70" s="723">
        <f t="shared" si="78"/>
        <v>91</v>
      </c>
      <c r="BB70" s="746">
        <f t="shared" si="83"/>
        <v>17</v>
      </c>
      <c r="BC70" s="746">
        <f t="shared" si="62"/>
        <v>1547</v>
      </c>
      <c r="BD70" s="722">
        <f t="shared" si="84"/>
        <v>116</v>
      </c>
      <c r="BE70" s="722">
        <f t="shared" si="85"/>
        <v>116</v>
      </c>
      <c r="BF70" s="723">
        <f t="shared" si="86"/>
        <v>83</v>
      </c>
      <c r="BG70" s="724" t="b">
        <f>ISODD('Transp-Packaging-AMS'!$BF70)</f>
        <v>1</v>
      </c>
      <c r="BH70" s="723">
        <f t="shared" si="66"/>
        <v>9628</v>
      </c>
      <c r="BI70" s="746">
        <f t="shared" si="87"/>
        <v>70</v>
      </c>
      <c r="BJ70" s="746">
        <f>'Transp-Packaging-AMS'!$BH70*'Transp-Packaging-AMS'!$BI70</f>
        <v>673960</v>
      </c>
      <c r="BK70" s="722">
        <f t="shared" si="88"/>
        <v>116</v>
      </c>
      <c r="BL70" s="722">
        <f t="shared" si="89"/>
        <v>97</v>
      </c>
      <c r="BM70" s="723">
        <f t="shared" si="90"/>
        <v>2</v>
      </c>
      <c r="BN70" s="724" t="b">
        <f>ISODD('Transp-Packaging-AMS'!$BM70)</f>
        <v>0</v>
      </c>
      <c r="BO70" s="723">
        <f t="shared" si="70"/>
        <v>232</v>
      </c>
      <c r="BP70" s="746">
        <f t="shared" si="91"/>
        <v>70</v>
      </c>
      <c r="BQ70" s="746">
        <f t="shared" si="76"/>
        <v>16240</v>
      </c>
      <c r="BR70" s="2117">
        <v>7</v>
      </c>
      <c r="BS70" s="746">
        <v>0.36</v>
      </c>
    </row>
    <row r="71" spans="5:71" ht="14.7" customHeight="1">
      <c r="W71" s="737" t="str">
        <f>IF(X71=$X$60,1,"")</f>
        <v/>
      </c>
      <c r="X71" s="726" t="str">
        <f t="shared" si="47"/>
        <v/>
      </c>
      <c r="Y71" s="1432">
        <f t="shared" si="48"/>
        <v>0</v>
      </c>
      <c r="Z71" s="728">
        <f t="shared" si="49"/>
        <v>1.7999999999999999E-2</v>
      </c>
      <c r="AA71" s="728">
        <v>1.25</v>
      </c>
      <c r="AB71" s="729" t="s">
        <v>665</v>
      </c>
      <c r="AC71" s="730" t="s">
        <v>450</v>
      </c>
      <c r="AD71" s="731">
        <v>17</v>
      </c>
      <c r="AE71" s="731" t="s">
        <v>666</v>
      </c>
      <c r="AF71" s="732">
        <v>240</v>
      </c>
      <c r="AG71" s="733" t="s">
        <v>669</v>
      </c>
      <c r="AH71" s="732">
        <f>4*(ROUNDDOWN(1000/$AF71,0))</f>
        <v>16</v>
      </c>
      <c r="AI71" s="732">
        <f>4*(ROUNDDOWN(1400/$AF71,0))</f>
        <v>20</v>
      </c>
      <c r="AJ71" s="732">
        <f t="shared" si="92"/>
        <v>32</v>
      </c>
      <c r="AK71" s="732">
        <f>AI71*2</f>
        <v>40</v>
      </c>
      <c r="AL71" s="734">
        <f t="shared" si="77"/>
        <v>12</v>
      </c>
      <c r="AM71" s="731" t="s">
        <v>645</v>
      </c>
      <c r="AN71" s="759"/>
      <c r="AO71" s="760"/>
      <c r="AP71" s="761"/>
      <c r="AQ71" s="761"/>
      <c r="AR71" s="731">
        <f t="shared" si="93"/>
        <v>0</v>
      </c>
      <c r="AS71" s="735">
        <f t="shared" si="54"/>
        <v>3000</v>
      </c>
      <c r="AT71" s="737">
        <f t="shared" si="55"/>
        <v>19</v>
      </c>
      <c r="AU71" s="751">
        <f t="shared" si="80"/>
        <v>27.184999999999999</v>
      </c>
      <c r="AV71" s="752">
        <f t="shared" si="57"/>
        <v>1729</v>
      </c>
      <c r="AW71" s="752">
        <f t="shared" si="58"/>
        <v>91</v>
      </c>
      <c r="AX71" s="752">
        <f t="shared" si="75"/>
        <v>0</v>
      </c>
      <c r="AY71" s="740">
        <f t="shared" si="81"/>
        <v>7</v>
      </c>
      <c r="AZ71" s="741">
        <f t="shared" si="82"/>
        <v>13</v>
      </c>
      <c r="BA71" s="741">
        <f t="shared" si="78"/>
        <v>91</v>
      </c>
      <c r="BB71" s="752">
        <f t="shared" si="83"/>
        <v>19</v>
      </c>
      <c r="BC71" s="752">
        <f t="shared" si="62"/>
        <v>1729</v>
      </c>
      <c r="BD71" s="740">
        <f t="shared" si="84"/>
        <v>116</v>
      </c>
      <c r="BE71" s="740">
        <f t="shared" si="85"/>
        <v>116</v>
      </c>
      <c r="BF71" s="741">
        <f t="shared" si="86"/>
        <v>83</v>
      </c>
      <c r="BG71" s="742" t="b">
        <f>ISODD('Transp-Packaging-AMS'!$BF71)</f>
        <v>1</v>
      </c>
      <c r="BH71" s="741">
        <f t="shared" si="66"/>
        <v>9628</v>
      </c>
      <c r="BI71" s="752">
        <f t="shared" si="87"/>
        <v>79</v>
      </c>
      <c r="BJ71" s="752">
        <f>'Transp-Packaging-AMS'!$BH71*'Transp-Packaging-AMS'!$BI71</f>
        <v>760612</v>
      </c>
      <c r="BK71" s="740">
        <f t="shared" si="88"/>
        <v>116</v>
      </c>
      <c r="BL71" s="740">
        <f t="shared" si="89"/>
        <v>97</v>
      </c>
      <c r="BM71" s="741">
        <f t="shared" si="90"/>
        <v>2</v>
      </c>
      <c r="BN71" s="742" t="b">
        <f>ISODD('Transp-Packaging-AMS'!$BM71)</f>
        <v>0</v>
      </c>
      <c r="BO71" s="741">
        <f t="shared" si="70"/>
        <v>232</v>
      </c>
      <c r="BP71" s="752">
        <f t="shared" si="91"/>
        <v>79</v>
      </c>
      <c r="BQ71" s="752">
        <f t="shared" si="76"/>
        <v>18328</v>
      </c>
      <c r="BR71" s="2118">
        <v>7</v>
      </c>
      <c r="BS71" s="752">
        <v>0.36</v>
      </c>
    </row>
    <row r="72" spans="5:71" ht="14.7" customHeight="1">
      <c r="K72" s="762"/>
      <c r="L72" s="763"/>
      <c r="W72" s="719" t="str">
        <f t="shared" si="72"/>
        <v/>
      </c>
      <c r="X72" s="743" t="str">
        <f t="shared" si="47"/>
        <v/>
      </c>
      <c r="Y72" s="1431">
        <f t="shared" si="48"/>
        <v>0</v>
      </c>
      <c r="Z72" s="710">
        <f t="shared" si="49"/>
        <v>1.7999999999999999E-2</v>
      </c>
      <c r="AA72" s="710">
        <v>1.41</v>
      </c>
      <c r="AB72" s="711" t="s">
        <v>665</v>
      </c>
      <c r="AC72" s="712" t="s">
        <v>450</v>
      </c>
      <c r="AD72" s="713">
        <v>17</v>
      </c>
      <c r="AE72" s="713" t="s">
        <v>666</v>
      </c>
      <c r="AF72" s="714">
        <v>275</v>
      </c>
      <c r="AG72" s="715" t="s">
        <v>670</v>
      </c>
      <c r="AH72" s="714">
        <f>4*(ROUNDDOWN(1000/$AF72,0))</f>
        <v>12</v>
      </c>
      <c r="AI72" s="714">
        <f>4*(ROUNDDOWN(1400/$AF72,0))</f>
        <v>20</v>
      </c>
      <c r="AJ72" s="714">
        <f t="shared" si="92"/>
        <v>24</v>
      </c>
      <c r="AK72" s="714">
        <f t="shared" si="92"/>
        <v>40</v>
      </c>
      <c r="AL72" s="744">
        <f t="shared" si="77"/>
        <v>12</v>
      </c>
      <c r="AM72" s="713" t="s">
        <v>645</v>
      </c>
      <c r="AN72" s="764"/>
      <c r="AO72" s="765"/>
      <c r="AP72" s="766"/>
      <c r="AQ72" s="766"/>
      <c r="AR72" s="713">
        <f t="shared" si="93"/>
        <v>0</v>
      </c>
      <c r="AS72" s="717">
        <f t="shared" si="54"/>
        <v>3000</v>
      </c>
      <c r="AT72" s="719">
        <f t="shared" si="55"/>
        <v>20</v>
      </c>
      <c r="AU72" s="745">
        <f t="shared" si="80"/>
        <v>28.71</v>
      </c>
      <c r="AV72" s="746">
        <f t="shared" si="57"/>
        <v>1820</v>
      </c>
      <c r="AW72" s="746">
        <f t="shared" si="58"/>
        <v>91</v>
      </c>
      <c r="AX72" s="746">
        <f t="shared" si="75"/>
        <v>0</v>
      </c>
      <c r="AY72" s="722">
        <f t="shared" si="81"/>
        <v>7</v>
      </c>
      <c r="AZ72" s="723">
        <f t="shared" si="82"/>
        <v>13</v>
      </c>
      <c r="BA72" s="723">
        <f t="shared" si="78"/>
        <v>91</v>
      </c>
      <c r="BB72" s="746">
        <f t="shared" si="83"/>
        <v>20</v>
      </c>
      <c r="BC72" s="746">
        <f t="shared" si="62"/>
        <v>1820</v>
      </c>
      <c r="BD72" s="722">
        <f t="shared" si="84"/>
        <v>116</v>
      </c>
      <c r="BE72" s="722">
        <f t="shared" si="85"/>
        <v>116</v>
      </c>
      <c r="BF72" s="723">
        <f t="shared" si="86"/>
        <v>83</v>
      </c>
      <c r="BG72" s="724" t="b">
        <f>ISODD('Transp-Packaging-AMS'!$BF72)</f>
        <v>1</v>
      </c>
      <c r="BH72" s="723">
        <f t="shared" si="66"/>
        <v>9628</v>
      </c>
      <c r="BI72" s="746">
        <f t="shared" si="87"/>
        <v>83</v>
      </c>
      <c r="BJ72" s="746">
        <f>'Transp-Packaging-AMS'!$BH72*'Transp-Packaging-AMS'!$BI72</f>
        <v>799124</v>
      </c>
      <c r="BK72" s="722">
        <f t="shared" si="88"/>
        <v>116</v>
      </c>
      <c r="BL72" s="722">
        <f t="shared" si="89"/>
        <v>97</v>
      </c>
      <c r="BM72" s="723">
        <f t="shared" si="90"/>
        <v>2</v>
      </c>
      <c r="BN72" s="724" t="b">
        <f>ISODD('Transp-Packaging-AMS'!$BM72)</f>
        <v>0</v>
      </c>
      <c r="BO72" s="723">
        <f t="shared" si="70"/>
        <v>232</v>
      </c>
      <c r="BP72" s="746">
        <f t="shared" si="91"/>
        <v>83</v>
      </c>
      <c r="BQ72" s="746">
        <f t="shared" si="76"/>
        <v>19256</v>
      </c>
      <c r="BR72" s="2117">
        <v>7</v>
      </c>
      <c r="BS72" s="746">
        <v>0.36</v>
      </c>
    </row>
    <row r="73" spans="5:71">
      <c r="W73" s="737" t="str">
        <f t="shared" si="72"/>
        <v/>
      </c>
      <c r="X73" s="726" t="str">
        <f t="shared" si="47"/>
        <v/>
      </c>
      <c r="Y73" s="1432">
        <f t="shared" si="48"/>
        <v>0</v>
      </c>
      <c r="Z73" s="728">
        <f t="shared" si="49"/>
        <v>1.7999999999999999E-2</v>
      </c>
      <c r="AA73" s="728">
        <v>1.86</v>
      </c>
      <c r="AB73" s="729" t="s">
        <v>665</v>
      </c>
      <c r="AC73" s="730" t="s">
        <v>450</v>
      </c>
      <c r="AD73" s="731">
        <v>23</v>
      </c>
      <c r="AE73" s="731" t="s">
        <v>666</v>
      </c>
      <c r="AF73" s="732">
        <v>360</v>
      </c>
      <c r="AG73" s="733" t="s">
        <v>671</v>
      </c>
      <c r="AH73" s="732">
        <f>4*(ROUNDDOWN(1000/$AF73,0))</f>
        <v>8</v>
      </c>
      <c r="AI73" s="732">
        <f>4*(ROUNDDOWN(1400/$AF73,0))</f>
        <v>12</v>
      </c>
      <c r="AJ73" s="732">
        <f t="shared" si="92"/>
        <v>16</v>
      </c>
      <c r="AK73" s="732">
        <f t="shared" si="92"/>
        <v>24</v>
      </c>
      <c r="AL73" s="734">
        <f t="shared" si="77"/>
        <v>12</v>
      </c>
      <c r="AM73" s="731" t="s">
        <v>645</v>
      </c>
      <c r="AN73" s="759"/>
      <c r="AO73" s="760"/>
      <c r="AP73" s="761"/>
      <c r="AQ73" s="761"/>
      <c r="AR73" s="731">
        <f t="shared" si="93"/>
        <v>0</v>
      </c>
      <c r="AS73" s="735">
        <f t="shared" si="54"/>
        <v>3000</v>
      </c>
      <c r="AT73" s="737">
        <f t="shared" si="55"/>
        <v>27</v>
      </c>
      <c r="AU73" s="751">
        <f t="shared" si="80"/>
        <v>38.714999999999996</v>
      </c>
      <c r="AV73" s="752">
        <f t="shared" si="57"/>
        <v>2457</v>
      </c>
      <c r="AW73" s="752">
        <f t="shared" si="58"/>
        <v>91</v>
      </c>
      <c r="AX73" s="752">
        <f t="shared" si="75"/>
        <v>0</v>
      </c>
      <c r="AY73" s="740">
        <f t="shared" si="81"/>
        <v>7</v>
      </c>
      <c r="AZ73" s="741">
        <f t="shared" si="82"/>
        <v>13</v>
      </c>
      <c r="BA73" s="741">
        <f t="shared" si="78"/>
        <v>91</v>
      </c>
      <c r="BB73" s="752">
        <f t="shared" si="83"/>
        <v>27</v>
      </c>
      <c r="BC73" s="752">
        <f t="shared" si="62"/>
        <v>2457</v>
      </c>
      <c r="BD73" s="740">
        <f t="shared" si="84"/>
        <v>116</v>
      </c>
      <c r="BE73" s="740">
        <f t="shared" si="85"/>
        <v>116</v>
      </c>
      <c r="BF73" s="741">
        <f t="shared" si="86"/>
        <v>83</v>
      </c>
      <c r="BG73" s="742" t="b">
        <f>ISODD('Transp-Packaging-AMS'!$BF73)</f>
        <v>1</v>
      </c>
      <c r="BH73" s="741">
        <f t="shared" si="66"/>
        <v>9628</v>
      </c>
      <c r="BI73" s="752">
        <f t="shared" si="87"/>
        <v>110</v>
      </c>
      <c r="BJ73" s="752">
        <f>'Transp-Packaging-AMS'!$BH73*'Transp-Packaging-AMS'!$BI73</f>
        <v>1059080</v>
      </c>
      <c r="BK73" s="740">
        <f t="shared" si="88"/>
        <v>116</v>
      </c>
      <c r="BL73" s="740">
        <f t="shared" si="89"/>
        <v>97</v>
      </c>
      <c r="BM73" s="741">
        <f t="shared" si="90"/>
        <v>2</v>
      </c>
      <c r="BN73" s="742" t="b">
        <f>ISODD('Transp-Packaging-AMS'!$BM73)</f>
        <v>0</v>
      </c>
      <c r="BO73" s="741">
        <f t="shared" si="70"/>
        <v>232</v>
      </c>
      <c r="BP73" s="752">
        <f t="shared" si="91"/>
        <v>110</v>
      </c>
      <c r="BQ73" s="752">
        <f t="shared" si="76"/>
        <v>25520</v>
      </c>
      <c r="BR73" s="2118">
        <v>7</v>
      </c>
      <c r="BS73" s="752">
        <v>0.36</v>
      </c>
    </row>
    <row r="74" spans="5:71">
      <c r="K74" s="762"/>
      <c r="L74" s="763"/>
      <c r="W74" s="719" t="str">
        <f t="shared" si="72"/>
        <v/>
      </c>
      <c r="X74" s="743" t="str">
        <f t="shared" si="47"/>
        <v/>
      </c>
      <c r="Y74" s="1431">
        <f>IFERROR(IF($L$11=$AF$27,AN74/AW74,IF($L$11=$AG$27,AR74/AW74,"")),10000)</f>
        <v>0</v>
      </c>
      <c r="Z74" s="710">
        <f t="shared" si="49"/>
        <v>3.5999999999999997E-2</v>
      </c>
      <c r="AA74" s="710">
        <v>1.52</v>
      </c>
      <c r="AB74" s="711" t="s">
        <v>665</v>
      </c>
      <c r="AC74" s="712" t="s">
        <v>450</v>
      </c>
      <c r="AD74" s="713">
        <v>20</v>
      </c>
      <c r="AE74" s="713" t="s">
        <v>672</v>
      </c>
      <c r="AF74" s="714">
        <v>150</v>
      </c>
      <c r="AG74" s="715" t="s">
        <v>673</v>
      </c>
      <c r="AH74" s="714">
        <f>2*(ROUNDDOWN(1000/$AF74,0))</f>
        <v>12</v>
      </c>
      <c r="AI74" s="714">
        <f>2*(ROUNDDOWN(1400/$AF74,0))</f>
        <v>18</v>
      </c>
      <c r="AJ74" s="714">
        <f t="shared" si="92"/>
        <v>24</v>
      </c>
      <c r="AK74" s="714">
        <f t="shared" si="92"/>
        <v>36</v>
      </c>
      <c r="AL74" s="744">
        <f t="shared" si="77"/>
        <v>12</v>
      </c>
      <c r="AM74" s="713" t="s">
        <v>645</v>
      </c>
      <c r="AN74" s="764"/>
      <c r="AO74" s="765"/>
      <c r="AP74" s="766"/>
      <c r="AQ74" s="766"/>
      <c r="AR74" s="713">
        <f t="shared" si="93"/>
        <v>0</v>
      </c>
      <c r="AS74" s="717">
        <f t="shared" si="54"/>
        <v>6000</v>
      </c>
      <c r="AT74" s="719">
        <f t="shared" si="55"/>
        <v>11</v>
      </c>
      <c r="AU74" s="745">
        <f t="shared" si="80"/>
        <v>34.190000000000005</v>
      </c>
      <c r="AV74" s="746">
        <f t="shared" si="57"/>
        <v>2178</v>
      </c>
      <c r="AW74" s="746">
        <f t="shared" si="58"/>
        <v>198</v>
      </c>
      <c r="AX74" s="746">
        <f t="shared" si="75"/>
        <v>0</v>
      </c>
      <c r="AY74" s="722">
        <f t="shared" si="81"/>
        <v>11</v>
      </c>
      <c r="AZ74" s="723">
        <f t="shared" si="82"/>
        <v>18</v>
      </c>
      <c r="BA74" s="723">
        <f t="shared" si="78"/>
        <v>198</v>
      </c>
      <c r="BB74" s="746">
        <f t="shared" si="83"/>
        <v>11</v>
      </c>
      <c r="BC74" s="746">
        <f t="shared" si="62"/>
        <v>2178</v>
      </c>
      <c r="BD74" s="722">
        <f t="shared" si="84"/>
        <v>184</v>
      </c>
      <c r="BE74" s="722">
        <f t="shared" si="85"/>
        <v>184</v>
      </c>
      <c r="BF74" s="723">
        <f t="shared" si="86"/>
        <v>116</v>
      </c>
      <c r="BG74" s="724" t="b">
        <f>ISODD('Transp-Packaging-AMS'!$BF74)</f>
        <v>0</v>
      </c>
      <c r="BH74" s="723">
        <f t="shared" si="66"/>
        <v>21344</v>
      </c>
      <c r="BI74" s="746">
        <f t="shared" si="87"/>
        <v>46</v>
      </c>
      <c r="BJ74" s="746">
        <f>'Transp-Packaging-AMS'!$BH74*'Transp-Packaging-AMS'!$BI74</f>
        <v>981824</v>
      </c>
      <c r="BK74" s="722">
        <f t="shared" si="88"/>
        <v>184</v>
      </c>
      <c r="BL74" s="722">
        <f t="shared" si="89"/>
        <v>165</v>
      </c>
      <c r="BM74" s="723">
        <f t="shared" si="90"/>
        <v>3</v>
      </c>
      <c r="BN74" s="724" t="b">
        <f>ISODD('Transp-Packaging-AMS'!$BM74)</f>
        <v>1</v>
      </c>
      <c r="BO74" s="723">
        <f t="shared" si="70"/>
        <v>552</v>
      </c>
      <c r="BP74" s="746">
        <f t="shared" si="91"/>
        <v>46</v>
      </c>
      <c r="BQ74" s="746">
        <f t="shared" si="76"/>
        <v>25392</v>
      </c>
      <c r="BR74" s="2117">
        <v>12</v>
      </c>
      <c r="BS74" s="746">
        <v>0.6</v>
      </c>
    </row>
    <row r="75" spans="5:71">
      <c r="W75" s="737" t="str">
        <f t="shared" si="72"/>
        <v/>
      </c>
      <c r="X75" s="726" t="str">
        <f t="shared" si="47"/>
        <v/>
      </c>
      <c r="Y75" s="1432">
        <f>IFERROR(IF($L$11=$AF$27,AN75/AW75,IF($L$11=$AG$27,AR75/AW75,"")),10000)</f>
        <v>0</v>
      </c>
      <c r="Z75" s="728">
        <f t="shared" si="49"/>
        <v>3.5999999999999997E-2</v>
      </c>
      <c r="AA75" s="728">
        <v>1.61</v>
      </c>
      <c r="AB75" s="729" t="s">
        <v>665</v>
      </c>
      <c r="AC75" s="730" t="s">
        <v>450</v>
      </c>
      <c r="AD75" s="731">
        <v>22</v>
      </c>
      <c r="AE75" s="731" t="s">
        <v>672</v>
      </c>
      <c r="AF75" s="732">
        <v>200</v>
      </c>
      <c r="AG75" s="733" t="s">
        <v>674</v>
      </c>
      <c r="AH75" s="732">
        <f>2*(ROUNDDOWN(1000/$AF75,0))</f>
        <v>10</v>
      </c>
      <c r="AI75" s="732">
        <f>2*(ROUNDDOWN(1400/$AF75,0))</f>
        <v>14</v>
      </c>
      <c r="AJ75" s="732">
        <f t="shared" si="92"/>
        <v>20</v>
      </c>
      <c r="AK75" s="732">
        <f t="shared" si="92"/>
        <v>28</v>
      </c>
      <c r="AL75" s="734">
        <f t="shared" si="77"/>
        <v>12</v>
      </c>
      <c r="AM75" s="731" t="s">
        <v>645</v>
      </c>
      <c r="AN75" s="759"/>
      <c r="AO75" s="760"/>
      <c r="AP75" s="761"/>
      <c r="AQ75" s="761"/>
      <c r="AR75" s="731">
        <f t="shared" si="93"/>
        <v>0</v>
      </c>
      <c r="AS75" s="735">
        <f t="shared" si="54"/>
        <v>6000</v>
      </c>
      <c r="AT75" s="737">
        <f t="shared" si="55"/>
        <v>15</v>
      </c>
      <c r="AU75" s="751">
        <f t="shared" si="80"/>
        <v>46.16</v>
      </c>
      <c r="AV75" s="752">
        <f t="shared" si="57"/>
        <v>2970</v>
      </c>
      <c r="AW75" s="752">
        <f t="shared" si="58"/>
        <v>198</v>
      </c>
      <c r="AX75" s="752">
        <f t="shared" si="75"/>
        <v>0</v>
      </c>
      <c r="AY75" s="740">
        <f t="shared" si="81"/>
        <v>11</v>
      </c>
      <c r="AZ75" s="741">
        <f t="shared" si="82"/>
        <v>18</v>
      </c>
      <c r="BA75" s="741">
        <f t="shared" si="78"/>
        <v>198</v>
      </c>
      <c r="BB75" s="752">
        <f t="shared" si="83"/>
        <v>15</v>
      </c>
      <c r="BC75" s="752">
        <f t="shared" si="62"/>
        <v>2970</v>
      </c>
      <c r="BD75" s="740">
        <f t="shared" si="84"/>
        <v>183</v>
      </c>
      <c r="BE75" s="740">
        <f t="shared" si="85"/>
        <v>183</v>
      </c>
      <c r="BF75" s="741">
        <f t="shared" si="86"/>
        <v>116</v>
      </c>
      <c r="BG75" s="742" t="b">
        <f>ISODD('Transp-Packaging-AMS'!$BF75)</f>
        <v>0</v>
      </c>
      <c r="BH75" s="741">
        <f t="shared" si="66"/>
        <v>21228</v>
      </c>
      <c r="BI75" s="752">
        <f t="shared" si="87"/>
        <v>61</v>
      </c>
      <c r="BJ75" s="752">
        <f>'Transp-Packaging-AMS'!$BH75*'Transp-Packaging-AMS'!$BI75</f>
        <v>1294908</v>
      </c>
      <c r="BK75" s="740">
        <f t="shared" si="88"/>
        <v>183</v>
      </c>
      <c r="BL75" s="740">
        <f t="shared" si="89"/>
        <v>164</v>
      </c>
      <c r="BM75" s="741">
        <f t="shared" si="90"/>
        <v>3</v>
      </c>
      <c r="BN75" s="742" t="b">
        <f>ISODD('Transp-Packaging-AMS'!$BM75)</f>
        <v>1</v>
      </c>
      <c r="BO75" s="741">
        <f t="shared" si="70"/>
        <v>549</v>
      </c>
      <c r="BP75" s="752">
        <f t="shared" si="91"/>
        <v>61</v>
      </c>
      <c r="BQ75" s="752">
        <f t="shared" si="76"/>
        <v>33489</v>
      </c>
      <c r="BR75" s="2118">
        <v>12</v>
      </c>
      <c r="BS75" s="752">
        <v>0.6</v>
      </c>
    </row>
    <row r="76" spans="5:71">
      <c r="K76" s="762"/>
      <c r="L76" s="763"/>
      <c r="W76" s="719" t="str">
        <f t="shared" si="72"/>
        <v/>
      </c>
      <c r="X76" s="743" t="str">
        <f t="shared" si="47"/>
        <v/>
      </c>
      <c r="Y76" s="1431">
        <f>IFERROR(IF($L$11=$AF$27,AN76/AW76,IF($L$11=$AG$27,AR76/AW76,"")),10000)</f>
        <v>0</v>
      </c>
      <c r="Z76" s="710">
        <f t="shared" si="49"/>
        <v>3.5999999999999997E-2</v>
      </c>
      <c r="AA76" s="710">
        <v>2</v>
      </c>
      <c r="AB76" s="711" t="s">
        <v>665</v>
      </c>
      <c r="AC76" s="712" t="s">
        <v>450</v>
      </c>
      <c r="AD76" s="713">
        <v>26</v>
      </c>
      <c r="AE76" s="713" t="s">
        <v>672</v>
      </c>
      <c r="AF76" s="714">
        <v>270</v>
      </c>
      <c r="AG76" s="715" t="s">
        <v>675</v>
      </c>
      <c r="AH76" s="714">
        <f>2*(ROUNDDOWN(1000/$AF76,0))</f>
        <v>6</v>
      </c>
      <c r="AI76" s="714">
        <f>2*(ROUNDDOWN(1400/$AF76,0))</f>
        <v>10</v>
      </c>
      <c r="AJ76" s="714">
        <f t="shared" si="92"/>
        <v>12</v>
      </c>
      <c r="AK76" s="714">
        <f t="shared" si="92"/>
        <v>20</v>
      </c>
      <c r="AL76" s="744">
        <f t="shared" si="77"/>
        <v>12</v>
      </c>
      <c r="AM76" s="713" t="s">
        <v>645</v>
      </c>
      <c r="AN76" s="764"/>
      <c r="AO76" s="765"/>
      <c r="AP76" s="766"/>
      <c r="AQ76" s="766"/>
      <c r="AR76" s="713">
        <f t="shared" si="93"/>
        <v>0</v>
      </c>
      <c r="AS76" s="717">
        <f t="shared" si="54"/>
        <v>6000</v>
      </c>
      <c r="AT76" s="719">
        <f t="shared" si="55"/>
        <v>22</v>
      </c>
      <c r="AU76" s="745">
        <f t="shared" si="80"/>
        <v>67.34</v>
      </c>
      <c r="AV76" s="746">
        <f t="shared" si="57"/>
        <v>4356</v>
      </c>
      <c r="AW76" s="746">
        <f t="shared" si="58"/>
        <v>198</v>
      </c>
      <c r="AX76" s="746">
        <f t="shared" si="75"/>
        <v>0</v>
      </c>
      <c r="AY76" s="722">
        <f t="shared" si="81"/>
        <v>11</v>
      </c>
      <c r="AZ76" s="723">
        <f t="shared" si="82"/>
        <v>18</v>
      </c>
      <c r="BA76" s="723">
        <f t="shared" si="78"/>
        <v>198</v>
      </c>
      <c r="BB76" s="746">
        <f t="shared" si="83"/>
        <v>22</v>
      </c>
      <c r="BC76" s="746">
        <f t="shared" si="62"/>
        <v>4356</v>
      </c>
      <c r="BD76" s="722">
        <f t="shared" si="84"/>
        <v>183</v>
      </c>
      <c r="BE76" s="722">
        <f t="shared" si="85"/>
        <v>183</v>
      </c>
      <c r="BF76" s="723">
        <f t="shared" si="86"/>
        <v>116</v>
      </c>
      <c r="BG76" s="724" t="b">
        <f>ISODD('Transp-Packaging-AMS'!$BF76)</f>
        <v>0</v>
      </c>
      <c r="BH76" s="723">
        <f t="shared" si="66"/>
        <v>21228</v>
      </c>
      <c r="BI76" s="746">
        <f t="shared" si="87"/>
        <v>88</v>
      </c>
      <c r="BJ76" s="746">
        <f>'Transp-Packaging-AMS'!$BH76*'Transp-Packaging-AMS'!$BI76</f>
        <v>1868064</v>
      </c>
      <c r="BK76" s="722">
        <f t="shared" si="88"/>
        <v>183</v>
      </c>
      <c r="BL76" s="722">
        <f t="shared" si="89"/>
        <v>164</v>
      </c>
      <c r="BM76" s="723">
        <f t="shared" si="90"/>
        <v>3</v>
      </c>
      <c r="BN76" s="724" t="b">
        <f>ISODD('Transp-Packaging-AMS'!$BM76)</f>
        <v>1</v>
      </c>
      <c r="BO76" s="723">
        <f t="shared" si="70"/>
        <v>549</v>
      </c>
      <c r="BP76" s="746">
        <f t="shared" si="91"/>
        <v>88</v>
      </c>
      <c r="BQ76" s="746">
        <f t="shared" si="76"/>
        <v>48312</v>
      </c>
      <c r="BR76" s="2117">
        <v>12</v>
      </c>
      <c r="BS76" s="746">
        <v>0.6</v>
      </c>
    </row>
    <row r="77" spans="5:71">
      <c r="W77" s="737" t="str">
        <f t="shared" si="72"/>
        <v/>
      </c>
      <c r="X77" s="726" t="str">
        <f t="shared" si="47"/>
        <v/>
      </c>
      <c r="Y77" s="1432">
        <f>IFERROR(IF($L$11=$AF$27,AN77/AW77,IF($L$11=$AG$27,AR77/AW77,"")),10000)</f>
        <v>0</v>
      </c>
      <c r="Z77" s="728">
        <f t="shared" si="49"/>
        <v>3.5999999999999997E-2</v>
      </c>
      <c r="AA77" s="728">
        <v>2.08</v>
      </c>
      <c r="AB77" s="729" t="s">
        <v>665</v>
      </c>
      <c r="AC77" s="730" t="s">
        <v>450</v>
      </c>
      <c r="AD77" s="731">
        <v>27</v>
      </c>
      <c r="AE77" s="731" t="s">
        <v>672</v>
      </c>
      <c r="AF77" s="732">
        <v>290</v>
      </c>
      <c r="AG77" s="733" t="s">
        <v>676</v>
      </c>
      <c r="AH77" s="732">
        <f>2*(ROUNDDOWN(1000/$AF77,0))</f>
        <v>6</v>
      </c>
      <c r="AI77" s="732">
        <f>2*(ROUNDDOWN(1400/$AF77,0))</f>
        <v>8</v>
      </c>
      <c r="AJ77" s="732">
        <f t="shared" si="92"/>
        <v>12</v>
      </c>
      <c r="AK77" s="732">
        <f t="shared" si="92"/>
        <v>16</v>
      </c>
      <c r="AL77" s="734">
        <f t="shared" si="77"/>
        <v>12</v>
      </c>
      <c r="AM77" s="731" t="s">
        <v>645</v>
      </c>
      <c r="AN77" s="759"/>
      <c r="AO77" s="760"/>
      <c r="AP77" s="761"/>
      <c r="AQ77" s="761"/>
      <c r="AR77" s="731">
        <f t="shared" si="93"/>
        <v>0</v>
      </c>
      <c r="AS77" s="735">
        <f t="shared" si="54"/>
        <v>6000</v>
      </c>
      <c r="AT77" s="737">
        <f t="shared" si="55"/>
        <v>23</v>
      </c>
      <c r="AU77" s="751">
        <f t="shared" si="80"/>
        <v>70.39</v>
      </c>
      <c r="AV77" s="752">
        <f t="shared" si="57"/>
        <v>4554</v>
      </c>
      <c r="AW77" s="752">
        <f t="shared" si="58"/>
        <v>198</v>
      </c>
      <c r="AX77" s="752">
        <f t="shared" si="75"/>
        <v>0</v>
      </c>
      <c r="AY77" s="740">
        <f t="shared" si="81"/>
        <v>11</v>
      </c>
      <c r="AZ77" s="741">
        <f t="shared" si="82"/>
        <v>18</v>
      </c>
      <c r="BA77" s="741">
        <f t="shared" si="78"/>
        <v>198</v>
      </c>
      <c r="BB77" s="752">
        <f t="shared" si="83"/>
        <v>23</v>
      </c>
      <c r="BC77" s="752">
        <f t="shared" si="62"/>
        <v>4554</v>
      </c>
      <c r="BD77" s="740">
        <f t="shared" si="84"/>
        <v>183</v>
      </c>
      <c r="BE77" s="740">
        <f t="shared" si="85"/>
        <v>183</v>
      </c>
      <c r="BF77" s="741">
        <f t="shared" si="86"/>
        <v>116</v>
      </c>
      <c r="BG77" s="742" t="b">
        <f>ISODD('Transp-Packaging-AMS'!$BF77)</f>
        <v>0</v>
      </c>
      <c r="BH77" s="741">
        <f t="shared" si="66"/>
        <v>21228</v>
      </c>
      <c r="BI77" s="752">
        <f t="shared" si="87"/>
        <v>95</v>
      </c>
      <c r="BJ77" s="752">
        <f>'Transp-Packaging-AMS'!$BH77*'Transp-Packaging-AMS'!$BI77</f>
        <v>2016660</v>
      </c>
      <c r="BK77" s="740">
        <f t="shared" si="88"/>
        <v>183</v>
      </c>
      <c r="BL77" s="740">
        <f t="shared" si="89"/>
        <v>164</v>
      </c>
      <c r="BM77" s="741">
        <f t="shared" si="90"/>
        <v>3</v>
      </c>
      <c r="BN77" s="742" t="b">
        <f>ISODD('Transp-Packaging-AMS'!$BM77)</f>
        <v>1</v>
      </c>
      <c r="BO77" s="741">
        <f t="shared" si="70"/>
        <v>549</v>
      </c>
      <c r="BP77" s="752">
        <f t="shared" si="91"/>
        <v>95</v>
      </c>
      <c r="BQ77" s="752">
        <f t="shared" si="76"/>
        <v>52155</v>
      </c>
      <c r="BR77" s="2118">
        <v>12</v>
      </c>
      <c r="BS77" s="752">
        <v>0.6</v>
      </c>
    </row>
    <row r="78" spans="5:71">
      <c r="W78" s="719" t="str">
        <f t="shared" si="72"/>
        <v/>
      </c>
      <c r="X78" s="743" t="str">
        <f t="shared" si="47"/>
        <v/>
      </c>
      <c r="Y78" s="1431">
        <f>IFERROR(IF($L$11=$AF$27,AN78/AW78,IF($L$11=$AG$27,AR78/AW78,"")),10000)</f>
        <v>0</v>
      </c>
      <c r="Z78" s="710">
        <f t="shared" si="49"/>
        <v>3.5999999999999997E-2</v>
      </c>
      <c r="AA78" s="710">
        <v>2.2999999999999998</v>
      </c>
      <c r="AB78" s="711" t="s">
        <v>665</v>
      </c>
      <c r="AC78" s="712" t="s">
        <v>450</v>
      </c>
      <c r="AD78" s="713">
        <v>32</v>
      </c>
      <c r="AE78" s="713" t="s">
        <v>672</v>
      </c>
      <c r="AF78" s="714">
        <v>320</v>
      </c>
      <c r="AG78" s="715" t="s">
        <v>677</v>
      </c>
      <c r="AH78" s="714">
        <f>2*(ROUNDDOWN(1000/$AF78,0))</f>
        <v>6</v>
      </c>
      <c r="AI78" s="714">
        <f>2*(ROUNDDOWN(1400/$AF78,0))</f>
        <v>8</v>
      </c>
      <c r="AJ78" s="714">
        <f t="shared" si="92"/>
        <v>12</v>
      </c>
      <c r="AK78" s="714">
        <f t="shared" si="92"/>
        <v>16</v>
      </c>
      <c r="AL78" s="744">
        <f t="shared" si="77"/>
        <v>12</v>
      </c>
      <c r="AM78" s="713" t="s">
        <v>645</v>
      </c>
      <c r="AN78" s="764"/>
      <c r="AO78" s="765"/>
      <c r="AP78" s="766"/>
      <c r="AQ78" s="766"/>
      <c r="AR78" s="713">
        <f t="shared" si="93"/>
        <v>0</v>
      </c>
      <c r="AS78" s="717">
        <f t="shared" si="54"/>
        <v>6000</v>
      </c>
      <c r="AT78" s="719">
        <f t="shared" si="55"/>
        <v>25</v>
      </c>
      <c r="AU78" s="745">
        <f t="shared" si="80"/>
        <v>76.55</v>
      </c>
      <c r="AV78" s="746">
        <f t="shared" si="57"/>
        <v>4950</v>
      </c>
      <c r="AW78" s="746">
        <f t="shared" si="58"/>
        <v>198</v>
      </c>
      <c r="AX78" s="746">
        <f t="shared" si="75"/>
        <v>0</v>
      </c>
      <c r="AY78" s="722">
        <f t="shared" si="81"/>
        <v>11</v>
      </c>
      <c r="AZ78" s="723">
        <f t="shared" si="82"/>
        <v>18</v>
      </c>
      <c r="BA78" s="723">
        <f t="shared" si="78"/>
        <v>198</v>
      </c>
      <c r="BB78" s="746">
        <f t="shared" si="83"/>
        <v>25</v>
      </c>
      <c r="BC78" s="746">
        <f t="shared" si="62"/>
        <v>4950</v>
      </c>
      <c r="BD78" s="722">
        <f t="shared" si="84"/>
        <v>182</v>
      </c>
      <c r="BE78" s="722">
        <f t="shared" si="85"/>
        <v>182</v>
      </c>
      <c r="BF78" s="723">
        <f t="shared" si="86"/>
        <v>115</v>
      </c>
      <c r="BG78" s="724" t="b">
        <f>ISODD('Transp-Packaging-AMS'!$BF78)</f>
        <v>1</v>
      </c>
      <c r="BH78" s="723">
        <f t="shared" si="66"/>
        <v>20930</v>
      </c>
      <c r="BI78" s="746">
        <f t="shared" si="87"/>
        <v>101</v>
      </c>
      <c r="BJ78" s="746">
        <f>'Transp-Packaging-AMS'!$BH78*'Transp-Packaging-AMS'!$BI78</f>
        <v>2113930</v>
      </c>
      <c r="BK78" s="722">
        <f t="shared" si="88"/>
        <v>182</v>
      </c>
      <c r="BL78" s="722">
        <f t="shared" si="89"/>
        <v>163</v>
      </c>
      <c r="BM78" s="723">
        <f t="shared" si="90"/>
        <v>3</v>
      </c>
      <c r="BN78" s="724" t="b">
        <f>ISODD('Transp-Packaging-AMS'!$BM78)</f>
        <v>1</v>
      </c>
      <c r="BO78" s="723">
        <f t="shared" si="70"/>
        <v>546</v>
      </c>
      <c r="BP78" s="746">
        <f t="shared" si="91"/>
        <v>101</v>
      </c>
      <c r="BQ78" s="746">
        <f t="shared" si="76"/>
        <v>55146</v>
      </c>
      <c r="BR78" s="2117">
        <v>12</v>
      </c>
      <c r="BS78" s="746">
        <v>0.6</v>
      </c>
    </row>
    <row r="79" spans="5:71">
      <c r="W79" s="2126"/>
      <c r="X79" s="2123"/>
      <c r="Y79" s="2123"/>
      <c r="Z79" s="2123"/>
      <c r="AA79" s="2127"/>
      <c r="AB79" s="2119"/>
      <c r="AC79" s="2128"/>
      <c r="AD79" s="2123"/>
      <c r="AE79" s="2123"/>
      <c r="AF79" s="2129"/>
      <c r="AG79" s="2130"/>
      <c r="AH79" s="2129"/>
      <c r="AI79" s="2129"/>
      <c r="AJ79" s="2129"/>
      <c r="AK79" s="2129"/>
      <c r="AL79" s="2131"/>
      <c r="AM79" s="2123"/>
      <c r="AN79" s="2123"/>
      <c r="AO79" s="1748"/>
      <c r="AP79" s="2132"/>
      <c r="AQ79" s="2132"/>
      <c r="AR79" s="2123"/>
      <c r="AS79" s="1748"/>
      <c r="AT79" s="2126"/>
      <c r="AU79" s="2133"/>
      <c r="AV79" s="66"/>
      <c r="AW79" s="66"/>
      <c r="AX79" s="66"/>
      <c r="AY79" s="777"/>
      <c r="AZ79" s="69"/>
      <c r="BA79" s="69"/>
      <c r="BB79" s="66"/>
      <c r="BC79" s="66"/>
      <c r="BD79" s="777"/>
      <c r="BE79" s="777"/>
      <c r="BF79" s="69"/>
      <c r="BH79" s="69"/>
      <c r="BI79" s="66"/>
      <c r="BJ79" s="66"/>
      <c r="BK79" s="777"/>
      <c r="BL79" s="777"/>
      <c r="BM79" s="69"/>
      <c r="BN79" s="69"/>
      <c r="BO79" s="69"/>
      <c r="BP79" s="66"/>
      <c r="BQ79" s="66"/>
    </row>
    <row r="80" spans="5:71">
      <c r="W80" s="777"/>
      <c r="X80" s="69"/>
      <c r="Y80" s="69"/>
      <c r="Z80" s="69"/>
      <c r="AA80" s="2134"/>
      <c r="AB80" s="2119"/>
      <c r="AC80" s="2128"/>
      <c r="AD80" s="2123"/>
      <c r="AE80" s="69"/>
      <c r="AF80" s="69"/>
      <c r="AG80" s="2130"/>
      <c r="AH80" s="69"/>
      <c r="AI80" s="2135"/>
      <c r="AJ80" s="69"/>
      <c r="AK80" s="69"/>
      <c r="AL80" s="2123"/>
      <c r="AM80" s="2123"/>
      <c r="AN80" s="2123"/>
      <c r="AO80" s="1748"/>
      <c r="AP80" s="2132"/>
      <c r="AQ80" s="2132"/>
      <c r="AR80" s="2123"/>
      <c r="AS80" s="2123"/>
      <c r="AT80" s="2132"/>
      <c r="AU80" s="69"/>
      <c r="AV80" s="69"/>
      <c r="AW80" s="69"/>
      <c r="AX80" s="69"/>
      <c r="AY80" s="777"/>
      <c r="AZ80" s="69"/>
      <c r="BA80" s="69"/>
      <c r="BB80" s="69"/>
      <c r="BC80" s="69"/>
      <c r="BD80" s="777"/>
      <c r="BE80" s="777"/>
      <c r="BF80" s="69"/>
      <c r="BG80" s="66"/>
      <c r="BH80" s="69"/>
      <c r="BI80" s="69"/>
      <c r="BJ80" s="69"/>
      <c r="BK80" s="777"/>
      <c r="BL80" s="777"/>
      <c r="BM80" s="69"/>
      <c r="BN80" s="66"/>
      <c r="BO80" s="69"/>
      <c r="BP80" s="69"/>
      <c r="BQ80" s="69"/>
    </row>
    <row r="81" spans="4:51">
      <c r="X81" s="69"/>
      <c r="Y81" s="69"/>
      <c r="Z81" s="768"/>
      <c r="AA81" s="69"/>
      <c r="AB81" s="983"/>
      <c r="AC81" s="2119"/>
      <c r="AD81" s="2120"/>
      <c r="AE81" s="69"/>
      <c r="AF81" s="69"/>
      <c r="AG81" s="2121"/>
      <c r="AI81" s="2122"/>
      <c r="AL81" s="2123"/>
      <c r="AM81" s="2123"/>
      <c r="AN81" s="777"/>
      <c r="AO81" s="777"/>
      <c r="AP81" s="69"/>
      <c r="AR81" s="69"/>
      <c r="AS81" s="69"/>
      <c r="AT81" s="2124"/>
      <c r="AU81" s="2124"/>
      <c r="AV81" s="2124"/>
      <c r="AW81" s="2124"/>
      <c r="AX81" s="2124"/>
      <c r="AY81" s="2125"/>
    </row>
    <row r="82" spans="4:51">
      <c r="AK82" s="769"/>
      <c r="AL82" s="770"/>
      <c r="AM82" s="769"/>
      <c r="AN82" s="769"/>
      <c r="AO82" s="769"/>
      <c r="AP82" s="771"/>
      <c r="AQ82" s="772"/>
      <c r="AR82" s="773"/>
      <c r="AS82" s="773"/>
      <c r="AT82" s="774"/>
      <c r="AU82" s="775"/>
      <c r="AV82" s="769"/>
      <c r="AW82" s="769"/>
      <c r="AX82" s="769"/>
      <c r="AY82" s="776"/>
    </row>
    <row r="83" spans="4:51" ht="43.2">
      <c r="W83" s="682"/>
      <c r="X83" s="682" t="s">
        <v>678</v>
      </c>
      <c r="Y83" s="682" t="s">
        <v>679</v>
      </c>
      <c r="Z83" s="682"/>
      <c r="AA83" s="494"/>
      <c r="AB83" s="681" t="s">
        <v>266</v>
      </c>
      <c r="AC83" s="701" t="s">
        <v>680</v>
      </c>
      <c r="AD83" s="682" t="s">
        <v>612</v>
      </c>
      <c r="AE83" s="682" t="s">
        <v>681</v>
      </c>
      <c r="AF83" s="682" t="s">
        <v>682</v>
      </c>
      <c r="AG83" s="682" t="s">
        <v>619</v>
      </c>
      <c r="AH83" s="682" t="s">
        <v>620</v>
      </c>
      <c r="AI83" s="682" t="s">
        <v>683</v>
      </c>
      <c r="AJ83" s="699" t="s">
        <v>684</v>
      </c>
      <c r="AK83" s="699" t="s">
        <v>685</v>
      </c>
      <c r="AL83" s="699" t="s">
        <v>686</v>
      </c>
      <c r="AM83" s="699" t="s">
        <v>687</v>
      </c>
      <c r="AN83" s="699" t="s">
        <v>688</v>
      </c>
      <c r="AO83" s="777"/>
      <c r="AP83" s="69"/>
      <c r="AR83" s="490" t="s">
        <v>275</v>
      </c>
      <c r="AS83" s="66" t="s">
        <v>276</v>
      </c>
      <c r="AT83" s="490" t="s">
        <v>689</v>
      </c>
      <c r="AU83" s="66"/>
      <c r="AV83" s="66"/>
      <c r="AW83" s="66"/>
      <c r="AX83" s="66"/>
      <c r="AY83" s="778"/>
    </row>
    <row r="84" spans="4:51" ht="15" thickBot="1">
      <c r="W84" s="731" t="b">
        <f>AND(OR($AD$3="Oversea",L8="YES"),IF($L$12="1m",$L$5*1000&lt;AE84,$L$5*1000&lt;AF84))</f>
        <v>0</v>
      </c>
      <c r="X84" s="731">
        <v>6</v>
      </c>
      <c r="Y84" s="1922">
        <f>AC84/AN84</f>
        <v>4.1166666666666668E-4</v>
      </c>
      <c r="Z84" s="731"/>
      <c r="AA84" s="729" t="s">
        <v>690</v>
      </c>
      <c r="AB84" s="730" t="s">
        <v>691</v>
      </c>
      <c r="AC84" s="731">
        <v>6.5</v>
      </c>
      <c r="AD84" s="731" t="s">
        <v>692</v>
      </c>
      <c r="AE84" s="779">
        <f>VLOOKUP(1,$W$62:$BQ$78,12,FALSE)*VLOOKUP(1,$W$62:$AX$78,26,FALSE)</f>
        <v>38400</v>
      </c>
      <c r="AF84" s="779">
        <f>VLOOKUP(1,$W$62:$BQ$78,13,FALSE)*VLOOKUP(1,$W$62:$AX$78,26,FALSE)</f>
        <v>48000</v>
      </c>
      <c r="AG84" s="1735">
        <v>250</v>
      </c>
      <c r="AH84" s="731" t="s">
        <v>645</v>
      </c>
      <c r="AI84" s="780" t="s">
        <v>693</v>
      </c>
      <c r="AJ84" s="1735">
        <f>VLOOKUP(1,$W$62:$AU$78,25,FALSE)*VLOOKUP(1,$W$62:$AU$78,12,FALSE)</f>
        <v>608</v>
      </c>
      <c r="AK84" s="1735">
        <f>VLOOKUP(1,$W$62:$AU$78,25,FALSE)*VLOOKUP(1,$W$62:$AU$78,13,FALSE)</f>
        <v>760</v>
      </c>
      <c r="AL84" s="1741">
        <f>IF($L$12=$AF$28,IF(AJ84&gt;AG84,VLOOKUP(1,$W$62:$AV$78,12,FALSE)/AJ84*AG84,VLOOKUP(1,$W$62:$AV$78,12,FALSE)),IF(AK84&gt;AG84,VLOOKUP(1,$W$62:$AV$78,13,FALSE)/AK84*AG84,VLOOKUP(1,$W$62:$AV$78,13,FALSE)))</f>
        <v>26.315789473684209</v>
      </c>
      <c r="AM84" s="1741">
        <f>VLOOKUP(1,$W$62:$AV$78,25,FALSE)*AL84</f>
        <v>249.99999999999997</v>
      </c>
      <c r="AN84" s="1741">
        <f>IF($L$12=$AF$28,IF(VLOOKUP(1,$W$62:$AV$78,12,FALSE)&gt;AL84,AL84*VLOOKUP(1,$W$62:$AV$78,26,FALSE),AF84),IF(VLOOKUP(1,$W$62:$AV$78,13,FALSE)&gt;AL84,AL84*VLOOKUP(1,$W$62:$AV$78,26,FALSE),AF84))</f>
        <v>15789.473684210525</v>
      </c>
      <c r="AO84" s="777"/>
      <c r="AP84" s="69"/>
      <c r="AR84" s="490" t="str">
        <f>'Financials Parameters'!I5</f>
        <v>Frankfurt</v>
      </c>
      <c r="AS84" s="66"/>
      <c r="AT84" s="490" t="str">
        <f>AR84</f>
        <v>Frankfurt</v>
      </c>
      <c r="AX84" s="66"/>
      <c r="AY84" s="778"/>
    </row>
    <row r="85" spans="4:51" ht="18.600000000000001" thickBot="1">
      <c r="D85" s="2441" t="s">
        <v>694</v>
      </c>
      <c r="E85" s="2442"/>
      <c r="F85" s="2442"/>
      <c r="G85" s="2442"/>
      <c r="H85" s="2442"/>
      <c r="I85" s="2442"/>
      <c r="J85" s="2442"/>
      <c r="K85" s="2442"/>
      <c r="L85" s="2442"/>
      <c r="M85" s="2442"/>
      <c r="N85" s="2442"/>
      <c r="O85" s="2442"/>
      <c r="P85" s="2442"/>
      <c r="Q85" s="2442"/>
      <c r="R85" s="2442"/>
      <c r="S85" s="2443"/>
      <c r="W85" s="713" t="b">
        <f>AND(OR($AD$3="Oversea",L8="YES"),IF($L$12="1m",$L$5*1000&gt;AE84,$L$5*1000&gt;AF84))</f>
        <v>0</v>
      </c>
      <c r="X85" s="713">
        <v>12</v>
      </c>
      <c r="Y85" s="1923">
        <f t="shared" ref="Y85:Y87" si="94">AC85/AN85</f>
        <v>1.7812500000000001E-4</v>
      </c>
      <c r="Z85" s="713"/>
      <c r="AA85" s="711" t="s">
        <v>695</v>
      </c>
      <c r="AB85" s="712" t="s">
        <v>691</v>
      </c>
      <c r="AC85" s="713">
        <v>9</v>
      </c>
      <c r="AD85" s="713" t="s">
        <v>696</v>
      </c>
      <c r="AE85" s="767">
        <f>VLOOKUP(1,$W$62:$BQ$78,14,FALSE)*VLOOKUP(1,$W$62:$AX$78,26,FALSE)</f>
        <v>76800</v>
      </c>
      <c r="AF85" s="767">
        <f>VLOOKUP(1,$W$62:$BQ$78,15,FALSE)*VLOOKUP(1,$W$62:$AX$78,26,FALSE)</f>
        <v>96000</v>
      </c>
      <c r="AG85" s="1736">
        <v>800</v>
      </c>
      <c r="AH85" s="713" t="s">
        <v>645</v>
      </c>
      <c r="AI85" s="781" t="s">
        <v>693</v>
      </c>
      <c r="AJ85" s="1736">
        <f>VLOOKUP(1,$W$62:$AU$78,25,FALSE)*VLOOKUP(1,$W$62:$AU$78,14,FALSE)</f>
        <v>1216</v>
      </c>
      <c r="AK85" s="1736">
        <f>VLOOKUP(1,$W$62:$AU$78,25,FALSE)*VLOOKUP(1,$W$62:$AU$78,15,FALSE)</f>
        <v>1520</v>
      </c>
      <c r="AL85" s="1742">
        <f>IF($L$12=$AF$28,IF(AJ85&gt;AG85,VLOOKUP(1,$W$62:$AV$78,14,FALSE)/AJ85*AG85,VLOOKUP(1,$W$62:$AV$78,14,FALSE)),IF(AK85&gt;AG85,VLOOKUP(1,$W$62:$AV$78,15,FALSE)/AK85*AG85,VLOOKUP(1,$W$62:$AV$78,15,FALSE)))</f>
        <v>84.210526315789465</v>
      </c>
      <c r="AM85" s="1742">
        <f t="shared" ref="AM85:AM86" si="95">VLOOKUP(1,$W$62:$AV$78,25,FALSE)*AL85</f>
        <v>799.99999999999989</v>
      </c>
      <c r="AN85" s="1742">
        <f>IF($L$12=$AF$28,IF(VLOOKUP(1,$W$62:$AV$78,14,FALSE)&gt;AL85,AL85*VLOOKUP(1,$W$62:$AV$78,26,FALSE),AF85),IF(VLOOKUP(1,$W$62:$AV$78,15,FALSE)&gt;AL85,AL85*VLOOKUP(1,$W$62:$AV$78,26,FALSE),AF85))</f>
        <v>50526.31578947368</v>
      </c>
      <c r="AO85" s="777"/>
      <c r="AP85" s="69"/>
      <c r="AR85" s="490" t="str">
        <f>'Financials Parameters'!I6</f>
        <v>Poitiers</v>
      </c>
      <c r="AS85" s="66"/>
      <c r="AT85" s="490" t="str">
        <f t="shared" ref="AT85:AT95" si="96">AR85</f>
        <v>Poitiers</v>
      </c>
      <c r="AX85" s="66"/>
      <c r="AY85" s="778"/>
    </row>
    <row r="86" spans="4:51" ht="21.6" thickBot="1">
      <c r="D86" s="2444" t="s">
        <v>697</v>
      </c>
      <c r="E86" s="2445"/>
      <c r="F86" s="2445"/>
      <c r="G86" s="2445"/>
      <c r="H86" s="2446"/>
      <c r="I86" s="2447" t="s">
        <v>698</v>
      </c>
      <c r="J86" s="2448"/>
      <c r="K86" s="2448"/>
      <c r="L86" s="2448"/>
      <c r="M86" s="2449"/>
      <c r="N86" s="2447" t="s">
        <v>699</v>
      </c>
      <c r="O86" s="2448"/>
      <c r="P86" s="2448"/>
      <c r="Q86" s="2448"/>
      <c r="R86" s="2448"/>
      <c r="S86" s="2449"/>
      <c r="W86" s="731" t="b">
        <f>AND(AND($AD$3="",L8="NO"),IF($L$12="1m",$L$5*1000&lt;AE86,$L$5*1000&lt;AF86))</f>
        <v>1</v>
      </c>
      <c r="X86" s="731">
        <v>2.5</v>
      </c>
      <c r="Y86" s="1922">
        <f t="shared" si="94"/>
        <v>3.166666666666667E-4</v>
      </c>
      <c r="Z86" s="731"/>
      <c r="AA86" s="729" t="s">
        <v>700</v>
      </c>
      <c r="AB86" s="730" t="s">
        <v>691</v>
      </c>
      <c r="AC86" s="731">
        <v>5</v>
      </c>
      <c r="AD86" s="731" t="s">
        <v>692</v>
      </c>
      <c r="AE86" s="779">
        <f>VLOOKUP(1,$W$62:$BQ$78,12,FALSE)*VLOOKUP(1,$W$62:$AX$78,26,FALSE)</f>
        <v>38400</v>
      </c>
      <c r="AF86" s="782">
        <f>VLOOKUP(1,$W$62:$BQ$78,13,FALSE)*VLOOKUP(1,$W$62:$AX$78,26,FALSE)</f>
        <v>48000</v>
      </c>
      <c r="AG86" s="1735">
        <v>250</v>
      </c>
      <c r="AH86" s="731" t="s">
        <v>701</v>
      </c>
      <c r="AI86" s="780" t="s">
        <v>693</v>
      </c>
      <c r="AJ86" s="1735">
        <f>VLOOKUP(1,$W$62:$AU$78,25,FALSE)*VLOOKUP(1,$W$62:$AU$78,12,FALSE)</f>
        <v>608</v>
      </c>
      <c r="AK86" s="1735">
        <f>VLOOKUP(1,$W$62:$AU$78,25,FALSE)*VLOOKUP(1,$W$62:$AU$78,13,FALSE)</f>
        <v>760</v>
      </c>
      <c r="AL86" s="1741">
        <f>IF($L$12=$AF$28,IF(AJ86&gt;AG86,VLOOKUP(1,$W$62:$AV$78,12,FALSE)/AJ86*AG86,VLOOKUP(1,$W$62:$AV$78,12,FALSE)),IF(AK86&gt;AG86,VLOOKUP(1,$W$62:$AV$78,13,FALSE)/AK86*AG86,VLOOKUP(1,$W$62:$AV$78,13,FALSE)))</f>
        <v>26.315789473684209</v>
      </c>
      <c r="AM86" s="1741">
        <f t="shared" si="95"/>
        <v>249.99999999999997</v>
      </c>
      <c r="AN86" s="1741">
        <f>IF($L$12=$AF$28,IF(VLOOKUP(1,$W$62:$AV$78,12,FALSE)&gt;AL86,AL86*VLOOKUP(1,$W$62:$AV$78,26,FALSE),AF86),IF(VLOOKUP(1,$W$62:$AV$78,13,FALSE)&gt;AL86,AL86*VLOOKUP(1,$W$62:$AV$78,26,FALSE),AF86))</f>
        <v>15789.473684210525</v>
      </c>
      <c r="AO86" s="777"/>
      <c r="AP86" s="69"/>
      <c r="AR86" s="490" t="str">
        <f>'Financials Parameters'!I7</f>
        <v>ElFahs</v>
      </c>
      <c r="AS86" s="66"/>
      <c r="AT86" s="490" t="str">
        <f t="shared" si="96"/>
        <v>ElFahs</v>
      </c>
      <c r="AX86" s="66"/>
      <c r="AY86" s="778"/>
    </row>
    <row r="87" spans="4:51" ht="16.350000000000001" customHeight="1">
      <c r="D87" s="502"/>
      <c r="E87" s="503"/>
      <c r="F87" s="504" t="s">
        <v>462</v>
      </c>
      <c r="G87" s="503" t="s">
        <v>463</v>
      </c>
      <c r="H87" s="505"/>
      <c r="I87" s="502"/>
      <c r="J87" s="503"/>
      <c r="K87" s="504" t="s">
        <v>462</v>
      </c>
      <c r="L87" s="503" t="s">
        <v>463</v>
      </c>
      <c r="M87" s="505"/>
      <c r="N87" s="502"/>
      <c r="O87" s="503"/>
      <c r="P87" s="503"/>
      <c r="Q87" s="504" t="s">
        <v>462</v>
      </c>
      <c r="R87" s="503" t="s">
        <v>463</v>
      </c>
      <c r="S87" s="505"/>
      <c r="W87" s="713" t="b">
        <f>AND(AND($AD$3="",L8="NO"),IF($L$12="1m",$L$5*1000&gt;AE86,$L$5*1000&gt;AF86))</f>
        <v>0</v>
      </c>
      <c r="X87" s="713">
        <v>2.5</v>
      </c>
      <c r="Y87" s="1923">
        <f t="shared" si="94"/>
        <v>2.216666666666667E-4</v>
      </c>
      <c r="Z87" s="713"/>
      <c r="AA87" s="711" t="s">
        <v>702</v>
      </c>
      <c r="AB87" s="712" t="s">
        <v>691</v>
      </c>
      <c r="AC87" s="713">
        <v>7</v>
      </c>
      <c r="AD87" s="713" t="s">
        <v>696</v>
      </c>
      <c r="AE87" s="767">
        <f>VLOOKUP(1,$W$62:$BQ$78,14,FALSE)*VLOOKUP(1,$W$62:$AX$78,26,FALSE)</f>
        <v>76800</v>
      </c>
      <c r="AF87" s="767">
        <f>VLOOKUP(1,$W$62:$BQ$78,15,FALSE)*VLOOKUP(1,$W$62:$AX$78,26,FALSE)</f>
        <v>96000</v>
      </c>
      <c r="AG87" s="1736">
        <v>500</v>
      </c>
      <c r="AH87" s="713" t="s">
        <v>701</v>
      </c>
      <c r="AI87" s="781" t="s">
        <v>693</v>
      </c>
      <c r="AJ87" s="1736">
        <f>VLOOKUP(1,$W$62:$AU$78,25,FALSE)*VLOOKUP(1,$W$62:$AU$78,14,FALSE)</f>
        <v>1216</v>
      </c>
      <c r="AK87" s="1736">
        <f>VLOOKUP(1,$W$62:$AU$78,25,FALSE)*VLOOKUP(1,$W$62:$AU$78,15,FALSE)</f>
        <v>1520</v>
      </c>
      <c r="AL87" s="1742">
        <f>IF($L$12=$AF$28,IF(AJ87&gt;AG87,VLOOKUP(1,$W$62:$AV$78,14,FALSE)/AJ87*AG87,VLOOKUP(1,$W$62:$AV$78,14,FALSE)),IF(AK87&gt;AG87,VLOOKUP(1,$W$62:$AV$78,15,FALSE)/AK87*AG87,VLOOKUP(1,$W$62:$AV$78,15,FALSE)))</f>
        <v>52.631578947368418</v>
      </c>
      <c r="AM87" s="1742">
        <f>VLOOKUP(1,$W$62:$AV$78,25,FALSE)*AL87</f>
        <v>499.99999999999994</v>
      </c>
      <c r="AN87" s="1742">
        <f>IF($L$12=$AF$28,IF(VLOOKUP(1,$W$62:$AV$78,14,FALSE)&gt;AL87,AL87*VLOOKUP(1,$W$62:$AV$78,26,FALSE),AE87),IF(VLOOKUP(1,$W$62:$AV$78,15,FALSE)&gt;AL87,AL87*VLOOKUP(1,$W$62:$AV$78,26,FALSE),AF87))</f>
        <v>31578.94736842105</v>
      </c>
      <c r="AO87" s="777"/>
      <c r="AP87" s="69"/>
      <c r="AR87" s="490" t="str">
        <f>'Financials Parameters'!I8</f>
        <v>Amiens</v>
      </c>
      <c r="AS87" s="66"/>
      <c r="AT87" s="490" t="str">
        <f t="shared" si="96"/>
        <v>Amiens</v>
      </c>
      <c r="AX87" s="66"/>
      <c r="AY87" s="778"/>
    </row>
    <row r="88" spans="4:51">
      <c r="D88" s="506" t="s">
        <v>473</v>
      </c>
      <c r="E88" s="507"/>
      <c r="F88" s="694">
        <v>6.6346249999999999E-3</v>
      </c>
      <c r="G88" s="694"/>
      <c r="H88" s="695" t="s">
        <v>703</v>
      </c>
      <c r="I88" s="506" t="s">
        <v>473</v>
      </c>
      <c r="J88" s="507"/>
      <c r="K88" s="696">
        <f>S4</f>
        <v>2.3490166726756419E-2</v>
      </c>
      <c r="L88" s="696">
        <f>T4</f>
        <v>0</v>
      </c>
      <c r="M88" s="697" t="str">
        <f>U4</f>
        <v>RMB/pc</v>
      </c>
      <c r="N88" s="506" t="s">
        <v>473</v>
      </c>
      <c r="O88" s="507"/>
      <c r="P88" s="507"/>
      <c r="Q88" s="696">
        <f t="shared" ref="Q88:R91" si="97">K88-F88</f>
        <v>1.6855541726756421E-2</v>
      </c>
      <c r="R88" s="696">
        <f t="shared" si="97"/>
        <v>0</v>
      </c>
      <c r="S88" s="697" t="str">
        <f>M88</f>
        <v>RMB/pc</v>
      </c>
      <c r="W88" s="759"/>
      <c r="X88" s="731"/>
      <c r="Y88" s="726"/>
      <c r="Z88" s="731"/>
      <c r="AA88" s="729" t="s">
        <v>704</v>
      </c>
      <c r="AB88" s="730" t="s">
        <v>691</v>
      </c>
      <c r="AC88" s="731">
        <v>12</v>
      </c>
      <c r="AD88" s="731" t="s">
        <v>705</v>
      </c>
      <c r="AE88" s="731"/>
      <c r="AF88" s="731"/>
      <c r="AG88" s="1737"/>
      <c r="AH88" s="782" t="s">
        <v>645</v>
      </c>
      <c r="AI88" s="783" t="s">
        <v>693</v>
      </c>
      <c r="AJ88" s="1737"/>
      <c r="AK88" s="1731"/>
      <c r="AL88" s="1743"/>
      <c r="AM88" s="1743"/>
      <c r="AN88" s="1743"/>
      <c r="AO88" s="777"/>
      <c r="AP88" s="69"/>
      <c r="AR88" s="490" t="str">
        <f>'Financials Parameters'!I9</f>
        <v>Monterrey</v>
      </c>
      <c r="AS88" s="66"/>
      <c r="AT88" s="490" t="str">
        <f t="shared" si="96"/>
        <v>Monterrey</v>
      </c>
      <c r="AX88" s="66"/>
      <c r="AY88" s="778"/>
    </row>
    <row r="89" spans="4:51">
      <c r="D89" s="506" t="s">
        <v>483</v>
      </c>
      <c r="E89" s="507"/>
      <c r="F89" s="694"/>
      <c r="G89" s="706">
        <v>25.70808447017183</v>
      </c>
      <c r="H89" s="695" t="s">
        <v>706</v>
      </c>
      <c r="I89" s="506" t="s">
        <v>483</v>
      </c>
      <c r="J89" s="507"/>
      <c r="K89" s="696"/>
      <c r="L89" s="707">
        <f t="shared" ref="L89:M92" si="98">T5</f>
        <v>0</v>
      </c>
      <c r="M89" s="697" t="str">
        <f t="shared" si="98"/>
        <v>K RMB</v>
      </c>
      <c r="N89" s="506" t="s">
        <v>483</v>
      </c>
      <c r="O89" s="507"/>
      <c r="P89" s="507"/>
      <c r="Q89" s="696">
        <f t="shared" si="97"/>
        <v>0</v>
      </c>
      <c r="R89" s="707">
        <f t="shared" si="97"/>
        <v>-25.70808447017183</v>
      </c>
      <c r="S89" s="697" t="str">
        <f>M89</f>
        <v>K RMB</v>
      </c>
      <c r="W89" s="764"/>
      <c r="X89" s="713"/>
      <c r="Y89" s="743"/>
      <c r="Z89" s="713"/>
      <c r="AA89" s="711" t="s">
        <v>707</v>
      </c>
      <c r="AB89" s="712" t="s">
        <v>691</v>
      </c>
      <c r="AC89" s="713"/>
      <c r="AD89" s="713" t="s">
        <v>692</v>
      </c>
      <c r="AE89" s="713"/>
      <c r="AF89" s="713"/>
      <c r="AG89" s="1738"/>
      <c r="AH89" s="784" t="s">
        <v>645</v>
      </c>
      <c r="AI89" s="716" t="s">
        <v>693</v>
      </c>
      <c r="AJ89" s="1738"/>
      <c r="AK89" s="1732"/>
      <c r="AL89" s="1744"/>
      <c r="AM89" s="1744"/>
      <c r="AN89" s="1744"/>
      <c r="AO89" s="777"/>
      <c r="AP89" s="69"/>
      <c r="AR89" s="490" t="str">
        <f>'Financials Parameters'!I10</f>
        <v>Chennai</v>
      </c>
      <c r="AS89" s="66"/>
      <c r="AT89" s="490" t="str">
        <f t="shared" si="96"/>
        <v>Chennai</v>
      </c>
      <c r="AX89" s="66"/>
      <c r="AY89" s="778"/>
    </row>
    <row r="90" spans="4:51">
      <c r="D90" s="506" t="s">
        <v>486</v>
      </c>
      <c r="E90" s="507"/>
      <c r="F90" s="694">
        <v>1.4115864594536402E-2</v>
      </c>
      <c r="G90" s="694"/>
      <c r="H90" s="695" t="s">
        <v>708</v>
      </c>
      <c r="I90" s="506" t="s">
        <v>486</v>
      </c>
      <c r="J90" s="507"/>
      <c r="K90" s="696">
        <f>S6</f>
        <v>8.5176983689261979E-2</v>
      </c>
      <c r="L90" s="696">
        <f t="shared" si="98"/>
        <v>0</v>
      </c>
      <c r="M90" s="697" t="str">
        <f t="shared" si="98"/>
        <v>RMB/ pc</v>
      </c>
      <c r="N90" s="506" t="s">
        <v>486</v>
      </c>
      <c r="O90" s="507"/>
      <c r="P90" s="507"/>
      <c r="Q90" s="696">
        <f t="shared" si="97"/>
        <v>7.1061119094725581E-2</v>
      </c>
      <c r="R90" s="696">
        <f t="shared" si="97"/>
        <v>0</v>
      </c>
      <c r="S90" s="697" t="str">
        <f>M90</f>
        <v>RMB/ pc</v>
      </c>
      <c r="W90" s="759"/>
      <c r="X90" s="731"/>
      <c r="Y90" s="726"/>
      <c r="Z90" s="731"/>
      <c r="AA90" s="729" t="s">
        <v>709</v>
      </c>
      <c r="AB90" s="730" t="s">
        <v>691</v>
      </c>
      <c r="AC90" s="731"/>
      <c r="AD90" s="731" t="s">
        <v>696</v>
      </c>
      <c r="AE90" s="731"/>
      <c r="AF90" s="731"/>
      <c r="AG90" s="1739"/>
      <c r="AH90" s="782" t="s">
        <v>645</v>
      </c>
      <c r="AI90" s="785" t="s">
        <v>693</v>
      </c>
      <c r="AJ90" s="1739"/>
      <c r="AK90" s="1733"/>
      <c r="AL90" s="1745"/>
      <c r="AM90" s="1745"/>
      <c r="AN90" s="1745"/>
      <c r="AO90" s="777"/>
      <c r="AP90" s="69"/>
      <c r="AR90" s="490" t="str">
        <f>'Financials Parameters'!I11</f>
        <v>Kunshan</v>
      </c>
      <c r="AS90" s="66"/>
      <c r="AT90" s="490" t="str">
        <f t="shared" si="96"/>
        <v>Kunshan</v>
      </c>
      <c r="AX90" s="66"/>
      <c r="AY90" s="778"/>
    </row>
    <row r="91" spans="4:51" ht="15" thickBot="1">
      <c r="D91" s="506" t="s">
        <v>496</v>
      </c>
      <c r="E91" s="507"/>
      <c r="F91" s="694"/>
      <c r="G91" s="694"/>
      <c r="H91" s="695"/>
      <c r="I91" s="506" t="s">
        <v>496</v>
      </c>
      <c r="J91" s="507"/>
      <c r="K91" s="696">
        <f>S7</f>
        <v>0</v>
      </c>
      <c r="L91" s="696">
        <f t="shared" si="98"/>
        <v>0</v>
      </c>
      <c r="M91" s="697">
        <f t="shared" si="98"/>
        <v>0</v>
      </c>
      <c r="N91" s="506" t="s">
        <v>496</v>
      </c>
      <c r="O91" s="507"/>
      <c r="P91" s="507"/>
      <c r="Q91" s="696">
        <f t="shared" si="97"/>
        <v>0</v>
      </c>
      <c r="R91" s="696">
        <f t="shared" si="97"/>
        <v>0</v>
      </c>
      <c r="S91" s="697"/>
      <c r="W91" s="764"/>
      <c r="X91" s="713"/>
      <c r="Y91" s="743"/>
      <c r="Z91" s="713"/>
      <c r="AA91" s="711" t="s">
        <v>710</v>
      </c>
      <c r="AB91" s="712" t="s">
        <v>691</v>
      </c>
      <c r="AC91" s="713"/>
      <c r="AD91" s="713" t="s">
        <v>705</v>
      </c>
      <c r="AE91" s="713"/>
      <c r="AF91" s="713"/>
      <c r="AG91" s="1738"/>
      <c r="AH91" s="784" t="s">
        <v>645</v>
      </c>
      <c r="AI91" s="716" t="s">
        <v>693</v>
      </c>
      <c r="AJ91" s="1738"/>
      <c r="AK91" s="1732"/>
      <c r="AL91" s="1744"/>
      <c r="AM91" s="1744"/>
      <c r="AN91" s="1744"/>
      <c r="AO91" s="777"/>
      <c r="AP91" s="69"/>
      <c r="AR91" s="490" t="str">
        <f>'Financials Parameters'!I12</f>
        <v>Kunshan-ASSY</v>
      </c>
      <c r="AS91" s="66"/>
      <c r="AT91" s="490" t="str">
        <f>AT90</f>
        <v>Kunshan</v>
      </c>
      <c r="AX91" s="66"/>
      <c r="AY91" s="778"/>
    </row>
    <row r="92" spans="4:51" ht="15" thickBot="1">
      <c r="D92" s="535" t="s">
        <v>501</v>
      </c>
      <c r="E92" s="536" t="str">
        <f>H90</f>
        <v>USD/ pc</v>
      </c>
      <c r="F92" s="747">
        <v>2.0750489594536403E-2</v>
      </c>
      <c r="G92" s="747">
        <v>25.70808447017183</v>
      </c>
      <c r="H92" s="748" t="s">
        <v>706</v>
      </c>
      <c r="I92" s="535" t="s">
        <v>501</v>
      </c>
      <c r="J92" s="536" t="str">
        <f>M90</f>
        <v>RMB/ pc</v>
      </c>
      <c r="K92" s="749">
        <f>S8</f>
        <v>0.1086671504160184</v>
      </c>
      <c r="L92" s="749">
        <f t="shared" si="98"/>
        <v>0</v>
      </c>
      <c r="M92" s="750" t="str">
        <f t="shared" si="98"/>
        <v>K RMB</v>
      </c>
      <c r="N92" s="535" t="s">
        <v>501</v>
      </c>
      <c r="O92" s="536" t="str">
        <f>S90</f>
        <v>RMB/ pc</v>
      </c>
      <c r="P92" s="536"/>
      <c r="Q92" s="749">
        <f>SUM(Q88:Q91)</f>
        <v>8.7916660821482001E-2</v>
      </c>
      <c r="R92" s="749">
        <f>SUM(R88:R91)</f>
        <v>-25.70808447017183</v>
      </c>
      <c r="S92" s="750" t="str">
        <f>U8</f>
        <v>K RMB</v>
      </c>
      <c r="W92" s="786"/>
      <c r="X92" s="786"/>
      <c r="Y92" s="787"/>
      <c r="Z92" s="786"/>
      <c r="AA92" s="788" t="s">
        <v>711</v>
      </c>
      <c r="AB92" s="789" t="s">
        <v>691</v>
      </c>
      <c r="AC92" s="790">
        <f>0.3988/2</f>
        <v>0.19939999999999999</v>
      </c>
      <c r="AD92" s="786" t="s">
        <v>712</v>
      </c>
      <c r="AE92" s="791">
        <v>2</v>
      </c>
      <c r="AF92" s="791">
        <v>2</v>
      </c>
      <c r="AG92" s="1740" t="s">
        <v>644</v>
      </c>
      <c r="AH92" s="792" t="s">
        <v>645</v>
      </c>
      <c r="AI92" s="793">
        <v>1</v>
      </c>
      <c r="AJ92" s="1740"/>
      <c r="AK92" s="1734"/>
      <c r="AL92" s="1746"/>
      <c r="AM92" s="1746"/>
      <c r="AN92" s="1746"/>
      <c r="AR92" s="490" t="str">
        <f>'Financials Parameters'!I13</f>
        <v>Tianjin</v>
      </c>
      <c r="AT92" s="490" t="str">
        <f t="shared" si="96"/>
        <v>Tianjin</v>
      </c>
    </row>
    <row r="93" spans="4:51" ht="15" thickBot="1">
      <c r="D93" s="535" t="s">
        <v>504</v>
      </c>
      <c r="E93" s="542"/>
      <c r="F93" s="753"/>
      <c r="G93" s="754">
        <v>1</v>
      </c>
      <c r="H93" s="755"/>
      <c r="I93" s="535" t="s">
        <v>504</v>
      </c>
      <c r="J93" s="542"/>
      <c r="K93" s="542"/>
      <c r="L93" s="756">
        <f>T9</f>
        <v>7.7789000000000001</v>
      </c>
      <c r="M93" s="757"/>
      <c r="N93" s="535" t="s">
        <v>504</v>
      </c>
      <c r="O93" s="542"/>
      <c r="P93" s="542"/>
      <c r="Q93" s="758"/>
      <c r="R93" s="756">
        <f>L93</f>
        <v>7.7789000000000001</v>
      </c>
      <c r="S93" s="757"/>
      <c r="AR93" s="490" t="str">
        <f>'Financials Parameters'!I14</f>
        <v xml:space="preserve">Daegu </v>
      </c>
      <c r="AT93" s="490" t="str">
        <f t="shared" si="96"/>
        <v xml:space="preserve">Daegu </v>
      </c>
    </row>
    <row r="94" spans="4:51" ht="16.2" thickBot="1">
      <c r="D94" s="2450" t="s">
        <v>713</v>
      </c>
      <c r="E94" s="2450"/>
      <c r="F94" s="2450"/>
      <c r="G94" s="2450"/>
      <c r="H94" s="2450"/>
      <c r="I94" s="2450"/>
      <c r="J94" s="2450"/>
      <c r="K94" s="2450"/>
      <c r="L94" s="2450"/>
      <c r="M94" s="2450"/>
      <c r="N94" s="2450"/>
      <c r="O94" s="2450"/>
      <c r="P94" s="2450"/>
      <c r="Q94" s="2450"/>
      <c r="R94" s="2450"/>
      <c r="S94" s="2450"/>
      <c r="AR94" s="490" t="str">
        <f>'Financials Parameters'!I15</f>
        <v>ElFahs-SAME</v>
      </c>
      <c r="AT94" s="490" t="str">
        <f>AT86</f>
        <v>ElFahs</v>
      </c>
    </row>
    <row r="95" spans="4:51">
      <c r="D95" s="2451" t="str">
        <f>IF(Q92&gt;0,"Scenario 1 has lower cost/pc than scenario 2","Scenario 2 has lower cost/pc than scenario 1")</f>
        <v>Scenario 1 has lower cost/pc than scenario 2</v>
      </c>
      <c r="E95" s="2452"/>
      <c r="F95" s="2452"/>
      <c r="G95" s="2452"/>
      <c r="H95" s="2452"/>
      <c r="I95" s="2224" t="str">
        <f>IF(R92&gt;0,"Scenario 1 has lower investments than scenario 2","Scenario 2 has lower investment than scenario 1")</f>
        <v>Scenario 2 has lower investment than scenario 1</v>
      </c>
      <c r="J95" s="2224"/>
      <c r="K95" s="2224"/>
      <c r="L95" s="2224"/>
      <c r="M95" s="2225"/>
      <c r="N95" s="2455" t="str">
        <f>"Investment increase of scenario"&amp;IF(R92&lt;0," 1"," 2")&amp;" can be amortized in:"</f>
        <v>Investment increase of scenario 1 can be amortized in:</v>
      </c>
      <c r="O95" s="2456"/>
      <c r="P95" s="2456"/>
      <c r="Q95" s="2456"/>
      <c r="R95" s="2456"/>
      <c r="S95" s="2457"/>
      <c r="AR95" s="490">
        <f>'Financials Parameters'!I16</f>
        <v>0</v>
      </c>
      <c r="AT95" s="490">
        <f t="shared" si="96"/>
        <v>0</v>
      </c>
    </row>
    <row r="96" spans="4:51" ht="18.600000000000001" thickBot="1">
      <c r="D96" s="2453"/>
      <c r="E96" s="2454"/>
      <c r="F96" s="2454"/>
      <c r="G96" s="2454"/>
      <c r="H96" s="2454"/>
      <c r="I96" s="2227"/>
      <c r="J96" s="2227"/>
      <c r="K96" s="2227"/>
      <c r="L96" s="2227"/>
      <c r="M96" s="2228"/>
      <c r="N96" s="2458"/>
      <c r="O96" s="2459"/>
      <c r="P96" s="2459"/>
      <c r="Q96" s="2459"/>
      <c r="R96" s="2459"/>
      <c r="S96" s="2460"/>
      <c r="AB96" s="794"/>
      <c r="AC96" s="794"/>
      <c r="AD96" s="794"/>
      <c r="AE96" s="794"/>
      <c r="AF96" s="794"/>
      <c r="AG96" s="794"/>
      <c r="AH96" s="794"/>
      <c r="AI96" s="794"/>
      <c r="AJ96" s="794"/>
      <c r="AK96" s="794"/>
      <c r="AL96" s="794"/>
      <c r="AM96" s="794"/>
    </row>
    <row r="97" spans="12:40" ht="21">
      <c r="L97" s="762"/>
      <c r="M97" s="763"/>
      <c r="N97" s="2435">
        <f>(ABS(R92)*1000/Q92)/(L5*1000)/N4*L4</f>
        <v>0.48735708396942412</v>
      </c>
      <c r="O97" s="2437" t="s">
        <v>714</v>
      </c>
      <c r="P97" s="813"/>
      <c r="Q97" s="2437" t="str">
        <f>IF(N97&lt;1,"Interesting!",IF(N97&lt;2.5,"Can be proposed to customer","Not interesting"))</f>
        <v>Interesting!</v>
      </c>
      <c r="R97" s="2437"/>
      <c r="S97" s="2439"/>
      <c r="AL97" s="1748"/>
    </row>
    <row r="98" spans="12:40" ht="21.6" thickBot="1">
      <c r="N98" s="2436"/>
      <c r="O98" s="2438"/>
      <c r="P98" s="814"/>
      <c r="Q98" s="2438"/>
      <c r="R98" s="2438"/>
      <c r="S98" s="2440"/>
      <c r="AI98" s="66"/>
      <c r="AJ98" s="66"/>
      <c r="AK98" s="66"/>
      <c r="AL98" s="66"/>
      <c r="AM98" s="66"/>
    </row>
    <row r="99" spans="12:40">
      <c r="AB99" s="66"/>
      <c r="AC99" s="66"/>
      <c r="AD99" s="374"/>
      <c r="AE99" s="374"/>
      <c r="AF99" s="375"/>
      <c r="AG99" s="376"/>
      <c r="AH99" s="368"/>
      <c r="AI99" s="14"/>
      <c r="AJ99" s="375"/>
      <c r="AK99" s="14"/>
      <c r="AL99" s="375"/>
      <c r="AM99" s="76"/>
      <c r="AN99" s="14"/>
    </row>
    <row r="100" spans="12:40">
      <c r="AC100" s="360"/>
      <c r="AD100" s="361"/>
      <c r="AE100" s="361"/>
      <c r="AF100" s="368"/>
      <c r="AG100" s="369"/>
      <c r="AH100" s="370"/>
      <c r="AI100" s="66"/>
      <c r="AJ100" s="368"/>
      <c r="AK100" s="66"/>
      <c r="AL100" s="368"/>
      <c r="AM100" s="69"/>
      <c r="AN100" s="368"/>
    </row>
    <row r="101" spans="12:40">
      <c r="AC101" s="360"/>
      <c r="AD101" s="361"/>
      <c r="AE101" s="361"/>
      <c r="AF101" s="368"/>
      <c r="AG101" s="369"/>
      <c r="AH101" s="370"/>
      <c r="AI101" s="66"/>
      <c r="AJ101" s="368"/>
      <c r="AK101" s="66"/>
      <c r="AL101" s="368"/>
      <c r="AM101" s="69"/>
      <c r="AN101" s="368"/>
    </row>
    <row r="102" spans="12:40">
      <c r="AC102" s="360"/>
      <c r="AD102" s="361"/>
      <c r="AE102" s="361"/>
      <c r="AF102" s="368"/>
      <c r="AG102" s="369"/>
      <c r="AH102" s="370"/>
      <c r="AI102" s="66"/>
      <c r="AJ102" s="368"/>
      <c r="AK102" s="66"/>
      <c r="AL102" s="368"/>
      <c r="AM102" s="69"/>
      <c r="AN102" s="368"/>
    </row>
    <row r="103" spans="12:40">
      <c r="AC103" s="360"/>
      <c r="AD103" s="361"/>
      <c r="AE103" s="361"/>
      <c r="AF103" s="368"/>
      <c r="AG103" s="369"/>
      <c r="AH103" s="370"/>
      <c r="AI103" s="66"/>
      <c r="AJ103" s="368"/>
      <c r="AK103" s="66"/>
      <c r="AL103" s="368"/>
      <c r="AM103" s="69"/>
      <c r="AN103" s="368"/>
    </row>
    <row r="104" spans="12:40">
      <c r="AC104" s="360"/>
      <c r="AD104" s="361"/>
      <c r="AE104" s="361"/>
      <c r="AF104" s="368"/>
      <c r="AG104" s="369"/>
      <c r="AH104" s="370"/>
      <c r="AI104" s="66"/>
      <c r="AJ104" s="368"/>
      <c r="AK104" s="66"/>
      <c r="AL104" s="368"/>
      <c r="AM104" s="69"/>
      <c r="AN104" s="368"/>
    </row>
    <row r="105" spans="12:40">
      <c r="AC105" s="360"/>
      <c r="AD105" s="361"/>
      <c r="AE105" s="361"/>
      <c r="AF105" s="368"/>
      <c r="AG105" s="369"/>
      <c r="AH105" s="370"/>
      <c r="AI105" s="66"/>
      <c r="AJ105" s="368"/>
      <c r="AK105" s="66"/>
      <c r="AL105" s="368"/>
      <c r="AM105" s="69"/>
      <c r="AN105" s="368"/>
    </row>
    <row r="106" spans="12:40">
      <c r="AC106" s="360"/>
      <c r="AD106" s="361"/>
      <c r="AE106" s="361"/>
      <c r="AF106" s="368"/>
      <c r="AG106" s="369"/>
      <c r="AH106" s="370"/>
      <c r="AI106" s="66"/>
      <c r="AJ106" s="368"/>
      <c r="AK106" s="66"/>
      <c r="AL106" s="368"/>
      <c r="AM106" s="69"/>
      <c r="AN106" s="368"/>
    </row>
    <row r="107" spans="12:40">
      <c r="AC107" s="360"/>
      <c r="AD107" s="361"/>
      <c r="AE107" s="361"/>
      <c r="AF107" s="368"/>
      <c r="AG107" s="369"/>
      <c r="AH107" s="370"/>
      <c r="AI107" s="66"/>
      <c r="AJ107" s="368"/>
      <c r="AK107" s="66"/>
      <c r="AL107" s="368"/>
      <c r="AM107" s="69"/>
      <c r="AN107" s="368"/>
    </row>
    <row r="108" spans="12:40">
      <c r="AC108" s="360"/>
      <c r="AD108" s="361"/>
      <c r="AE108" s="361"/>
      <c r="AF108" s="368"/>
      <c r="AG108" s="369"/>
      <c r="AH108" s="370"/>
      <c r="AI108" s="66"/>
      <c r="AJ108" s="368"/>
      <c r="AK108" s="66"/>
      <c r="AL108" s="368"/>
      <c r="AM108" s="69"/>
      <c r="AN108" s="368"/>
    </row>
    <row r="109" spans="12:40">
      <c r="AC109" s="360"/>
      <c r="AD109" s="361"/>
      <c r="AE109" s="361"/>
      <c r="AF109" s="368"/>
      <c r="AG109" s="369"/>
      <c r="AH109" s="370"/>
      <c r="AI109" s="66"/>
      <c r="AJ109" s="368"/>
      <c r="AK109" s="66"/>
      <c r="AL109" s="368"/>
      <c r="AM109" s="69"/>
      <c r="AN109" s="368"/>
    </row>
    <row r="110" spans="12:40">
      <c r="AC110" s="360"/>
      <c r="AD110" s="361"/>
      <c r="AE110" s="361"/>
      <c r="AF110" s="368"/>
      <c r="AG110" s="369"/>
      <c r="AH110" s="370"/>
      <c r="AI110" s="66"/>
      <c r="AJ110" s="368"/>
      <c r="AK110" s="66"/>
      <c r="AL110" s="368"/>
      <c r="AM110" s="69"/>
      <c r="AN110" s="368"/>
    </row>
    <row r="111" spans="12:40">
      <c r="AC111" s="360"/>
      <c r="AD111" s="361"/>
      <c r="AE111" s="361"/>
      <c r="AF111" s="368"/>
      <c r="AG111" s="369"/>
      <c r="AH111" s="370"/>
      <c r="AI111" s="66"/>
      <c r="AJ111" s="368"/>
      <c r="AK111" s="66"/>
      <c r="AL111" s="368"/>
      <c r="AN111" s="368"/>
    </row>
    <row r="113" spans="18:36">
      <c r="V113" s="66"/>
      <c r="W113" s="66"/>
      <c r="X113" s="69"/>
      <c r="Y113" s="14"/>
      <c r="Z113" s="14"/>
      <c r="AA113" s="14"/>
      <c r="AB113" s="14"/>
      <c r="AC113" s="14"/>
      <c r="AD113" s="14"/>
      <c r="AE113" s="14"/>
      <c r="AF113" s="76"/>
      <c r="AG113" s="14"/>
      <c r="AH113" s="14"/>
      <c r="AI113" s="14"/>
      <c r="AJ113" s="14"/>
    </row>
    <row r="114" spans="18:36">
      <c r="W114" s="360"/>
      <c r="X114" s="378"/>
      <c r="Y114" s="66"/>
      <c r="Z114" s="69"/>
      <c r="AA114" s="369"/>
      <c r="AH114" s="377"/>
      <c r="AI114" s="795"/>
      <c r="AJ114" s="380"/>
    </row>
    <row r="115" spans="18:36">
      <c r="W115" s="360"/>
      <c r="X115" s="361"/>
      <c r="AA115" s="361"/>
      <c r="AH115" s="377"/>
      <c r="AI115" s="795"/>
      <c r="AJ115" s="380"/>
    </row>
    <row r="116" spans="18:36">
      <c r="W116" s="360"/>
      <c r="X116" s="361"/>
      <c r="Y116" s="361"/>
      <c r="Z116" s="361"/>
      <c r="AA116" s="361"/>
      <c r="AH116" s="377"/>
      <c r="AI116" s="795"/>
      <c r="AJ116" s="380"/>
    </row>
    <row r="117" spans="18:36">
      <c r="W117" s="360"/>
      <c r="X117" s="377"/>
      <c r="Y117" s="361"/>
      <c r="Z117" s="361"/>
      <c r="AA117" s="361"/>
      <c r="AH117" s="377"/>
      <c r="AI117" s="795"/>
      <c r="AJ117" s="380"/>
    </row>
    <row r="118" spans="18:36">
      <c r="W118" s="360"/>
      <c r="X118" s="377"/>
      <c r="Y118" s="361"/>
      <c r="Z118" s="361"/>
      <c r="AA118" s="361"/>
      <c r="AH118" s="377"/>
      <c r="AI118" s="795"/>
      <c r="AJ118" s="380"/>
    </row>
    <row r="119" spans="18:36">
      <c r="W119" s="360"/>
      <c r="X119" s="377"/>
      <c r="Y119" s="361"/>
      <c r="Z119" s="361"/>
      <c r="AA119" s="361"/>
      <c r="AH119" s="377"/>
      <c r="AI119" s="795"/>
      <c r="AJ119" s="380"/>
    </row>
    <row r="120" spans="18:36">
      <c r="R120" s="360"/>
      <c r="S120" s="361"/>
      <c r="T120" s="361"/>
      <c r="U120" s="361"/>
      <c r="W120" s="360"/>
      <c r="X120" s="377"/>
      <c r="Y120" s="361"/>
      <c r="Z120" s="361"/>
      <c r="AA120" s="361"/>
      <c r="AH120" s="377"/>
      <c r="AI120" s="795"/>
      <c r="AJ120" s="380"/>
    </row>
    <row r="121" spans="18:36">
      <c r="W121" s="360"/>
      <c r="X121" s="377"/>
      <c r="Y121" s="377"/>
      <c r="Z121" s="377"/>
      <c r="AA121" s="377"/>
      <c r="AB121" s="377"/>
      <c r="AC121" s="377"/>
      <c r="AD121" s="377"/>
      <c r="AE121" s="377"/>
      <c r="AF121" s="377"/>
      <c r="AH121" s="377"/>
      <c r="AI121" s="795"/>
      <c r="AJ121" s="380"/>
    </row>
    <row r="122" spans="18:36">
      <c r="W122" s="360"/>
      <c r="X122" s="377"/>
      <c r="Y122" s="377"/>
      <c r="Z122" s="377"/>
      <c r="AA122" s="377"/>
      <c r="AB122" s="377"/>
      <c r="AC122" s="377"/>
      <c r="AD122" s="377"/>
      <c r="AE122" s="377"/>
      <c r="AF122" s="377"/>
      <c r="AH122" s="377"/>
      <c r="AI122" s="795"/>
      <c r="AJ122" s="380"/>
    </row>
    <row r="123" spans="18:36">
      <c r="V123" s="360"/>
      <c r="W123" s="360"/>
      <c r="X123" s="377"/>
      <c r="Y123" s="377"/>
      <c r="Z123" s="377"/>
      <c r="AA123" s="377"/>
      <c r="AB123" s="377"/>
      <c r="AC123" s="377"/>
      <c r="AD123" s="377"/>
      <c r="AE123" s="377"/>
      <c r="AF123" s="377"/>
      <c r="AH123" s="377"/>
      <c r="AI123" s="795"/>
      <c r="AJ123" s="380"/>
    </row>
    <row r="124" spans="18:36">
      <c r="W124" s="360"/>
      <c r="AH124" s="377"/>
      <c r="AI124" s="795"/>
      <c r="AJ124" s="380"/>
    </row>
    <row r="142" spans="18:30">
      <c r="R142" s="364"/>
    </row>
    <row r="143" spans="18:30" ht="15" thickBot="1">
      <c r="R143" s="365"/>
      <c r="V143" s="76"/>
      <c r="W143" s="76"/>
      <c r="X143" s="76"/>
      <c r="Y143" s="76"/>
      <c r="Z143" s="76"/>
      <c r="AA143" s="69"/>
      <c r="AB143" s="76"/>
    </row>
    <row r="144" spans="18:30" ht="15" thickBot="1">
      <c r="R144" s="363"/>
      <c r="S144" s="362"/>
      <c r="T144" s="796"/>
      <c r="U144" s="796"/>
      <c r="V144" s="366"/>
      <c r="W144" s="362"/>
      <c r="X144" s="362"/>
      <c r="Y144" s="362"/>
      <c r="Z144" s="362"/>
      <c r="AA144" s="362"/>
      <c r="AB144" s="366"/>
      <c r="AC144" s="367"/>
      <c r="AD144" s="367"/>
    </row>
    <row r="145" spans="18:30" ht="15" thickBot="1">
      <c r="R145" s="363"/>
      <c r="S145" s="362"/>
      <c r="T145" s="796"/>
      <c r="U145" s="796"/>
      <c r="V145" s="366"/>
      <c r="W145" s="362"/>
      <c r="X145" s="362"/>
      <c r="Y145" s="362"/>
      <c r="Z145" s="362"/>
      <c r="AA145" s="362"/>
      <c r="AB145" s="366"/>
      <c r="AC145" s="367"/>
      <c r="AD145" s="367"/>
    </row>
    <row r="146" spans="18:30" ht="15" thickBot="1">
      <c r="R146" s="363"/>
      <c r="S146" s="362"/>
      <c r="T146" s="796"/>
      <c r="U146" s="796"/>
      <c r="V146" s="366"/>
      <c r="W146" s="362"/>
      <c r="X146" s="362"/>
      <c r="Y146" s="362"/>
      <c r="Z146" s="362"/>
      <c r="AA146" s="362"/>
      <c r="AB146" s="366"/>
      <c r="AC146" s="367"/>
      <c r="AD146" s="367"/>
    </row>
    <row r="147" spans="18:30" ht="15" thickBot="1">
      <c r="R147" s="363"/>
      <c r="S147" s="362"/>
      <c r="T147" s="796"/>
      <c r="U147" s="796"/>
      <c r="V147" s="366"/>
      <c r="W147" s="362"/>
      <c r="X147" s="362"/>
      <c r="Y147" s="362"/>
      <c r="Z147" s="362"/>
      <c r="AA147" s="362"/>
      <c r="AB147" s="366"/>
      <c r="AC147" s="367"/>
      <c r="AD147" s="367"/>
    </row>
    <row r="148" spans="18:30" ht="15" thickBot="1">
      <c r="R148" s="363"/>
      <c r="S148" s="362"/>
      <c r="T148" s="796"/>
      <c r="U148" s="796"/>
      <c r="V148" s="366"/>
      <c r="W148" s="362"/>
      <c r="X148" s="362"/>
      <c r="Y148" s="362"/>
      <c r="Z148" s="362"/>
      <c r="AA148" s="362"/>
      <c r="AB148" s="366"/>
      <c r="AC148" s="367"/>
      <c r="AD148" s="367"/>
    </row>
    <row r="149" spans="18:30" ht="15" thickBot="1">
      <c r="R149" s="363"/>
      <c r="S149" s="362"/>
      <c r="T149" s="796"/>
      <c r="U149" s="796"/>
      <c r="V149" s="366"/>
      <c r="W149" s="362"/>
      <c r="X149" s="362"/>
      <c r="Y149" s="362"/>
      <c r="Z149" s="362"/>
      <c r="AA149" s="362"/>
      <c r="AB149" s="366"/>
      <c r="AC149" s="367"/>
      <c r="AD149" s="367"/>
    </row>
    <row r="150" spans="18:30" ht="15" thickBot="1">
      <c r="R150" s="363"/>
      <c r="S150" s="362"/>
      <c r="T150" s="796"/>
      <c r="U150" s="796"/>
      <c r="V150" s="366"/>
      <c r="W150" s="362"/>
      <c r="X150" s="362"/>
      <c r="Y150" s="362"/>
      <c r="Z150" s="362"/>
      <c r="AA150" s="362"/>
      <c r="AB150" s="366"/>
      <c r="AC150" s="367"/>
      <c r="AD150" s="367"/>
    </row>
    <row r="151" spans="18:30" ht="15" thickBot="1">
      <c r="R151" s="363"/>
      <c r="S151" s="362"/>
      <c r="T151" s="796"/>
      <c r="U151" s="796"/>
      <c r="V151" s="366"/>
      <c r="W151" s="362"/>
      <c r="X151" s="362"/>
      <c r="Y151" s="362"/>
      <c r="Z151" s="362"/>
      <c r="AA151" s="362"/>
      <c r="AB151" s="366"/>
      <c r="AC151" s="367"/>
      <c r="AD151" s="367"/>
    </row>
    <row r="152" spans="18:30" ht="15" thickBot="1">
      <c r="R152" s="363"/>
      <c r="S152" s="362"/>
      <c r="T152" s="796"/>
      <c r="U152" s="796"/>
      <c r="V152" s="366"/>
      <c r="W152" s="362"/>
      <c r="X152" s="362"/>
      <c r="Y152" s="362"/>
      <c r="Z152" s="362"/>
      <c r="AA152" s="362"/>
      <c r="AB152" s="366"/>
      <c r="AC152" s="367"/>
      <c r="AD152" s="367"/>
    </row>
    <row r="153" spans="18:30" ht="15" thickBot="1">
      <c r="R153" s="363"/>
      <c r="S153" s="362"/>
      <c r="T153" s="796"/>
      <c r="U153" s="796"/>
      <c r="V153" s="366"/>
      <c r="W153" s="362"/>
      <c r="X153" s="362"/>
      <c r="Y153" s="362"/>
      <c r="Z153" s="362"/>
      <c r="AA153" s="362"/>
      <c r="AB153" s="366"/>
      <c r="AC153" s="367"/>
      <c r="AD153" s="367"/>
    </row>
    <row r="154" spans="18:30" ht="15" thickBot="1">
      <c r="R154" s="363"/>
      <c r="S154" s="362"/>
      <c r="T154" s="796"/>
      <c r="U154" s="796"/>
      <c r="V154" s="366"/>
      <c r="W154" s="362"/>
      <c r="X154" s="362"/>
      <c r="Y154" s="362"/>
      <c r="Z154" s="362"/>
      <c r="AA154" s="362"/>
      <c r="AB154" s="366"/>
      <c r="AC154" s="367"/>
      <c r="AD154" s="367"/>
    </row>
    <row r="155" spans="18:30" ht="15" thickBot="1">
      <c r="R155" s="363"/>
      <c r="S155" s="362"/>
      <c r="T155" s="796"/>
      <c r="U155" s="796"/>
      <c r="V155" s="366"/>
      <c r="W155" s="362"/>
      <c r="X155" s="362"/>
      <c r="Y155" s="362"/>
      <c r="Z155" s="362"/>
      <c r="AA155" s="362"/>
      <c r="AB155" s="366"/>
      <c r="AC155" s="367"/>
      <c r="AD155" s="367"/>
    </row>
  </sheetData>
  <autoFilter ref="C38:T51" xr:uid="{B3111048-7C89-46F6-A5D0-ED518EB0AFDC}"/>
  <dataConsolidate/>
  <mergeCells count="20">
    <mergeCell ref="J2:M2"/>
    <mergeCell ref="C17:G17"/>
    <mergeCell ref="G18:G19"/>
    <mergeCell ref="C2:H2"/>
    <mergeCell ref="AM3:AP3"/>
    <mergeCell ref="G4:H4"/>
    <mergeCell ref="G20:G25"/>
    <mergeCell ref="C48:U48"/>
    <mergeCell ref="J3:N3"/>
    <mergeCell ref="N97:N98"/>
    <mergeCell ref="O97:O98"/>
    <mergeCell ref="Q97:S98"/>
    <mergeCell ref="D85:S85"/>
    <mergeCell ref="D86:H86"/>
    <mergeCell ref="I86:M86"/>
    <mergeCell ref="N86:S86"/>
    <mergeCell ref="D94:S94"/>
    <mergeCell ref="D95:H96"/>
    <mergeCell ref="I95:M96"/>
    <mergeCell ref="N95:S96"/>
  </mergeCells>
  <phoneticPr fontId="67" type="noConversion"/>
  <conditionalFormatting sqref="K18:K19">
    <cfRule type="expression" dxfId="185" priority="14">
      <formula>$L$19+$M$19+$N$19+$O$19&lt;&gt;1</formula>
    </cfRule>
    <cfRule type="expression" dxfId="184" priority="15">
      <formula>$L$19+$M$19+$N$19+$O$19=1</formula>
    </cfRule>
  </conditionalFormatting>
  <conditionalFormatting sqref="J18:J19">
    <cfRule type="expression" dxfId="183" priority="12">
      <formula>$L$19+$M$19+$N$19+$O$19&lt;&gt;1</formula>
    </cfRule>
    <cfRule type="expression" dxfId="182" priority="13">
      <formula>$L$19+$M$19+$N$19+$O$19=1</formula>
    </cfRule>
  </conditionalFormatting>
  <conditionalFormatting sqref="C37:L37">
    <cfRule type="expression" dxfId="181" priority="16">
      <formula>$H$40="Not allowed"</formula>
    </cfRule>
  </conditionalFormatting>
  <conditionalFormatting sqref="N97:S98">
    <cfRule type="expression" dxfId="180" priority="8">
      <formula>$N$97&gt;2.5</formula>
    </cfRule>
    <cfRule type="expression" dxfId="179" priority="9">
      <formula>2&lt;$N$97&lt;2.5</formula>
    </cfRule>
    <cfRule type="expression" dxfId="178" priority="10">
      <formula>1&lt;$N$97&lt;2</formula>
    </cfRule>
    <cfRule type="expression" dxfId="177" priority="11">
      <formula>$N$97&lt;1</formula>
    </cfRule>
  </conditionalFormatting>
  <conditionalFormatting sqref="N7">
    <cfRule type="expression" dxfId="176" priority="4">
      <formula>"$L$6=""NO"""</formula>
    </cfRule>
  </conditionalFormatting>
  <conditionalFormatting sqref="J3:N13 J17:O30 C17:G27">
    <cfRule type="expression" dxfId="175" priority="1">
      <formula>$N$2="manual"</formula>
    </cfRule>
  </conditionalFormatting>
  <dataValidations count="10">
    <dataValidation type="list" allowBlank="1" showInputMessage="1" showErrorMessage="1" sqref="L19:N19" xr:uid="{B22D263A-7DA0-43D0-A00A-E27E9F18C58C}">
      <formula1>"1"</formula1>
    </dataValidation>
    <dataValidation type="list" allowBlank="1" showInputMessage="1" showErrorMessage="1" sqref="Q39:Q40 Q42:Q47 Q49:Q54" xr:uid="{94935022-7297-4FEF-BB49-F928825CF319}">
      <formula1>"AVOCarbon,Customer"</formula1>
    </dataValidation>
    <dataValidation type="list" allowBlank="1" showInputMessage="1" showErrorMessage="1" sqref="R39:R40 R49:R50 R42:R47" xr:uid="{F277A764-42FE-4746-A32D-3C961972CA9F}">
      <formula1>"0%,50%,100%"</formula1>
    </dataValidation>
    <dataValidation type="list" allowBlank="1" showInputMessage="1" showErrorMessage="1" sqref="G20" xr:uid="{127F77C2-6803-452A-B034-FA66D7C69019}">
      <formula1>"Returnable,1 way"</formula1>
    </dataValidation>
    <dataValidation type="list" allowBlank="1" showInputMessage="1" showErrorMessage="1" sqref="L7:L8" xr:uid="{FEEAA158-142F-4674-BA83-1461DE7ACF77}">
      <formula1>"YES,NO"</formula1>
    </dataValidation>
    <dataValidation type="list" allowBlank="1" showInputMessage="1" showErrorMessage="1" sqref="O6 N7" xr:uid="{C9532E44-FDC6-4DB4-A8D1-E37B086FD1D8}">
      <formula1>"AVO Carbon, Customer"</formula1>
    </dataValidation>
    <dataValidation type="list" allowBlank="1" showInputMessage="1" showErrorMessage="1" sqref="L12" xr:uid="{8D1FDC4B-22DA-49B6-8295-D4EF48F64D2A}">
      <formula1>$AF$28:$AG$28</formula1>
    </dataValidation>
    <dataValidation type="list" allowBlank="1" showInputMessage="1" showErrorMessage="1" sqref="L11" xr:uid="{0D8412CC-B83B-44E0-B60D-D2A0A0DE13DE}">
      <formula1>$AF$27:$AH$27</formula1>
    </dataValidation>
    <dataValidation type="list" allowBlank="1" showInputMessage="1" showErrorMessage="1" sqref="F39 G39:G47 C49:C50 C39:C47 F49:G54" xr:uid="{8E61CAD0-6DD9-4F79-95F2-E65FA549B982}">
      <formula1>"Yes,No"</formula1>
    </dataValidation>
    <dataValidation type="list" allowBlank="1" showInputMessage="1" showErrorMessage="1" sqref="N2" xr:uid="{C20BB3AD-919A-4994-A3F4-6DAD37EEE434}">
      <formula1>"Auto,Manual"</formula1>
    </dataValidation>
  </dataValidations>
  <pageMargins left="0.7" right="0.7" top="0.75" bottom="0.75" header="0.3" footer="0.3"/>
  <pageSetup paperSize="9" scale="51" fitToHeight="0" orientation="landscape" r:id="rId1"/>
  <drawing r:id="rId2"/>
  <legacyDrawing r:id="rId3"/>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7B86F-9D96-430E-90B0-F0248A2AE9E8}">
  <sheetPr codeName="Feuil29">
    <tabColor rgb="FF00B0F0"/>
  </sheetPr>
  <dimension ref="B1:I10"/>
  <sheetViews>
    <sheetView workbookViewId="0">
      <selection activeCell="B1" sqref="B1:E2"/>
    </sheetView>
  </sheetViews>
  <sheetFormatPr baseColWidth="10" defaultColWidth="11.44140625" defaultRowHeight="14.4"/>
  <cols>
    <col min="1" max="1" width="11.88671875" bestFit="1" customWidth="1"/>
    <col min="2" max="2" width="17.109375" bestFit="1" customWidth="1"/>
    <col min="3" max="3" width="38.33203125" bestFit="1" customWidth="1"/>
    <col min="4" max="4" width="20.109375" bestFit="1" customWidth="1"/>
    <col min="5" max="5" width="10.33203125" bestFit="1" customWidth="1"/>
    <col min="6" max="6" width="12" bestFit="1" customWidth="1"/>
    <col min="7" max="7" width="17.21875" bestFit="1" customWidth="1"/>
    <col min="8" max="8" width="20.44140625" bestFit="1" customWidth="1"/>
    <col min="9" max="9" width="15.44140625" bestFit="1" customWidth="1"/>
  </cols>
  <sheetData>
    <row r="1" spans="2:9">
      <c r="B1" s="2472" t="s">
        <v>715</v>
      </c>
      <c r="C1" s="2473"/>
      <c r="D1" s="2473"/>
      <c r="E1" s="2474"/>
    </row>
    <row r="2" spans="2:9" ht="15" thickBot="1">
      <c r="B2" s="2475"/>
      <c r="C2" s="2476"/>
      <c r="D2" s="2476"/>
      <c r="E2" s="2477"/>
    </row>
    <row r="3" spans="2:9" ht="15" thickBot="1"/>
    <row r="4" spans="2:9" ht="15" thickBot="1">
      <c r="B4" s="1031" t="s">
        <v>716</v>
      </c>
      <c r="C4" s="1032"/>
      <c r="D4" s="1033" t="str">
        <f>QuotingCUR</f>
        <v>RMB</v>
      </c>
    </row>
    <row r="5" spans="2:9" ht="15" thickBot="1"/>
    <row r="6" spans="2:9" ht="15" thickBot="1">
      <c r="B6" s="1113" t="s">
        <v>717</v>
      </c>
      <c r="C6" s="1114"/>
      <c r="D6" s="1114"/>
      <c r="E6" s="1115"/>
      <c r="G6" s="1113" t="s">
        <v>718</v>
      </c>
      <c r="H6" s="1114"/>
      <c r="I6" s="1115"/>
    </row>
    <row r="7" spans="2:9" ht="43.2">
      <c r="B7" s="1029" t="s">
        <v>262</v>
      </c>
      <c r="C7" s="76" t="s">
        <v>719</v>
      </c>
      <c r="D7" s="76" t="s">
        <v>720</v>
      </c>
      <c r="E7" s="76" t="s">
        <v>721</v>
      </c>
      <c r="G7" s="1029" t="s">
        <v>303</v>
      </c>
      <c r="H7" t="s">
        <v>722</v>
      </c>
    </row>
    <row r="8" spans="2:9">
      <c r="B8" s="490"/>
      <c r="C8" s="17">
        <v>0</v>
      </c>
      <c r="D8" s="76">
        <v>0</v>
      </c>
      <c r="E8" s="1283">
        <v>0</v>
      </c>
      <c r="G8" s="1112"/>
      <c r="H8">
        <v>0</v>
      </c>
    </row>
    <row r="9" spans="2:9">
      <c r="B9" s="490" t="s">
        <v>723</v>
      </c>
      <c r="C9" s="17">
        <v>3.9777327935222673E-3</v>
      </c>
      <c r="D9" s="76">
        <v>70.999999999999986</v>
      </c>
      <c r="E9" s="1283">
        <v>0.28241902834008092</v>
      </c>
      <c r="G9" s="1112" t="s">
        <v>724</v>
      </c>
      <c r="H9">
        <v>0</v>
      </c>
    </row>
    <row r="10" spans="2:9">
      <c r="B10" s="490" t="s">
        <v>725</v>
      </c>
      <c r="C10" s="17">
        <v>3.9777327935222673E-3</v>
      </c>
      <c r="D10" s="76">
        <v>70.999999999999986</v>
      </c>
      <c r="E10" s="1283">
        <v>0.28241902834008092</v>
      </c>
      <c r="G10" s="490" t="s">
        <v>725</v>
      </c>
      <c r="H10" s="17">
        <v>0</v>
      </c>
    </row>
  </sheetData>
  <mergeCells count="1">
    <mergeCell ref="B1:E2"/>
  </mergeCells>
  <phoneticPr fontId="6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D796E-5C69-4043-BDFF-31E030B9B387}">
  <sheetPr codeName="Feuil2">
    <tabColor rgb="FF00B0F0"/>
  </sheetPr>
  <dimension ref="A1:AJ113"/>
  <sheetViews>
    <sheetView zoomScale="80" zoomScaleNormal="80" workbookViewId="0">
      <selection activeCell="I30" sqref="I30"/>
    </sheetView>
  </sheetViews>
  <sheetFormatPr baseColWidth="10" defaultColWidth="11.44140625" defaultRowHeight="14.4"/>
  <cols>
    <col min="1" max="1" width="16.44140625" customWidth="1"/>
    <col min="2" max="2" width="31.109375" customWidth="1"/>
    <col min="3" max="3" width="19.109375" customWidth="1"/>
    <col min="9" max="9" width="16.33203125" customWidth="1"/>
    <col min="10" max="10" width="13.109375" customWidth="1"/>
    <col min="11" max="11" width="29.21875" customWidth="1"/>
    <col min="12" max="12" width="50.109375" customWidth="1"/>
    <col min="13" max="13" width="23.77734375" customWidth="1"/>
    <col min="14" max="14" width="22.77734375" customWidth="1"/>
    <col min="16" max="19" width="0" hidden="1" customWidth="1"/>
  </cols>
  <sheetData>
    <row r="1" spans="1:12" ht="15" thickBot="1">
      <c r="B1" s="1398" t="s">
        <v>540</v>
      </c>
      <c r="C1" s="104">
        <f>'RFQ Data'!C31</f>
        <v>0</v>
      </c>
      <c r="D1" s="104">
        <f>'RFQ Data'!D31</f>
        <v>600</v>
      </c>
      <c r="E1" s="104">
        <f>'RFQ Data'!E31</f>
        <v>600</v>
      </c>
      <c r="F1" s="104">
        <f>'RFQ Data'!F31</f>
        <v>600</v>
      </c>
      <c r="G1" s="104">
        <f>'RFQ Data'!G31</f>
        <v>600</v>
      </c>
      <c r="H1" s="177">
        <f>'RFQ Data'!H31</f>
        <v>600</v>
      </c>
    </row>
    <row r="2" spans="1:12" ht="15" thickBot="1">
      <c r="A2" s="98" t="s">
        <v>726</v>
      </c>
      <c r="B2" s="47"/>
      <c r="C2" s="45">
        <f>+'RFQ Data'!C30</f>
        <v>2024</v>
      </c>
      <c r="D2" s="65">
        <f>+'RFQ Data'!D30</f>
        <v>2025</v>
      </c>
      <c r="E2" s="65">
        <f>+'RFQ Data'!E30</f>
        <v>2026</v>
      </c>
      <c r="F2" s="65">
        <f>+'RFQ Data'!F30</f>
        <v>2027</v>
      </c>
      <c r="G2" s="65">
        <f>+'RFQ Data'!G30</f>
        <v>2028</v>
      </c>
      <c r="H2" s="47">
        <f>+'RFQ Data'!H30</f>
        <v>2029</v>
      </c>
      <c r="K2" s="72"/>
    </row>
    <row r="3" spans="1:12">
      <c r="A3" s="19" t="s">
        <v>727</v>
      </c>
      <c r="B3" s="21"/>
      <c r="C3" s="63">
        <f>+'Material Cost '!DA35</f>
        <v>0</v>
      </c>
      <c r="D3" s="50">
        <f>+'Material Cost '!DB35</f>
        <v>0</v>
      </c>
      <c r="E3" s="50">
        <f>+'Material Cost '!DC35</f>
        <v>0</v>
      </c>
      <c r="F3" s="50">
        <f>+'Material Cost '!DD35</f>
        <v>0</v>
      </c>
      <c r="G3" s="50">
        <f>+'Material Cost '!DE35</f>
        <v>0</v>
      </c>
      <c r="H3" s="88">
        <f>+'Material Cost '!DF35</f>
        <v>0</v>
      </c>
    </row>
    <row r="4" spans="1:12">
      <c r="A4" s="25" t="s">
        <v>728</v>
      </c>
      <c r="B4" s="28"/>
      <c r="C4" s="57">
        <f>+'Product Added value'!CN32</f>
        <v>0</v>
      </c>
      <c r="D4" s="26">
        <f>+'Product Added value'!CO32</f>
        <v>0</v>
      </c>
      <c r="E4" s="26">
        <f>+'Product Added value'!CP32</f>
        <v>0</v>
      </c>
      <c r="F4" s="26">
        <f>+'Product Added value'!CQ32</f>
        <v>0</v>
      </c>
      <c r="G4" s="26">
        <f>+'Product Added value'!CR32</f>
        <v>0</v>
      </c>
      <c r="H4" s="29">
        <f>+'Product Added value'!CS32</f>
        <v>0</v>
      </c>
      <c r="K4" s="490"/>
    </row>
    <row r="5" spans="1:12">
      <c r="A5" s="25" t="s">
        <v>729</v>
      </c>
      <c r="B5" s="28"/>
      <c r="C5" s="57">
        <f>+'Product Added value'!CB32</f>
        <v>70.707070707070699</v>
      </c>
      <c r="D5" s="26">
        <f>+'Product Added value'!CC32</f>
        <v>0</v>
      </c>
      <c r="E5" s="26">
        <f>+'Product Added value'!CD32</f>
        <v>0</v>
      </c>
      <c r="F5" s="26">
        <f>+'Product Added value'!CE32</f>
        <v>0</v>
      </c>
      <c r="G5" s="26">
        <f>+'Product Added value'!CF32</f>
        <v>0</v>
      </c>
      <c r="H5" s="29">
        <f>+'Product Added value'!CG32</f>
        <v>0</v>
      </c>
      <c r="J5" t="s">
        <v>92</v>
      </c>
      <c r="K5" s="490"/>
    </row>
    <row r="6" spans="1:12">
      <c r="A6" s="107" t="s">
        <v>730</v>
      </c>
      <c r="B6" s="28"/>
      <c r="C6" s="57">
        <f>'Transp-Packaging-AMS'!R55</f>
        <v>0</v>
      </c>
      <c r="D6" s="26"/>
      <c r="E6" s="26"/>
      <c r="F6" s="26"/>
      <c r="G6" s="26"/>
      <c r="H6" s="29"/>
      <c r="K6" s="66"/>
    </row>
    <row r="7" spans="1:12">
      <c r="A7" s="2008" t="s">
        <v>731</v>
      </c>
      <c r="B7" s="2009"/>
      <c r="C7" s="2010"/>
      <c r="D7" s="2011"/>
      <c r="E7" s="2011"/>
      <c r="F7" s="2011"/>
      <c r="G7" s="2011"/>
      <c r="H7" s="2012"/>
    </row>
    <row r="8" spans="1:12">
      <c r="A8" s="25" t="s">
        <v>289</v>
      </c>
      <c r="B8" s="28"/>
      <c r="C8" s="57">
        <f>-SUM('Material Cost '!Z6:Z34)</f>
        <v>0</v>
      </c>
      <c r="D8" s="27"/>
      <c r="E8" s="27"/>
      <c r="F8" s="27"/>
      <c r="G8" s="27"/>
      <c r="H8" s="28"/>
    </row>
    <row r="9" spans="1:12">
      <c r="A9" s="25" t="s">
        <v>732</v>
      </c>
      <c r="B9" s="28"/>
      <c r="C9" s="57">
        <f>+'RFQ Data'!F37</f>
        <v>16.889247639849728</v>
      </c>
      <c r="D9" s="27"/>
      <c r="E9" s="27"/>
      <c r="F9" s="27"/>
      <c r="G9" s="27"/>
      <c r="H9" s="28"/>
    </row>
    <row r="10" spans="1:12" ht="15" thickBot="1">
      <c r="A10" s="36" t="s">
        <v>733</v>
      </c>
      <c r="B10" s="43"/>
      <c r="C10" s="1518">
        <f>SUM(C14:C18)-SUM(C22:C26)</f>
        <v>-0.55555555555555536</v>
      </c>
      <c r="D10" s="1519">
        <f t="shared" ref="D10:H10" si="0">SUM(D14:D18)-SUM(D22:D26)</f>
        <v>0</v>
      </c>
      <c r="E10" s="1519">
        <f t="shared" si="0"/>
        <v>0</v>
      </c>
      <c r="F10" s="1519">
        <f t="shared" si="0"/>
        <v>0</v>
      </c>
      <c r="G10" s="1519">
        <f t="shared" si="0"/>
        <v>0</v>
      </c>
      <c r="H10" s="1520">
        <f t="shared" si="0"/>
        <v>0</v>
      </c>
      <c r="I10" s="77" t="s">
        <v>734</v>
      </c>
      <c r="L10" s="2"/>
    </row>
    <row r="11" spans="1:12" ht="15" thickBot="1">
      <c r="A11" s="256" t="s">
        <v>331</v>
      </c>
      <c r="B11" s="257"/>
      <c r="C11" s="164">
        <f>+SUM(C3:C9)</f>
        <v>87.596318346920427</v>
      </c>
      <c r="D11" s="165">
        <f t="shared" ref="D11:H11" si="1">+SUM(D3:D9)</f>
        <v>0</v>
      </c>
      <c r="E11" s="165">
        <f t="shared" si="1"/>
        <v>0</v>
      </c>
      <c r="F11" s="165">
        <f t="shared" si="1"/>
        <v>0</v>
      </c>
      <c r="G11" s="165">
        <f t="shared" si="1"/>
        <v>0</v>
      </c>
      <c r="H11" s="166">
        <f t="shared" si="1"/>
        <v>0</v>
      </c>
    </row>
    <row r="12" spans="1:12" ht="15" thickBot="1"/>
    <row r="13" spans="1:12" ht="15" thickBot="1">
      <c r="A13" s="98" t="s">
        <v>735</v>
      </c>
      <c r="B13" s="47"/>
      <c r="C13" s="45">
        <f>C2</f>
        <v>2024</v>
      </c>
      <c r="D13" s="65">
        <f t="shared" ref="D13:H13" si="2">D2</f>
        <v>2025</v>
      </c>
      <c r="E13" s="65">
        <f t="shared" si="2"/>
        <v>2026</v>
      </c>
      <c r="F13" s="65">
        <f t="shared" si="2"/>
        <v>2027</v>
      </c>
      <c r="G13" s="65">
        <f t="shared" si="2"/>
        <v>2028</v>
      </c>
      <c r="H13" s="47">
        <f t="shared" si="2"/>
        <v>2029</v>
      </c>
    </row>
    <row r="14" spans="1:12">
      <c r="A14" s="19" t="str">
        <f>+A3</f>
        <v>Specific components tooling at supplier</v>
      </c>
      <c r="B14" s="834"/>
      <c r="C14" s="1722">
        <f>+'Material Cost '!DH35</f>
        <v>0</v>
      </c>
      <c r="D14" s="275">
        <f>+'Material Cost '!DI35</f>
        <v>0</v>
      </c>
      <c r="E14" s="275">
        <f>+'Material Cost '!DJ35</f>
        <v>0</v>
      </c>
      <c r="F14" s="275">
        <f>+'Material Cost '!DK35</f>
        <v>0</v>
      </c>
      <c r="G14" s="275">
        <f>+'Material Cost '!DL35</f>
        <v>0</v>
      </c>
      <c r="H14" s="438">
        <f>+'Material Cost '!DM35</f>
        <v>0</v>
      </c>
    </row>
    <row r="15" spans="1:12">
      <c r="A15" s="25" t="str">
        <f>+A4</f>
        <v>Process tooling at AVO</v>
      </c>
      <c r="B15" s="53"/>
      <c r="C15" s="1720">
        <f>+'Product Added value'!CU32</f>
        <v>5</v>
      </c>
      <c r="D15" s="260">
        <f>+'Product Added value'!CV32</f>
        <v>0</v>
      </c>
      <c r="E15" s="260">
        <f>+'Product Added value'!CW32</f>
        <v>0</v>
      </c>
      <c r="F15" s="260">
        <f>+'Product Added value'!CX32</f>
        <v>0</v>
      </c>
      <c r="G15" s="260">
        <f>+'Product Added value'!CY32</f>
        <v>0</v>
      </c>
      <c r="H15" s="439">
        <f>+'Product Added value'!CZ32</f>
        <v>0</v>
      </c>
    </row>
    <row r="16" spans="1:12">
      <c r="A16" s="25" t="str">
        <f>+A5</f>
        <v>Process equipment at AVO</v>
      </c>
      <c r="B16" s="53"/>
      <c r="C16" s="1720">
        <f>+'Product Added value'!CH32</f>
        <v>0</v>
      </c>
      <c r="D16" s="260">
        <f>+'Product Added value'!CI32</f>
        <v>0</v>
      </c>
      <c r="E16" s="260">
        <f>+'Product Added value'!CJ32</f>
        <v>0</v>
      </c>
      <c r="F16" s="260">
        <f>+'Product Added value'!CK32</f>
        <v>0</v>
      </c>
      <c r="G16" s="260">
        <f>+'Product Added value'!CL32</f>
        <v>0</v>
      </c>
      <c r="H16" s="439">
        <f>+'Product Added value'!CM32</f>
        <v>0</v>
      </c>
    </row>
    <row r="17" spans="1:19">
      <c r="A17" s="107" t="str">
        <f>A6</f>
        <v>Packaging tooling &amp; returnable package</v>
      </c>
      <c r="B17" s="97"/>
      <c r="C17" s="1723">
        <f>'Transp-Packaging-AMS'!S55</f>
        <v>0</v>
      </c>
      <c r="D17" s="260"/>
      <c r="E17" s="260"/>
      <c r="F17" s="260"/>
      <c r="G17" s="260"/>
      <c r="H17" s="439"/>
      <c r="J17" s="66"/>
    </row>
    <row r="18" spans="1:19" ht="15" thickBot="1">
      <c r="A18" s="2007" t="str">
        <f>A7</f>
        <v>Development cost</v>
      </c>
      <c r="B18" s="2004"/>
      <c r="C18" s="2003"/>
      <c r="D18" s="2005">
        <v>0</v>
      </c>
      <c r="E18" s="2005"/>
      <c r="F18" s="2005"/>
      <c r="G18" s="2005"/>
      <c r="H18" s="2006"/>
    </row>
    <row r="19" spans="1:19" ht="15" thickBot="1">
      <c r="A19" s="44" t="s">
        <v>331</v>
      </c>
      <c r="B19" s="18"/>
      <c r="C19" s="835">
        <f>+SUM(C14:C18)</f>
        <v>5</v>
      </c>
      <c r="D19" s="836">
        <f t="shared" ref="D19:H19" si="3">+SUM(D14:D17)</f>
        <v>0</v>
      </c>
      <c r="E19" s="836">
        <f t="shared" si="3"/>
        <v>0</v>
      </c>
      <c r="F19" s="836">
        <f t="shared" si="3"/>
        <v>0</v>
      </c>
      <c r="G19" s="836">
        <f t="shared" si="3"/>
        <v>0</v>
      </c>
      <c r="H19" s="837">
        <f t="shared" si="3"/>
        <v>0</v>
      </c>
    </row>
    <row r="20" spans="1:19" ht="15" thickBot="1">
      <c r="K20" s="1504" t="s">
        <v>736</v>
      </c>
      <c r="L20" s="534"/>
    </row>
    <row r="21" spans="1:19" ht="15" thickBot="1">
      <c r="A21" s="98" t="s">
        <v>737</v>
      </c>
      <c r="B21" s="47"/>
      <c r="C21" s="45">
        <f>C2</f>
        <v>2024</v>
      </c>
      <c r="D21" s="65">
        <f t="shared" ref="D21:H21" si="4">D2</f>
        <v>2025</v>
      </c>
      <c r="E21" s="65">
        <f t="shared" si="4"/>
        <v>2026</v>
      </c>
      <c r="F21" s="65">
        <f t="shared" si="4"/>
        <v>2027</v>
      </c>
      <c r="G21" s="65">
        <f t="shared" si="4"/>
        <v>2028</v>
      </c>
      <c r="H21" s="47">
        <f t="shared" si="4"/>
        <v>2029</v>
      </c>
      <c r="I21" s="838" t="s">
        <v>738</v>
      </c>
      <c r="K21" s="1505" t="s">
        <v>739</v>
      </c>
      <c r="L21" s="1506">
        <f>SUMIF(I22:I26,'RFQ Data'!Y31,'Capex '!E22:E26)+SUMIF(I22:I26,'RFQ Data'!Y31,'Capex '!D22:D26)+SUMIF(I22:I26,'RFQ Data'!Y31,'Capex '!F22:F26)+SUMIF(I22:I26,'RFQ Data'!Y31,'Capex '!G22:G26)+SUMIF(I22:I26,'RFQ Data'!Y31,'Capex '!H22:H26)+SUMIF(I22:I26,'RFQ Data'!Y31,'Capex '!C22:C26)</f>
        <v>5.5555555555555554</v>
      </c>
    </row>
    <row r="22" spans="1:19" ht="15" thickBot="1">
      <c r="A22" s="19" t="str">
        <f>+A14</f>
        <v>Specific components tooling at supplier</v>
      </c>
      <c r="B22" s="21"/>
      <c r="C22" s="1717">
        <f>+C14/(1-'Financials Parameters'!$Q$20)</f>
        <v>0</v>
      </c>
      <c r="D22" s="1718">
        <f>+D14/(1-'Financials Parameters'!$Q$20)</f>
        <v>0</v>
      </c>
      <c r="E22" s="1718">
        <f>+E14/(1-'Financials Parameters'!$Q$20)</f>
        <v>0</v>
      </c>
      <c r="F22" s="1718">
        <f>+F14/(1-'Financials Parameters'!$Q$20)</f>
        <v>0</v>
      </c>
      <c r="G22" s="1718">
        <f>+G14/(1-'Financials Parameters'!$Q$20)</f>
        <v>0</v>
      </c>
      <c r="H22" s="1719">
        <f>+H14/(1-'Financials Parameters'!$Q$20)</f>
        <v>0</v>
      </c>
      <c r="I22" s="468" t="str">
        <f>'RFQ Data'!N30</f>
        <v>Invoiced</v>
      </c>
      <c r="K22" s="1507" t="s">
        <v>740</v>
      </c>
      <c r="L22" s="1508">
        <f>SUMIF(I22:I26,'RFQ Data'!Y32,'Capex '!E22:E26)+SUMIF(I22:I26,'RFQ Data'!Y32,'Capex '!D22:D26)+SUMIF(I22:I26,'RFQ Data'!Y32,'Capex '!F22:F26)+SUMIF(I22:I26,'RFQ Data'!Y32,'Capex '!G22:G26)+SUMIF(I22:I26,'RFQ Data'!Y32,'Capex '!H22:H26)+SUMIF(I22:I26,'RFQ Data'!Y32,'Capex '!C22:C26)</f>
        <v>0</v>
      </c>
    </row>
    <row r="23" spans="1:19">
      <c r="A23" s="25" t="str">
        <f>+A15</f>
        <v>Process tooling at AVO</v>
      </c>
      <c r="B23" s="28"/>
      <c r="C23" s="1720">
        <f>+C15/(1-'Financials Parameters'!$Q$21)</f>
        <v>5.5555555555555554</v>
      </c>
      <c r="D23" s="260">
        <f>+D15/(1-'Financials Parameters'!$Q$21)</f>
        <v>0</v>
      </c>
      <c r="E23" s="260">
        <f>+E15/(1-'Financials Parameters'!$Q$21)</f>
        <v>0</v>
      </c>
      <c r="F23" s="260">
        <f>+F15/(1-'Financials Parameters'!$Q$21)</f>
        <v>0</v>
      </c>
      <c r="G23" s="260">
        <f>+G15/(1-'Financials Parameters'!$Q$21)</f>
        <v>0</v>
      </c>
      <c r="H23" s="1721">
        <f>+H15/(1-'Financials Parameters'!$Q$21)</f>
        <v>0</v>
      </c>
      <c r="I23" s="314" t="str">
        <f>'RFQ Data'!N31</f>
        <v>Invoiced</v>
      </c>
      <c r="K23" s="1509" t="s">
        <v>741</v>
      </c>
      <c r="L23" s="1506">
        <f>-PMT('RFQ Data'!$N$36,'RFQ Data'!$N$35,'Capex '!$L$22)*'RFQ Data'!N35</f>
        <v>0</v>
      </c>
    </row>
    <row r="24" spans="1:19" ht="15" thickBot="1">
      <c r="A24" s="25" t="str">
        <f>+A16</f>
        <v>Process equipment at AVO</v>
      </c>
      <c r="B24" s="28"/>
      <c r="C24" s="1720">
        <f>+C16/(1-'Financials Parameters'!$Q$22)</f>
        <v>0</v>
      </c>
      <c r="D24" s="260">
        <f>+D16/(1-'Financials Parameters'!$Q$22)</f>
        <v>0</v>
      </c>
      <c r="E24" s="260">
        <f>+E16/(1-'Financials Parameters'!$Q$22)</f>
        <v>0</v>
      </c>
      <c r="F24" s="260">
        <f>+F16/(1-'Financials Parameters'!$Q$22)</f>
        <v>0</v>
      </c>
      <c r="G24" s="260">
        <f>+G16/(1-'Financials Parameters'!$Q$22)</f>
        <v>0</v>
      </c>
      <c r="H24" s="1721">
        <f>+H16/(1-'Financials Parameters'!$Q$22)</f>
        <v>0</v>
      </c>
      <c r="I24" s="314" t="str">
        <f>'RFQ Data'!N32</f>
        <v>Invoiced</v>
      </c>
      <c r="K24" s="1507" t="s">
        <v>742</v>
      </c>
      <c r="L24" s="1510">
        <f>L23/'RFQ Data'!N37</f>
        <v>0</v>
      </c>
    </row>
    <row r="25" spans="1:19" ht="15" thickBot="1">
      <c r="A25" s="107" t="str">
        <f>+A17</f>
        <v>Packaging tooling &amp; returnable package</v>
      </c>
      <c r="B25" s="35"/>
      <c r="C25" s="196">
        <f>+C17/(1-'Financials Parameters'!$Q$20)</f>
        <v>0</v>
      </c>
      <c r="D25" s="192">
        <f>+D17/(1-'Financials Parameters'!$Q$20)</f>
        <v>0</v>
      </c>
      <c r="E25" s="192">
        <f>+E17/(1-'Financials Parameters'!$Q$20)</f>
        <v>0</v>
      </c>
      <c r="F25" s="192">
        <f>+F17/(1-'Financials Parameters'!$Q$20)</f>
        <v>0</v>
      </c>
      <c r="G25" s="192">
        <f>+G17/(1-'Financials Parameters'!$Q$20)</f>
        <v>0</v>
      </c>
      <c r="H25" s="870">
        <f>+H17/(1-'Financials Parameters'!$Q$20)</f>
        <v>0</v>
      </c>
      <c r="I25" s="314" t="str">
        <f>'RFQ Data'!N33</f>
        <v>Invoiced</v>
      </c>
      <c r="K25" s="1511" t="s">
        <v>743</v>
      </c>
      <c r="L25" s="1512">
        <f>'RFQ Data'!N37</f>
        <v>1800</v>
      </c>
    </row>
    <row r="26" spans="1:19" ht="15" thickBot="1">
      <c r="A26" s="25" t="str">
        <f>A18</f>
        <v>Development cost</v>
      </c>
      <c r="B26" s="28"/>
      <c r="C26" s="196">
        <f>+C18/(1-'Financials Parameters'!$Q$23)</f>
        <v>0</v>
      </c>
      <c r="D26" s="192">
        <f>+D18/(1-'Financials Parameters'!$Q$23)</f>
        <v>0</v>
      </c>
      <c r="E26" s="192">
        <f>+E18/(1-'Financials Parameters'!$Q$23)</f>
        <v>0</v>
      </c>
      <c r="F26" s="192">
        <f>+F18/(1-'Financials Parameters'!$Q$23)</f>
        <v>0</v>
      </c>
      <c r="G26" s="192">
        <f>+G18/(1-'Financials Parameters'!$Q$23)</f>
        <v>0</v>
      </c>
      <c r="H26" s="870">
        <f>+H18/(1-'Financials Parameters'!$Q$23)</f>
        <v>0</v>
      </c>
      <c r="I26" s="59" t="str">
        <f>'RFQ Data'!N34</f>
        <v>Invoiced</v>
      </c>
    </row>
    <row r="27" spans="1:19" ht="15" thickBot="1">
      <c r="A27" s="44" t="s">
        <v>331</v>
      </c>
      <c r="B27" s="18"/>
      <c r="C27" s="82">
        <f>+SUM(C22:C26)</f>
        <v>5.5555555555555554</v>
      </c>
      <c r="D27" s="82">
        <f t="shared" ref="D27:H27" si="5">+SUM(D22:D26)</f>
        <v>0</v>
      </c>
      <c r="E27" s="258">
        <f t="shared" si="5"/>
        <v>0</v>
      </c>
      <c r="F27" s="258">
        <f t="shared" si="5"/>
        <v>0</v>
      </c>
      <c r="G27" s="258">
        <f t="shared" si="5"/>
        <v>0</v>
      </c>
      <c r="H27" s="259">
        <f t="shared" si="5"/>
        <v>0</v>
      </c>
    </row>
    <row r="28" spans="1:19" ht="15" thickBot="1">
      <c r="A28" t="s">
        <v>92</v>
      </c>
      <c r="L28" s="2"/>
    </row>
    <row r="29" spans="1:19" ht="15" thickBot="1">
      <c r="A29" t="s">
        <v>744</v>
      </c>
      <c r="B29" s="44" t="s">
        <v>242</v>
      </c>
      <c r="C29" s="1291" t="s">
        <v>156</v>
      </c>
      <c r="D29" s="1291" t="s">
        <v>157</v>
      </c>
      <c r="E29" s="1291" t="s">
        <v>158</v>
      </c>
      <c r="F29" s="1291" t="s">
        <v>159</v>
      </c>
      <c r="G29" s="1292" t="s">
        <v>160</v>
      </c>
      <c r="H29" s="1292" t="s">
        <v>745</v>
      </c>
      <c r="L29" s="1501"/>
      <c r="P29" s="2478" t="s">
        <v>746</v>
      </c>
      <c r="Q29" s="2479"/>
      <c r="R29" s="2479" t="s">
        <v>747</v>
      </c>
      <c r="S29" s="2480"/>
    </row>
    <row r="30" spans="1:19">
      <c r="A30" t="s">
        <v>748</v>
      </c>
      <c r="B30" s="41" t="str">
        <f>'Material Cost '!C6&amp;IF('Material Cost '!C6&lt;&gt;""," tooling","")</f>
        <v>Copper Wire φ1.25 Turns 14 tooling</v>
      </c>
      <c r="C30" s="87">
        <f>IF('Material Cost '!AP6="customer",'Material Cost '!DH6/(1-'Financials Parameters'!$Q$20),0)</f>
        <v>0</v>
      </c>
      <c r="D30" s="87">
        <f>IF('Material Cost '!AQ6="customer",'Material Cost '!DI6/(1-'Financials Parameters'!$Q$20),0)</f>
        <v>0</v>
      </c>
      <c r="E30" s="87">
        <f>IF('Material Cost '!AR6="customer",'Material Cost '!DJ6/(1-'Financials Parameters'!$Q$20),0)</f>
        <v>0</v>
      </c>
      <c r="F30" s="87">
        <f>IF('Material Cost '!AS6="customer",'Material Cost '!DK6/(1-'Financials Parameters'!$Q$20),0)</f>
        <v>0</v>
      </c>
      <c r="G30" s="42">
        <f>IF('Material Cost '!AT6="customer",'Material Cost '!DL6/(1-'Financials Parameters'!$Q$20),0)</f>
        <v>0</v>
      </c>
      <c r="H30" s="42">
        <f>IF('Material Cost '!AU6="customer",'Material Cost '!DM6/(1-'Financials Parameters'!$Q$20),0)</f>
        <v>0</v>
      </c>
      <c r="K30" s="66"/>
    </row>
    <row r="31" spans="1:19">
      <c r="A31" t="s">
        <v>748</v>
      </c>
      <c r="B31" s="25" t="str">
        <f>'Material Cost '!C7&amp;IF('Material Cost '!C7&lt;&gt;""," tooling","")</f>
        <v>Fuse Core φ5.2*20.5 B5 tooling</v>
      </c>
      <c r="C31" s="26">
        <f>IF('Material Cost '!AP7="customer",'Material Cost '!DH7/(1-'Financials Parameters'!$Q$20),0)</f>
        <v>0</v>
      </c>
      <c r="D31" s="26">
        <f>IF('Material Cost '!AQ7="customer",'Material Cost '!DI7/(1-'Financials Parameters'!$Q$20),0)</f>
        <v>0</v>
      </c>
      <c r="E31" s="26">
        <f>IF('Material Cost '!AR7="customer",'Material Cost '!DJ7/(1-'Financials Parameters'!$Q$20),0)</f>
        <v>0</v>
      </c>
      <c r="F31" s="26">
        <f>IF('Material Cost '!AS7="customer",'Material Cost '!DK7/(1-'Financials Parameters'!$Q$20),0)</f>
        <v>0</v>
      </c>
      <c r="G31" s="29">
        <f>IF('Material Cost '!AT7="customer",'Material Cost '!DL7/(1-'Financials Parameters'!$Q$20),0)</f>
        <v>0</v>
      </c>
      <c r="H31" s="29">
        <f>IF('Material Cost '!AU7="customer",'Material Cost '!DM7/(1-'Financials Parameters'!$Q$20),0)</f>
        <v>0</v>
      </c>
      <c r="K31" s="1993"/>
      <c r="P31" s="1994"/>
      <c r="Q31" s="1995"/>
      <c r="R31" s="1995"/>
      <c r="S31" s="1995"/>
    </row>
    <row r="32" spans="1:19">
      <c r="A32" t="s">
        <v>748</v>
      </c>
      <c r="B32" s="25" t="str">
        <f>'Material Cost '!C8&amp;IF('Material Cost '!C8&lt;&gt;""," tooling","")</f>
        <v>Solder paste SnAg3.5 tooling</v>
      </c>
      <c r="C32" s="26">
        <f>IF('Material Cost '!AP8="customer",'Material Cost '!DH8/(1-'Financials Parameters'!$Q$20),0)</f>
        <v>0</v>
      </c>
      <c r="D32" s="26">
        <f>IF('Material Cost '!AQ8="customer",'Material Cost '!DI8/(1-'Financials Parameters'!$Q$20),0)</f>
        <v>0</v>
      </c>
      <c r="E32" s="26">
        <f>IF('Material Cost '!AR8="customer",'Material Cost '!DJ8/(1-'Financials Parameters'!$Q$20),0)</f>
        <v>0</v>
      </c>
      <c r="F32" s="26">
        <f>IF('Material Cost '!AS8="customer",'Material Cost '!DK8/(1-'Financials Parameters'!$Q$20),0)</f>
        <v>0</v>
      </c>
      <c r="G32" s="29">
        <f>IF('Material Cost '!AT8="customer",'Material Cost '!DL8/(1-'Financials Parameters'!$Q$20),0)</f>
        <v>0</v>
      </c>
      <c r="H32" s="29">
        <f>IF('Material Cost '!AU8="customer",'Material Cost '!DM8/(1-'Financials Parameters'!$Q$20),0)</f>
        <v>0</v>
      </c>
      <c r="K32" s="1993"/>
      <c r="P32" s="1997"/>
      <c r="Q32" s="1998"/>
      <c r="R32" s="1998"/>
      <c r="S32" s="1998"/>
    </row>
    <row r="33" spans="1:19">
      <c r="A33" t="s">
        <v>748</v>
      </c>
      <c r="B33" s="25" t="str">
        <f>'Material Cost '!C9&amp;IF('Material Cost '!C9&lt;&gt;""," tooling","")</f>
        <v>Tin SnAg3.5 tooling</v>
      </c>
      <c r="C33" s="26">
        <f>IF('Material Cost '!AP9="customer",'Material Cost '!DH9/(1-'Financials Parameters'!$Q$20),0)</f>
        <v>0</v>
      </c>
      <c r="D33" s="26">
        <f>IF('Material Cost '!AQ9="customer",'Material Cost '!DI9/(1-'Financials Parameters'!$Q$20),0)</f>
        <v>0</v>
      </c>
      <c r="E33" s="26">
        <f>IF('Material Cost '!AR9="customer",'Material Cost '!DJ9/(1-'Financials Parameters'!$Q$20),0)</f>
        <v>0</v>
      </c>
      <c r="F33" s="26">
        <f>IF('Material Cost '!AS9="customer",'Material Cost '!DK9/(1-'Financials Parameters'!$Q$20),0)</f>
        <v>0</v>
      </c>
      <c r="G33" s="29">
        <f>IF('Material Cost '!AT9="customer",'Material Cost '!DL9/(1-'Financials Parameters'!$Q$20),0)</f>
        <v>0</v>
      </c>
      <c r="H33" s="29">
        <f>IF('Material Cost '!AU9="customer",'Material Cost '!DM9/(1-'Financials Parameters'!$Q$20),0)</f>
        <v>0</v>
      </c>
      <c r="K33" s="1993"/>
      <c r="P33" s="1997"/>
      <c r="Q33" s="1998"/>
      <c r="R33" s="1998"/>
      <c r="S33" s="1998"/>
    </row>
    <row r="34" spans="1:19">
      <c r="A34" t="s">
        <v>748</v>
      </c>
      <c r="B34" s="25" t="str">
        <f>'Material Cost '!C10&amp;IF('Material Cost '!C10&lt;&gt;""," tooling","")</f>
        <v/>
      </c>
      <c r="C34" s="26">
        <f>IF('Material Cost '!AP10="customer",'Material Cost '!DH10/(1-'Financials Parameters'!$Q$20),0)</f>
        <v>0</v>
      </c>
      <c r="D34" s="26">
        <f>IF('Material Cost '!AQ10="customer",'Material Cost '!DI10/(1-'Financials Parameters'!$Q$20),0)</f>
        <v>0</v>
      </c>
      <c r="E34" s="26">
        <f>IF('Material Cost '!AR10="customer",'Material Cost '!DJ10/(1-'Financials Parameters'!$Q$20),0)</f>
        <v>0</v>
      </c>
      <c r="F34" s="26">
        <f>IF('Material Cost '!AS10="customer",'Material Cost '!DK10/(1-'Financials Parameters'!$Q$20),0)</f>
        <v>0</v>
      </c>
      <c r="G34" s="29">
        <f>IF('Material Cost '!AT10="customer",'Material Cost '!DL10/(1-'Financials Parameters'!$Q$20),0)</f>
        <v>0</v>
      </c>
      <c r="H34" s="29">
        <f>IF('Material Cost '!AU10="customer",'Material Cost '!DM10/(1-'Financials Parameters'!$Q$20),0)</f>
        <v>0</v>
      </c>
      <c r="K34" s="1993"/>
      <c r="P34" s="1994"/>
      <c r="Q34" s="1995"/>
      <c r="R34" s="1995"/>
      <c r="S34" s="1995"/>
    </row>
    <row r="35" spans="1:19">
      <c r="A35" t="s">
        <v>748</v>
      </c>
      <c r="B35" s="25" t="str">
        <f>'Material Cost '!C11&amp;IF('Material Cost '!C11&lt;&gt;""," tooling","")</f>
        <v/>
      </c>
      <c r="C35" s="26">
        <f>IF('Material Cost '!AP11="customer",'Material Cost '!DH11/(1-'Financials Parameters'!$Q$20),0)</f>
        <v>0</v>
      </c>
      <c r="D35" s="26">
        <f>IF('Material Cost '!AQ11="customer",'Material Cost '!DI11/(1-'Financials Parameters'!$Q$20),0)</f>
        <v>0</v>
      </c>
      <c r="E35" s="26">
        <f>IF('Material Cost '!AR11="customer",'Material Cost '!DJ11/(1-'Financials Parameters'!$Q$20),0)</f>
        <v>0</v>
      </c>
      <c r="F35" s="26">
        <f>IF('Material Cost '!AS11="customer",'Material Cost '!DK11/(1-'Financials Parameters'!$Q$20),0)</f>
        <v>0</v>
      </c>
      <c r="G35" s="29">
        <f>IF('Material Cost '!AT11="customer",'Material Cost '!DL11/(1-'Financials Parameters'!$Q$20),0)</f>
        <v>0</v>
      </c>
      <c r="H35" s="29">
        <f>IF('Material Cost '!AU11="customer",'Material Cost '!DM11/(1-'Financials Parameters'!$Q$20),0)</f>
        <v>0</v>
      </c>
      <c r="K35" s="1993"/>
      <c r="P35" s="1994"/>
      <c r="Q35" s="1995"/>
      <c r="R35" s="1995"/>
      <c r="S35" s="1995"/>
    </row>
    <row r="36" spans="1:19">
      <c r="A36" t="s">
        <v>748</v>
      </c>
      <c r="B36" s="25" t="str">
        <f>'Material Cost '!C12&amp;IF('Material Cost '!C12&lt;&gt;""," tooling","")</f>
        <v/>
      </c>
      <c r="C36" s="26">
        <f>IF('Material Cost '!AP12="customer",'Material Cost '!DH12/(1-'Financials Parameters'!$Q$20),0)</f>
        <v>0</v>
      </c>
      <c r="D36" s="26">
        <f>IF('Material Cost '!AQ12="customer",'Material Cost '!DI12/(1-'Financials Parameters'!$Q$20),0)</f>
        <v>0</v>
      </c>
      <c r="E36" s="26">
        <f>IF('Material Cost '!AR12="customer",'Material Cost '!DJ12/(1-'Financials Parameters'!$Q$20),0)</f>
        <v>0</v>
      </c>
      <c r="F36" s="26">
        <f>IF('Material Cost '!AS12="customer",'Material Cost '!DK12/(1-'Financials Parameters'!$Q$20),0)</f>
        <v>0</v>
      </c>
      <c r="G36" s="29">
        <f>IF('Material Cost '!AT12="customer",'Material Cost '!DL12/(1-'Financials Parameters'!$Q$20),0)</f>
        <v>0</v>
      </c>
      <c r="H36" s="29">
        <f>IF('Material Cost '!AU12="customer",'Material Cost '!DM12/(1-'Financials Parameters'!$Q$20),0)</f>
        <v>0</v>
      </c>
      <c r="K36" s="1993"/>
      <c r="P36" s="1994"/>
      <c r="Q36" s="1995"/>
      <c r="R36" s="1995"/>
      <c r="S36" s="1995"/>
    </row>
    <row r="37" spans="1:19">
      <c r="A37" t="s">
        <v>748</v>
      </c>
      <c r="B37" s="25" t="str">
        <f>'Material Cost '!C13&amp;IF('Material Cost '!C13&lt;&gt;""," tooling","")</f>
        <v/>
      </c>
      <c r="C37" s="26">
        <f>IF('Material Cost '!AP13="customer",'Material Cost '!DH13/(1-'Financials Parameters'!$Q$20),0)</f>
        <v>0</v>
      </c>
      <c r="D37" s="26">
        <f>IF('Material Cost '!AQ13="customer",'Material Cost '!DI13/(1-'Financials Parameters'!$Q$20),0)</f>
        <v>0</v>
      </c>
      <c r="E37" s="26">
        <f>IF('Material Cost '!AR13="customer",'Material Cost '!DJ13/(1-'Financials Parameters'!$Q$20),0)</f>
        <v>0</v>
      </c>
      <c r="F37" s="26">
        <f>IF('Material Cost '!AS13="customer",'Material Cost '!DK13/(1-'Financials Parameters'!$Q$20),0)</f>
        <v>0</v>
      </c>
      <c r="G37" s="29">
        <f>IF('Material Cost '!AT13="customer",'Material Cost '!DL13/(1-'Financials Parameters'!$Q$20),0)</f>
        <v>0</v>
      </c>
      <c r="H37" s="29">
        <f>IF('Material Cost '!AU13="customer",'Material Cost '!DM13/(1-'Financials Parameters'!$Q$20),0)</f>
        <v>0</v>
      </c>
      <c r="K37" s="1993"/>
      <c r="P37" s="1994"/>
      <c r="Q37" s="1995"/>
      <c r="R37" s="1995"/>
      <c r="S37" s="1995"/>
    </row>
    <row r="38" spans="1:19">
      <c r="A38" t="s">
        <v>748</v>
      </c>
      <c r="B38" s="25" t="str">
        <f>'Material Cost '!C14&amp;IF('Material Cost '!C14&lt;&gt;""," tooling","")</f>
        <v/>
      </c>
      <c r="C38" s="26">
        <f>IF('Material Cost '!AP14="customer",'Material Cost '!DH14/(1-'Financials Parameters'!$Q$20),0)</f>
        <v>0</v>
      </c>
      <c r="D38" s="26">
        <f>IF('Material Cost '!AQ14="customer",'Material Cost '!DI14/(1-'Financials Parameters'!$Q$20),0)</f>
        <v>0</v>
      </c>
      <c r="E38" s="26">
        <f>IF('Material Cost '!AR14="customer",'Material Cost '!DJ14/(1-'Financials Parameters'!$Q$20),0)</f>
        <v>0</v>
      </c>
      <c r="F38" s="26">
        <f>IF('Material Cost '!AS14="customer",'Material Cost '!DK14/(1-'Financials Parameters'!$Q$20),0)</f>
        <v>0</v>
      </c>
      <c r="G38" s="29">
        <f>IF('Material Cost '!AT14="customer",'Material Cost '!DL14/(1-'Financials Parameters'!$Q$20),0)</f>
        <v>0</v>
      </c>
      <c r="H38" s="29">
        <f>IF('Material Cost '!AU14="customer",'Material Cost '!DM14/(1-'Financials Parameters'!$Q$20),0)</f>
        <v>0</v>
      </c>
      <c r="K38" s="1993"/>
      <c r="P38" s="1994"/>
      <c r="Q38" s="1995"/>
      <c r="R38" s="1995"/>
      <c r="S38" s="1995"/>
    </row>
    <row r="39" spans="1:19">
      <c r="A39" t="s">
        <v>748</v>
      </c>
      <c r="B39" s="25" t="str">
        <f>'Material Cost '!C15&amp;IF('Material Cost '!C15&lt;&gt;""," tooling","")</f>
        <v/>
      </c>
      <c r="C39" s="26">
        <f>IF('Material Cost '!AP15="customer",'Material Cost '!DH15/(1-'Financials Parameters'!$Q$20),0)</f>
        <v>0</v>
      </c>
      <c r="D39" s="26">
        <f>IF('Material Cost '!AQ15="customer",'Material Cost '!DI15/(1-'Financials Parameters'!$Q$20),0)</f>
        <v>0</v>
      </c>
      <c r="E39" s="26">
        <f>IF('Material Cost '!AR15="customer",'Material Cost '!DJ15/(1-'Financials Parameters'!$Q$20),0)</f>
        <v>0</v>
      </c>
      <c r="F39" s="26">
        <f>IF('Material Cost '!AS15="customer",'Material Cost '!DK15/(1-'Financials Parameters'!$Q$20),0)</f>
        <v>0</v>
      </c>
      <c r="G39" s="29">
        <f>IF('Material Cost '!AT15="customer",'Material Cost '!DL15/(1-'Financials Parameters'!$Q$20),0)</f>
        <v>0</v>
      </c>
      <c r="H39" s="29">
        <f>IF('Material Cost '!AU15="customer",'Material Cost '!DM15/(1-'Financials Parameters'!$Q$20),0)</f>
        <v>0</v>
      </c>
      <c r="K39" s="1993"/>
      <c r="P39" s="1994"/>
      <c r="Q39" s="1995"/>
      <c r="R39" s="1995"/>
      <c r="S39" s="1995"/>
    </row>
    <row r="40" spans="1:19">
      <c r="A40" t="s">
        <v>748</v>
      </c>
      <c r="B40" s="25" t="str">
        <f>'Material Cost '!C16&amp;IF('Material Cost '!C16&lt;&gt;""," tooling","")</f>
        <v/>
      </c>
      <c r="C40" s="26">
        <f>IF('Material Cost '!AP16="customer",'Material Cost '!DH16/(1-'Financials Parameters'!$Q$20),0)</f>
        <v>0</v>
      </c>
      <c r="D40" s="26">
        <f>IF('Material Cost '!AQ16="customer",'Material Cost '!DI16/(1-'Financials Parameters'!$Q$20),0)</f>
        <v>0</v>
      </c>
      <c r="E40" s="26">
        <f>IF('Material Cost '!AR16="customer",'Material Cost '!DJ16/(1-'Financials Parameters'!$Q$20),0)</f>
        <v>0</v>
      </c>
      <c r="F40" s="26">
        <f>IF('Material Cost '!AS16="customer",'Material Cost '!DK16/(1-'Financials Parameters'!$Q$20),0)</f>
        <v>0</v>
      </c>
      <c r="G40" s="29">
        <f>IF('Material Cost '!AT16="customer",'Material Cost '!DL16/(1-'Financials Parameters'!$Q$20),0)</f>
        <v>0</v>
      </c>
      <c r="H40" s="29">
        <f>IF('Material Cost '!AU16="customer",'Material Cost '!DM16/(1-'Financials Parameters'!$Q$20),0)</f>
        <v>0</v>
      </c>
      <c r="K40" s="1993"/>
      <c r="P40" s="1994"/>
      <c r="Q40" s="1995"/>
      <c r="R40" s="1995"/>
      <c r="S40" s="1995"/>
    </row>
    <row r="41" spans="1:19">
      <c r="A41" t="s">
        <v>748</v>
      </c>
      <c r="B41" s="25" t="str">
        <f>'Material Cost '!C17&amp;IF('Material Cost '!C17&lt;&gt;""," tooling","")</f>
        <v/>
      </c>
      <c r="C41" s="26">
        <f>IF('Material Cost '!AP17="customer",'Material Cost '!DH17/(1-'Financials Parameters'!$Q$20),0)</f>
        <v>0</v>
      </c>
      <c r="D41" s="26">
        <f>IF('Material Cost '!AQ17="customer",'Material Cost '!DI17/(1-'Financials Parameters'!$Q$20),0)</f>
        <v>0</v>
      </c>
      <c r="E41" s="26">
        <f>IF('Material Cost '!AR17="customer",'Material Cost '!DJ17/(1-'Financials Parameters'!$Q$20),0)</f>
        <v>0</v>
      </c>
      <c r="F41" s="26">
        <f>IF('Material Cost '!AS17="customer",'Material Cost '!DK17/(1-'Financials Parameters'!$Q$20),0)</f>
        <v>0</v>
      </c>
      <c r="G41" s="29">
        <f>IF('Material Cost '!AT17="customer",'Material Cost '!DL17/(1-'Financials Parameters'!$Q$20),0)</f>
        <v>0</v>
      </c>
      <c r="H41" s="29">
        <f>IF('Material Cost '!AU17="customer",'Material Cost '!DM17/(1-'Financials Parameters'!$Q$20),0)</f>
        <v>0</v>
      </c>
      <c r="K41" s="1993"/>
      <c r="P41" s="1994"/>
      <c r="Q41" s="1995"/>
      <c r="R41" s="1995"/>
      <c r="S41" s="1995"/>
    </row>
    <row r="42" spans="1:19">
      <c r="A42" t="s">
        <v>748</v>
      </c>
      <c r="B42" s="25" t="str">
        <f>'Material Cost '!C18&amp;IF('Material Cost '!C18&lt;&gt;""," tooling","")</f>
        <v/>
      </c>
      <c r="C42" s="26">
        <f>IF('Material Cost '!AP18="customer",'Material Cost '!DH18/(1-'Financials Parameters'!$Q$20),0)</f>
        <v>0</v>
      </c>
      <c r="D42" s="26">
        <f>IF('Material Cost '!AQ18="customer",'Material Cost '!DI18/(1-'Financials Parameters'!$Q$20),0)</f>
        <v>0</v>
      </c>
      <c r="E42" s="26">
        <f>IF('Material Cost '!AR18="customer",'Material Cost '!DJ18/(1-'Financials Parameters'!$Q$20),0)</f>
        <v>0</v>
      </c>
      <c r="F42" s="26">
        <f>IF('Material Cost '!AS18="customer",'Material Cost '!DK18/(1-'Financials Parameters'!$Q$20),0)</f>
        <v>0</v>
      </c>
      <c r="G42" s="29">
        <f>IF('Material Cost '!AT18="customer",'Material Cost '!DL18/(1-'Financials Parameters'!$Q$20),0)</f>
        <v>0</v>
      </c>
      <c r="H42" s="29">
        <f>IF('Material Cost '!AU18="customer",'Material Cost '!DM18/(1-'Financials Parameters'!$Q$20),0)</f>
        <v>0</v>
      </c>
      <c r="K42" s="1993"/>
      <c r="P42" s="1994"/>
      <c r="Q42" s="1995"/>
      <c r="R42" s="1995"/>
      <c r="S42" s="1995"/>
    </row>
    <row r="43" spans="1:19">
      <c r="A43" t="s">
        <v>748</v>
      </c>
      <c r="B43" s="25" t="str">
        <f>'Material Cost '!C19&amp;IF('Material Cost '!C19&lt;&gt;""," tooling","")</f>
        <v/>
      </c>
      <c r="C43" s="26">
        <f>IF('Material Cost '!AP19="customer",'Material Cost '!DH19/(1-'Financials Parameters'!$Q$20),0)</f>
        <v>0</v>
      </c>
      <c r="D43" s="26">
        <f>IF('Material Cost '!AQ19="customer",'Material Cost '!DI19/(1-'Financials Parameters'!$Q$20),0)</f>
        <v>0</v>
      </c>
      <c r="E43" s="26">
        <f>IF('Material Cost '!AR19="customer",'Material Cost '!DJ19/(1-'Financials Parameters'!$Q$20),0)</f>
        <v>0</v>
      </c>
      <c r="F43" s="26">
        <f>IF('Material Cost '!AS19="customer",'Material Cost '!DK19/(1-'Financials Parameters'!$Q$20),0)</f>
        <v>0</v>
      </c>
      <c r="G43" s="29">
        <f>IF('Material Cost '!AT19="customer",'Material Cost '!DL19/(1-'Financials Parameters'!$Q$20),0)</f>
        <v>0</v>
      </c>
      <c r="H43" s="29">
        <f>IF('Material Cost '!AU19="customer",'Material Cost '!DM19/(1-'Financials Parameters'!$Q$20),0)</f>
        <v>0</v>
      </c>
      <c r="K43" s="1993"/>
      <c r="P43" s="1994"/>
      <c r="Q43" s="1995"/>
      <c r="R43" s="1995"/>
      <c r="S43" s="1995"/>
    </row>
    <row r="44" spans="1:19">
      <c r="A44" t="s">
        <v>748</v>
      </c>
      <c r="B44" s="25" t="str">
        <f>'Material Cost '!C20&amp;IF('Material Cost '!C20&lt;&gt;""," tooling","")</f>
        <v/>
      </c>
      <c r="C44" s="26">
        <f>IF('Material Cost '!AP20="customer",'Material Cost '!DH20/(1-'Financials Parameters'!$Q$20),0)</f>
        <v>0</v>
      </c>
      <c r="D44" s="26">
        <f>IF('Material Cost '!AQ20="customer",'Material Cost '!DI20/(1-'Financials Parameters'!$Q$20),0)</f>
        <v>0</v>
      </c>
      <c r="E44" s="26">
        <f>IF('Material Cost '!AR20="customer",'Material Cost '!DJ20/(1-'Financials Parameters'!$Q$20),0)</f>
        <v>0</v>
      </c>
      <c r="F44" s="26">
        <f>IF('Material Cost '!AS20="customer",'Material Cost '!DK20/(1-'Financials Parameters'!$Q$20),0)</f>
        <v>0</v>
      </c>
      <c r="G44" s="29">
        <f>IF('Material Cost '!AT20="customer",'Material Cost '!DL20/(1-'Financials Parameters'!$Q$20),0)</f>
        <v>0</v>
      </c>
      <c r="H44" s="29">
        <f>IF('Material Cost '!AU20="customer",'Material Cost '!DM20/(1-'Financials Parameters'!$Q$20),0)</f>
        <v>0</v>
      </c>
      <c r="K44" s="1993"/>
      <c r="P44" s="1994"/>
      <c r="Q44" s="1995"/>
      <c r="R44" s="1995"/>
      <c r="S44" s="1995"/>
    </row>
    <row r="45" spans="1:19">
      <c r="A45" t="s">
        <v>748</v>
      </c>
      <c r="B45" s="25" t="str">
        <f>'Material Cost '!C21&amp;IF('Material Cost '!C21&lt;&gt;""," tooling","")</f>
        <v/>
      </c>
      <c r="C45" s="26">
        <f>IF('Material Cost '!AP21="customer",'Material Cost '!DH21/(1-'Financials Parameters'!$Q$20),0)</f>
        <v>0</v>
      </c>
      <c r="D45" s="26">
        <f>IF('Material Cost '!AQ21="customer",'Material Cost '!DI21/(1-'Financials Parameters'!$Q$20),0)</f>
        <v>0</v>
      </c>
      <c r="E45" s="26">
        <f>IF('Material Cost '!AR21="customer",'Material Cost '!DJ21/(1-'Financials Parameters'!$Q$20),0)</f>
        <v>0</v>
      </c>
      <c r="F45" s="26">
        <f>IF('Material Cost '!AS21="customer",'Material Cost '!DK21/(1-'Financials Parameters'!$Q$20),0)</f>
        <v>0</v>
      </c>
      <c r="G45" s="29">
        <f>IF('Material Cost '!AT21="customer",'Material Cost '!DL21/(1-'Financials Parameters'!$Q$20),0)</f>
        <v>0</v>
      </c>
      <c r="H45" s="29">
        <f>IF('Material Cost '!AU21="customer",'Material Cost '!DM21/(1-'Financials Parameters'!$Q$20),0)</f>
        <v>0</v>
      </c>
      <c r="K45" s="1993"/>
      <c r="P45" s="1994"/>
      <c r="Q45" s="1995"/>
      <c r="R45" s="1995"/>
      <c r="S45" s="1995"/>
    </row>
    <row r="46" spans="1:19">
      <c r="A46" t="s">
        <v>748</v>
      </c>
      <c r="B46" s="25" t="str">
        <f>'Material Cost '!C22&amp;IF('Material Cost '!C22&lt;&gt;""," tooling","")</f>
        <v/>
      </c>
      <c r="C46" s="26">
        <f>IF('Material Cost '!AP22="customer",'Material Cost '!DH22/(1-'Financials Parameters'!$Q$20),0)</f>
        <v>0</v>
      </c>
      <c r="D46" s="26">
        <f>IF('Material Cost '!AQ22="customer",'Material Cost '!DI22/(1-'Financials Parameters'!$Q$20),0)</f>
        <v>0</v>
      </c>
      <c r="E46" s="26">
        <f>IF('Material Cost '!AR22="customer",'Material Cost '!DJ22/(1-'Financials Parameters'!$Q$20),0)</f>
        <v>0</v>
      </c>
      <c r="F46" s="26">
        <f>IF('Material Cost '!AS22="customer",'Material Cost '!DK22/(1-'Financials Parameters'!$Q$20),0)</f>
        <v>0</v>
      </c>
      <c r="G46" s="29">
        <f>IF('Material Cost '!AT22="customer",'Material Cost '!DL22/(1-'Financials Parameters'!$Q$20),0)</f>
        <v>0</v>
      </c>
      <c r="H46" s="29">
        <f>IF('Material Cost '!AU22="customer",'Material Cost '!DM22/(1-'Financials Parameters'!$Q$20),0)</f>
        <v>0</v>
      </c>
      <c r="K46" s="1993"/>
      <c r="P46" s="1994"/>
      <c r="Q46" s="1995"/>
      <c r="R46" s="1995"/>
      <c r="S46" s="1995"/>
    </row>
    <row r="47" spans="1:19">
      <c r="A47" t="s">
        <v>748</v>
      </c>
      <c r="B47" s="25" t="str">
        <f>'Material Cost '!C23&amp;IF('Material Cost '!C23&lt;&gt;""," tooling","")</f>
        <v/>
      </c>
      <c r="C47" s="26">
        <f>IF('Material Cost '!AP23="customer",'Material Cost '!DH23/(1-'Financials Parameters'!$Q$20),0)</f>
        <v>0</v>
      </c>
      <c r="D47" s="26">
        <f>IF('Material Cost '!AQ23="customer",'Material Cost '!DI23/(1-'Financials Parameters'!$Q$20),0)</f>
        <v>0</v>
      </c>
      <c r="E47" s="26">
        <f>IF('Material Cost '!AR23="customer",'Material Cost '!DJ23/(1-'Financials Parameters'!$Q$20),0)</f>
        <v>0</v>
      </c>
      <c r="F47" s="26">
        <f>IF('Material Cost '!AS23="customer",'Material Cost '!DK23/(1-'Financials Parameters'!$Q$20),0)</f>
        <v>0</v>
      </c>
      <c r="G47" s="29">
        <f>IF('Material Cost '!AT23="customer",'Material Cost '!DL23/(1-'Financials Parameters'!$Q$20),0)</f>
        <v>0</v>
      </c>
      <c r="H47" s="29">
        <f>IF('Material Cost '!AU23="customer",'Material Cost '!DM23/(1-'Financials Parameters'!$Q$20),0)</f>
        <v>0</v>
      </c>
      <c r="K47" s="1993"/>
    </row>
    <row r="48" spans="1:19">
      <c r="A48" t="s">
        <v>748</v>
      </c>
      <c r="B48" s="25" t="str">
        <f>'Material Cost '!C24&amp;IF('Material Cost '!C24&lt;&gt;""," tooling","")</f>
        <v/>
      </c>
      <c r="C48" s="26">
        <f>IF('Material Cost '!AP24="customer",'Material Cost '!DH24/(1-'Financials Parameters'!$Q$20),0)</f>
        <v>0</v>
      </c>
      <c r="D48" s="26">
        <f>IF('Material Cost '!AQ24="customer",'Material Cost '!DI24/(1-'Financials Parameters'!$Q$20),0)</f>
        <v>0</v>
      </c>
      <c r="E48" s="26">
        <f>IF('Material Cost '!AR24="customer",'Material Cost '!DJ24/(1-'Financials Parameters'!$Q$20),0)</f>
        <v>0</v>
      </c>
      <c r="F48" s="26">
        <f>IF('Material Cost '!AS24="customer",'Material Cost '!DK24/(1-'Financials Parameters'!$Q$20),0)</f>
        <v>0</v>
      </c>
      <c r="G48" s="29">
        <f>IF('Material Cost '!AT24="customer",'Material Cost '!DL24/(1-'Financials Parameters'!$Q$20),0)</f>
        <v>0</v>
      </c>
      <c r="H48" s="29">
        <f>IF('Material Cost '!AU24="customer",'Material Cost '!DM24/(1-'Financials Parameters'!$Q$20),0)</f>
        <v>0</v>
      </c>
      <c r="K48" s="1993"/>
      <c r="P48" s="1994"/>
      <c r="Q48" s="1995"/>
      <c r="R48" s="1995"/>
      <c r="S48" s="1995"/>
    </row>
    <row r="49" spans="1:36">
      <c r="A49" t="s">
        <v>748</v>
      </c>
      <c r="B49" s="25" t="str">
        <f>'Material Cost '!C25&amp;IF('Material Cost '!C25&lt;&gt;""," tooling","")</f>
        <v/>
      </c>
      <c r="C49" s="26">
        <f>IF('Material Cost '!AP25="customer",'Material Cost '!DH25/(1-'Financials Parameters'!$Q$20),0)</f>
        <v>0</v>
      </c>
      <c r="D49" s="26">
        <f>IF('Material Cost '!AQ25="customer",'Material Cost '!DI25/(1-'Financials Parameters'!$Q$20),0)</f>
        <v>0</v>
      </c>
      <c r="E49" s="26">
        <f>IF('Material Cost '!AR25="customer",'Material Cost '!DJ25/(1-'Financials Parameters'!$Q$20),0)</f>
        <v>0</v>
      </c>
      <c r="F49" s="26">
        <f>IF('Material Cost '!AS25="customer",'Material Cost '!DK25/(1-'Financials Parameters'!$Q$20),0)</f>
        <v>0</v>
      </c>
      <c r="G49" s="29">
        <f>IF('Material Cost '!AT25="customer",'Material Cost '!DL25/(1-'Financials Parameters'!$Q$20),0)</f>
        <v>0</v>
      </c>
      <c r="H49" s="29">
        <f>IF('Material Cost '!AU25="customer",'Material Cost '!DM25/(1-'Financials Parameters'!$Q$20),0)</f>
        <v>0</v>
      </c>
      <c r="K49" s="1993"/>
      <c r="L49" s="1501"/>
      <c r="P49" s="2394"/>
      <c r="Q49" s="2394"/>
      <c r="R49" s="2394"/>
      <c r="S49" s="2394"/>
      <c r="T49" s="2394"/>
      <c r="U49" s="2394"/>
      <c r="V49" s="2394"/>
      <c r="W49" s="2394"/>
      <c r="X49" s="2394"/>
      <c r="Y49" s="2394"/>
      <c r="Z49" s="2394"/>
      <c r="AA49" s="2394"/>
      <c r="AB49" s="2394"/>
      <c r="AC49" s="2394"/>
      <c r="AD49" s="2394"/>
      <c r="AE49" s="2394"/>
      <c r="AF49" s="2394"/>
      <c r="AG49" s="2394"/>
      <c r="AH49" s="2394"/>
      <c r="AI49" s="2394"/>
      <c r="AJ49" s="2394"/>
    </row>
    <row r="50" spans="1:36">
      <c r="A50" t="s">
        <v>748</v>
      </c>
      <c r="B50" s="25" t="str">
        <f>'Material Cost '!C26&amp;IF('Material Cost '!C26&lt;&gt;""," tooling","")</f>
        <v/>
      </c>
      <c r="C50" s="26">
        <f>IF('Material Cost '!AP26="customer",'Material Cost '!DH26/(1-'Financials Parameters'!$Q$20),0)</f>
        <v>0</v>
      </c>
      <c r="D50" s="26">
        <f>IF('Material Cost '!AQ26="customer",'Material Cost '!DI26/(1-'Financials Parameters'!$Q$20),0)</f>
        <v>0</v>
      </c>
      <c r="E50" s="26">
        <f>IF('Material Cost '!AR26="customer",'Material Cost '!DJ26/(1-'Financials Parameters'!$Q$20),0)</f>
        <v>0</v>
      </c>
      <c r="F50" s="26">
        <f>IF('Material Cost '!AS26="customer",'Material Cost '!DK26/(1-'Financials Parameters'!$Q$20),0)</f>
        <v>0</v>
      </c>
      <c r="G50" s="29">
        <f>IF('Material Cost '!AT26="customer",'Material Cost '!DL26/(1-'Financials Parameters'!$Q$20),0)</f>
        <v>0</v>
      </c>
      <c r="H50" s="29">
        <f>IF('Material Cost '!AU26="customer",'Material Cost '!DM26/(1-'Financials Parameters'!$Q$20),0)</f>
        <v>0</v>
      </c>
      <c r="K50" s="66"/>
      <c r="M50" s="419"/>
      <c r="N50" s="419"/>
      <c r="O50" s="419"/>
      <c r="P50" s="1995"/>
      <c r="Q50" s="1995"/>
      <c r="R50" s="1995"/>
      <c r="S50" s="1995"/>
    </row>
    <row r="51" spans="1:36">
      <c r="A51" t="s">
        <v>748</v>
      </c>
      <c r="B51" s="25" t="str">
        <f>'Material Cost '!C27&amp;IF('Material Cost '!C27&lt;&gt;""," tooling","")</f>
        <v/>
      </c>
      <c r="C51" s="26">
        <f>IF('Material Cost '!AP27="customer",'Material Cost '!DH27/(1-'Financials Parameters'!$Q$20),0)</f>
        <v>0</v>
      </c>
      <c r="D51" s="26">
        <f>IF('Material Cost '!AQ27="customer",'Material Cost '!DI27/(1-'Financials Parameters'!$Q$20),0)</f>
        <v>0</v>
      </c>
      <c r="E51" s="26">
        <f>IF('Material Cost '!AR27="customer",'Material Cost '!DJ27/(1-'Financials Parameters'!$Q$20),0)</f>
        <v>0</v>
      </c>
      <c r="F51" s="26">
        <f>IF('Material Cost '!AS27="customer",'Material Cost '!DK27/(1-'Financials Parameters'!$Q$20),0)</f>
        <v>0</v>
      </c>
      <c r="G51" s="29">
        <f>IF('Material Cost '!AT27="customer",'Material Cost '!DL27/(1-'Financials Parameters'!$Q$20),0)</f>
        <v>0</v>
      </c>
      <c r="H51" s="29">
        <f>IF('Material Cost '!AU27="customer",'Material Cost '!DM27/(1-'Financials Parameters'!$Q$20),0)</f>
        <v>0</v>
      </c>
      <c r="K51" s="1993"/>
      <c r="P51" s="1994"/>
      <c r="Q51" s="1995"/>
      <c r="R51" s="1995"/>
      <c r="S51" s="1995"/>
      <c r="U51" s="446"/>
      <c r="V51" s="446"/>
      <c r="W51" s="446"/>
      <c r="X51" s="446"/>
      <c r="Y51" s="1995"/>
      <c r="Z51" s="1995"/>
      <c r="AA51" s="446"/>
      <c r="AB51" s="446"/>
      <c r="AC51" s="446"/>
      <c r="AD51" s="446"/>
      <c r="AH51" s="1996"/>
      <c r="AI51" s="1996"/>
    </row>
    <row r="52" spans="1:36">
      <c r="A52" t="s">
        <v>748</v>
      </c>
      <c r="B52" s="25" t="str">
        <f>'Material Cost '!C28&amp;IF('Material Cost '!C28&lt;&gt;""," tooling","")</f>
        <v/>
      </c>
      <c r="C52" s="26">
        <f>IF('Material Cost '!AP28="customer",'Material Cost '!DH28/(1-'Financials Parameters'!$Q$20),0)</f>
        <v>0</v>
      </c>
      <c r="D52" s="26">
        <f>IF('Material Cost '!AQ28="customer",'Material Cost '!DI28/(1-'Financials Parameters'!$Q$20),0)</f>
        <v>0</v>
      </c>
      <c r="E52" s="26">
        <f>IF('Material Cost '!AR28="customer",'Material Cost '!DJ28/(1-'Financials Parameters'!$Q$20),0)</f>
        <v>0</v>
      </c>
      <c r="F52" s="26">
        <f>IF('Material Cost '!AS28="customer",'Material Cost '!DK28/(1-'Financials Parameters'!$Q$20),0)</f>
        <v>0</v>
      </c>
      <c r="G52" s="29">
        <f>IF('Material Cost '!AT28="customer",'Material Cost '!DL28/(1-'Financials Parameters'!$Q$20),0)</f>
        <v>0</v>
      </c>
      <c r="H52" s="29">
        <f>IF('Material Cost '!AU28="customer",'Material Cost '!DM28/(1-'Financials Parameters'!$Q$20),0)</f>
        <v>0</v>
      </c>
      <c r="K52" s="1993"/>
      <c r="P52" s="1997"/>
      <c r="Q52" s="1998"/>
      <c r="R52" s="1998"/>
      <c r="S52" s="1998"/>
      <c r="U52" s="446"/>
      <c r="V52" s="446"/>
      <c r="Y52" s="1998"/>
      <c r="Z52" s="1998"/>
      <c r="AA52" s="446"/>
      <c r="AB52" s="446"/>
      <c r="AC52" s="446"/>
      <c r="AD52" s="446"/>
      <c r="AH52" s="1996"/>
      <c r="AI52" s="1996"/>
    </row>
    <row r="53" spans="1:36">
      <c r="A53" t="s">
        <v>748</v>
      </c>
      <c r="B53" s="25" t="str">
        <f>'Material Cost '!C29&amp;IF('Material Cost '!C29&lt;&gt;""," tooling","")</f>
        <v/>
      </c>
      <c r="C53" s="26">
        <f>IF('Material Cost '!AP29="customer",'Material Cost '!DH29/(1-'Financials Parameters'!$Q$20),0)</f>
        <v>0</v>
      </c>
      <c r="D53" s="26">
        <f>IF('Material Cost '!AQ29="customer",'Material Cost '!DI29/(1-'Financials Parameters'!$Q$20),0)</f>
        <v>0</v>
      </c>
      <c r="E53" s="26">
        <f>IF('Material Cost '!AR29="customer",'Material Cost '!DJ29/(1-'Financials Parameters'!$Q$20),0)</f>
        <v>0</v>
      </c>
      <c r="F53" s="26">
        <f>IF('Material Cost '!AS29="customer",'Material Cost '!DK29/(1-'Financials Parameters'!$Q$20),0)</f>
        <v>0</v>
      </c>
      <c r="G53" s="29">
        <f>IF('Material Cost '!AT29="customer",'Material Cost '!DL29/(1-'Financials Parameters'!$Q$20),0)</f>
        <v>0</v>
      </c>
      <c r="H53" s="29">
        <f>IF('Material Cost '!AU29="customer",'Material Cost '!DM29/(1-'Financials Parameters'!$Q$20),0)</f>
        <v>0</v>
      </c>
      <c r="K53" s="1993"/>
      <c r="P53" s="1997"/>
      <c r="Q53" s="1998"/>
      <c r="R53" s="1998"/>
      <c r="S53" s="1998"/>
      <c r="U53" s="1998"/>
      <c r="V53" s="1998"/>
      <c r="W53" s="446"/>
      <c r="X53" s="446"/>
      <c r="Y53" s="1998"/>
      <c r="Z53" s="1998"/>
      <c r="AE53" s="446"/>
      <c r="AF53" s="446"/>
      <c r="AG53" s="446"/>
      <c r="AH53" s="446"/>
      <c r="AI53" s="1996"/>
      <c r="AJ53" s="1996"/>
    </row>
    <row r="54" spans="1:36">
      <c r="A54" t="s">
        <v>748</v>
      </c>
      <c r="B54" s="25" t="str">
        <f>'Material Cost '!C30&amp;IF('Material Cost '!C30&lt;&gt;""," tooling","")</f>
        <v/>
      </c>
      <c r="C54" s="26">
        <f>IF('Material Cost '!AP30="customer",'Material Cost '!DH30/(1-'Financials Parameters'!$Q$20),0)</f>
        <v>0</v>
      </c>
      <c r="D54" s="26">
        <f>IF('Material Cost '!AQ30="customer",'Material Cost '!DI30/(1-'Financials Parameters'!$Q$20),0)</f>
        <v>0</v>
      </c>
      <c r="E54" s="26">
        <f>IF('Material Cost '!AR30="customer",'Material Cost '!DJ30/(1-'Financials Parameters'!$Q$20),0)</f>
        <v>0</v>
      </c>
      <c r="F54" s="26">
        <f>IF('Material Cost '!AS30="customer",'Material Cost '!DK30/(1-'Financials Parameters'!$Q$20),0)</f>
        <v>0</v>
      </c>
      <c r="G54" s="29">
        <f>IF('Material Cost '!AT30="customer",'Material Cost '!DL30/(1-'Financials Parameters'!$Q$20),0)</f>
        <v>0</v>
      </c>
      <c r="H54" s="29">
        <f>IF('Material Cost '!AU30="customer",'Material Cost '!DM30/(1-'Financials Parameters'!$Q$20),0)</f>
        <v>0</v>
      </c>
      <c r="K54" s="1993"/>
      <c r="P54" s="1994"/>
      <c r="Q54" s="1995"/>
      <c r="R54" s="1995"/>
      <c r="S54" s="1995"/>
      <c r="U54" s="1995"/>
      <c r="V54" s="1995"/>
      <c r="W54" s="1995"/>
      <c r="X54" s="1995"/>
      <c r="Y54" s="1995"/>
      <c r="Z54" s="1995"/>
      <c r="AH54" s="2002"/>
    </row>
    <row r="55" spans="1:36">
      <c r="A55" t="s">
        <v>748</v>
      </c>
      <c r="B55" s="25" t="str">
        <f>'Material Cost '!C31&amp;IF('Material Cost '!C31&lt;&gt;""," tooling","")</f>
        <v/>
      </c>
      <c r="C55" s="26">
        <f>IF('Material Cost '!AP31="customer",'Material Cost '!DH31/(1-'Financials Parameters'!$Q$20),0)</f>
        <v>0</v>
      </c>
      <c r="D55" s="26">
        <f>IF('Material Cost '!AQ31="customer",'Material Cost '!DI31/(1-'Financials Parameters'!$Q$20),0)</f>
        <v>0</v>
      </c>
      <c r="E55" s="26">
        <f>IF('Material Cost '!AR31="customer",'Material Cost '!DJ31/(1-'Financials Parameters'!$Q$20),0)</f>
        <v>0</v>
      </c>
      <c r="F55" s="26">
        <f>IF('Material Cost '!AS31="customer",'Material Cost '!DK31/(1-'Financials Parameters'!$Q$20),0)</f>
        <v>0</v>
      </c>
      <c r="G55" s="29">
        <f>IF('Material Cost '!AT31="customer",'Material Cost '!DL31/(1-'Financials Parameters'!$Q$20),0)</f>
        <v>0</v>
      </c>
      <c r="H55" s="29">
        <f>IF('Material Cost '!AU31="customer",'Material Cost '!DM31/(1-'Financials Parameters'!$Q$20),0)</f>
        <v>0</v>
      </c>
      <c r="K55" s="1993"/>
      <c r="P55" s="1994"/>
      <c r="Q55" s="1995"/>
      <c r="R55" s="1995"/>
      <c r="S55" s="1995"/>
      <c r="U55" s="1995"/>
      <c r="V55" s="1995"/>
      <c r="W55" s="1995"/>
      <c r="X55" s="1995"/>
      <c r="Y55" s="1995"/>
      <c r="Z55" s="1995"/>
      <c r="AE55" s="1999"/>
      <c r="AF55" s="1999"/>
    </row>
    <row r="56" spans="1:36">
      <c r="A56" t="s">
        <v>748</v>
      </c>
      <c r="B56" s="25" t="str">
        <f>'Material Cost '!C32&amp;IF('Material Cost '!C32&lt;&gt;""," tooling","")</f>
        <v/>
      </c>
      <c r="C56" s="26">
        <f>IF('Material Cost '!AP32="customer",'Material Cost '!DH32/(1-'Financials Parameters'!$Q$20),0)</f>
        <v>0</v>
      </c>
      <c r="D56" s="26">
        <f>IF('Material Cost '!AQ32="customer",'Material Cost '!DI32/(1-'Financials Parameters'!$Q$20),0)</f>
        <v>0</v>
      </c>
      <c r="E56" s="26">
        <f>IF('Material Cost '!AR32="customer",'Material Cost '!DJ32/(1-'Financials Parameters'!$Q$20),0)</f>
        <v>0</v>
      </c>
      <c r="F56" s="26">
        <f>IF('Material Cost '!AS32="customer",'Material Cost '!DK32/(1-'Financials Parameters'!$Q$20),0)</f>
        <v>0</v>
      </c>
      <c r="G56" s="29">
        <f>IF('Material Cost '!AT32="customer",'Material Cost '!DL32/(1-'Financials Parameters'!$Q$20),0)</f>
        <v>0</v>
      </c>
      <c r="H56" s="29">
        <f>IF('Material Cost '!AU32="customer",'Material Cost '!DM32/(1-'Financials Parameters'!$Q$20),0)</f>
        <v>0</v>
      </c>
      <c r="K56" s="1993"/>
      <c r="P56" s="1994"/>
      <c r="Q56" s="1995"/>
      <c r="R56" s="1995"/>
      <c r="S56" s="1995"/>
      <c r="U56" s="1995"/>
      <c r="V56" s="1995"/>
      <c r="W56" s="1995"/>
      <c r="X56" s="1995"/>
      <c r="Y56" s="1995"/>
      <c r="Z56" s="1995"/>
      <c r="AH56" s="2001"/>
    </row>
    <row r="57" spans="1:36" ht="15" thickBot="1">
      <c r="A57" t="s">
        <v>748</v>
      </c>
      <c r="B57" s="36" t="str">
        <f>'Material Cost '!C33&amp;IF('Material Cost '!C33&lt;&gt;""," tooling","")</f>
        <v/>
      </c>
      <c r="C57" s="37">
        <f>IF('Material Cost '!AP33="customer",'Material Cost '!DH33/(1-'Financials Parameters'!$Q$20),0)</f>
        <v>0</v>
      </c>
      <c r="D57" s="37">
        <f>IF('Material Cost '!AQ33="customer",'Material Cost '!DI33/(1-'Financials Parameters'!$Q$20),0)</f>
        <v>0</v>
      </c>
      <c r="E57" s="37">
        <f>IF('Material Cost '!AR33="customer",'Material Cost '!DJ33/(1-'Financials Parameters'!$Q$20),0)</f>
        <v>0</v>
      </c>
      <c r="F57" s="37">
        <f>IF('Material Cost '!AS33="customer",'Material Cost '!DK33/(1-'Financials Parameters'!$Q$20),0)</f>
        <v>0</v>
      </c>
      <c r="G57" s="32">
        <f>IF('Material Cost '!AT33="customer",'Material Cost '!DL33/(1-'Financials Parameters'!$Q$20),0)</f>
        <v>0</v>
      </c>
      <c r="H57" s="32">
        <f>IF('Material Cost '!AU33="customer",'Material Cost '!DM33/(1-'Financials Parameters'!$Q$20),0)</f>
        <v>0</v>
      </c>
      <c r="K57" s="1993"/>
      <c r="P57" s="1994"/>
      <c r="Q57" s="1995"/>
      <c r="R57" s="1995"/>
      <c r="S57" s="1995"/>
      <c r="U57" s="1995"/>
      <c r="V57" s="1995"/>
      <c r="W57" s="1995"/>
      <c r="X57" s="1995"/>
      <c r="Y57" s="1995"/>
      <c r="Z57" s="1995"/>
      <c r="AH57" s="2000"/>
      <c r="AI57" s="2000"/>
    </row>
    <row r="58" spans="1:36">
      <c r="A58" t="s">
        <v>729</v>
      </c>
      <c r="B58" s="41" t="str">
        <f>IF('Product Added value'!V4&lt;&gt;0,'Product Added value'!S4,"")</f>
        <v/>
      </c>
      <c r="C58" s="87">
        <f>'Product Added value'!CH4/(1-'Financials Parameters'!$Q$22)</f>
        <v>0</v>
      </c>
      <c r="D58" s="87">
        <f>'Product Added value'!CI4/(1-'Financials Parameters'!$Q$22)</f>
        <v>0</v>
      </c>
      <c r="E58" s="87">
        <f>'Product Added value'!CJ4/(1-'Financials Parameters'!$Q$22)</f>
        <v>0</v>
      </c>
      <c r="F58" s="87">
        <f>'Product Added value'!CK4/(1-'Financials Parameters'!$Q$22)</f>
        <v>0</v>
      </c>
      <c r="G58" s="42">
        <f>'Product Added value'!CL4/(1-'Financials Parameters'!$Q$22)</f>
        <v>0</v>
      </c>
      <c r="H58" s="42">
        <f>'Product Added value'!CM4/(1-'Financials Parameters'!$Q$22)</f>
        <v>0</v>
      </c>
      <c r="K58" s="1993"/>
      <c r="P58" s="1994"/>
      <c r="Q58" s="1995"/>
      <c r="R58" s="1995"/>
      <c r="S58" s="1995"/>
      <c r="T58" s="1995"/>
      <c r="U58" s="1995"/>
      <c r="V58" s="2000"/>
      <c r="W58" s="2000"/>
      <c r="X58" s="1995"/>
      <c r="Y58" s="1995"/>
      <c r="Z58" s="1995"/>
    </row>
    <row r="59" spans="1:36">
      <c r="A59" t="s">
        <v>729</v>
      </c>
      <c r="B59" s="25" t="str">
        <f>IF('Product Added value'!V5&lt;&gt;0,'Product Added value'!S5,"")</f>
        <v/>
      </c>
      <c r="C59" s="26">
        <f>'Product Added value'!CH5/(1-'Financials Parameters'!$Q$22)</f>
        <v>0</v>
      </c>
      <c r="D59" s="26">
        <f>'Product Added value'!CI5/(1-'Financials Parameters'!$Q$22)</f>
        <v>0</v>
      </c>
      <c r="E59" s="26">
        <f>'Product Added value'!CJ5/(1-'Financials Parameters'!$Q$22)</f>
        <v>0</v>
      </c>
      <c r="F59" s="26">
        <f>'Product Added value'!CK5/(1-'Financials Parameters'!$Q$22)</f>
        <v>0</v>
      </c>
      <c r="G59" s="29">
        <f>'Product Added value'!CL5/(1-'Financials Parameters'!$Q$22)</f>
        <v>0</v>
      </c>
      <c r="H59" s="29">
        <f>'Product Added value'!CM5/(1-'Financials Parameters'!$Q$22)</f>
        <v>0</v>
      </c>
      <c r="K59" s="1993"/>
      <c r="P59" s="1994"/>
      <c r="Q59" s="1995"/>
      <c r="R59" s="1995"/>
      <c r="S59" s="1995"/>
      <c r="T59" s="1995"/>
      <c r="U59" s="1995"/>
      <c r="W59" s="1995"/>
      <c r="X59" s="1995"/>
      <c r="Y59" s="1995"/>
      <c r="Z59" s="1995"/>
      <c r="AH59" s="2000"/>
    </row>
    <row r="60" spans="1:36">
      <c r="A60" t="s">
        <v>729</v>
      </c>
      <c r="B60" s="25" t="str">
        <f>IF('Product Added value'!V6&lt;&gt;0,'Product Added value'!S6,"")</f>
        <v/>
      </c>
      <c r="C60" s="26">
        <f>'Product Added value'!CH6/(1-'Financials Parameters'!$Q$22)</f>
        <v>0</v>
      </c>
      <c r="D60" s="26">
        <f>'Product Added value'!CI6/(1-'Financials Parameters'!$Q$22)</f>
        <v>0</v>
      </c>
      <c r="E60" s="26">
        <f>'Product Added value'!CJ6/(1-'Financials Parameters'!$Q$22)</f>
        <v>0</v>
      </c>
      <c r="F60" s="26">
        <f>'Product Added value'!CK6/(1-'Financials Parameters'!$Q$22)</f>
        <v>0</v>
      </c>
      <c r="G60" s="29">
        <f>'Product Added value'!CL6/(1-'Financials Parameters'!$Q$22)</f>
        <v>0</v>
      </c>
      <c r="H60" s="29">
        <f>'Product Added value'!CM6/(1-'Financials Parameters'!$Q$22)</f>
        <v>0</v>
      </c>
      <c r="K60" s="1993"/>
      <c r="P60" s="1994"/>
      <c r="Q60" s="1995"/>
      <c r="R60" s="1995"/>
      <c r="S60" s="1995"/>
      <c r="T60" s="1995"/>
      <c r="U60" s="1995"/>
      <c r="V60" s="2000"/>
      <c r="W60" s="1995"/>
      <c r="X60" s="1995"/>
      <c r="Y60" s="1995"/>
      <c r="Z60" s="1995"/>
      <c r="AH60" s="2000"/>
    </row>
    <row r="61" spans="1:36">
      <c r="A61" t="s">
        <v>729</v>
      </c>
      <c r="B61" s="25" t="str">
        <f>IF('Product Added value'!V7&lt;&gt;0,'Product Added value'!S7,"")</f>
        <v/>
      </c>
      <c r="C61" s="26">
        <f>'Product Added value'!CH7/(1-'Financials Parameters'!$Q$22)</f>
        <v>0</v>
      </c>
      <c r="D61" s="26">
        <f>'Product Added value'!CI7/(1-'Financials Parameters'!$Q$22)</f>
        <v>0</v>
      </c>
      <c r="E61" s="26">
        <f>'Product Added value'!CJ7/(1-'Financials Parameters'!$Q$22)</f>
        <v>0</v>
      </c>
      <c r="F61" s="26">
        <f>'Product Added value'!CK7/(1-'Financials Parameters'!$Q$22)</f>
        <v>0</v>
      </c>
      <c r="G61" s="29">
        <f>'Product Added value'!CL7/(1-'Financials Parameters'!$Q$22)</f>
        <v>0</v>
      </c>
      <c r="H61" s="29">
        <f>'Product Added value'!CM7/(1-'Financials Parameters'!$Q$22)</f>
        <v>0</v>
      </c>
      <c r="K61" s="1993"/>
      <c r="P61" s="1994"/>
      <c r="Q61" s="1995"/>
      <c r="R61" s="1995"/>
      <c r="S61" s="1995"/>
      <c r="T61" s="1995"/>
      <c r="U61" s="1995"/>
      <c r="V61" s="1995"/>
      <c r="W61" s="1995"/>
      <c r="X61" s="1995"/>
      <c r="Y61" s="1995"/>
      <c r="Z61" s="1995"/>
      <c r="AI61" s="2000"/>
    </row>
    <row r="62" spans="1:36">
      <c r="A62" t="s">
        <v>729</v>
      </c>
      <c r="B62" s="25" t="str">
        <f>IF('Product Added value'!V8&lt;&gt;0,'Product Added value'!S8,"")</f>
        <v/>
      </c>
      <c r="C62" s="26">
        <f>'Product Added value'!CH8/(1-'Financials Parameters'!$Q$22)</f>
        <v>0</v>
      </c>
      <c r="D62" s="26">
        <f>'Product Added value'!CI8/(1-'Financials Parameters'!$Q$22)</f>
        <v>0</v>
      </c>
      <c r="E62" s="26">
        <f>'Product Added value'!CJ8/(1-'Financials Parameters'!$Q$22)</f>
        <v>0</v>
      </c>
      <c r="F62" s="26">
        <f>'Product Added value'!CK8/(1-'Financials Parameters'!$Q$22)</f>
        <v>0</v>
      </c>
      <c r="G62" s="29">
        <f>'Product Added value'!CL8/(1-'Financials Parameters'!$Q$22)</f>
        <v>0</v>
      </c>
      <c r="H62" s="29">
        <f>'Product Added value'!CM8/(1-'Financials Parameters'!$Q$22)</f>
        <v>0</v>
      </c>
      <c r="K62" s="1993"/>
      <c r="P62" s="1994"/>
      <c r="Q62" s="1995"/>
      <c r="R62" s="1995"/>
      <c r="S62" s="1995"/>
      <c r="T62" s="1995"/>
      <c r="U62" s="1995"/>
      <c r="V62" s="1995"/>
      <c r="W62" s="1995"/>
      <c r="X62" s="1995"/>
      <c r="Y62" s="1995"/>
      <c r="Z62" s="1995"/>
      <c r="AH62" s="2000"/>
    </row>
    <row r="63" spans="1:36">
      <c r="A63" t="s">
        <v>729</v>
      </c>
      <c r="B63" s="25" t="str">
        <f>IF('Product Added value'!V9&lt;&gt;0,'Product Added value'!S9,"")</f>
        <v/>
      </c>
      <c r="C63" s="26">
        <f>'Product Added value'!CH9/(1-'Financials Parameters'!$Q$22)</f>
        <v>0</v>
      </c>
      <c r="D63" s="26">
        <f>'Product Added value'!CI9/(1-'Financials Parameters'!$Q$22)</f>
        <v>0</v>
      </c>
      <c r="E63" s="26">
        <f>'Product Added value'!CJ9/(1-'Financials Parameters'!$Q$22)</f>
        <v>0</v>
      </c>
      <c r="F63" s="26">
        <f>'Product Added value'!CK9/(1-'Financials Parameters'!$Q$22)</f>
        <v>0</v>
      </c>
      <c r="G63" s="29">
        <f>'Product Added value'!CL9/(1-'Financials Parameters'!$Q$22)</f>
        <v>0</v>
      </c>
      <c r="H63" s="29">
        <f>'Product Added value'!CM9/(1-'Financials Parameters'!$Q$22)</f>
        <v>0</v>
      </c>
      <c r="K63" s="1993"/>
      <c r="P63" s="1994"/>
      <c r="Q63" s="1995"/>
      <c r="R63" s="1995"/>
      <c r="S63" s="1995"/>
      <c r="T63" s="1995"/>
      <c r="U63" s="1995"/>
      <c r="V63" s="1995"/>
      <c r="W63" s="1995"/>
      <c r="X63" s="1995"/>
      <c r="Y63" s="1995"/>
      <c r="Z63" s="1995"/>
      <c r="AI63" s="2000"/>
    </row>
    <row r="64" spans="1:36">
      <c r="A64" t="s">
        <v>729</v>
      </c>
      <c r="B64" s="25" t="str">
        <f>IF('Product Added value'!V10&lt;&gt;0,'Product Added value'!S10,"")</f>
        <v/>
      </c>
      <c r="C64" s="26">
        <f>'Product Added value'!CH10/(1-'Financials Parameters'!$Q$22)</f>
        <v>0</v>
      </c>
      <c r="D64" s="26">
        <f>'Product Added value'!CI10/(1-'Financials Parameters'!$Q$22)</f>
        <v>0</v>
      </c>
      <c r="E64" s="26">
        <f>'Product Added value'!CJ10/(1-'Financials Parameters'!$Q$22)</f>
        <v>0</v>
      </c>
      <c r="F64" s="26">
        <f>'Product Added value'!CK10/(1-'Financials Parameters'!$Q$22)</f>
        <v>0</v>
      </c>
      <c r="G64" s="29">
        <f>'Product Added value'!CL10/(1-'Financials Parameters'!$Q$22)</f>
        <v>0</v>
      </c>
      <c r="H64" s="29">
        <f>'Product Added value'!CM10/(1-'Financials Parameters'!$Q$22)</f>
        <v>0</v>
      </c>
      <c r="K64" s="1993"/>
      <c r="P64" s="1994"/>
      <c r="Q64" s="1995"/>
      <c r="R64" s="1995"/>
      <c r="S64" s="1995"/>
      <c r="T64" s="1995"/>
      <c r="U64" s="1995"/>
      <c r="V64" s="1995"/>
      <c r="W64" s="1995"/>
      <c r="X64" s="1995"/>
      <c r="Y64" s="1995"/>
      <c r="Z64" s="1995"/>
      <c r="AI64" s="2000"/>
    </row>
    <row r="65" spans="1:34">
      <c r="A65" t="s">
        <v>729</v>
      </c>
      <c r="B65" s="25" t="str">
        <f>IF('Product Added value'!V11&lt;&gt;0,'Product Added value'!S11,"")</f>
        <v/>
      </c>
      <c r="C65" s="26">
        <f>'Product Added value'!CH11/(1-'Financials Parameters'!$Q$22)</f>
        <v>0</v>
      </c>
      <c r="D65" s="26">
        <f>'Product Added value'!CI11/(1-'Financials Parameters'!$Q$22)</f>
        <v>0</v>
      </c>
      <c r="E65" s="26">
        <f>'Product Added value'!CJ11/(1-'Financials Parameters'!$Q$22)</f>
        <v>0</v>
      </c>
      <c r="F65" s="26">
        <f>'Product Added value'!CK11/(1-'Financials Parameters'!$Q$22)</f>
        <v>0</v>
      </c>
      <c r="G65" s="29">
        <f>'Product Added value'!CL11/(1-'Financials Parameters'!$Q$22)</f>
        <v>0</v>
      </c>
      <c r="H65" s="29">
        <f>'Product Added value'!CM11/(1-'Financials Parameters'!$Q$22)</f>
        <v>0</v>
      </c>
      <c r="K65" s="1993"/>
      <c r="P65" s="1994"/>
      <c r="Q65" s="1995"/>
      <c r="R65" s="1995"/>
      <c r="S65" s="1995"/>
      <c r="T65" s="1995"/>
      <c r="U65" s="1995"/>
      <c r="V65" s="1995"/>
      <c r="W65" s="1995"/>
      <c r="X65" s="1995"/>
      <c r="Y65" s="1995"/>
      <c r="Z65" s="1995"/>
      <c r="AB65" s="1628"/>
      <c r="AH65" s="1628"/>
    </row>
    <row r="66" spans="1:34">
      <c r="A66" t="s">
        <v>729</v>
      </c>
      <c r="B66" s="25" t="str">
        <f>IF('Product Added value'!V12&lt;&gt;0,'Product Added value'!S12,"")</f>
        <v/>
      </c>
      <c r="C66" s="26">
        <f>'Product Added value'!CH12/(1-'Financials Parameters'!$Q$22)</f>
        <v>0</v>
      </c>
      <c r="D66" s="26">
        <f>'Product Added value'!CI12/(1-'Financials Parameters'!$Q$22)</f>
        <v>0</v>
      </c>
      <c r="E66" s="26">
        <f>'Product Added value'!CJ12/(1-'Financials Parameters'!$Q$22)</f>
        <v>0</v>
      </c>
      <c r="F66" s="26">
        <f>'Product Added value'!CK12/(1-'Financials Parameters'!$Q$22)</f>
        <v>0</v>
      </c>
      <c r="G66" s="29">
        <f>'Product Added value'!CL12/(1-'Financials Parameters'!$Q$22)</f>
        <v>0</v>
      </c>
      <c r="H66" s="29">
        <f>'Product Added value'!CM12/(1-'Financials Parameters'!$Q$22)</f>
        <v>0</v>
      </c>
      <c r="K66" s="1993"/>
      <c r="P66" s="1994"/>
      <c r="Q66" s="1995"/>
      <c r="R66" s="1995"/>
      <c r="S66" s="1995"/>
      <c r="T66" s="1995"/>
      <c r="U66" s="1995"/>
      <c r="V66" s="1995"/>
      <c r="W66" s="1995"/>
      <c r="X66" s="1995"/>
      <c r="Y66" s="1995"/>
      <c r="Z66" s="1995"/>
      <c r="AB66" s="1628"/>
      <c r="AH66" s="1628"/>
    </row>
    <row r="67" spans="1:34">
      <c r="A67" t="s">
        <v>729</v>
      </c>
      <c r="B67" s="25" t="str">
        <f>IF('Product Added value'!V13&lt;&gt;0,'Product Added value'!S13,"")</f>
        <v/>
      </c>
      <c r="C67" s="26">
        <f>'Product Added value'!CH13/(1-'Financials Parameters'!$Q$22)</f>
        <v>0</v>
      </c>
      <c r="D67" s="26">
        <f>'Product Added value'!CI13/(1-'Financials Parameters'!$Q$22)</f>
        <v>0</v>
      </c>
      <c r="E67" s="26">
        <f>'Product Added value'!CJ13/(1-'Financials Parameters'!$Q$22)</f>
        <v>0</v>
      </c>
      <c r="F67" s="26">
        <f>'Product Added value'!CK13/(1-'Financials Parameters'!$Q$22)</f>
        <v>0</v>
      </c>
      <c r="G67" s="29">
        <f>'Product Added value'!CL13/(1-'Financials Parameters'!$Q$22)</f>
        <v>0</v>
      </c>
      <c r="H67" s="29">
        <f>'Product Added value'!CM13/(1-'Financials Parameters'!$Q$22)</f>
        <v>0</v>
      </c>
      <c r="K67" s="1993"/>
    </row>
    <row r="68" spans="1:34" ht="15" thickBot="1">
      <c r="A68" t="s">
        <v>729</v>
      </c>
      <c r="B68" s="25" t="str">
        <f>IF('Product Added value'!V14&lt;&gt;0,'Product Added value'!S14,"")</f>
        <v/>
      </c>
      <c r="C68" s="26">
        <f>'Product Added value'!CH14/(1-'Financials Parameters'!$Q$22)</f>
        <v>0</v>
      </c>
      <c r="D68" s="26">
        <f>'Product Added value'!CI14/(1-'Financials Parameters'!$Q$22)</f>
        <v>0</v>
      </c>
      <c r="E68" s="26">
        <f>'Product Added value'!CJ14/(1-'Financials Parameters'!$Q$22)</f>
        <v>0</v>
      </c>
      <c r="F68" s="26">
        <f>'Product Added value'!CK14/(1-'Financials Parameters'!$Q$22)</f>
        <v>0</v>
      </c>
      <c r="G68" s="29">
        <f>'Product Added value'!CL14/(1-'Financials Parameters'!$Q$22)</f>
        <v>0</v>
      </c>
      <c r="H68" s="29">
        <f>'Product Added value'!CM14/(1-'Financials Parameters'!$Q$22)</f>
        <v>0</v>
      </c>
      <c r="K68" s="1514">
        <f>SUM(K51:K66)</f>
        <v>0</v>
      </c>
      <c r="L68" t="s">
        <v>638</v>
      </c>
    </row>
    <row r="69" spans="1:34" ht="15" thickBot="1">
      <c r="A69" t="s">
        <v>729</v>
      </c>
      <c r="B69" s="25" t="str">
        <f>IF('Product Added value'!V15&lt;&gt;0,'Product Added value'!S15,"")</f>
        <v/>
      </c>
      <c r="C69" s="26">
        <f>'Product Added value'!CH15/(1-'Financials Parameters'!$Q$22)</f>
        <v>0</v>
      </c>
      <c r="D69" s="26">
        <f>'Product Added value'!CI15/(1-'Financials Parameters'!$Q$22)</f>
        <v>0</v>
      </c>
      <c r="E69" s="26">
        <f>'Product Added value'!CJ15/(1-'Financials Parameters'!$Q$22)</f>
        <v>0</v>
      </c>
      <c r="F69" s="26">
        <f>'Product Added value'!CK15/(1-'Financials Parameters'!$Q$22)</f>
        <v>0</v>
      </c>
      <c r="G69" s="29">
        <f>'Product Added value'!CL15/(1-'Financials Parameters'!$Q$22)</f>
        <v>0</v>
      </c>
      <c r="H69" s="29">
        <f>'Product Added value'!CM15/(1-'Financials Parameters'!$Q$22)</f>
        <v>0</v>
      </c>
      <c r="K69" s="1503">
        <f>12*4*8+60*8</f>
        <v>864</v>
      </c>
      <c r="L69" t="s">
        <v>749</v>
      </c>
      <c r="W69" s="419"/>
    </row>
    <row r="70" spans="1:34">
      <c r="A70" t="s">
        <v>729</v>
      </c>
      <c r="B70" s="25" t="str">
        <f>IF('Product Added value'!V16&lt;&gt;0,'Product Added value'!S16,"")</f>
        <v/>
      </c>
      <c r="C70" s="26">
        <f>'Product Added value'!CH16/(1-'Financials Parameters'!$Q$22)</f>
        <v>0</v>
      </c>
      <c r="D70" s="26">
        <f>'Product Added value'!CI16/(1-'Financials Parameters'!$Q$22)</f>
        <v>0</v>
      </c>
      <c r="E70" s="26">
        <f>'Product Added value'!CJ16/(1-'Financials Parameters'!$Q$22)</f>
        <v>0</v>
      </c>
      <c r="F70" s="26">
        <f>'Product Added value'!CK16/(1-'Financials Parameters'!$Q$22)</f>
        <v>0</v>
      </c>
      <c r="G70" s="29">
        <f>'Product Added value'!CL16/(1-'Financials Parameters'!$Q$22)</f>
        <v>0</v>
      </c>
      <c r="H70" s="29">
        <f>'Product Added value'!CM16/(1-'Financials Parameters'!$Q$22)</f>
        <v>0</v>
      </c>
      <c r="K70" s="185"/>
    </row>
    <row r="71" spans="1:34">
      <c r="A71" t="s">
        <v>729</v>
      </c>
      <c r="B71" s="25" t="str">
        <f>IF('Product Added value'!V17&lt;&gt;0,'Product Added value'!S17,"")</f>
        <v/>
      </c>
      <c r="C71" s="26">
        <f>'Product Added value'!CH17/(1-'Financials Parameters'!$Q$22)</f>
        <v>0</v>
      </c>
      <c r="D71" s="26">
        <f>'Product Added value'!CI17/(1-'Financials Parameters'!$Q$22)</f>
        <v>0</v>
      </c>
      <c r="E71" s="26">
        <f>'Product Added value'!CJ17/(1-'Financials Parameters'!$Q$22)</f>
        <v>0</v>
      </c>
      <c r="F71" s="26">
        <f>'Product Added value'!CK17/(1-'Financials Parameters'!$Q$22)</f>
        <v>0</v>
      </c>
      <c r="G71" s="29">
        <f>'Product Added value'!CL17/(1-'Financials Parameters'!$Q$22)</f>
        <v>0</v>
      </c>
      <c r="H71" s="29">
        <f>'Product Added value'!CM17/(1-'Financials Parameters'!$Q$22)</f>
        <v>0</v>
      </c>
      <c r="K71" s="1513">
        <v>23500</v>
      </c>
      <c r="L71" t="s">
        <v>750</v>
      </c>
    </row>
    <row r="72" spans="1:34">
      <c r="A72" t="s">
        <v>729</v>
      </c>
      <c r="B72" s="25" t="str">
        <f>IF('Product Added value'!V18&lt;&gt;0,'Product Added value'!S18,"")</f>
        <v/>
      </c>
      <c r="C72" s="26">
        <f>'Product Added value'!CH18/(1-'Financials Parameters'!$Q$22)</f>
        <v>0</v>
      </c>
      <c r="D72" s="26">
        <f>'Product Added value'!CI18/(1-'Financials Parameters'!$Q$22)</f>
        <v>0</v>
      </c>
      <c r="E72" s="26">
        <f>'Product Added value'!CJ18/(1-'Financials Parameters'!$Q$22)</f>
        <v>0</v>
      </c>
      <c r="F72" s="26">
        <f>'Product Added value'!CK18/(1-'Financials Parameters'!$Q$22)</f>
        <v>0</v>
      </c>
      <c r="G72" s="29">
        <f>'Product Added value'!CL18/(1-'Financials Parameters'!$Q$22)</f>
        <v>0</v>
      </c>
      <c r="H72" s="29">
        <f>'Product Added value'!CM18/(1-'Financials Parameters'!$Q$22)</f>
        <v>0</v>
      </c>
      <c r="K72" s="1513">
        <v>21000</v>
      </c>
      <c r="L72" t="s">
        <v>751</v>
      </c>
    </row>
    <row r="73" spans="1:34">
      <c r="A73" t="s">
        <v>729</v>
      </c>
      <c r="B73" s="25" t="str">
        <f>IF('Product Added value'!V19&lt;&gt;0,'Product Added value'!S19,"")</f>
        <v/>
      </c>
      <c r="C73" s="26">
        <f>'Product Added value'!CH19/(1-'Financials Parameters'!$Q$22)</f>
        <v>0</v>
      </c>
      <c r="D73" s="26">
        <f>'Product Added value'!CI19/(1-'Financials Parameters'!$Q$22)</f>
        <v>0</v>
      </c>
      <c r="E73" s="26">
        <f>'Product Added value'!CJ19/(1-'Financials Parameters'!$Q$22)</f>
        <v>0</v>
      </c>
      <c r="F73" s="26">
        <f>'Product Added value'!CK19/(1-'Financials Parameters'!$Q$22)</f>
        <v>0</v>
      </c>
      <c r="G73" s="29">
        <f>'Product Added value'!CL19/(1-'Financials Parameters'!$Q$22)</f>
        <v>0</v>
      </c>
      <c r="H73" s="29">
        <f>'Product Added value'!CM19/(1-'Financials Parameters'!$Q$22)</f>
        <v>0</v>
      </c>
      <c r="K73" s="1513">
        <v>12500</v>
      </c>
      <c r="L73" t="s">
        <v>752</v>
      </c>
    </row>
    <row r="74" spans="1:34">
      <c r="A74" t="s">
        <v>729</v>
      </c>
      <c r="B74" s="25" t="str">
        <f>IF('Product Added value'!V20&lt;&gt;0,'Product Added value'!S20,"")</f>
        <v/>
      </c>
      <c r="C74" s="26">
        <f>'Product Added value'!CH20/(1-'Financials Parameters'!$Q$22)</f>
        <v>0</v>
      </c>
      <c r="D74" s="26">
        <f>'Product Added value'!CI20/(1-'Financials Parameters'!$Q$22)</f>
        <v>0</v>
      </c>
      <c r="E74" s="26">
        <f>'Product Added value'!CJ20/(1-'Financials Parameters'!$Q$22)</f>
        <v>0</v>
      </c>
      <c r="F74" s="26">
        <f>'Product Added value'!CK20/(1-'Financials Parameters'!$Q$22)</f>
        <v>0</v>
      </c>
      <c r="G74" s="29">
        <f>'Product Added value'!CL20/(1-'Financials Parameters'!$Q$22)</f>
        <v>0</v>
      </c>
      <c r="H74" s="29">
        <f>'Product Added value'!CM20/(1-'Financials Parameters'!$Q$22)</f>
        <v>0</v>
      </c>
      <c r="K74" s="1513">
        <f>SUM(K71:K73)</f>
        <v>57000</v>
      </c>
      <c r="L74" t="s">
        <v>638</v>
      </c>
    </row>
    <row r="75" spans="1:34" ht="15" thickBot="1">
      <c r="A75" t="s">
        <v>729</v>
      </c>
      <c r="B75" s="25" t="str">
        <f>IF('Product Added value'!V21&lt;&gt;0,'Product Added value'!S21,"")</f>
        <v/>
      </c>
      <c r="C75" s="26">
        <f>'Product Added value'!CH21/(1-'Financials Parameters'!$Q$22)</f>
        <v>0</v>
      </c>
      <c r="D75" s="26">
        <f>'Product Added value'!CI21/(1-'Financials Parameters'!$Q$22)</f>
        <v>0</v>
      </c>
      <c r="E75" s="26">
        <f>'Product Added value'!CJ21/(1-'Financials Parameters'!$Q$22)</f>
        <v>0</v>
      </c>
      <c r="F75" s="26">
        <f>'Product Added value'!CK21/(1-'Financials Parameters'!$Q$22)</f>
        <v>0</v>
      </c>
      <c r="G75" s="29">
        <f>'Product Added value'!CL21/(1-'Financials Parameters'!$Q$22)</f>
        <v>0</v>
      </c>
      <c r="H75" s="29">
        <f>'Product Added value'!CM21/(1-'Financials Parameters'!$Q$22)</f>
        <v>0</v>
      </c>
      <c r="K75" s="1514"/>
    </row>
    <row r="76" spans="1:34" ht="15" thickBot="1">
      <c r="A76" t="s">
        <v>729</v>
      </c>
      <c r="B76" s="25" t="str">
        <f>IF('Product Added value'!V22&lt;&gt;0,'Product Added value'!S22,"")</f>
        <v/>
      </c>
      <c r="C76" s="26">
        <f>'Product Added value'!CH22/(1-'Financials Parameters'!$Q$22)</f>
        <v>0</v>
      </c>
      <c r="D76" s="26">
        <f>'Product Added value'!CI22/(1-'Financials Parameters'!$Q$22)</f>
        <v>0</v>
      </c>
      <c r="E76" s="26">
        <f>'Product Added value'!CJ22/(1-'Financials Parameters'!$Q$22)</f>
        <v>0</v>
      </c>
      <c r="F76" s="26">
        <f>'Product Added value'!CK22/(1-'Financials Parameters'!$Q$22)</f>
        <v>0</v>
      </c>
      <c r="G76" s="29">
        <f>'Product Added value'!CL22/(1-'Financials Parameters'!$Q$22)</f>
        <v>0</v>
      </c>
      <c r="H76" s="29">
        <f>'Product Added value'!CM22/(1-'Financials Parameters'!$Q$22)</f>
        <v>0</v>
      </c>
      <c r="K76" s="1503">
        <f>K68+K74+K48+K69</f>
        <v>57864</v>
      </c>
      <c r="L76" t="s">
        <v>753</v>
      </c>
    </row>
    <row r="77" spans="1:34" ht="15" thickBot="1">
      <c r="A77" t="s">
        <v>729</v>
      </c>
      <c r="B77" s="25" t="str">
        <f>IF('Product Added value'!V23&lt;&gt;0,'Product Added value'!S23,"")</f>
        <v/>
      </c>
      <c r="C77" s="26">
        <f>'Product Added value'!CH23/(1-'Financials Parameters'!$Q$22)</f>
        <v>0</v>
      </c>
      <c r="D77" s="26">
        <f>'Product Added value'!CI23/(1-'Financials Parameters'!$Q$22)</f>
        <v>0</v>
      </c>
      <c r="E77" s="26">
        <f>'Product Added value'!CJ23/(1-'Financials Parameters'!$Q$22)</f>
        <v>0</v>
      </c>
      <c r="F77" s="26">
        <f>'Product Added value'!CK23/(1-'Financials Parameters'!$Q$22)</f>
        <v>0</v>
      </c>
      <c r="G77" s="29">
        <f>'Product Added value'!CL23/(1-'Financials Parameters'!$Q$22)</f>
        <v>0</v>
      </c>
      <c r="H77" s="29">
        <f>'Product Added value'!CM23/(1-'Financials Parameters'!$Q$22)</f>
        <v>0</v>
      </c>
      <c r="K77" s="72"/>
    </row>
    <row r="78" spans="1:34" ht="15" thickBot="1">
      <c r="A78" t="s">
        <v>729</v>
      </c>
      <c r="B78" s="25" t="str">
        <f>IF('Product Added value'!V24&lt;&gt;0,'Product Added value'!S24,"")</f>
        <v/>
      </c>
      <c r="C78" s="26">
        <f>'Product Added value'!CH24/(1-'Financials Parameters'!$Q$22)</f>
        <v>0</v>
      </c>
      <c r="D78" s="26">
        <f>'Product Added value'!CI24/(1-'Financials Parameters'!$Q$22)</f>
        <v>0</v>
      </c>
      <c r="E78" s="26">
        <f>'Product Added value'!CJ24/(1-'Financials Parameters'!$Q$22)</f>
        <v>0</v>
      </c>
      <c r="F78" s="26">
        <f>'Product Added value'!CK24/(1-'Financials Parameters'!$Q$22)</f>
        <v>0</v>
      </c>
      <c r="G78" s="29">
        <f>'Product Added value'!CL24/(1-'Financials Parameters'!$Q$22)</f>
        <v>0</v>
      </c>
      <c r="H78" s="29">
        <f>'Product Added value'!CM24/(1-'Financials Parameters'!$Q$22)</f>
        <v>0</v>
      </c>
      <c r="K78" s="1503">
        <f>300*45</f>
        <v>13500</v>
      </c>
      <c r="L78" s="47" t="s">
        <v>754</v>
      </c>
      <c r="M78" s="2"/>
      <c r="N78" s="2"/>
      <c r="O78" s="2"/>
      <c r="P78" s="2"/>
      <c r="Q78" s="2"/>
      <c r="R78" s="2"/>
    </row>
    <row r="79" spans="1:34">
      <c r="A79" t="s">
        <v>729</v>
      </c>
      <c r="B79" s="25" t="str">
        <f>IF('Product Added value'!V25&lt;&gt;0,'Product Added value'!S25,"")</f>
        <v/>
      </c>
      <c r="C79" s="26">
        <f>'Product Added value'!CH25/(1-'Financials Parameters'!$Q$22)</f>
        <v>0</v>
      </c>
      <c r="D79" s="26">
        <f>'Product Added value'!CI25/(1-'Financials Parameters'!$Q$22)</f>
        <v>0</v>
      </c>
      <c r="E79" s="26">
        <f>'Product Added value'!CJ25/(1-'Financials Parameters'!$Q$22)</f>
        <v>0</v>
      </c>
      <c r="F79" s="26">
        <f>'Product Added value'!CK25/(1-'Financials Parameters'!$Q$22)</f>
        <v>0</v>
      </c>
      <c r="G79" s="29">
        <f>'Product Added value'!CL25/(1-'Financials Parameters'!$Q$22)</f>
        <v>0</v>
      </c>
      <c r="H79" s="29">
        <f>'Product Added value'!CM25/(1-'Financials Parameters'!$Q$22)</f>
        <v>0</v>
      </c>
      <c r="M79" s="2"/>
      <c r="N79" s="2"/>
      <c r="O79" s="2"/>
      <c r="P79" s="2"/>
      <c r="Q79" s="2"/>
      <c r="R79" s="2"/>
    </row>
    <row r="80" spans="1:34">
      <c r="A80" t="s">
        <v>729</v>
      </c>
      <c r="B80" s="25" t="str">
        <f>IF('Product Added value'!V26&lt;&gt;0,'Product Added value'!S26,"")</f>
        <v/>
      </c>
      <c r="C80" s="26">
        <f>'Product Added value'!CH26/(1-'Financials Parameters'!$Q$22)</f>
        <v>0</v>
      </c>
      <c r="D80" s="26">
        <f>'Product Added value'!CI26/(1-'Financials Parameters'!$Q$22)</f>
        <v>0</v>
      </c>
      <c r="E80" s="26">
        <f>'Product Added value'!CJ26/(1-'Financials Parameters'!$Q$22)</f>
        <v>0</v>
      </c>
      <c r="F80" s="26">
        <f>'Product Added value'!CK26/(1-'Financials Parameters'!$Q$22)</f>
        <v>0</v>
      </c>
      <c r="G80" s="29">
        <f>'Product Added value'!CL26/(1-'Financials Parameters'!$Q$22)</f>
        <v>0</v>
      </c>
      <c r="H80" s="29">
        <f>'Product Added value'!CM26/(1-'Financials Parameters'!$Q$22)</f>
        <v>0</v>
      </c>
      <c r="M80" s="2"/>
      <c r="N80" s="2"/>
      <c r="O80" s="2"/>
      <c r="P80" s="2"/>
      <c r="Q80" s="2"/>
      <c r="R80" s="2"/>
    </row>
    <row r="81" spans="1:18">
      <c r="A81" t="s">
        <v>729</v>
      </c>
      <c r="B81" s="25" t="str">
        <f>IF('Product Added value'!V27&lt;&gt;0,'Product Added value'!S27,"")</f>
        <v/>
      </c>
      <c r="C81" s="26">
        <f>'Product Added value'!CH27/(1-'Financials Parameters'!$Q$22)</f>
        <v>0</v>
      </c>
      <c r="D81" s="26">
        <f>'Product Added value'!CI27/(1-'Financials Parameters'!$Q$22)</f>
        <v>0</v>
      </c>
      <c r="E81" s="26">
        <f>'Product Added value'!CJ27/(1-'Financials Parameters'!$Q$22)</f>
        <v>0</v>
      </c>
      <c r="F81" s="26">
        <f>'Product Added value'!CK27/(1-'Financials Parameters'!$Q$22)</f>
        <v>0</v>
      </c>
      <c r="G81" s="29">
        <f>'Product Added value'!CL27/(1-'Financials Parameters'!$Q$22)</f>
        <v>0</v>
      </c>
      <c r="H81" s="29">
        <f>'Product Added value'!CM27/(1-'Financials Parameters'!$Q$22)</f>
        <v>0</v>
      </c>
      <c r="M81" s="2"/>
      <c r="N81" s="2"/>
      <c r="O81" s="2"/>
      <c r="P81" s="2"/>
      <c r="Q81" s="2"/>
      <c r="R81" s="2"/>
    </row>
    <row r="82" spans="1:18">
      <c r="A82" t="s">
        <v>729</v>
      </c>
      <c r="B82" s="25" t="str">
        <f>IF('Product Added value'!V28&lt;&gt;0,'Product Added value'!S28,"")</f>
        <v/>
      </c>
      <c r="C82" s="26">
        <f>'Product Added value'!CH28/(1-'Financials Parameters'!$Q$22)</f>
        <v>0</v>
      </c>
      <c r="D82" s="26">
        <f>'Product Added value'!CI28/(1-'Financials Parameters'!$Q$22)</f>
        <v>0</v>
      </c>
      <c r="E82" s="26">
        <f>'Product Added value'!CJ28/(1-'Financials Parameters'!$Q$22)</f>
        <v>0</v>
      </c>
      <c r="F82" s="26">
        <f>'Product Added value'!CK28/(1-'Financials Parameters'!$Q$22)</f>
        <v>0</v>
      </c>
      <c r="G82" s="29">
        <f>'Product Added value'!CL28/(1-'Financials Parameters'!$Q$22)</f>
        <v>0</v>
      </c>
      <c r="H82" s="29">
        <f>'Product Added value'!CM28/(1-'Financials Parameters'!$Q$22)</f>
        <v>0</v>
      </c>
      <c r="M82" s="2"/>
      <c r="N82" s="2"/>
      <c r="O82" s="2"/>
      <c r="P82" s="2"/>
      <c r="Q82" s="2"/>
      <c r="R82" s="2"/>
    </row>
    <row r="83" spans="1:18">
      <c r="A83" t="s">
        <v>729</v>
      </c>
      <c r="B83" s="25" t="str">
        <f>IF('Product Added value'!V29&lt;&gt;0,'Product Added value'!S29,"")</f>
        <v/>
      </c>
      <c r="C83" s="26">
        <f>'Product Added value'!CH29/(1-'Financials Parameters'!$Q$22)</f>
        <v>0</v>
      </c>
      <c r="D83" s="26">
        <f>'Product Added value'!CI29/(1-'Financials Parameters'!$Q$22)</f>
        <v>0</v>
      </c>
      <c r="E83" s="26">
        <f>'Product Added value'!CJ29/(1-'Financials Parameters'!$Q$22)</f>
        <v>0</v>
      </c>
      <c r="F83" s="26">
        <f>'Product Added value'!CK29/(1-'Financials Parameters'!$Q$22)</f>
        <v>0</v>
      </c>
      <c r="G83" s="29">
        <f>'Product Added value'!CL29/(1-'Financials Parameters'!$Q$22)</f>
        <v>0</v>
      </c>
      <c r="H83" s="29">
        <f>'Product Added value'!CM29/(1-'Financials Parameters'!$Q$22)</f>
        <v>0</v>
      </c>
      <c r="M83" s="2"/>
      <c r="N83" s="2"/>
      <c r="O83" s="9"/>
      <c r="P83" s="9"/>
      <c r="Q83" s="9"/>
      <c r="R83" s="9"/>
    </row>
    <row r="84" spans="1:18">
      <c r="A84" t="s">
        <v>729</v>
      </c>
      <c r="B84" s="25" t="str">
        <f>IF('Product Added value'!V30&lt;&gt;0,'Product Added value'!S30,"")</f>
        <v/>
      </c>
      <c r="C84" s="26">
        <f>'Product Added value'!CH30/(1-'Financials Parameters'!$Q$22)</f>
        <v>0</v>
      </c>
      <c r="D84" s="26">
        <f>'Product Added value'!CI30/(1-'Financials Parameters'!$Q$22)</f>
        <v>0</v>
      </c>
      <c r="E84" s="26">
        <f>'Product Added value'!CJ30/(1-'Financials Parameters'!$Q$22)</f>
        <v>0</v>
      </c>
      <c r="F84" s="26">
        <f>'Product Added value'!CK30/(1-'Financials Parameters'!$Q$22)</f>
        <v>0</v>
      </c>
      <c r="G84" s="29">
        <f>'Product Added value'!CL30/(1-'Financials Parameters'!$Q$22)</f>
        <v>0</v>
      </c>
      <c r="H84" s="29">
        <f>'Product Added value'!CM30/(1-'Financials Parameters'!$Q$22)</f>
        <v>0</v>
      </c>
    </row>
    <row r="85" spans="1:18" ht="15" thickBot="1">
      <c r="A85" t="s">
        <v>729</v>
      </c>
      <c r="B85" s="36" t="str">
        <f>IF('Product Added value'!V31&lt;&gt;0,'Product Added value'!S31,"")</f>
        <v/>
      </c>
      <c r="C85" s="37">
        <f>'Product Added value'!CH31/(1-'Financials Parameters'!$Q$22)</f>
        <v>0</v>
      </c>
      <c r="D85" s="37">
        <f>'Product Added value'!CI31/(1-'Financials Parameters'!$Q$22)</f>
        <v>0</v>
      </c>
      <c r="E85" s="37">
        <f>'Product Added value'!CJ31/(1-'Financials Parameters'!$Q$22)</f>
        <v>0</v>
      </c>
      <c r="F85" s="37">
        <f>'Product Added value'!CK31/(1-'Financials Parameters'!$Q$22)</f>
        <v>0</v>
      </c>
      <c r="G85" s="32">
        <f>'Product Added value'!CL31/(1-'Financials Parameters'!$Q$22)</f>
        <v>0</v>
      </c>
      <c r="H85" s="32">
        <f>'Product Added value'!CM31/(1-'Financials Parameters'!$Q$22)</f>
        <v>0</v>
      </c>
    </row>
    <row r="86" spans="1:18">
      <c r="A86" t="s">
        <v>728</v>
      </c>
      <c r="B86" s="41" t="str">
        <f>IF('Product Added value'!AC4&lt;&gt;0,'Product Added value'!Z4,"")</f>
        <v>Winding tool</v>
      </c>
      <c r="C86" s="87">
        <f>'Product Added value'!CU4/(1-'Financials Parameters'!$Q$22)</f>
        <v>5.5555555555555554</v>
      </c>
      <c r="D86" s="87">
        <f>'Product Added value'!CV4/(1-'Financials Parameters'!$Q$22)</f>
        <v>0</v>
      </c>
      <c r="E86" s="87">
        <f>'Product Added value'!CW4/(1-'Financials Parameters'!$Q$22)</f>
        <v>0</v>
      </c>
      <c r="F86" s="87">
        <f>'Product Added value'!CX4/(1-'Financials Parameters'!$Q$22)</f>
        <v>0</v>
      </c>
      <c r="G86" s="42">
        <f>'Product Added value'!CY4/(1-'Financials Parameters'!$Q$22)</f>
        <v>0</v>
      </c>
      <c r="H86" s="42">
        <f>'Product Added value'!CZ4/(1-'Financials Parameters'!$Q$22)</f>
        <v>0</v>
      </c>
    </row>
    <row r="87" spans="1:18">
      <c r="A87" t="s">
        <v>728</v>
      </c>
      <c r="B87" s="25" t="str">
        <f>IF('Product Added value'!AC5&lt;&gt;0,'Product Added value'!Z5,"")</f>
        <v/>
      </c>
      <c r="C87" s="26">
        <f>'Product Added value'!CU5/(1-'Financials Parameters'!$Q$22)</f>
        <v>0</v>
      </c>
      <c r="D87" s="26">
        <f>'Product Added value'!CV5/(1-'Financials Parameters'!$Q$22)</f>
        <v>0</v>
      </c>
      <c r="E87" s="26">
        <f>'Product Added value'!CW5/(1-'Financials Parameters'!$Q$22)</f>
        <v>0</v>
      </c>
      <c r="F87" s="26">
        <f>'Product Added value'!CX5/(1-'Financials Parameters'!$Q$22)</f>
        <v>0</v>
      </c>
      <c r="G87" s="29">
        <f>'Product Added value'!CY5/(1-'Financials Parameters'!$Q$22)</f>
        <v>0</v>
      </c>
      <c r="H87" s="29">
        <f>'Product Added value'!CZ5/(1-'Financials Parameters'!$Q$22)</f>
        <v>0</v>
      </c>
    </row>
    <row r="88" spans="1:18">
      <c r="A88" t="s">
        <v>728</v>
      </c>
      <c r="B88" s="25" t="str">
        <f>IF('Product Added value'!AC6&lt;&gt;0,'Product Added value'!Z6,"")</f>
        <v/>
      </c>
      <c r="C88" s="26">
        <f>'Product Added value'!CU6/(1-'Financials Parameters'!$Q$22)</f>
        <v>0</v>
      </c>
      <c r="D88" s="26">
        <f>'Product Added value'!CV6/(1-'Financials Parameters'!$Q$22)</f>
        <v>0</v>
      </c>
      <c r="E88" s="26">
        <f>'Product Added value'!CW6/(1-'Financials Parameters'!$Q$22)</f>
        <v>0</v>
      </c>
      <c r="F88" s="26">
        <f>'Product Added value'!CX6/(1-'Financials Parameters'!$Q$22)</f>
        <v>0</v>
      </c>
      <c r="G88" s="29">
        <f>'Product Added value'!CY6/(1-'Financials Parameters'!$Q$22)</f>
        <v>0</v>
      </c>
      <c r="H88" s="29">
        <f>'Product Added value'!CZ6/(1-'Financials Parameters'!$Q$22)</f>
        <v>0</v>
      </c>
    </row>
    <row r="89" spans="1:18">
      <c r="A89" t="s">
        <v>728</v>
      </c>
      <c r="B89" s="25" t="str">
        <f>IF('Product Added value'!AC7&lt;&gt;0,'Product Added value'!Z7,"")</f>
        <v/>
      </c>
      <c r="C89" s="26">
        <f>'Product Added value'!CU7/(1-'Financials Parameters'!$Q$22)</f>
        <v>0</v>
      </c>
      <c r="D89" s="26">
        <f>'Product Added value'!CV7/(1-'Financials Parameters'!$Q$22)</f>
        <v>0</v>
      </c>
      <c r="E89" s="26">
        <f>'Product Added value'!CW7/(1-'Financials Parameters'!$Q$22)</f>
        <v>0</v>
      </c>
      <c r="F89" s="26">
        <f>'Product Added value'!CX7/(1-'Financials Parameters'!$Q$22)</f>
        <v>0</v>
      </c>
      <c r="G89" s="29">
        <f>'Product Added value'!CY7/(1-'Financials Parameters'!$Q$22)</f>
        <v>0</v>
      </c>
      <c r="H89" s="29">
        <f>'Product Added value'!CZ7/(1-'Financials Parameters'!$Q$22)</f>
        <v>0</v>
      </c>
    </row>
    <row r="90" spans="1:18">
      <c r="A90" t="s">
        <v>728</v>
      </c>
      <c r="B90" s="25" t="str">
        <f>IF('Product Added value'!AC8&lt;&gt;0,'Product Added value'!Z8,"")</f>
        <v/>
      </c>
      <c r="C90" s="26">
        <f>'Product Added value'!CU8/(1-'Financials Parameters'!$Q$22)</f>
        <v>0</v>
      </c>
      <c r="D90" s="26">
        <f>'Product Added value'!CV8/(1-'Financials Parameters'!$Q$22)</f>
        <v>0</v>
      </c>
      <c r="E90" s="26">
        <f>'Product Added value'!CW8/(1-'Financials Parameters'!$Q$22)</f>
        <v>0</v>
      </c>
      <c r="F90" s="26">
        <f>'Product Added value'!CX8/(1-'Financials Parameters'!$Q$22)</f>
        <v>0</v>
      </c>
      <c r="G90" s="29">
        <f>'Product Added value'!CY8/(1-'Financials Parameters'!$Q$22)</f>
        <v>0</v>
      </c>
      <c r="H90" s="29">
        <f>'Product Added value'!CZ8/(1-'Financials Parameters'!$Q$22)</f>
        <v>0</v>
      </c>
    </row>
    <row r="91" spans="1:18">
      <c r="A91" t="s">
        <v>728</v>
      </c>
      <c r="B91" s="25" t="str">
        <f>IF('Product Added value'!AC9&lt;&gt;0,'Product Added value'!Z9,"")</f>
        <v/>
      </c>
      <c r="C91" s="26">
        <f>'Product Added value'!CU9/(1-'Financials Parameters'!$Q$22)</f>
        <v>0</v>
      </c>
      <c r="D91" s="26">
        <f>'Product Added value'!CV9/(1-'Financials Parameters'!$Q$22)</f>
        <v>0</v>
      </c>
      <c r="E91" s="26">
        <f>'Product Added value'!CW9/(1-'Financials Parameters'!$Q$22)</f>
        <v>0</v>
      </c>
      <c r="F91" s="26">
        <f>'Product Added value'!CX9/(1-'Financials Parameters'!$Q$22)</f>
        <v>0</v>
      </c>
      <c r="G91" s="29">
        <f>'Product Added value'!CY9/(1-'Financials Parameters'!$Q$22)</f>
        <v>0</v>
      </c>
      <c r="H91" s="29">
        <f>'Product Added value'!CZ9/(1-'Financials Parameters'!$Q$22)</f>
        <v>0</v>
      </c>
    </row>
    <row r="92" spans="1:18">
      <c r="A92" t="s">
        <v>728</v>
      </c>
      <c r="B92" s="25" t="str">
        <f>IF('Product Added value'!AC10&lt;&gt;0,'Product Added value'!Z10,"")</f>
        <v/>
      </c>
      <c r="C92" s="26">
        <f>'Product Added value'!CU10/(1-'Financials Parameters'!$Q$22)</f>
        <v>0</v>
      </c>
      <c r="D92" s="26">
        <f>'Product Added value'!CV10/(1-'Financials Parameters'!$Q$22)</f>
        <v>0</v>
      </c>
      <c r="E92" s="26">
        <f>'Product Added value'!CW10/(1-'Financials Parameters'!$Q$22)</f>
        <v>0</v>
      </c>
      <c r="F92" s="26">
        <f>'Product Added value'!CX10/(1-'Financials Parameters'!$Q$22)</f>
        <v>0</v>
      </c>
      <c r="G92" s="29">
        <f>'Product Added value'!CY10/(1-'Financials Parameters'!$Q$22)</f>
        <v>0</v>
      </c>
      <c r="H92" s="29">
        <f>'Product Added value'!CZ10/(1-'Financials Parameters'!$Q$22)</f>
        <v>0</v>
      </c>
    </row>
    <row r="93" spans="1:18">
      <c r="A93" t="s">
        <v>728</v>
      </c>
      <c r="B93" s="25" t="str">
        <f>IF('Product Added value'!AC11&lt;&gt;0,'Product Added value'!Z11,"")</f>
        <v/>
      </c>
      <c r="C93" s="26">
        <f>'Product Added value'!CU11/(1-'Financials Parameters'!$Q$22)</f>
        <v>0</v>
      </c>
      <c r="D93" s="26">
        <f>'Product Added value'!CV11/(1-'Financials Parameters'!$Q$22)</f>
        <v>0</v>
      </c>
      <c r="E93" s="26">
        <f>'Product Added value'!CW11/(1-'Financials Parameters'!$Q$22)</f>
        <v>0</v>
      </c>
      <c r="F93" s="26">
        <f>'Product Added value'!CX11/(1-'Financials Parameters'!$Q$22)</f>
        <v>0</v>
      </c>
      <c r="G93" s="29">
        <f>'Product Added value'!CY11/(1-'Financials Parameters'!$Q$22)</f>
        <v>0</v>
      </c>
      <c r="H93" s="29">
        <f>'Product Added value'!CZ11/(1-'Financials Parameters'!$Q$22)</f>
        <v>0</v>
      </c>
    </row>
    <row r="94" spans="1:18">
      <c r="A94" t="s">
        <v>728</v>
      </c>
      <c r="B94" s="25" t="str">
        <f>IF('Product Added value'!AC12&lt;&gt;0,'Product Added value'!Z12,"")</f>
        <v/>
      </c>
      <c r="C94" s="26">
        <f>'Product Added value'!CU12/(1-'Financials Parameters'!$Q$22)</f>
        <v>0</v>
      </c>
      <c r="D94" s="26">
        <f>'Product Added value'!CV12/(1-'Financials Parameters'!$Q$22)</f>
        <v>0</v>
      </c>
      <c r="E94" s="26">
        <f>'Product Added value'!CW12/(1-'Financials Parameters'!$Q$22)</f>
        <v>0</v>
      </c>
      <c r="F94" s="26">
        <f>'Product Added value'!CX12/(1-'Financials Parameters'!$Q$22)</f>
        <v>0</v>
      </c>
      <c r="G94" s="29">
        <f>'Product Added value'!CY12/(1-'Financials Parameters'!$Q$22)</f>
        <v>0</v>
      </c>
      <c r="H94" s="29">
        <f>'Product Added value'!CZ12/(1-'Financials Parameters'!$Q$22)</f>
        <v>0</v>
      </c>
    </row>
    <row r="95" spans="1:18">
      <c r="A95" t="s">
        <v>728</v>
      </c>
      <c r="B95" s="25" t="str">
        <f>IF('Product Added value'!AC13&lt;&gt;0,'Product Added value'!Z13,"")</f>
        <v/>
      </c>
      <c r="C95" s="26">
        <f>'Product Added value'!CU13/(1-'Financials Parameters'!$Q$22)</f>
        <v>0</v>
      </c>
      <c r="D95" s="26">
        <f>'Product Added value'!CV13/(1-'Financials Parameters'!$Q$22)</f>
        <v>0</v>
      </c>
      <c r="E95" s="26">
        <f>'Product Added value'!CW13/(1-'Financials Parameters'!$Q$22)</f>
        <v>0</v>
      </c>
      <c r="F95" s="26">
        <f>'Product Added value'!CX13/(1-'Financials Parameters'!$Q$22)</f>
        <v>0</v>
      </c>
      <c r="G95" s="29">
        <f>'Product Added value'!CY13/(1-'Financials Parameters'!$Q$22)</f>
        <v>0</v>
      </c>
      <c r="H95" s="29">
        <f>'Product Added value'!CZ13/(1-'Financials Parameters'!$Q$22)</f>
        <v>0</v>
      </c>
    </row>
    <row r="96" spans="1:18">
      <c r="A96" t="s">
        <v>728</v>
      </c>
      <c r="B96" s="25" t="str">
        <f>IF('Product Added value'!AC14&lt;&gt;0,'Product Added value'!Z14,"")</f>
        <v/>
      </c>
      <c r="C96" s="26">
        <f>'Product Added value'!CU14/(1-'Financials Parameters'!$Q$22)</f>
        <v>0</v>
      </c>
      <c r="D96" s="26">
        <f>'Product Added value'!CV14/(1-'Financials Parameters'!$Q$22)</f>
        <v>0</v>
      </c>
      <c r="E96" s="26">
        <f>'Product Added value'!CW14/(1-'Financials Parameters'!$Q$22)</f>
        <v>0</v>
      </c>
      <c r="F96" s="26">
        <f>'Product Added value'!CX14/(1-'Financials Parameters'!$Q$22)</f>
        <v>0</v>
      </c>
      <c r="G96" s="29">
        <f>'Product Added value'!CY14/(1-'Financials Parameters'!$Q$22)</f>
        <v>0</v>
      </c>
      <c r="H96" s="29">
        <f>'Product Added value'!CZ14/(1-'Financials Parameters'!$Q$22)</f>
        <v>0</v>
      </c>
    </row>
    <row r="97" spans="1:8">
      <c r="A97" t="s">
        <v>728</v>
      </c>
      <c r="B97" s="25" t="str">
        <f>IF('Product Added value'!AC15&lt;&gt;0,'Product Added value'!Z15,"")</f>
        <v/>
      </c>
      <c r="C97" s="26">
        <f>'Product Added value'!CU15/(1-'Financials Parameters'!$Q$22)</f>
        <v>0</v>
      </c>
      <c r="D97" s="26">
        <f>'Product Added value'!CV15/(1-'Financials Parameters'!$Q$22)</f>
        <v>0</v>
      </c>
      <c r="E97" s="26">
        <f>'Product Added value'!CW15/(1-'Financials Parameters'!$Q$22)</f>
        <v>0</v>
      </c>
      <c r="F97" s="26">
        <f>'Product Added value'!CX15/(1-'Financials Parameters'!$Q$22)</f>
        <v>0</v>
      </c>
      <c r="G97" s="29">
        <f>'Product Added value'!CY15/(1-'Financials Parameters'!$Q$22)</f>
        <v>0</v>
      </c>
      <c r="H97" s="29">
        <f>'Product Added value'!CZ15/(1-'Financials Parameters'!$Q$22)</f>
        <v>0</v>
      </c>
    </row>
    <row r="98" spans="1:8">
      <c r="A98" t="s">
        <v>728</v>
      </c>
      <c r="B98" s="25" t="str">
        <f>IF('Product Added value'!AC16&lt;&gt;0,'Product Added value'!Z16,"")</f>
        <v/>
      </c>
      <c r="C98" s="26">
        <f>'Product Added value'!CU16/(1-'Financials Parameters'!$Q$22)</f>
        <v>0</v>
      </c>
      <c r="D98" s="26">
        <f>'Product Added value'!CV16/(1-'Financials Parameters'!$Q$22)</f>
        <v>0</v>
      </c>
      <c r="E98" s="26">
        <f>'Product Added value'!CW16/(1-'Financials Parameters'!$Q$22)</f>
        <v>0</v>
      </c>
      <c r="F98" s="26">
        <f>'Product Added value'!CX16/(1-'Financials Parameters'!$Q$22)</f>
        <v>0</v>
      </c>
      <c r="G98" s="29">
        <f>'Product Added value'!CY16/(1-'Financials Parameters'!$Q$22)</f>
        <v>0</v>
      </c>
      <c r="H98" s="29">
        <f>'Product Added value'!CZ16/(1-'Financials Parameters'!$Q$22)</f>
        <v>0</v>
      </c>
    </row>
    <row r="99" spans="1:8">
      <c r="A99" t="s">
        <v>728</v>
      </c>
      <c r="B99" s="25" t="str">
        <f>IF('Product Added value'!AC17&lt;&gt;0,'Product Added value'!Z17,"")</f>
        <v/>
      </c>
      <c r="C99" s="26">
        <f>'Product Added value'!CU17/(1-'Financials Parameters'!$Q$22)</f>
        <v>0</v>
      </c>
      <c r="D99" s="26">
        <f>'Product Added value'!CV17/(1-'Financials Parameters'!$Q$22)</f>
        <v>0</v>
      </c>
      <c r="E99" s="26">
        <f>'Product Added value'!CW17/(1-'Financials Parameters'!$Q$22)</f>
        <v>0</v>
      </c>
      <c r="F99" s="26">
        <f>'Product Added value'!CX17/(1-'Financials Parameters'!$Q$22)</f>
        <v>0</v>
      </c>
      <c r="G99" s="29">
        <f>'Product Added value'!CY17/(1-'Financials Parameters'!$Q$22)</f>
        <v>0</v>
      </c>
      <c r="H99" s="29">
        <f>'Product Added value'!CZ17/(1-'Financials Parameters'!$Q$22)</f>
        <v>0</v>
      </c>
    </row>
    <row r="100" spans="1:8">
      <c r="A100" t="s">
        <v>728</v>
      </c>
      <c r="B100" s="25" t="str">
        <f>IF('Product Added value'!AC18&lt;&gt;0,'Product Added value'!Z18,"")</f>
        <v/>
      </c>
      <c r="C100" s="26">
        <f>'Product Added value'!CU18/(1-'Financials Parameters'!$Q$22)</f>
        <v>0</v>
      </c>
      <c r="D100" s="26">
        <f>'Product Added value'!CV18/(1-'Financials Parameters'!$Q$22)</f>
        <v>0</v>
      </c>
      <c r="E100" s="26">
        <f>'Product Added value'!CW18/(1-'Financials Parameters'!$Q$22)</f>
        <v>0</v>
      </c>
      <c r="F100" s="26">
        <f>'Product Added value'!CX18/(1-'Financials Parameters'!$Q$22)</f>
        <v>0</v>
      </c>
      <c r="G100" s="29">
        <f>'Product Added value'!CY18/(1-'Financials Parameters'!$Q$22)</f>
        <v>0</v>
      </c>
      <c r="H100" s="29">
        <f>'Product Added value'!CZ18/(1-'Financials Parameters'!$Q$22)</f>
        <v>0</v>
      </c>
    </row>
    <row r="101" spans="1:8">
      <c r="A101" t="s">
        <v>728</v>
      </c>
      <c r="B101" s="25" t="str">
        <f>IF('Product Added value'!AC19&lt;&gt;0,'Product Added value'!Z19,"")</f>
        <v/>
      </c>
      <c r="C101" s="26">
        <f>'Product Added value'!CU19/(1-'Financials Parameters'!$Q$22)</f>
        <v>0</v>
      </c>
      <c r="D101" s="26">
        <f>'Product Added value'!CV19/(1-'Financials Parameters'!$Q$22)</f>
        <v>0</v>
      </c>
      <c r="E101" s="26">
        <f>'Product Added value'!CW19/(1-'Financials Parameters'!$Q$22)</f>
        <v>0</v>
      </c>
      <c r="F101" s="26">
        <f>'Product Added value'!CX19/(1-'Financials Parameters'!$Q$22)</f>
        <v>0</v>
      </c>
      <c r="G101" s="29">
        <f>'Product Added value'!CY19/(1-'Financials Parameters'!$Q$22)</f>
        <v>0</v>
      </c>
      <c r="H101" s="29">
        <f>'Product Added value'!CZ19/(1-'Financials Parameters'!$Q$22)</f>
        <v>0</v>
      </c>
    </row>
    <row r="102" spans="1:8">
      <c r="A102" t="s">
        <v>728</v>
      </c>
      <c r="B102" s="25" t="str">
        <f>IF('Product Added value'!AC20&lt;&gt;0,'Product Added value'!Z20,"")</f>
        <v/>
      </c>
      <c r="C102" s="26">
        <f>'Product Added value'!CU20/(1-'Financials Parameters'!$Q$22)</f>
        <v>0</v>
      </c>
      <c r="D102" s="26">
        <f>'Product Added value'!CV20/(1-'Financials Parameters'!$Q$22)</f>
        <v>0</v>
      </c>
      <c r="E102" s="26">
        <f>'Product Added value'!CW20/(1-'Financials Parameters'!$Q$22)</f>
        <v>0</v>
      </c>
      <c r="F102" s="26">
        <f>'Product Added value'!CX20/(1-'Financials Parameters'!$Q$22)</f>
        <v>0</v>
      </c>
      <c r="G102" s="29">
        <f>'Product Added value'!CY20/(1-'Financials Parameters'!$Q$22)</f>
        <v>0</v>
      </c>
      <c r="H102" s="29">
        <f>'Product Added value'!CZ20/(1-'Financials Parameters'!$Q$22)</f>
        <v>0</v>
      </c>
    </row>
    <row r="103" spans="1:8">
      <c r="A103" t="s">
        <v>728</v>
      </c>
      <c r="B103" s="25" t="str">
        <f>IF('Product Added value'!AC21&lt;&gt;0,'Product Added value'!Z21,"")</f>
        <v/>
      </c>
      <c r="C103" s="26">
        <f>'Product Added value'!CU21/(1-'Financials Parameters'!$Q$22)</f>
        <v>0</v>
      </c>
      <c r="D103" s="26">
        <f>'Product Added value'!CV21/(1-'Financials Parameters'!$Q$22)</f>
        <v>0</v>
      </c>
      <c r="E103" s="26">
        <f>'Product Added value'!CW21/(1-'Financials Parameters'!$Q$22)</f>
        <v>0</v>
      </c>
      <c r="F103" s="26">
        <f>'Product Added value'!CX21/(1-'Financials Parameters'!$Q$22)</f>
        <v>0</v>
      </c>
      <c r="G103" s="29">
        <f>'Product Added value'!CY21/(1-'Financials Parameters'!$Q$22)</f>
        <v>0</v>
      </c>
      <c r="H103" s="29">
        <f>'Product Added value'!CZ21/(1-'Financials Parameters'!$Q$22)</f>
        <v>0</v>
      </c>
    </row>
    <row r="104" spans="1:8">
      <c r="A104" t="s">
        <v>728</v>
      </c>
      <c r="B104" s="25" t="str">
        <f>IF('Product Added value'!AC22&lt;&gt;0,'Product Added value'!Z22,"")</f>
        <v/>
      </c>
      <c r="C104" s="26">
        <f>'Product Added value'!CU22/(1-'Financials Parameters'!$Q$22)</f>
        <v>0</v>
      </c>
      <c r="D104" s="26">
        <f>'Product Added value'!CV22/(1-'Financials Parameters'!$Q$22)</f>
        <v>0</v>
      </c>
      <c r="E104" s="26">
        <f>'Product Added value'!CW22/(1-'Financials Parameters'!$Q$22)</f>
        <v>0</v>
      </c>
      <c r="F104" s="26">
        <f>'Product Added value'!CX22/(1-'Financials Parameters'!$Q$22)</f>
        <v>0</v>
      </c>
      <c r="G104" s="29">
        <f>'Product Added value'!CY22/(1-'Financials Parameters'!$Q$22)</f>
        <v>0</v>
      </c>
      <c r="H104" s="29">
        <f>'Product Added value'!CZ22/(1-'Financials Parameters'!$Q$22)</f>
        <v>0</v>
      </c>
    </row>
    <row r="105" spans="1:8">
      <c r="A105" t="s">
        <v>728</v>
      </c>
      <c r="B105" s="25" t="str">
        <f>IF('Product Added value'!AC23&lt;&gt;0,'Product Added value'!Z23,"")</f>
        <v/>
      </c>
      <c r="C105" s="26">
        <f>'Product Added value'!CU23/(1-'Financials Parameters'!$Q$22)</f>
        <v>0</v>
      </c>
      <c r="D105" s="26">
        <f>'Product Added value'!CV23/(1-'Financials Parameters'!$Q$22)</f>
        <v>0</v>
      </c>
      <c r="E105" s="26">
        <f>'Product Added value'!CW23/(1-'Financials Parameters'!$Q$22)</f>
        <v>0</v>
      </c>
      <c r="F105" s="26">
        <f>'Product Added value'!CX23/(1-'Financials Parameters'!$Q$22)</f>
        <v>0</v>
      </c>
      <c r="G105" s="29">
        <f>'Product Added value'!CY23/(1-'Financials Parameters'!$Q$22)</f>
        <v>0</v>
      </c>
      <c r="H105" s="29">
        <f>'Product Added value'!CZ23/(1-'Financials Parameters'!$Q$22)</f>
        <v>0</v>
      </c>
    </row>
    <row r="106" spans="1:8">
      <c r="A106" t="s">
        <v>728</v>
      </c>
      <c r="B106" s="25" t="str">
        <f>IF('Product Added value'!AC24&lt;&gt;0,'Product Added value'!Z24,"")</f>
        <v/>
      </c>
      <c r="C106" s="26">
        <f>'Product Added value'!CU24/(1-'Financials Parameters'!$Q$22)</f>
        <v>0</v>
      </c>
      <c r="D106" s="26">
        <f>'Product Added value'!CV24/(1-'Financials Parameters'!$Q$22)</f>
        <v>0</v>
      </c>
      <c r="E106" s="26">
        <f>'Product Added value'!CW24/(1-'Financials Parameters'!$Q$22)</f>
        <v>0</v>
      </c>
      <c r="F106" s="26">
        <f>'Product Added value'!CX24/(1-'Financials Parameters'!$Q$22)</f>
        <v>0</v>
      </c>
      <c r="G106" s="29">
        <f>'Product Added value'!CY24/(1-'Financials Parameters'!$Q$22)</f>
        <v>0</v>
      </c>
      <c r="H106" s="29">
        <f>'Product Added value'!CZ24/(1-'Financials Parameters'!$Q$22)</f>
        <v>0</v>
      </c>
    </row>
    <row r="107" spans="1:8">
      <c r="A107" t="s">
        <v>728</v>
      </c>
      <c r="B107" s="25" t="str">
        <f>IF('Product Added value'!AC25&lt;&gt;0,'Product Added value'!Z25,"")</f>
        <v/>
      </c>
      <c r="C107" s="26">
        <f>'Product Added value'!CU25/(1-'Financials Parameters'!$Q$22)</f>
        <v>0</v>
      </c>
      <c r="D107" s="26">
        <f>'Product Added value'!CV25/(1-'Financials Parameters'!$Q$22)</f>
        <v>0</v>
      </c>
      <c r="E107" s="26">
        <f>'Product Added value'!CW25/(1-'Financials Parameters'!$Q$22)</f>
        <v>0</v>
      </c>
      <c r="F107" s="26">
        <f>'Product Added value'!CX25/(1-'Financials Parameters'!$Q$22)</f>
        <v>0</v>
      </c>
      <c r="G107" s="29">
        <f>'Product Added value'!CY25/(1-'Financials Parameters'!$Q$22)</f>
        <v>0</v>
      </c>
      <c r="H107" s="29">
        <f>'Product Added value'!CZ25/(1-'Financials Parameters'!$Q$22)</f>
        <v>0</v>
      </c>
    </row>
    <row r="108" spans="1:8">
      <c r="A108" t="s">
        <v>728</v>
      </c>
      <c r="B108" s="25" t="str">
        <f>IF('Product Added value'!AC26&lt;&gt;0,'Product Added value'!Z26,"")</f>
        <v/>
      </c>
      <c r="C108" s="26">
        <f>'Product Added value'!CU26/(1-'Financials Parameters'!$Q$22)</f>
        <v>0</v>
      </c>
      <c r="D108" s="26">
        <f>'Product Added value'!CV26/(1-'Financials Parameters'!$Q$22)</f>
        <v>0</v>
      </c>
      <c r="E108" s="26">
        <f>'Product Added value'!CW26/(1-'Financials Parameters'!$Q$22)</f>
        <v>0</v>
      </c>
      <c r="F108" s="26">
        <f>'Product Added value'!CX26/(1-'Financials Parameters'!$Q$22)</f>
        <v>0</v>
      </c>
      <c r="G108" s="29">
        <f>'Product Added value'!CY26/(1-'Financials Parameters'!$Q$22)</f>
        <v>0</v>
      </c>
      <c r="H108" s="29">
        <f>'Product Added value'!CZ26/(1-'Financials Parameters'!$Q$22)</f>
        <v>0</v>
      </c>
    </row>
    <row r="109" spans="1:8">
      <c r="A109" t="s">
        <v>728</v>
      </c>
      <c r="B109" s="25" t="str">
        <f>IF('Product Added value'!AC27&lt;&gt;0,'Product Added value'!Z27,"")</f>
        <v/>
      </c>
      <c r="C109" s="26">
        <f>'Product Added value'!CU27/(1-'Financials Parameters'!$Q$22)</f>
        <v>0</v>
      </c>
      <c r="D109" s="26">
        <f>'Product Added value'!CV27/(1-'Financials Parameters'!$Q$22)</f>
        <v>0</v>
      </c>
      <c r="E109" s="26">
        <f>'Product Added value'!CW27/(1-'Financials Parameters'!$Q$22)</f>
        <v>0</v>
      </c>
      <c r="F109" s="26">
        <f>'Product Added value'!CX27/(1-'Financials Parameters'!$Q$22)</f>
        <v>0</v>
      </c>
      <c r="G109" s="29">
        <f>'Product Added value'!CY27/(1-'Financials Parameters'!$Q$22)</f>
        <v>0</v>
      </c>
      <c r="H109" s="29">
        <f>'Product Added value'!CZ27/(1-'Financials Parameters'!$Q$22)</f>
        <v>0</v>
      </c>
    </row>
    <row r="110" spans="1:8">
      <c r="A110" t="s">
        <v>728</v>
      </c>
      <c r="B110" s="25" t="str">
        <f>IF('Product Added value'!AC28&lt;&gt;0,'Product Added value'!Z28,"")</f>
        <v/>
      </c>
      <c r="C110" s="26">
        <f>'Product Added value'!CU28/(1-'Financials Parameters'!$Q$22)</f>
        <v>0</v>
      </c>
      <c r="D110" s="26">
        <f>'Product Added value'!CV28/(1-'Financials Parameters'!$Q$22)</f>
        <v>0</v>
      </c>
      <c r="E110" s="26">
        <f>'Product Added value'!CW28/(1-'Financials Parameters'!$Q$22)</f>
        <v>0</v>
      </c>
      <c r="F110" s="26">
        <f>'Product Added value'!CX28/(1-'Financials Parameters'!$Q$22)</f>
        <v>0</v>
      </c>
      <c r="G110" s="29">
        <f>'Product Added value'!CY28/(1-'Financials Parameters'!$Q$22)</f>
        <v>0</v>
      </c>
      <c r="H110" s="29">
        <f>'Product Added value'!CZ28/(1-'Financials Parameters'!$Q$22)</f>
        <v>0</v>
      </c>
    </row>
    <row r="111" spans="1:8">
      <c r="A111" t="s">
        <v>728</v>
      </c>
      <c r="B111" s="25" t="str">
        <f>IF('Product Added value'!AC29&lt;&gt;0,'Product Added value'!Z29,"")</f>
        <v/>
      </c>
      <c r="C111" s="26">
        <f>'Product Added value'!CU29/(1-'Financials Parameters'!$Q$22)</f>
        <v>0</v>
      </c>
      <c r="D111" s="26">
        <f>'Product Added value'!CV29/(1-'Financials Parameters'!$Q$22)</f>
        <v>0</v>
      </c>
      <c r="E111" s="26">
        <f>'Product Added value'!CW29/(1-'Financials Parameters'!$Q$22)</f>
        <v>0</v>
      </c>
      <c r="F111" s="26">
        <f>'Product Added value'!CX29/(1-'Financials Parameters'!$Q$22)</f>
        <v>0</v>
      </c>
      <c r="G111" s="29">
        <f>'Product Added value'!CY29/(1-'Financials Parameters'!$Q$22)</f>
        <v>0</v>
      </c>
      <c r="H111" s="29">
        <f>'Product Added value'!CZ29/(1-'Financials Parameters'!$Q$22)</f>
        <v>0</v>
      </c>
    </row>
    <row r="112" spans="1:8">
      <c r="A112" t="s">
        <v>728</v>
      </c>
      <c r="B112" s="25" t="str">
        <f>IF('Product Added value'!AC30&lt;&gt;0,'Product Added value'!Z30,"")</f>
        <v/>
      </c>
      <c r="C112" s="26">
        <f>'Product Added value'!CU30/(1-'Financials Parameters'!$Q$22)</f>
        <v>0</v>
      </c>
      <c r="D112" s="26">
        <f>'Product Added value'!CV30/(1-'Financials Parameters'!$Q$22)</f>
        <v>0</v>
      </c>
      <c r="E112" s="26">
        <f>'Product Added value'!CW30/(1-'Financials Parameters'!$Q$22)</f>
        <v>0</v>
      </c>
      <c r="F112" s="26">
        <f>'Product Added value'!CX30/(1-'Financials Parameters'!$Q$22)</f>
        <v>0</v>
      </c>
      <c r="G112" s="29">
        <f>'Product Added value'!CY30/(1-'Financials Parameters'!$Q$22)</f>
        <v>0</v>
      </c>
      <c r="H112" s="29">
        <f>'Product Added value'!CZ30/(1-'Financials Parameters'!$Q$22)</f>
        <v>0</v>
      </c>
    </row>
    <row r="113" spans="1:8" ht="15" thickBot="1">
      <c r="A113" t="s">
        <v>728</v>
      </c>
      <c r="B113" s="36">
        <f>IF('Product Added value'!AC31&lt;&gt;0,'Product Added value'!Z31,"")</f>
        <v>0</v>
      </c>
      <c r="C113" s="37">
        <f>'Product Added value'!CU31/(1-'Financials Parameters'!$Q$22)</f>
        <v>0</v>
      </c>
      <c r="D113" s="37">
        <f>'Product Added value'!CV31/(1-'Financials Parameters'!$Q$22)</f>
        <v>0</v>
      </c>
      <c r="E113" s="37">
        <f>'Product Added value'!CW31/(1-'Financials Parameters'!$Q$22)</f>
        <v>0</v>
      </c>
      <c r="F113" s="37">
        <f>'Product Added value'!CX31/(1-'Financials Parameters'!$Q$22)</f>
        <v>0</v>
      </c>
      <c r="G113" s="32">
        <f>'Product Added value'!CY31/(1-'Financials Parameters'!$Q$22)</f>
        <v>0</v>
      </c>
      <c r="H113" s="32">
        <f>'Product Added value'!CZ31/(1-'Financials Parameters'!$Q$22)</f>
        <v>0</v>
      </c>
    </row>
  </sheetData>
  <sortState xmlns:xlrd2="http://schemas.microsoft.com/office/spreadsheetml/2017/richdata2" ref="K29:S115">
    <sortCondition descending="1" ref="S29:S115"/>
  </sortState>
  <mergeCells count="6">
    <mergeCell ref="T49:X49"/>
    <mergeCell ref="Y49:AJ49"/>
    <mergeCell ref="P29:Q29"/>
    <mergeCell ref="R29:S29"/>
    <mergeCell ref="P49:Q49"/>
    <mergeCell ref="R49:S49"/>
  </mergeCells>
  <phoneticPr fontId="1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1FDBC-A72F-4A01-9043-4E9BE1EE4F50}">
  <sheetPr codeName="Feuil7">
    <tabColor theme="9" tint="-0.249977111117893"/>
  </sheetPr>
  <dimension ref="A1:AW78"/>
  <sheetViews>
    <sheetView topLeftCell="A28" zoomScale="90" zoomScaleNormal="90" workbookViewId="0">
      <selection activeCell="I10" sqref="I10"/>
    </sheetView>
  </sheetViews>
  <sheetFormatPr baseColWidth="10" defaultColWidth="11.44140625" defaultRowHeight="14.4"/>
  <cols>
    <col min="1" max="1" width="42.77734375" customWidth="1"/>
    <col min="2" max="2" width="20.33203125" customWidth="1"/>
    <col min="3" max="7" width="7.33203125" customWidth="1"/>
    <col min="8" max="8" width="7.77734375" bestFit="1" customWidth="1"/>
    <col min="10" max="11" width="10.44140625" customWidth="1"/>
    <col min="12" max="12" width="13.77734375" bestFit="1" customWidth="1"/>
    <col min="13" max="13" width="12.44140625" customWidth="1"/>
    <col min="14" max="15" width="10.44140625" customWidth="1"/>
    <col min="16" max="18" width="7" customWidth="1"/>
    <col min="19" max="19" width="13.109375" bestFit="1" customWidth="1"/>
    <col min="27" max="27" width="19.21875" customWidth="1"/>
    <col min="28" max="28" width="9.6640625" bestFit="1" customWidth="1"/>
  </cols>
  <sheetData>
    <row r="1" spans="1:49" ht="15" thickBot="1">
      <c r="A1" s="3" t="s">
        <v>755</v>
      </c>
      <c r="B1" s="252">
        <f>+'RFQ Data'!C30</f>
        <v>2024</v>
      </c>
      <c r="C1" s="74">
        <f>+'RFQ Data'!D30</f>
        <v>2025</v>
      </c>
      <c r="D1" s="74">
        <f>+'RFQ Data'!E30</f>
        <v>2026</v>
      </c>
      <c r="E1" s="74">
        <f>+'RFQ Data'!F30</f>
        <v>2027</v>
      </c>
      <c r="F1" s="74">
        <f>+'RFQ Data'!G30</f>
        <v>2028</v>
      </c>
      <c r="G1" s="75">
        <f>+'RFQ Data'!H30</f>
        <v>2029</v>
      </c>
      <c r="H1" s="262">
        <f>+'RFQ Data'!I30</f>
        <v>2030</v>
      </c>
      <c r="M1" s="1215" t="s">
        <v>756</v>
      </c>
      <c r="N1" s="1515">
        <f>+B57</f>
        <v>0.49999999999994471</v>
      </c>
      <c r="O1" s="72"/>
      <c r="AA1" t="s">
        <v>757</v>
      </c>
      <c r="AB1" s="55">
        <f>+AB7*1.07+2.5*(AB10+AB11+AB12)</f>
        <v>0.9644498136501567</v>
      </c>
      <c r="AL1" t="s">
        <v>758</v>
      </c>
      <c r="AN1" s="1">
        <f>+O3</f>
        <v>0.5</v>
      </c>
      <c r="AP1" t="s">
        <v>759</v>
      </c>
      <c r="AQ1" s="1">
        <v>0.02</v>
      </c>
    </row>
    <row r="2" spans="1:49">
      <c r="A2" s="468" t="s">
        <v>760</v>
      </c>
      <c r="B2" s="850">
        <f>+'RFQ Data'!C31</f>
        <v>0</v>
      </c>
      <c r="C2" s="87">
        <f>+'RFQ Data'!D31</f>
        <v>600</v>
      </c>
      <c r="D2" s="87">
        <f>+'RFQ Data'!E31</f>
        <v>600</v>
      </c>
      <c r="E2" s="87">
        <f>+'RFQ Data'!F31</f>
        <v>600</v>
      </c>
      <c r="F2" s="87">
        <f>+'RFQ Data'!G31</f>
        <v>600</v>
      </c>
      <c r="G2" s="2176">
        <f>+'RFQ Data'!H31</f>
        <v>600</v>
      </c>
      <c r="H2" s="263">
        <v>0</v>
      </c>
      <c r="M2" s="1216" t="s">
        <v>761</v>
      </c>
      <c r="N2" s="1516">
        <v>0</v>
      </c>
      <c r="O2" s="1218" t="s">
        <v>758</v>
      </c>
      <c r="AA2" t="s">
        <v>762</v>
      </c>
      <c r="AB2" s="55">
        <f>+AN27</f>
        <v>0</v>
      </c>
      <c r="AC2" s="55" t="s">
        <v>92</v>
      </c>
      <c r="AD2" s="55"/>
      <c r="AN2" s="1"/>
      <c r="AQ2" s="1"/>
    </row>
    <row r="3" spans="1:49" ht="15" thickBot="1">
      <c r="A3" s="314" t="s">
        <v>250</v>
      </c>
      <c r="B3" s="1043">
        <f>+'RFQ Data'!C32</f>
        <v>0</v>
      </c>
      <c r="C3" s="30">
        <f>+'RFQ Data'!D32</f>
        <v>0</v>
      </c>
      <c r="D3" s="30">
        <f>+'RFQ Data'!E32</f>
        <v>0</v>
      </c>
      <c r="E3" s="30">
        <f>+'RFQ Data'!F32</f>
        <v>0</v>
      </c>
      <c r="F3" s="30">
        <f>+'RFQ Data'!G32</f>
        <v>0</v>
      </c>
      <c r="G3" s="261">
        <f>+'RFQ Data'!H32</f>
        <v>0</v>
      </c>
      <c r="H3" s="264">
        <v>0</v>
      </c>
      <c r="M3" s="1216" t="s">
        <v>763</v>
      </c>
      <c r="N3" s="1517">
        <f>+B58</f>
        <v>-3.9968028886505635E-14</v>
      </c>
      <c r="O3" s="1219">
        <v>0.5</v>
      </c>
      <c r="AA3" t="s">
        <v>764</v>
      </c>
      <c r="AB3" s="55">
        <f>+'Material Cost '!$BP$35</f>
        <v>0.45998415245645075</v>
      </c>
      <c r="AC3" s="46"/>
      <c r="AD3" s="55"/>
      <c r="AE3" s="46">
        <f>+AD3/$C$1</f>
        <v>0</v>
      </c>
      <c r="AL3" t="s">
        <v>765</v>
      </c>
      <c r="AN3" s="1">
        <v>0.3</v>
      </c>
    </row>
    <row r="4" spans="1:49" ht="15" thickBot="1">
      <c r="A4" s="314" t="s">
        <v>766</v>
      </c>
      <c r="B4" s="1044">
        <v>1.161258661308427</v>
      </c>
      <c r="C4" s="52">
        <f>B4*(1-C3)</f>
        <v>1.161258661308427</v>
      </c>
      <c r="D4" s="52">
        <f>C4*(1-D3)</f>
        <v>1.161258661308427</v>
      </c>
      <c r="E4" s="52">
        <f t="shared" ref="E4:H4" si="0">D4*(1-E3)</f>
        <v>1.161258661308427</v>
      </c>
      <c r="F4" s="52">
        <f t="shared" si="0"/>
        <v>1.161258661308427</v>
      </c>
      <c r="G4" s="274">
        <f t="shared" si="0"/>
        <v>1.161258661308427</v>
      </c>
      <c r="H4" s="265">
        <f t="shared" si="0"/>
        <v>1.161258661308427</v>
      </c>
      <c r="M4" s="1217"/>
      <c r="N4" s="1220" t="str">
        <f>"K"&amp;QuotingCUR</f>
        <v>KRMB</v>
      </c>
      <c r="O4" s="1715"/>
      <c r="AA4" t="s">
        <v>92</v>
      </c>
      <c r="AB4" s="55"/>
      <c r="AC4" s="46"/>
      <c r="AD4" s="55"/>
      <c r="AE4" s="46"/>
      <c r="AL4" t="s">
        <v>767</v>
      </c>
      <c r="AN4" s="1">
        <f>+'Financials Parameters'!AK19</f>
        <v>0</v>
      </c>
      <c r="AO4" t="s">
        <v>105</v>
      </c>
    </row>
    <row r="5" spans="1:49">
      <c r="A5" s="314" t="s">
        <v>768</v>
      </c>
      <c r="B5" s="1044">
        <f>'Transp-Packaging-AMS'!S4+'Transp-Packaging-AMS'!S6</f>
        <v>0.1086671504160184</v>
      </c>
      <c r="C5" s="52">
        <f>+B5</f>
        <v>0.1086671504160184</v>
      </c>
      <c r="D5" s="52">
        <f t="shared" ref="D5:H6" si="1">+C5</f>
        <v>0.1086671504160184</v>
      </c>
      <c r="E5" s="52">
        <f t="shared" si="1"/>
        <v>0.1086671504160184</v>
      </c>
      <c r="F5" s="52">
        <f t="shared" si="1"/>
        <v>0.1086671504160184</v>
      </c>
      <c r="G5" s="274">
        <f t="shared" si="1"/>
        <v>0.1086671504160184</v>
      </c>
      <c r="H5" s="265">
        <f t="shared" si="1"/>
        <v>0.1086671504160184</v>
      </c>
      <c r="I5" s="318"/>
      <c r="J5" s="55"/>
      <c r="AB5" s="55"/>
      <c r="AC5" s="46"/>
      <c r="AD5" s="55"/>
      <c r="AE5" s="46"/>
      <c r="AN5" s="1"/>
    </row>
    <row r="6" spans="1:49" ht="15" thickBot="1">
      <c r="A6" s="314" t="s">
        <v>769</v>
      </c>
      <c r="B6" s="1044">
        <f>GETPIVOTDATA("Somme de Value (Cur)",Buffersheet!$B$7)</f>
        <v>0.28241902834008092</v>
      </c>
      <c r="C6" s="52">
        <f>+B6</f>
        <v>0.28241902834008092</v>
      </c>
      <c r="D6" s="52">
        <f t="shared" si="1"/>
        <v>0.28241902834008092</v>
      </c>
      <c r="E6" s="52">
        <f t="shared" si="1"/>
        <v>0.28241902834008092</v>
      </c>
      <c r="F6" s="52">
        <f t="shared" si="1"/>
        <v>0.28241902834008092</v>
      </c>
      <c r="G6" s="274">
        <f t="shared" si="1"/>
        <v>0.28241902834008092</v>
      </c>
      <c r="H6" s="312">
        <f t="shared" si="1"/>
        <v>0.28241902834008092</v>
      </c>
      <c r="AB6" s="55"/>
      <c r="AC6" s="46"/>
      <c r="AD6" s="55"/>
      <c r="AE6" s="46"/>
      <c r="AN6" s="1"/>
    </row>
    <row r="7" spans="1:49">
      <c r="A7" s="115" t="s">
        <v>770</v>
      </c>
      <c r="B7" s="1045">
        <f>+B4+B5+B6</f>
        <v>1.5523448400645263</v>
      </c>
      <c r="C7" s="491">
        <f t="shared" ref="C7:H7" si="2">+C4+C5+C6</f>
        <v>1.5523448400645263</v>
      </c>
      <c r="D7" s="491">
        <f t="shared" si="2"/>
        <v>1.5523448400645263</v>
      </c>
      <c r="E7" s="491">
        <f t="shared" si="2"/>
        <v>1.5523448400645263</v>
      </c>
      <c r="F7" s="491">
        <f t="shared" si="2"/>
        <v>1.5523448400645263</v>
      </c>
      <c r="G7" s="492">
        <f t="shared" si="2"/>
        <v>1.5523448400645263</v>
      </c>
      <c r="H7" s="1976">
        <f t="shared" si="2"/>
        <v>1.5523448400645263</v>
      </c>
      <c r="J7" s="62">
        <f t="shared" ref="J7:O7" si="3">+B1</f>
        <v>2024</v>
      </c>
      <c r="K7" s="87">
        <f t="shared" si="3"/>
        <v>2025</v>
      </c>
      <c r="L7" s="87">
        <f t="shared" si="3"/>
        <v>2026</v>
      </c>
      <c r="M7" s="87">
        <f t="shared" si="3"/>
        <v>2027</v>
      </c>
      <c r="N7" s="42">
        <f t="shared" si="3"/>
        <v>2028</v>
      </c>
      <c r="O7" s="2">
        <f t="shared" si="3"/>
        <v>2029</v>
      </c>
      <c r="S7" s="159"/>
      <c r="AA7" t="s">
        <v>771</v>
      </c>
      <c r="AB7" s="55">
        <f>+'Material Cost '!BO35</f>
        <v>0.46497618965645077</v>
      </c>
      <c r="AC7" s="46"/>
      <c r="AD7" s="55"/>
      <c r="AE7" s="46"/>
      <c r="AN7" s="1"/>
    </row>
    <row r="8" spans="1:49" ht="15" thickBot="1">
      <c r="A8" s="1047" t="str">
        <f xml:space="preserve"> "Amortization during "&amp;'RFQ Data'!N35&amp;" years"&amp;" at "&amp;'RFQ Data'!N36*100&amp;"% interest rate"</f>
        <v>Amortization during 3 years at 12% interest rate</v>
      </c>
      <c r="B8" s="1046">
        <f>IF('Capex '!$L$24*B2&lt;'Capex '!$L$23,'Capex '!$L$24,0)</f>
        <v>0</v>
      </c>
      <c r="C8" s="831">
        <f>IF('Capex '!$L$24*SUM($B$2:C2)&lt;='Capex '!$L$23,'Capex '!$L$24,0)</f>
        <v>0</v>
      </c>
      <c r="D8" s="831">
        <f>IF('Capex '!$L$24*SUM($B$2:D2)&lt;='Capex '!$L$23,'Capex '!$L$24,0)</f>
        <v>0</v>
      </c>
      <c r="E8" s="831">
        <f>IF('Capex '!$L$24*SUM($B$2:E2)&lt;='Capex '!$L$23,'Capex '!$L$24,0)</f>
        <v>0</v>
      </c>
      <c r="F8" s="831">
        <f>IF('Capex '!$L$24*SUM($B$2:F2)&lt;='Capex '!$L$23,'Capex '!$L$24,0)</f>
        <v>0</v>
      </c>
      <c r="G8" s="832">
        <f>IF('Capex '!$L$24*SUM($B$2:G2)&lt;='Capex '!$L$23,'Capex '!$L$24,0)</f>
        <v>0</v>
      </c>
      <c r="H8" s="833">
        <v>0</v>
      </c>
      <c r="J8" s="267">
        <f t="shared" ref="J8:O8" si="4">1-C7/B7</f>
        <v>0</v>
      </c>
      <c r="K8" s="268">
        <f t="shared" si="4"/>
        <v>0</v>
      </c>
      <c r="L8" s="268">
        <f t="shared" si="4"/>
        <v>0</v>
      </c>
      <c r="M8" s="268">
        <f t="shared" si="4"/>
        <v>0</v>
      </c>
      <c r="N8" s="269">
        <f t="shared" si="4"/>
        <v>0</v>
      </c>
      <c r="O8" s="266">
        <f t="shared" si="4"/>
        <v>0</v>
      </c>
      <c r="S8" s="159"/>
      <c r="AB8" s="55"/>
      <c r="AC8" s="46"/>
      <c r="AD8" s="55"/>
      <c r="AE8" s="46"/>
      <c r="AN8" s="1"/>
    </row>
    <row r="9" spans="1:49" ht="15" thickBot="1">
      <c r="A9" s="89" t="s">
        <v>772</v>
      </c>
      <c r="B9" s="84">
        <f t="shared" ref="B9:H9" si="5">+B7*B2</f>
        <v>0</v>
      </c>
      <c r="C9" s="85">
        <f>+C7*C2</f>
        <v>931.40690403871577</v>
      </c>
      <c r="D9" s="85">
        <f t="shared" si="5"/>
        <v>931.40690403871577</v>
      </c>
      <c r="E9" s="85">
        <f t="shared" si="5"/>
        <v>931.40690403871577</v>
      </c>
      <c r="F9" s="85">
        <f t="shared" si="5"/>
        <v>931.40690403871577</v>
      </c>
      <c r="G9" s="270">
        <f t="shared" si="5"/>
        <v>931.40690403871577</v>
      </c>
      <c r="H9" s="271">
        <f t="shared" si="5"/>
        <v>0</v>
      </c>
      <c r="I9" s="2"/>
      <c r="S9" s="159"/>
      <c r="AA9" t="s">
        <v>773</v>
      </c>
      <c r="AB9" s="16">
        <f>'Transp-Packaging-AMS'!S4</f>
        <v>2.3490166726756419E-2</v>
      </c>
      <c r="AC9" s="46"/>
      <c r="AD9" s="55"/>
      <c r="AL9" t="s">
        <v>774</v>
      </c>
      <c r="AN9" s="1">
        <v>0.06</v>
      </c>
    </row>
    <row r="10" spans="1:49" ht="15" thickBot="1">
      <c r="AA10" s="442" t="s">
        <v>775</v>
      </c>
      <c r="AB10" s="458">
        <f>+'Product Added value'!$AJ$32</f>
        <v>7.61696314102564E-2</v>
      </c>
      <c r="AC10" s="46"/>
      <c r="AD10" s="55"/>
      <c r="AE10" s="46"/>
      <c r="AL10" t="s">
        <v>776</v>
      </c>
      <c r="AN10" s="1">
        <v>0.7</v>
      </c>
    </row>
    <row r="11" spans="1:49">
      <c r="A11" s="930" t="s">
        <v>777</v>
      </c>
      <c r="B11" s="41">
        <f>+C11*B2</f>
        <v>0</v>
      </c>
      <c r="C11" s="87">
        <f>+'Material Cost '!BP35*C2</f>
        <v>275.99049147387046</v>
      </c>
      <c r="D11" s="87">
        <f>+'Material Cost '!BQ35*D2</f>
        <v>273.0657500431505</v>
      </c>
      <c r="E11" s="87">
        <f>+'Material Cost '!BR35*E2</f>
        <v>270.20945257815333</v>
      </c>
      <c r="F11" s="87">
        <f>+'Material Cost '!BS35*F2</f>
        <v>270.20945257815333</v>
      </c>
      <c r="G11" s="42">
        <f>IF(F11&lt;&gt;0,+F11/F2*G2,0)</f>
        <v>270.20945257815333</v>
      </c>
      <c r="H11" s="198">
        <f>IF(G11&lt;&gt;0,+G11/G2*H2,0)</f>
        <v>0</v>
      </c>
      <c r="AA11" s="445" t="s">
        <v>778</v>
      </c>
      <c r="AB11" s="459">
        <f>+'Product Added value'!$AG$32</f>
        <v>0.10362684537684537</v>
      </c>
      <c r="AC11" s="46"/>
      <c r="AD11" s="55"/>
      <c r="AE11" s="46"/>
      <c r="AF11" s="71"/>
      <c r="AL11" s="77"/>
      <c r="AM11" s="77"/>
      <c r="AN11" s="77"/>
      <c r="AO11" s="77"/>
      <c r="AS11">
        <v>14</v>
      </c>
      <c r="AT11">
        <v>15</v>
      </c>
      <c r="AU11">
        <v>16</v>
      </c>
      <c r="AV11">
        <v>17</v>
      </c>
    </row>
    <row r="12" spans="1:49" ht="15" thickBot="1">
      <c r="A12" s="144" t="s">
        <v>473</v>
      </c>
      <c r="B12" s="196">
        <f>'Transp-Packaging-AMS'!$S$4*B2</f>
        <v>0</v>
      </c>
      <c r="C12" s="192">
        <f>'Transp-Packaging-AMS'!$S$4*C2</f>
        <v>14.094100036053851</v>
      </c>
      <c r="D12" s="192">
        <f>'Transp-Packaging-AMS'!$S$4*D2</f>
        <v>14.094100036053851</v>
      </c>
      <c r="E12" s="192">
        <f>'Transp-Packaging-AMS'!$S$4*E2</f>
        <v>14.094100036053851</v>
      </c>
      <c r="F12" s="192">
        <f>'Transp-Packaging-AMS'!$S$4*F2</f>
        <v>14.094100036053851</v>
      </c>
      <c r="G12" s="193">
        <f>'Transp-Packaging-AMS'!$S$4*G2</f>
        <v>14.094100036053851</v>
      </c>
      <c r="H12" s="199">
        <f>'Transp-Packaging-AMS'!$S$4*H2</f>
        <v>0</v>
      </c>
      <c r="AA12" s="445" t="s">
        <v>779</v>
      </c>
      <c r="AB12" s="459">
        <f>+'Material Cost '!$BN$35</f>
        <v>6.9736395000000008E-3</v>
      </c>
      <c r="AC12" s="46"/>
      <c r="AD12" s="55"/>
      <c r="AE12" s="46"/>
      <c r="AL12" t="s">
        <v>780</v>
      </c>
      <c r="AN12" s="1">
        <v>0.2</v>
      </c>
      <c r="AS12" s="394"/>
      <c r="AT12" s="394"/>
      <c r="AU12" s="394"/>
      <c r="AV12" s="394"/>
    </row>
    <row r="13" spans="1:49" ht="15" thickBot="1">
      <c r="A13" s="979" t="s">
        <v>781</v>
      </c>
      <c r="B13" s="976">
        <f>+B11+B12</f>
        <v>0</v>
      </c>
      <c r="C13" s="203">
        <f>+C11+C12</f>
        <v>290.08459150992434</v>
      </c>
      <c r="D13" s="203">
        <f t="shared" ref="D13:H13" si="6">+D11+D12</f>
        <v>287.15985007920438</v>
      </c>
      <c r="E13" s="203">
        <f t="shared" si="6"/>
        <v>284.30355261420721</v>
      </c>
      <c r="F13" s="203">
        <f>+F11+F12</f>
        <v>284.30355261420721</v>
      </c>
      <c r="G13" s="204">
        <f t="shared" si="6"/>
        <v>284.30355261420721</v>
      </c>
      <c r="H13" s="200">
        <f t="shared" si="6"/>
        <v>0</v>
      </c>
      <c r="AA13" s="445" t="s">
        <v>657</v>
      </c>
      <c r="AB13" s="459">
        <f>+AC13*AB1</f>
        <v>0</v>
      </c>
      <c r="AC13" s="116">
        <f>+'RFQ Data'!AA67</f>
        <v>0</v>
      </c>
      <c r="AD13" s="55"/>
      <c r="AE13" s="46"/>
      <c r="AG13" s="2"/>
      <c r="AL13" t="s">
        <v>782</v>
      </c>
      <c r="AN13" s="1">
        <v>0</v>
      </c>
      <c r="AS13" s="435" t="s">
        <v>783</v>
      </c>
      <c r="AT13" s="436" t="s">
        <v>784</v>
      </c>
      <c r="AU13" s="436" t="s">
        <v>785</v>
      </c>
      <c r="AV13" s="437" t="s">
        <v>786</v>
      </c>
    </row>
    <row r="14" spans="1:49" ht="29.4" thickBot="1">
      <c r="A14" s="980" t="s">
        <v>787</v>
      </c>
      <c r="B14" s="977">
        <f t="shared" ref="B14:H14" si="7">+IF(B9&lt;&gt;0,B11/B9,0)</f>
        <v>0</v>
      </c>
      <c r="C14" s="194">
        <f>+IF(C9&lt;&gt;0,C11/C9,0)</f>
        <v>0.29631570291903092</v>
      </c>
      <c r="D14" s="194">
        <f t="shared" si="7"/>
        <v>0.29317557005332223</v>
      </c>
      <c r="E14" s="194">
        <f t="shared" si="7"/>
        <v>0.29010892168233438</v>
      </c>
      <c r="F14" s="194">
        <f t="shared" si="7"/>
        <v>0.29010892168233438</v>
      </c>
      <c r="G14" s="195">
        <f t="shared" si="7"/>
        <v>0.29010892168233438</v>
      </c>
      <c r="H14" s="201">
        <f t="shared" si="7"/>
        <v>0</v>
      </c>
      <c r="AA14" s="445" t="s">
        <v>788</v>
      </c>
      <c r="AB14" s="459">
        <f>'Transp-Packaging-AMS'!S6</f>
        <v>8.5176983689261979E-2</v>
      </c>
      <c r="AC14" s="46"/>
      <c r="AD14" s="55"/>
      <c r="AE14" s="46"/>
      <c r="AK14" s="442"/>
      <c r="AL14" s="443"/>
      <c r="AM14" s="443"/>
      <c r="AN14" s="457" t="s">
        <v>789</v>
      </c>
      <c r="AO14" s="443" t="s">
        <v>790</v>
      </c>
      <c r="AP14" s="444" t="s">
        <v>778</v>
      </c>
      <c r="AS14" s="429">
        <v>0.28967065868263475</v>
      </c>
      <c r="AT14" s="430">
        <v>0.75314371257485035</v>
      </c>
      <c r="AU14" s="430">
        <v>9.5434131736526942E-2</v>
      </c>
      <c r="AV14" s="431">
        <v>0.24812874251497005</v>
      </c>
      <c r="AW14" t="s">
        <v>563</v>
      </c>
    </row>
    <row r="15" spans="1:49" ht="15" thickBot="1">
      <c r="A15" s="983"/>
      <c r="AA15" s="445" t="s">
        <v>791</v>
      </c>
      <c r="AB15" s="459">
        <f>+AB1-SUM(AB2:AB14)</f>
        <v>-0.25594779516586508</v>
      </c>
      <c r="AC15" s="46"/>
      <c r="AD15" s="55"/>
      <c r="AE15" s="46"/>
      <c r="AI15" s="2"/>
      <c r="AK15" s="445"/>
      <c r="AL15" s="446" t="s">
        <v>792</v>
      </c>
      <c r="AM15" s="446">
        <f>VLOOKUP('RFQ Data'!K13,'H1 2022 - in KEUR'!B4:R14,9,FALSE)*VLOOKUP(AQ15,'Financials Parameters'!$D$29:$E$53,2,FALSE)</f>
        <v>0</v>
      </c>
      <c r="AN15" s="447">
        <f>VLOOKUP('RFQ Data'!K13,'H1 2022 - in KEUR'!B4:R14,15,FALSE)</f>
        <v>1.0449056603773585</v>
      </c>
      <c r="AO15" s="447">
        <f>VLOOKUP('RFQ Data'!K13,'H1 2022 - in KEUR'!B4:R14,17,FALSE)</f>
        <v>0.54207547169811321</v>
      </c>
      <c r="AP15" s="448">
        <v>0.1</v>
      </c>
      <c r="AQ15" t="str">
        <f>"EUR"&amp;QuotingCUR</f>
        <v>EURRMB</v>
      </c>
      <c r="AR15">
        <f>VLOOKUP(AQ15,'Financials Parameters'!$D$29:$E$53,2,FALSE)</f>
        <v>7.7789000000000001</v>
      </c>
      <c r="AS15" s="429">
        <v>0.30197449059000891</v>
      </c>
      <c r="AT15" s="430">
        <v>0.78513367553402325</v>
      </c>
      <c r="AU15" s="430">
        <v>0.28949416717767362</v>
      </c>
      <c r="AV15" s="431">
        <v>0.75268483466195146</v>
      </c>
      <c r="AW15" t="s">
        <v>515</v>
      </c>
    </row>
    <row r="16" spans="1:49">
      <c r="A16" s="981" t="s">
        <v>793</v>
      </c>
      <c r="B16" s="982">
        <f t="shared" ref="B16:H16" si="8">+$AB$10*B2</f>
        <v>0</v>
      </c>
      <c r="C16" s="87">
        <f t="shared" si="8"/>
        <v>45.701778846153843</v>
      </c>
      <c r="D16" s="87">
        <f t="shared" si="8"/>
        <v>45.701778846153843</v>
      </c>
      <c r="E16" s="87">
        <f t="shared" si="8"/>
        <v>45.701778846153843</v>
      </c>
      <c r="F16" s="87">
        <f t="shared" si="8"/>
        <v>45.701778846153843</v>
      </c>
      <c r="G16" s="42">
        <f t="shared" si="8"/>
        <v>45.701778846153843</v>
      </c>
      <c r="H16" s="198">
        <f t="shared" si="8"/>
        <v>0</v>
      </c>
      <c r="AA16" s="445" t="s">
        <v>794</v>
      </c>
      <c r="AB16" s="459">
        <f>+AN19*(AB10+AB11+AB12+AB13+AB14)</f>
        <v>0.26575473754730816</v>
      </c>
      <c r="AC16" s="46"/>
      <c r="AD16" s="55"/>
      <c r="AE16" s="46"/>
      <c r="AK16" s="445"/>
      <c r="AL16" s="446" t="s">
        <v>795</v>
      </c>
      <c r="AM16" s="449">
        <f>VLOOKUP('RFQ Data'!K13,'H1 2022 - in KEUR'!B4:R14,10,FALSE)*AR15</f>
        <v>14083.231715999998</v>
      </c>
      <c r="AN16" s="447">
        <f>VLOOKUP('RFQ Data'!K13,'H1 2022 - in KEUR'!B4:R14,14,FALSE)</f>
        <v>0.40188679245283021</v>
      </c>
      <c r="AO16" s="447">
        <f>VLOOKUP('RFQ Data'!K13,'H1 2022 - in KEUR'!B4:R14,16,FALSE)</f>
        <v>0.20849056603773586</v>
      </c>
      <c r="AP16" s="448">
        <v>0.08</v>
      </c>
      <c r="AS16" s="429">
        <v>0.2956548240707188</v>
      </c>
      <c r="AT16" s="430">
        <v>0.76870254258386894</v>
      </c>
      <c r="AU16" s="430">
        <v>0.10381552934495522</v>
      </c>
      <c r="AV16" s="431">
        <v>0.26992037629688359</v>
      </c>
      <c r="AW16" t="s">
        <v>796</v>
      </c>
    </row>
    <row r="17" spans="1:49" ht="15" thickBot="1">
      <c r="A17" s="932"/>
      <c r="B17" s="984">
        <f t="shared" ref="B17:H17" si="9">+IF(B$9&lt;&gt;0,B16/B$9,0)</f>
        <v>0</v>
      </c>
      <c r="C17" s="207">
        <f t="shared" si="9"/>
        <v>4.9067468415774335E-2</v>
      </c>
      <c r="D17" s="207">
        <f t="shared" si="9"/>
        <v>4.9067468415774335E-2</v>
      </c>
      <c r="E17" s="207">
        <f t="shared" si="9"/>
        <v>4.9067468415774335E-2</v>
      </c>
      <c r="F17" s="207">
        <f t="shared" si="9"/>
        <v>4.9067468415774335E-2</v>
      </c>
      <c r="G17" s="208">
        <f t="shared" si="9"/>
        <v>4.9067468415774335E-2</v>
      </c>
      <c r="H17" s="202">
        <f t="shared" si="9"/>
        <v>0</v>
      </c>
      <c r="AA17" s="453" t="s">
        <v>774</v>
      </c>
      <c r="AB17" s="460">
        <f>+AO19*(AB10+AB11+AB12+AB13+AB14)</f>
        <v>0.13786806807031715</v>
      </c>
      <c r="AC17" s="46"/>
      <c r="AD17" s="55"/>
      <c r="AE17" s="46"/>
      <c r="AF17" t="s">
        <v>92</v>
      </c>
      <c r="AK17" s="445"/>
      <c r="AL17" s="450" t="s">
        <v>797</v>
      </c>
      <c r="AM17" s="446"/>
      <c r="AN17" s="447">
        <v>0.03</v>
      </c>
      <c r="AO17" s="447">
        <v>1.4999999999999999E-2</v>
      </c>
      <c r="AP17" s="448"/>
      <c r="AS17" s="429">
        <v>0.29068363464660685</v>
      </c>
      <c r="AT17" s="430">
        <v>0.7557774500811778</v>
      </c>
      <c r="AU17" s="430">
        <v>0</v>
      </c>
      <c r="AV17" s="431">
        <v>0</v>
      </c>
      <c r="AW17" t="s">
        <v>592</v>
      </c>
    </row>
    <row r="18" spans="1:49">
      <c r="A18" s="981" t="s">
        <v>798</v>
      </c>
      <c r="B18" s="982">
        <f>+'Product Added value'!$AG$32*B2</f>
        <v>0</v>
      </c>
      <c r="C18" s="87">
        <f>+'Product Added value'!$AG$32*C2</f>
        <v>62.17610722610722</v>
      </c>
      <c r="D18" s="87">
        <f>+'Product Added value'!$AG$32*D2</f>
        <v>62.17610722610722</v>
      </c>
      <c r="E18" s="87">
        <f>+'Product Added value'!$AG$32*E2</f>
        <v>62.17610722610722</v>
      </c>
      <c r="F18" s="87">
        <f>+'Product Added value'!$AG$32*F2</f>
        <v>62.17610722610722</v>
      </c>
      <c r="G18" s="42">
        <f>+'Product Added value'!$AG$32*G2</f>
        <v>62.17610722610722</v>
      </c>
      <c r="H18" s="198">
        <f>+'Product Added value'!$AG$32*H2</f>
        <v>0</v>
      </c>
      <c r="AA18" t="s">
        <v>799</v>
      </c>
      <c r="AB18" s="55">
        <f>+AB15-SUM(AB16:AB17)</f>
        <v>-0.65957060078349039</v>
      </c>
      <c r="AC18" s="46"/>
      <c r="AD18" s="55"/>
      <c r="AE18" s="46"/>
      <c r="AK18" s="445"/>
      <c r="AL18" s="446" t="s">
        <v>800</v>
      </c>
      <c r="AM18" s="449">
        <f>S33+AVERAGE('RFQ Data'!C31:H31)*AB1</f>
        <v>1482.2249068250783</v>
      </c>
      <c r="AN18" s="451">
        <f>+AM18*AL28+AM28</f>
        <v>0.97722953313495986</v>
      </c>
      <c r="AO18" s="451">
        <f>+AM18*AL29+AM29</f>
        <v>0.50696649488926315</v>
      </c>
      <c r="AP18" s="452">
        <f>+AM18*AL30+AM30</f>
        <v>9.7895050032953568E-2</v>
      </c>
      <c r="AS18" s="429">
        <v>0.22841591273877804</v>
      </c>
      <c r="AT18" s="430">
        <v>0.5938813731208229</v>
      </c>
      <c r="AU18" s="430">
        <v>0.14179467667150392</v>
      </c>
      <c r="AV18" s="431">
        <v>0.36866615934591018</v>
      </c>
      <c r="AW18" t="s">
        <v>587</v>
      </c>
    </row>
    <row r="19" spans="1:49" ht="15" thickBot="1">
      <c r="A19" s="932"/>
      <c r="B19" s="984">
        <f t="shared" ref="B19:H19" si="10">+IF(B$9&lt;&gt;0,B18/B$9,0)</f>
        <v>0</v>
      </c>
      <c r="C19" s="207">
        <f t="shared" si="10"/>
        <v>6.6755042244697332E-2</v>
      </c>
      <c r="D19" s="207">
        <f t="shared" si="10"/>
        <v>6.6755042244697332E-2</v>
      </c>
      <c r="E19" s="207">
        <f t="shared" si="10"/>
        <v>6.6755042244697332E-2</v>
      </c>
      <c r="F19" s="207">
        <f t="shared" si="10"/>
        <v>6.6755042244697332E-2</v>
      </c>
      <c r="G19" s="208">
        <f t="shared" si="10"/>
        <v>6.6755042244697332E-2</v>
      </c>
      <c r="H19" s="209">
        <f t="shared" si="10"/>
        <v>0</v>
      </c>
      <c r="AA19" t="s">
        <v>801</v>
      </c>
      <c r="AB19" s="55">
        <f>+((AJ27+AJ28)/5/AJ26)/(1-AN12)</f>
        <v>0</v>
      </c>
      <c r="AC19" s="46"/>
      <c r="AD19" s="55"/>
      <c r="AE19" s="46"/>
      <c r="AK19" s="453"/>
      <c r="AL19" s="454"/>
      <c r="AM19" s="454"/>
      <c r="AN19" s="455">
        <f>+IF(AN18&gt;AN15,AN15,IF(AN18&lt;AN16,AN16,AN18))</f>
        <v>0.97722953313495986</v>
      </c>
      <c r="AO19" s="455">
        <f>+IF(AO18&gt;AO15,AO15,IF(AO18&lt;AO16,AO16,AO18))</f>
        <v>0.50696649488926315</v>
      </c>
      <c r="AP19" s="456">
        <f t="shared" ref="AP19" si="11">+IF(AP18&gt;AP15,AP15,IF(AP18&lt;AP16,AP16,AP18))</f>
        <v>9.7895050032953568E-2</v>
      </c>
      <c r="AS19" s="429">
        <v>0.21734689204556829</v>
      </c>
      <c r="AT19" s="430">
        <v>0.56510191931847753</v>
      </c>
      <c r="AU19" s="430">
        <v>0.13737006668295554</v>
      </c>
      <c r="AV19" s="431">
        <v>0.3571621733756844</v>
      </c>
      <c r="AW19" t="s">
        <v>546</v>
      </c>
    </row>
    <row r="20" spans="1:49">
      <c r="A20" s="313" t="s">
        <v>802</v>
      </c>
      <c r="B20" s="41">
        <f>+'Material Cost '!$BN$35*B2</f>
        <v>0</v>
      </c>
      <c r="C20" s="87">
        <f>+'Material Cost '!$BN$35*C2</f>
        <v>4.1841837000000002</v>
      </c>
      <c r="D20" s="87">
        <f>+'Material Cost '!$BN$35*D2</f>
        <v>4.1841837000000002</v>
      </c>
      <c r="E20" s="87">
        <f>+'Material Cost '!$BN$35*E2</f>
        <v>4.1841837000000002</v>
      </c>
      <c r="F20" s="87">
        <f>+'Material Cost '!$BN$35*F2</f>
        <v>4.1841837000000002</v>
      </c>
      <c r="G20" s="42">
        <f>+'Material Cost '!$BN$35*G2</f>
        <v>4.1841837000000002</v>
      </c>
      <c r="H20" s="198">
        <f>+'Material Cost '!$BN$35*H2</f>
        <v>0</v>
      </c>
      <c r="AA20" t="s">
        <v>803</v>
      </c>
      <c r="AB20" s="55">
        <f>+AN4*AB1</f>
        <v>0</v>
      </c>
      <c r="AC20" s="46"/>
      <c r="AD20" s="55"/>
      <c r="AE20" s="46"/>
      <c r="AN20">
        <f>+IF(AN18&lt;AN16,AN16,AN18)</f>
        <v>0.97722953313495986</v>
      </c>
      <c r="AO20">
        <f t="shared" ref="AO20:AP20" si="12">+IF(AO18&lt;AO16,AO16,AO18)</f>
        <v>0.50696649488926315</v>
      </c>
      <c r="AP20">
        <f t="shared" si="12"/>
        <v>9.7895050032953568E-2</v>
      </c>
      <c r="AS20" s="429">
        <v>0.31764705882352939</v>
      </c>
      <c r="AT20" s="430">
        <v>0.8258823529411764</v>
      </c>
      <c r="AU20" s="430">
        <v>0.21725490196078434</v>
      </c>
      <c r="AV20" s="431">
        <v>0.56486274509803935</v>
      </c>
      <c r="AW20" t="s">
        <v>574</v>
      </c>
    </row>
    <row r="21" spans="1:49" ht="15" thickBot="1">
      <c r="A21" s="59" t="s">
        <v>804</v>
      </c>
      <c r="B21" s="36">
        <f>'Transp-Packaging-AMS'!$S$6*B2</f>
        <v>0</v>
      </c>
      <c r="C21" s="37">
        <f>'Transp-Packaging-AMS'!$S$6*C2</f>
        <v>51.106190213557184</v>
      </c>
      <c r="D21" s="37">
        <f>'Transp-Packaging-AMS'!$S$6*D2</f>
        <v>51.106190213557184</v>
      </c>
      <c r="E21" s="37">
        <f>'Transp-Packaging-AMS'!$S$6*E2</f>
        <v>51.106190213557184</v>
      </c>
      <c r="F21" s="37">
        <f>'Transp-Packaging-AMS'!$S$6*F2</f>
        <v>51.106190213557184</v>
      </c>
      <c r="G21" s="32">
        <f>'Transp-Packaging-AMS'!$S$6*G2</f>
        <v>51.106190213557184</v>
      </c>
      <c r="H21" s="189">
        <f>'Transp-Packaging-AMS'!$S$6*H2</f>
        <v>0</v>
      </c>
      <c r="AA21" t="s">
        <v>805</v>
      </c>
      <c r="AB21" s="55">
        <f>+AB18-AB19-AB20</f>
        <v>-0.65957060078349039</v>
      </c>
      <c r="AC21" s="46"/>
      <c r="AD21" s="55"/>
      <c r="AE21" s="46"/>
      <c r="AS21" s="429">
        <v>0.42056893941711032</v>
      </c>
      <c r="AT21" s="430">
        <v>1.0934792424844868</v>
      </c>
      <c r="AU21" s="430">
        <v>0.15592785145127239</v>
      </c>
      <c r="AV21" s="431">
        <v>0.40541241377330822</v>
      </c>
      <c r="AW21" t="s">
        <v>384</v>
      </c>
    </row>
    <row r="22" spans="1:49">
      <c r="A22" s="931" t="s">
        <v>806</v>
      </c>
      <c r="B22" s="19">
        <f>+B20+B21</f>
        <v>0</v>
      </c>
      <c r="C22" s="50">
        <f t="shared" ref="C22:F22" si="13">+C20+C21</f>
        <v>55.290373913557183</v>
      </c>
      <c r="D22" s="50">
        <f t="shared" si="13"/>
        <v>55.290373913557183</v>
      </c>
      <c r="E22" s="50">
        <f t="shared" si="13"/>
        <v>55.290373913557183</v>
      </c>
      <c r="F22" s="50">
        <f t="shared" si="13"/>
        <v>55.290373913557183</v>
      </c>
      <c r="G22" s="88">
        <f>+G20+G21</f>
        <v>55.290373913557183</v>
      </c>
      <c r="H22" s="210">
        <f t="shared" ref="H22" si="14">+H20+H21</f>
        <v>0</v>
      </c>
      <c r="AA22" t="s">
        <v>807</v>
      </c>
      <c r="AB22" s="55">
        <f>+AB21*AN3</f>
        <v>-0.1978711802350471</v>
      </c>
      <c r="AC22" s="46"/>
      <c r="AD22" s="55"/>
      <c r="AE22" s="46"/>
      <c r="AS22" s="429">
        <v>0.18012940374982903</v>
      </c>
      <c r="AT22" s="430">
        <v>0.46833644974955546</v>
      </c>
      <c r="AU22" s="430">
        <v>0.12846771713906593</v>
      </c>
      <c r="AV22" s="431">
        <v>0.33401606456157146</v>
      </c>
      <c r="AW22" t="s">
        <v>808</v>
      </c>
    </row>
    <row r="23" spans="1:49" ht="15" thickBot="1">
      <c r="A23" s="932"/>
      <c r="B23" s="158">
        <f t="shared" ref="B23:H23" si="15">+IF(B$9&lt;&gt;0,B22/B$9,0)</f>
        <v>0</v>
      </c>
      <c r="C23" s="38">
        <f t="shared" si="15"/>
        <v>5.9362211804325354E-2</v>
      </c>
      <c r="D23" s="38">
        <f t="shared" si="15"/>
        <v>5.9362211804325354E-2</v>
      </c>
      <c r="E23" s="38">
        <f t="shared" si="15"/>
        <v>5.9362211804325354E-2</v>
      </c>
      <c r="F23" s="38">
        <f t="shared" si="15"/>
        <v>5.9362211804325354E-2</v>
      </c>
      <c r="G23" s="40">
        <f t="shared" si="15"/>
        <v>5.9362211804325354E-2</v>
      </c>
      <c r="H23" s="202">
        <f t="shared" si="15"/>
        <v>0</v>
      </c>
      <c r="AA23" t="s">
        <v>809</v>
      </c>
      <c r="AB23" s="55">
        <f>+AB21-AB22</f>
        <v>-0.46169942054844326</v>
      </c>
      <c r="AC23" s="46"/>
      <c r="AD23" s="55"/>
      <c r="AE23" s="46"/>
      <c r="AM23" t="str">
        <f>IF(SUM('Product Added value'!N52:N79)&lt;&gt;0,VLOOKUP(1,'Product Added value'!N52:O79,2,FALSE),'Product Added value'!O52)</f>
        <v>Kunshan-ASSY</v>
      </c>
      <c r="AS23" s="432">
        <v>0.35456620133913774</v>
      </c>
      <c r="AT23" s="433">
        <v>0.92187212348175818</v>
      </c>
      <c r="AU23" s="433">
        <v>0.15437933477302068</v>
      </c>
      <c r="AV23" s="434">
        <v>0.40138627040985381</v>
      </c>
      <c r="AW23" t="s">
        <v>497</v>
      </c>
    </row>
    <row r="24" spans="1:49" ht="15" thickBot="1">
      <c r="AA24" t="s">
        <v>810</v>
      </c>
      <c r="AB24" s="55">
        <f>+AB23*AN13</f>
        <v>0</v>
      </c>
      <c r="AC24" s="46"/>
      <c r="AD24" s="55"/>
      <c r="AE24" s="46"/>
    </row>
    <row r="25" spans="1:49">
      <c r="A25" s="979" t="s">
        <v>791</v>
      </c>
      <c r="B25" s="850">
        <f t="shared" ref="B25:G25" si="16">+B9-B11-B16-B18-B22-B12</f>
        <v>0</v>
      </c>
      <c r="C25" s="87">
        <f t="shared" si="16"/>
        <v>478.15405254297326</v>
      </c>
      <c r="D25" s="87">
        <f t="shared" si="16"/>
        <v>481.07879397369317</v>
      </c>
      <c r="E25" s="87">
        <f t="shared" si="16"/>
        <v>483.93509143869034</v>
      </c>
      <c r="F25" s="87">
        <f t="shared" si="16"/>
        <v>483.93509143869034</v>
      </c>
      <c r="G25" s="42">
        <f t="shared" si="16"/>
        <v>483.93509143869034</v>
      </c>
      <c r="H25" s="205">
        <f>+H9-H11-H16-H18-H22</f>
        <v>0</v>
      </c>
      <c r="J25" s="2223" t="s">
        <v>811</v>
      </c>
      <c r="K25" s="2224"/>
      <c r="L25" s="2224"/>
      <c r="M25" s="2224"/>
      <c r="N25" s="2224"/>
      <c r="O25" s="2224"/>
      <c r="P25" s="2224"/>
      <c r="Q25" s="2224"/>
      <c r="R25" s="2224"/>
      <c r="S25" s="2225"/>
      <c r="AA25" t="s">
        <v>812</v>
      </c>
      <c r="AB25" s="55">
        <f>+AB23-AB24</f>
        <v>-0.46169942054844326</v>
      </c>
      <c r="AC25" s="46"/>
      <c r="AD25" s="55"/>
      <c r="AE25" s="46"/>
      <c r="AJ25" s="578"/>
      <c r="AK25" s="1495"/>
      <c r="AL25" s="578" t="s">
        <v>813</v>
      </c>
      <c r="AM25" s="580"/>
      <c r="AN25" s="1495">
        <f>+SUM('RFQ Data'!X32:AC32)</f>
        <v>2</v>
      </c>
    </row>
    <row r="26" spans="1:49" ht="15" thickBot="1">
      <c r="A26" s="980"/>
      <c r="B26" s="974">
        <f t="shared" ref="B26:H26" si="17">+IF(B$9&lt;&gt;0,B25/B$9,0)</f>
        <v>0</v>
      </c>
      <c r="C26" s="38">
        <f t="shared" si="17"/>
        <v>0.51336752011352693</v>
      </c>
      <c r="D26" s="38">
        <f t="shared" si="17"/>
        <v>0.51650765297923562</v>
      </c>
      <c r="E26" s="38">
        <f t="shared" si="17"/>
        <v>0.51957430135022342</v>
      </c>
      <c r="F26" s="38">
        <f t="shared" si="17"/>
        <v>0.51957430135022342</v>
      </c>
      <c r="G26" s="40">
        <f t="shared" si="17"/>
        <v>0.51957430135022342</v>
      </c>
      <c r="H26" s="206">
        <f t="shared" si="17"/>
        <v>0</v>
      </c>
      <c r="J26" s="2226"/>
      <c r="K26" s="2227"/>
      <c r="L26" s="2227"/>
      <c r="M26" s="2227"/>
      <c r="N26" s="2227"/>
      <c r="O26" s="2227"/>
      <c r="P26" s="2227"/>
      <c r="Q26" s="2227"/>
      <c r="R26" s="2227"/>
      <c r="S26" s="2228"/>
      <c r="AC26" s="46"/>
      <c r="AJ26" s="1496">
        <f>+SUM('RFQ Data'!C31:H31)</f>
        <v>3000</v>
      </c>
      <c r="AK26" s="581" t="s">
        <v>814</v>
      </c>
      <c r="AL26" s="1496" t="s">
        <v>815</v>
      </c>
      <c r="AM26" s="1293"/>
      <c r="AN26" s="1497">
        <v>0.5</v>
      </c>
    </row>
    <row r="27" spans="1:49" ht="15" thickBot="1">
      <c r="A27" s="975"/>
      <c r="AA27" t="s">
        <v>277</v>
      </c>
      <c r="AB27" s="55">
        <f>+'Material Cost '!$BJ$35</f>
        <v>5.1509413965416521E-2</v>
      </c>
      <c r="AD27" s="55"/>
      <c r="AI27" s="55"/>
      <c r="AJ27" s="1498">
        <f>+SUM('Product Added value'!CW32:DB32)</f>
        <v>0</v>
      </c>
      <c r="AK27" s="581" t="s">
        <v>816</v>
      </c>
      <c r="AL27" s="1496"/>
      <c r="AM27" s="1293"/>
      <c r="AN27" s="581">
        <f>+SUM('RFQ Data'!$C$32:$H$32)*AN26</f>
        <v>0</v>
      </c>
    </row>
    <row r="28" spans="1:49">
      <c r="A28" s="981" t="s">
        <v>817</v>
      </c>
      <c r="B28" s="850">
        <f t="shared" ref="B28:H28" si="18">IF(M28&lt;M36,M36,M28)</f>
        <v>0</v>
      </c>
      <c r="C28" s="87">
        <f>IF(N28&lt;N36,N36,N28)</f>
        <v>159.45284252838491</v>
      </c>
      <c r="D28" s="87">
        <f t="shared" si="18"/>
        <v>159.45284252838491</v>
      </c>
      <c r="E28" s="87">
        <f t="shared" si="18"/>
        <v>159.45284252838491</v>
      </c>
      <c r="F28" s="87">
        <f t="shared" si="18"/>
        <v>159.45284252838491</v>
      </c>
      <c r="G28" s="42">
        <f t="shared" si="18"/>
        <v>159.45284252838491</v>
      </c>
      <c r="H28" s="198">
        <f t="shared" si="18"/>
        <v>0</v>
      </c>
      <c r="J28" s="2223" t="s">
        <v>818</v>
      </c>
      <c r="K28" s="2224"/>
      <c r="L28" s="2225"/>
      <c r="M28" s="90">
        <f t="shared" ref="M28:S28" si="19">+$AB$16*B2</f>
        <v>0</v>
      </c>
      <c r="N28" s="381">
        <f t="shared" si="19"/>
        <v>159.45284252838491</v>
      </c>
      <c r="O28" s="381">
        <f t="shared" si="19"/>
        <v>159.45284252838491</v>
      </c>
      <c r="P28" s="381">
        <f t="shared" si="19"/>
        <v>159.45284252838491</v>
      </c>
      <c r="Q28" s="381">
        <f t="shared" si="19"/>
        <v>159.45284252838491</v>
      </c>
      <c r="R28" s="382">
        <f t="shared" si="19"/>
        <v>159.45284252838491</v>
      </c>
      <c r="S28" s="383">
        <f t="shared" si="19"/>
        <v>0</v>
      </c>
      <c r="AA28" t="s">
        <v>279</v>
      </c>
      <c r="AB28" s="55">
        <f>+'Material Cost '!$BM$35</f>
        <v>0.15</v>
      </c>
      <c r="AD28" s="55"/>
      <c r="AI28" s="16"/>
      <c r="AJ28" s="1498">
        <f>+SUM('Material Cost '!DX35:EC35)</f>
        <v>0</v>
      </c>
      <c r="AK28" s="581"/>
      <c r="AL28" s="1496" cm="1">
        <f t="array" ref="AL28:AM28">+LINEST(AN15:AN16,AM15:AM16,TRUE)</f>
        <v>-4.565847391362544E-5</v>
      </c>
      <c r="AM28" s="1293">
        <v>1.0449056603773585</v>
      </c>
      <c r="AN28" s="581"/>
    </row>
    <row r="29" spans="1:49" ht="15" thickBot="1">
      <c r="A29" s="932"/>
      <c r="B29" s="974">
        <f t="shared" ref="B29:H29" si="20">+IF(B$9&lt;&gt;0,B28/B$9,0)</f>
        <v>0</v>
      </c>
      <c r="C29" s="38">
        <f t="shared" si="20"/>
        <v>0.1711956845466511</v>
      </c>
      <c r="D29" s="38">
        <f t="shared" si="20"/>
        <v>0.1711956845466511</v>
      </c>
      <c r="E29" s="38">
        <f t="shared" si="20"/>
        <v>0.1711956845466511</v>
      </c>
      <c r="F29" s="38">
        <f t="shared" si="20"/>
        <v>0.1711956845466511</v>
      </c>
      <c r="G29" s="40">
        <f t="shared" si="20"/>
        <v>0.1711956845466511</v>
      </c>
      <c r="H29" s="202">
        <f t="shared" si="20"/>
        <v>0</v>
      </c>
      <c r="J29" s="2233"/>
      <c r="K29" s="2234"/>
      <c r="L29" s="2235"/>
      <c r="M29" s="384">
        <f t="shared" ref="M29:S29" si="21">+IF(B$9&lt;&gt;0,M28/B$9,0)</f>
        <v>0</v>
      </c>
      <c r="N29" s="840">
        <f t="shared" si="21"/>
        <v>0.1711956845466511</v>
      </c>
      <c r="O29" s="840">
        <f t="shared" si="21"/>
        <v>0.1711956845466511</v>
      </c>
      <c r="P29" s="840">
        <f t="shared" si="21"/>
        <v>0.1711956845466511</v>
      </c>
      <c r="Q29" s="840">
        <f t="shared" si="21"/>
        <v>0.1711956845466511</v>
      </c>
      <c r="R29" s="841">
        <f t="shared" si="21"/>
        <v>0.1711956845466511</v>
      </c>
      <c r="S29" s="385">
        <f t="shared" si="21"/>
        <v>0</v>
      </c>
      <c r="AA29" t="s">
        <v>819</v>
      </c>
      <c r="AB29" s="55">
        <f>+'RFQ Data'!$J$65/365*AB3</f>
        <v>8.8216138827264534E-3</v>
      </c>
      <c r="AD29" s="55"/>
      <c r="AI29" s="55"/>
      <c r="AJ29" s="1496"/>
      <c r="AK29" s="581"/>
      <c r="AL29" s="1496" cm="1">
        <f t="array" ref="AL29:AM29">+LINEST(AO15:AO16,AM15:AM16,TRUE)</f>
        <v>-2.3686673086646061E-5</v>
      </c>
      <c r="AM29" s="1293">
        <v>0.54207547169811321</v>
      </c>
      <c r="AN29" s="581"/>
    </row>
    <row r="30" spans="1:49" ht="15" thickBot="1">
      <c r="A30" s="981" t="s">
        <v>820</v>
      </c>
      <c r="B30" s="982">
        <f t="shared" ref="B30:H30" si="22">IF(M30&lt;M39,M39,M30)</f>
        <v>0</v>
      </c>
      <c r="C30" s="87">
        <f t="shared" si="22"/>
        <v>82.720840842190285</v>
      </c>
      <c r="D30" s="87">
        <f t="shared" si="22"/>
        <v>82.720840842190285</v>
      </c>
      <c r="E30" s="87">
        <f t="shared" si="22"/>
        <v>82.720840842190285</v>
      </c>
      <c r="F30" s="87">
        <f t="shared" si="22"/>
        <v>82.720840842190285</v>
      </c>
      <c r="G30" s="42">
        <f t="shared" si="22"/>
        <v>82.720840842190285</v>
      </c>
      <c r="H30" s="198">
        <f t="shared" si="22"/>
        <v>0</v>
      </c>
      <c r="J30" s="2223" t="s">
        <v>821</v>
      </c>
      <c r="K30" s="2224"/>
      <c r="L30" s="2225"/>
      <c r="M30" s="90">
        <f t="shared" ref="M30:S30" si="23">+$AB$17*B2</f>
        <v>0</v>
      </c>
      <c r="N30" s="381">
        <f t="shared" si="23"/>
        <v>82.720840842190285</v>
      </c>
      <c r="O30" s="381">
        <f t="shared" si="23"/>
        <v>82.720840842190285</v>
      </c>
      <c r="P30" s="381">
        <f t="shared" si="23"/>
        <v>82.720840842190285</v>
      </c>
      <c r="Q30" s="381">
        <f t="shared" si="23"/>
        <v>82.720840842190285</v>
      </c>
      <c r="R30" s="382">
        <f t="shared" si="23"/>
        <v>82.720840842190285</v>
      </c>
      <c r="S30" s="383">
        <f t="shared" si="23"/>
        <v>0</v>
      </c>
      <c r="AA30" t="s">
        <v>822</v>
      </c>
      <c r="AB30" s="55">
        <f>+'RFQ Data'!G25/52*AB1</f>
        <v>0.35239512421832647</v>
      </c>
      <c r="AC30" s="77"/>
      <c r="AD30" s="55"/>
      <c r="AJ30" s="583"/>
      <c r="AK30" s="586"/>
      <c r="AL30" s="583" cm="1">
        <f t="array" ref="AL30:AM30">+LINEST(AP15:AP16,AM15:AM16,TRUE)</f>
        <v>-1.4201285900364721E-6</v>
      </c>
      <c r="AM30" s="585">
        <v>0.1</v>
      </c>
      <c r="AN30" s="586"/>
    </row>
    <row r="31" spans="1:49" ht="15" thickBot="1">
      <c r="A31" s="932"/>
      <c r="B31" s="974">
        <f t="shared" ref="B31:H31" si="24">+IF(B$9&lt;&gt;0,B30/B$9,0)</f>
        <v>0</v>
      </c>
      <c r="C31" s="38">
        <f t="shared" si="24"/>
        <v>8.8812784706126496E-2</v>
      </c>
      <c r="D31" s="38">
        <f t="shared" si="24"/>
        <v>8.8812784706126496E-2</v>
      </c>
      <c r="E31" s="38">
        <f t="shared" si="24"/>
        <v>8.8812784706126496E-2</v>
      </c>
      <c r="F31" s="38">
        <f t="shared" si="24"/>
        <v>8.8812784706126496E-2</v>
      </c>
      <c r="G31" s="40">
        <f t="shared" si="24"/>
        <v>8.8812784706126496E-2</v>
      </c>
      <c r="H31" s="202">
        <f t="shared" si="24"/>
        <v>0</v>
      </c>
      <c r="J31" s="2226"/>
      <c r="K31" s="2227"/>
      <c r="L31" s="2228"/>
      <c r="M31" s="386">
        <f t="shared" ref="M31:S31" si="25">+IF(B$9&lt;&gt;0,M30/B$9,0)</f>
        <v>0</v>
      </c>
      <c r="N31" s="842">
        <f t="shared" si="25"/>
        <v>8.8812784706126496E-2</v>
      </c>
      <c r="O31" s="842">
        <f t="shared" si="25"/>
        <v>8.8812784706126496E-2</v>
      </c>
      <c r="P31" s="842">
        <f t="shared" si="25"/>
        <v>8.8812784706126496E-2</v>
      </c>
      <c r="Q31" s="842">
        <f t="shared" si="25"/>
        <v>8.8812784706126496E-2</v>
      </c>
      <c r="R31" s="843">
        <f t="shared" si="25"/>
        <v>8.8812784706126496E-2</v>
      </c>
      <c r="S31" s="389">
        <f t="shared" si="25"/>
        <v>0</v>
      </c>
      <c r="AA31" t="s">
        <v>823</v>
      </c>
      <c r="AB31" s="55">
        <f>-SUM(AB28:AB30)</f>
        <v>-0.51121673810105295</v>
      </c>
      <c r="AC31" s="55"/>
      <c r="AD31" s="55"/>
      <c r="AI31" s="55"/>
    </row>
    <row r="32" spans="1:49" ht="6.6" customHeight="1" thickBot="1">
      <c r="A32" s="983"/>
      <c r="J32" s="69"/>
      <c r="K32" s="69"/>
      <c r="L32" s="69"/>
      <c r="M32" s="69"/>
      <c r="N32" s="69"/>
      <c r="O32" s="69"/>
      <c r="P32" s="69"/>
      <c r="Q32" s="69"/>
      <c r="R32" s="69"/>
      <c r="S32" s="69"/>
      <c r="AB32" s="55"/>
    </row>
    <row r="33" spans="1:35" ht="15" thickBot="1">
      <c r="A33" s="979" t="s">
        <v>824</v>
      </c>
      <c r="B33" s="976">
        <f>+B25-B28-B30</f>
        <v>0</v>
      </c>
      <c r="C33" s="203">
        <f>+C25-C28-C30</f>
        <v>235.98036917239807</v>
      </c>
      <c r="D33" s="203">
        <f t="shared" ref="D33:H33" si="26">+D25-D28-D30</f>
        <v>238.90511060311798</v>
      </c>
      <c r="E33" s="203">
        <f t="shared" si="26"/>
        <v>241.76140806811514</v>
      </c>
      <c r="F33" s="203">
        <f t="shared" si="26"/>
        <v>241.76140806811514</v>
      </c>
      <c r="G33" s="204">
        <f t="shared" si="26"/>
        <v>241.76140806811514</v>
      </c>
      <c r="H33" s="205">
        <f t="shared" si="26"/>
        <v>0</v>
      </c>
      <c r="J33" s="2231" t="s">
        <v>825</v>
      </c>
      <c r="K33" s="2232"/>
      <c r="L33" s="2232"/>
      <c r="M33" s="2232"/>
      <c r="N33" s="2232"/>
      <c r="O33" s="2232"/>
      <c r="P33" s="2232"/>
      <c r="Q33" s="2232"/>
      <c r="R33" s="2232"/>
      <c r="S33" s="441">
        <v>1000</v>
      </c>
      <c r="AA33" t="s">
        <v>826</v>
      </c>
      <c r="AB33" s="9">
        <f>-'RFQ Data'!E16/365*AB1</f>
        <v>-0.23780954309181945</v>
      </c>
      <c r="AC33" s="216"/>
      <c r="AI33" s="2"/>
    </row>
    <row r="34" spans="1:35" ht="15" thickBot="1">
      <c r="A34" s="978"/>
      <c r="B34" s="977">
        <f t="shared" ref="B34:H34" si="27">+IF(B$9&lt;&gt;0,B33/B$9,0)</f>
        <v>0</v>
      </c>
      <c r="C34" s="194">
        <f t="shared" si="27"/>
        <v>0.25335905086074934</v>
      </c>
      <c r="D34" s="194">
        <f t="shared" si="27"/>
        <v>0.25649918372645797</v>
      </c>
      <c r="E34" s="194">
        <f t="shared" si="27"/>
        <v>0.25956583209744583</v>
      </c>
      <c r="F34" s="194">
        <f t="shared" si="27"/>
        <v>0.25956583209744583</v>
      </c>
      <c r="G34" s="195">
        <f t="shared" si="27"/>
        <v>0.25956583209744583</v>
      </c>
      <c r="H34" s="206">
        <f t="shared" si="27"/>
        <v>0</v>
      </c>
      <c r="AB34" s="9"/>
      <c r="AC34" s="55"/>
    </row>
    <row r="35" spans="1:35" ht="6.6" customHeight="1" thickBot="1">
      <c r="AA35" t="s">
        <v>827</v>
      </c>
      <c r="AB35" s="9">
        <f>-AB33-AB31-AB27</f>
        <v>0.69751686722745587</v>
      </c>
      <c r="AC35" s="55"/>
      <c r="AD35" s="9"/>
    </row>
    <row r="36" spans="1:35">
      <c r="A36" s="117" t="s">
        <v>828</v>
      </c>
      <c r="B36" s="62">
        <f>+B67</f>
        <v>17.519263669384085</v>
      </c>
      <c r="C36" s="87">
        <f>+C67</f>
        <v>17.519263669384085</v>
      </c>
      <c r="D36" s="87">
        <f t="shared" ref="D36:H36" si="28">+D67</f>
        <v>17.519263669384085</v>
      </c>
      <c r="E36" s="87">
        <f t="shared" si="28"/>
        <v>17.519263669384085</v>
      </c>
      <c r="F36" s="87">
        <f t="shared" si="28"/>
        <v>17.519263669384085</v>
      </c>
      <c r="G36" s="42">
        <f t="shared" si="28"/>
        <v>0</v>
      </c>
      <c r="H36" s="198">
        <f t="shared" si="28"/>
        <v>0</v>
      </c>
      <c r="J36" s="2223" t="s">
        <v>829</v>
      </c>
      <c r="K36" s="2224"/>
      <c r="L36" s="2225"/>
      <c r="M36" s="78">
        <f t="shared" ref="M36:S36" si="29">B$9*M37</f>
        <v>0</v>
      </c>
      <c r="N36" s="381">
        <f t="shared" si="29"/>
        <v>27.942207121161474</v>
      </c>
      <c r="O36" s="381">
        <f>D$9*O37</f>
        <v>27.942207121161474</v>
      </c>
      <c r="P36" s="381">
        <f t="shared" si="29"/>
        <v>27.942207121161474</v>
      </c>
      <c r="Q36" s="381">
        <f t="shared" si="29"/>
        <v>27.942207121161474</v>
      </c>
      <c r="R36" s="382">
        <f t="shared" si="29"/>
        <v>27.942207121161474</v>
      </c>
      <c r="S36" s="383">
        <f t="shared" si="29"/>
        <v>0</v>
      </c>
      <c r="AA36" t="s">
        <v>830</v>
      </c>
      <c r="AB36" s="55">
        <f>+AB38+AB39</f>
        <v>0</v>
      </c>
      <c r="AD36" s="55"/>
    </row>
    <row r="37" spans="1:35" ht="15" thickBot="1">
      <c r="A37" s="60" t="s">
        <v>831</v>
      </c>
      <c r="B37" s="58">
        <f>-B52</f>
        <v>9.6355950181612471</v>
      </c>
      <c r="C37" s="37">
        <f>-C52</f>
        <v>9.0443198693195352</v>
      </c>
      <c r="D37" s="37">
        <f>-D52</f>
        <v>20.435541056455101</v>
      </c>
      <c r="E37" s="37">
        <f t="shared" ref="E37:H37" si="30">-E52</f>
        <v>6.1310539156993435</v>
      </c>
      <c r="F37" s="37">
        <f t="shared" si="30"/>
        <v>-9.2673216706331498</v>
      </c>
      <c r="G37" s="32">
        <f t="shared" si="30"/>
        <v>-25.64268754445277</v>
      </c>
      <c r="H37" s="189">
        <f t="shared" si="30"/>
        <v>-42.689698639753978</v>
      </c>
      <c r="J37" s="2226"/>
      <c r="K37" s="2227"/>
      <c r="L37" s="2228"/>
      <c r="M37" s="390">
        <f>$AN$17</f>
        <v>0.03</v>
      </c>
      <c r="N37" s="387">
        <f t="shared" ref="N37:S37" si="31">$AN$17</f>
        <v>0.03</v>
      </c>
      <c r="O37" s="387">
        <f t="shared" si="31"/>
        <v>0.03</v>
      </c>
      <c r="P37" s="387">
        <f t="shared" si="31"/>
        <v>0.03</v>
      </c>
      <c r="Q37" s="387">
        <f t="shared" si="31"/>
        <v>0.03</v>
      </c>
      <c r="R37" s="388">
        <f t="shared" si="31"/>
        <v>0.03</v>
      </c>
      <c r="S37" s="389">
        <f t="shared" si="31"/>
        <v>0.03</v>
      </c>
      <c r="AA37" t="s">
        <v>70</v>
      </c>
      <c r="AB37" s="17">
        <f>+AQ1*AB1*AVERAGE('RFQ Data'!C31:H31)/AJ26</f>
        <v>3.2148327121671889E-3</v>
      </c>
      <c r="AD37" s="17"/>
    </row>
    <row r="38" spans="1:35" ht="15" thickBot="1">
      <c r="J38" s="69"/>
      <c r="K38" s="69"/>
      <c r="L38" s="69"/>
      <c r="M38" s="69"/>
      <c r="N38" s="69"/>
      <c r="O38" s="69"/>
      <c r="P38" s="69"/>
      <c r="Q38" s="69"/>
      <c r="R38" s="69"/>
      <c r="S38" s="69"/>
      <c r="AA38" t="s">
        <v>832</v>
      </c>
      <c r="AB38" s="16">
        <f>+AJ27/AJ26/(1-AN12)</f>
        <v>0</v>
      </c>
      <c r="AD38" s="16"/>
    </row>
    <row r="39" spans="1:35">
      <c r="A39" s="2229" t="s">
        <v>833</v>
      </c>
      <c r="B39" s="212">
        <f>+B33-B36-B37</f>
        <v>-27.154858687545332</v>
      </c>
      <c r="C39" s="203">
        <f>+C33-C36-C37</f>
        <v>209.41678563369445</v>
      </c>
      <c r="D39" s="203">
        <f>+D33-D36-D37</f>
        <v>200.95030587727879</v>
      </c>
      <c r="E39" s="203">
        <f>+E33-E36-E37</f>
        <v>218.11109048303172</v>
      </c>
      <c r="F39" s="203">
        <f t="shared" ref="F39:H39" si="32">+F33-F36-F37</f>
        <v>233.50946606936421</v>
      </c>
      <c r="G39" s="204">
        <f>+G33-G36-G37</f>
        <v>267.40409561256791</v>
      </c>
      <c r="H39" s="205">
        <f t="shared" si="32"/>
        <v>42.689698639753978</v>
      </c>
      <c r="J39" s="2223" t="s">
        <v>834</v>
      </c>
      <c r="K39" s="2224"/>
      <c r="L39" s="2225"/>
      <c r="M39" s="78">
        <f t="shared" ref="M39:S39" si="33">B$9*M40</f>
        <v>0</v>
      </c>
      <c r="N39" s="381">
        <f t="shared" si="33"/>
        <v>13.971103560580737</v>
      </c>
      <c r="O39" s="381">
        <f t="shared" si="33"/>
        <v>13.971103560580737</v>
      </c>
      <c r="P39" s="381">
        <f t="shared" si="33"/>
        <v>13.971103560580737</v>
      </c>
      <c r="Q39" s="381">
        <f t="shared" si="33"/>
        <v>13.971103560580737</v>
      </c>
      <c r="R39" s="382">
        <f t="shared" si="33"/>
        <v>13.971103560580737</v>
      </c>
      <c r="S39" s="383">
        <f t="shared" si="33"/>
        <v>0</v>
      </c>
      <c r="AA39" t="s">
        <v>835</v>
      </c>
      <c r="AB39" s="16">
        <f>+(AJ28/AJ26)/(1-AN12)</f>
        <v>0</v>
      </c>
      <c r="AD39" s="16"/>
    </row>
    <row r="40" spans="1:35" ht="15" thickBot="1">
      <c r="A40" s="2230"/>
      <c r="B40" s="197">
        <f t="shared" ref="B40:H40" si="34">+IF(B$9&lt;&gt;0,B39/B$9,0)</f>
        <v>0</v>
      </c>
      <c r="C40" s="194">
        <f t="shared" si="34"/>
        <v>0.22483920263596158</v>
      </c>
      <c r="D40" s="194">
        <f t="shared" si="34"/>
        <v>0.21574921230015479</v>
      </c>
      <c r="E40" s="194">
        <f t="shared" si="34"/>
        <v>0.23417379615425901</v>
      </c>
      <c r="F40" s="194">
        <f t="shared" si="34"/>
        <v>0.25070617906828174</v>
      </c>
      <c r="G40" s="195">
        <f>+IF(G$9&lt;&gt;0,G39/G$9,0)</f>
        <v>0.28709696530384826</v>
      </c>
      <c r="H40" s="206">
        <f t="shared" si="34"/>
        <v>0</v>
      </c>
      <c r="J40" s="2226"/>
      <c r="K40" s="2227"/>
      <c r="L40" s="2228"/>
      <c r="M40" s="2177">
        <f>$AO$17</f>
        <v>1.4999999999999999E-2</v>
      </c>
      <c r="N40" s="842">
        <f t="shared" ref="N40:S40" si="35">$AO$17</f>
        <v>1.4999999999999999E-2</v>
      </c>
      <c r="O40" s="842">
        <f t="shared" si="35"/>
        <v>1.4999999999999999E-2</v>
      </c>
      <c r="P40" s="842">
        <f t="shared" si="35"/>
        <v>1.4999999999999999E-2</v>
      </c>
      <c r="Q40" s="842">
        <f t="shared" si="35"/>
        <v>1.4999999999999999E-2</v>
      </c>
      <c r="R40" s="843">
        <f t="shared" si="35"/>
        <v>1.4999999999999999E-2</v>
      </c>
      <c r="S40" s="2178">
        <f t="shared" si="35"/>
        <v>1.4999999999999999E-2</v>
      </c>
    </row>
    <row r="41" spans="1:35" ht="15" thickBot="1"/>
    <row r="42" spans="1:35" ht="15" thickBot="1">
      <c r="A42" s="45" t="s">
        <v>836</v>
      </c>
      <c r="B42" s="213">
        <f>+VLOOKUP('RFQ Data'!$K$13,'Financials Parameters'!$I$5:$W$16,12,FALSE)*B39</f>
        <v>-6.7887146718863329</v>
      </c>
      <c r="C42" s="82">
        <f>+VLOOKUP('RFQ Data'!$K$13,'Financials Parameters'!$I$5:$W$16,12,FALSE)*C39</f>
        <v>52.354196408423611</v>
      </c>
      <c r="D42" s="82">
        <f>+VLOOKUP('RFQ Data'!$K$13,'Financials Parameters'!$I$5:$W$16,12,FALSE)*D39</f>
        <v>50.237576469319698</v>
      </c>
      <c r="E42" s="82">
        <f>+VLOOKUP('RFQ Data'!$K$13,'Financials Parameters'!$I$5:$W$16,12,FALSE)*E39</f>
        <v>54.527772620757929</v>
      </c>
      <c r="F42" s="82">
        <f>+VLOOKUP('RFQ Data'!$K$13,'Financials Parameters'!$I$5:$W$16,12,FALSE)*F39</f>
        <v>58.377366517341052</v>
      </c>
      <c r="G42" s="83">
        <f>+VLOOKUP('RFQ Data'!$K$13,'Financials Parameters'!$I$5:$W$16,12,FALSE)*G39</f>
        <v>66.851023903141979</v>
      </c>
      <c r="H42" s="177">
        <f>+VLOOKUP('RFQ Data'!$K$13,'Financials Parameters'!$I$5:$W$16,12,FALSE)*H39</f>
        <v>10.672424659938494</v>
      </c>
      <c r="AA42" t="s">
        <v>756</v>
      </c>
      <c r="AB42" s="46">
        <f>+AB25/(AB36+AB35+AB37)</f>
        <v>-0.65888188102268608</v>
      </c>
      <c r="AD42" s="46"/>
    </row>
    <row r="43" spans="1:35" ht="15" thickBot="1"/>
    <row r="44" spans="1:35">
      <c r="A44" s="2229" t="s">
        <v>837</v>
      </c>
      <c r="B44" s="212">
        <f>+B39-B42</f>
        <v>-20.366144015659</v>
      </c>
      <c r="C44" s="203">
        <f>+C39-C42</f>
        <v>157.06258922527084</v>
      </c>
      <c r="D44" s="203">
        <f t="shared" ref="D44:H44" si="36">+D39-D42</f>
        <v>150.7127294079591</v>
      </c>
      <c r="E44" s="203">
        <f t="shared" si="36"/>
        <v>163.58331786227379</v>
      </c>
      <c r="F44" s="203">
        <f t="shared" si="36"/>
        <v>175.13209955202316</v>
      </c>
      <c r="G44" s="204">
        <f t="shared" si="36"/>
        <v>200.55307170942592</v>
      </c>
      <c r="H44" s="205">
        <f t="shared" si="36"/>
        <v>32.017273979815485</v>
      </c>
      <c r="K44" s="2"/>
    </row>
    <row r="45" spans="1:35" ht="14.7" customHeight="1" thickBot="1">
      <c r="A45" s="2230"/>
      <c r="B45" s="197">
        <f t="shared" ref="B45:H45" si="37">+IF(B$9&lt;&gt;0,B44/B$9,0)</f>
        <v>0</v>
      </c>
      <c r="C45" s="194">
        <f t="shared" si="37"/>
        <v>0.16862940197697121</v>
      </c>
      <c r="D45" s="194">
        <f t="shared" si="37"/>
        <v>0.1618119092251161</v>
      </c>
      <c r="E45" s="194">
        <f t="shared" si="37"/>
        <v>0.17563034711569425</v>
      </c>
      <c r="F45" s="194">
        <f t="shared" si="37"/>
        <v>0.18802963430121133</v>
      </c>
      <c r="G45" s="195">
        <f t="shared" si="37"/>
        <v>0.21532272397788618</v>
      </c>
      <c r="H45" s="206">
        <f t="shared" si="37"/>
        <v>0</v>
      </c>
      <c r="K45" s="2"/>
    </row>
    <row r="46" spans="1:35" ht="15" thickBot="1"/>
    <row r="47" spans="1:35" ht="15" thickBot="1">
      <c r="B47" s="44">
        <f t="shared" ref="B47:H47" si="38">+B1</f>
        <v>2024</v>
      </c>
      <c r="C47" s="73">
        <f t="shared" si="38"/>
        <v>2025</v>
      </c>
      <c r="D47" s="73">
        <f t="shared" si="38"/>
        <v>2026</v>
      </c>
      <c r="E47" s="73">
        <f t="shared" si="38"/>
        <v>2027</v>
      </c>
      <c r="F47" s="73">
        <f t="shared" si="38"/>
        <v>2028</v>
      </c>
      <c r="G47" s="73">
        <f t="shared" si="38"/>
        <v>2029</v>
      </c>
      <c r="H47" s="18">
        <f t="shared" si="38"/>
        <v>2030</v>
      </c>
    </row>
    <row r="48" spans="1:35">
      <c r="A48" s="117" t="s">
        <v>824</v>
      </c>
      <c r="B48" s="63">
        <f t="shared" ref="B48:H48" si="39">+B33</f>
        <v>0</v>
      </c>
      <c r="C48" s="50">
        <f>+C33</f>
        <v>235.98036917239807</v>
      </c>
      <c r="D48" s="50">
        <f t="shared" si="39"/>
        <v>238.90511060311798</v>
      </c>
      <c r="E48" s="50">
        <f t="shared" si="39"/>
        <v>241.76140806811514</v>
      </c>
      <c r="F48" s="50">
        <f t="shared" si="39"/>
        <v>241.76140806811514</v>
      </c>
      <c r="G48" s="50">
        <f t="shared" si="39"/>
        <v>241.76140806811514</v>
      </c>
      <c r="H48" s="88">
        <f t="shared" si="39"/>
        <v>0</v>
      </c>
    </row>
    <row r="49" spans="1:10">
      <c r="A49" s="188" t="s">
        <v>838</v>
      </c>
      <c r="B49" s="57">
        <f>-B42</f>
        <v>6.7887146718863329</v>
      </c>
      <c r="C49" s="26">
        <f>-C42</f>
        <v>-52.354196408423611</v>
      </c>
      <c r="D49" s="26">
        <f t="shared" ref="D49:H49" si="40">-D42</f>
        <v>-50.237576469319698</v>
      </c>
      <c r="E49" s="26">
        <f>-E42</f>
        <v>-54.527772620757929</v>
      </c>
      <c r="F49" s="26">
        <f t="shared" si="40"/>
        <v>-58.377366517341052</v>
      </c>
      <c r="G49" s="26">
        <f t="shared" si="40"/>
        <v>-66.851023903141979</v>
      </c>
      <c r="H49" s="29">
        <f t="shared" si="40"/>
        <v>-10.672424659938494</v>
      </c>
    </row>
    <row r="50" spans="1:10">
      <c r="A50" s="188" t="s">
        <v>830</v>
      </c>
      <c r="B50" s="57">
        <f>-B61</f>
        <v>-87.596318346920427</v>
      </c>
      <c r="C50" s="26">
        <f>-C61</f>
        <v>0</v>
      </c>
      <c r="D50" s="26">
        <f t="shared" ref="D50:G50" si="41">-D61</f>
        <v>0</v>
      </c>
      <c r="E50" s="26">
        <f>-E61</f>
        <v>0</v>
      </c>
      <c r="F50" s="26">
        <f t="shared" si="41"/>
        <v>0</v>
      </c>
      <c r="G50" s="26">
        <f t="shared" si="41"/>
        <v>0</v>
      </c>
      <c r="H50" s="29">
        <f>-H61</f>
        <v>0</v>
      </c>
    </row>
    <row r="51" spans="1:10">
      <c r="A51" s="188" t="s">
        <v>839</v>
      </c>
      <c r="B51" s="57">
        <f>+B76</f>
        <v>0</v>
      </c>
      <c r="C51" s="26">
        <f t="shared" ref="C51:H51" si="42">+C76</f>
        <v>-288.49406476601058</v>
      </c>
      <c r="D51" s="26">
        <f t="shared" si="42"/>
        <v>5.6090931548055778E-2</v>
      </c>
      <c r="E51" s="26">
        <f>+E76</f>
        <v>5.4778307547906024E-2</v>
      </c>
      <c r="F51" s="26">
        <f t="shared" si="42"/>
        <v>0</v>
      </c>
      <c r="G51" s="26">
        <f t="shared" si="42"/>
        <v>0</v>
      </c>
      <c r="H51" s="29">
        <f t="shared" si="42"/>
        <v>0</v>
      </c>
    </row>
    <row r="52" spans="1:10">
      <c r="A52" s="188" t="s">
        <v>831</v>
      </c>
      <c r="B52" s="57">
        <f>+IF((B48+B50+B51)*1.1*0.1&lt;0,(B48+B50+B51)*1.1*0.1,0)</f>
        <v>-9.6355950181612471</v>
      </c>
      <c r="C52" s="26">
        <f>10%*B55</f>
        <v>-9.0443198693195352</v>
      </c>
      <c r="D52" s="26">
        <f>10%*C55</f>
        <v>-20.435541056455101</v>
      </c>
      <c r="E52" s="26">
        <f>10%*D55</f>
        <v>-6.1310539156993435</v>
      </c>
      <c r="F52" s="26">
        <f t="shared" ref="F52" si="43">10%*E55</f>
        <v>9.2673216706331498</v>
      </c>
      <c r="G52" s="26">
        <f>10%*F55</f>
        <v>25.64268754445277</v>
      </c>
      <c r="H52" s="29">
        <f>10%*G55</f>
        <v>42.689698639753978</v>
      </c>
    </row>
    <row r="53" spans="1:10" ht="15" thickBot="1">
      <c r="A53" s="144" t="s">
        <v>840</v>
      </c>
      <c r="B53" s="80">
        <f>+IF(SUM(B48:B52)&gt;0,VLOOKUP('RFQ Data'!$K$13,'Financials Parameters'!$I$5:$U$16,13,FALSE)*SUM(B48:B52),0)</f>
        <v>0</v>
      </c>
      <c r="C53" s="81">
        <f>+IF(SUM(C48:C52)&gt;0,VLOOKUP('RFQ Data'!$K$13,'Financials Parameters'!$I$5:$U$16,13,FALSE)*SUM(C48:C52),0)</f>
        <v>0</v>
      </c>
      <c r="D53" s="81">
        <f>-IF(SUM(D48:D52)&gt;0,VLOOKUP('RFQ Data'!$K$13,'Financials Parameters'!$I$5:$U$16,13,FALSE)*SUM(D48:D52),0)</f>
        <v>-25.243212601333685</v>
      </c>
      <c r="E53" s="81">
        <f>-IF(SUM(E48:E52)&gt;0,VLOOKUP('RFQ Data'!$K$13,'Financials Parameters'!$I$5:$U$16,13,FALSE)*SUM(E48:E52),0)</f>
        <v>-27.173603975880866</v>
      </c>
      <c r="F53" s="81">
        <f>-IF(SUM(F48:F52)&gt;0,VLOOKUP('RFQ Data'!$K$13,'Financials Parameters'!$I$5:$U$16,13,FALSE)*SUM(F48:F52),0)</f>
        <v>-28.897704483211086</v>
      </c>
      <c r="G53" s="81">
        <f>-IF(SUM(G48:G52)&gt;0,VLOOKUP('RFQ Data'!$K$13,'Financials Parameters'!$I$5:$U$16,13,FALSE)*SUM(G48:G52),0)</f>
        <v>-30.082960756413886</v>
      </c>
      <c r="H53" s="106">
        <f>-IF(SUM(H48:H52)&gt;0,VLOOKUP('RFQ Data'!$K$13,'Financials Parameters'!$I$5:$U$16,13,FALSE)*SUM(H48:H52),0)</f>
        <v>-4.8025910969723222</v>
      </c>
    </row>
    <row r="54" spans="1:10">
      <c r="A54" s="214" t="s">
        <v>841</v>
      </c>
      <c r="B54" s="212">
        <f>+SUM(B48:B53)</f>
        <v>-90.443198693195342</v>
      </c>
      <c r="C54" s="203">
        <f t="shared" ref="C54:F54" si="44">+SUM(C48:C53)</f>
        <v>-113.91221187135565</v>
      </c>
      <c r="D54" s="203">
        <f>+SUM(D48:D53)</f>
        <v>143.04487140755757</v>
      </c>
      <c r="E54" s="203">
        <f>+SUM(E48:E53)</f>
        <v>153.98375586332492</v>
      </c>
      <c r="F54" s="203">
        <f t="shared" si="44"/>
        <v>163.75365873819618</v>
      </c>
      <c r="G54" s="203">
        <f>+SUM(G48:G53)</f>
        <v>170.47011095301204</v>
      </c>
      <c r="H54" s="204">
        <f>+SUM(H48:H53)</f>
        <v>27.214682882843164</v>
      </c>
    </row>
    <row r="55" spans="1:10" ht="15" thickBot="1">
      <c r="A55" s="190" t="s">
        <v>842</v>
      </c>
      <c r="B55" s="191">
        <f>+B54</f>
        <v>-90.443198693195342</v>
      </c>
      <c r="C55" s="182">
        <f t="shared" ref="C55:H55" si="45">+B55+C54</f>
        <v>-204.35541056455099</v>
      </c>
      <c r="D55" s="182">
        <f>+C55+D54</f>
        <v>-61.310539156993428</v>
      </c>
      <c r="E55" s="182">
        <f t="shared" si="45"/>
        <v>92.673216706331488</v>
      </c>
      <c r="F55" s="182">
        <f t="shared" si="45"/>
        <v>256.4268754445277</v>
      </c>
      <c r="G55" s="182">
        <f t="shared" si="45"/>
        <v>426.89698639753976</v>
      </c>
      <c r="H55" s="183">
        <f t="shared" si="45"/>
        <v>454.1116692803829</v>
      </c>
      <c r="I55" s="2"/>
    </row>
    <row r="56" spans="1:10">
      <c r="A56" s="3" t="s">
        <v>164</v>
      </c>
      <c r="B56" s="1214">
        <f>+B7</f>
        <v>1.5523448400645263</v>
      </c>
      <c r="C56" s="108" t="str">
        <f>QuotingCUR</f>
        <v>RMB</v>
      </c>
      <c r="D56" s="108"/>
      <c r="E56" s="108"/>
      <c r="F56" s="108"/>
      <c r="G56" s="108"/>
      <c r="H56" s="146"/>
      <c r="I56" s="46"/>
    </row>
    <row r="57" spans="1:10">
      <c r="A57" s="6" t="s">
        <v>756</v>
      </c>
      <c r="B57" s="487">
        <f>+IRR(B54:H54)</f>
        <v>0.49999999999994471</v>
      </c>
      <c r="C57" s="2"/>
      <c r="D57" s="2"/>
      <c r="E57" s="2"/>
      <c r="F57" s="2"/>
      <c r="G57" s="2"/>
      <c r="H57" s="249"/>
    </row>
    <row r="58" spans="1:10" ht="15" thickBot="1">
      <c r="A58" s="10" t="s">
        <v>843</v>
      </c>
      <c r="B58" s="1213">
        <f>+NPV(O3,B54:H54)</f>
        <v>-3.9968028886505635E-14</v>
      </c>
      <c r="C58" s="250" t="str">
        <f>"K"&amp;QuotingCUR</f>
        <v>KRMB</v>
      </c>
      <c r="D58" s="250"/>
      <c r="E58" s="250"/>
      <c r="F58" s="250"/>
      <c r="G58" s="250"/>
      <c r="H58" s="251"/>
    </row>
    <row r="59" spans="1:10" ht="15" thickBot="1">
      <c r="B59" s="2"/>
      <c r="C59" s="2"/>
      <c r="D59" s="2"/>
      <c r="E59" s="2"/>
      <c r="F59" s="2"/>
      <c r="G59" s="2"/>
      <c r="H59" s="2"/>
    </row>
    <row r="60" spans="1:10" ht="15" thickBot="1">
      <c r="B60" s="44">
        <f t="shared" ref="B60:H60" si="46">+B1</f>
        <v>2024</v>
      </c>
      <c r="C60" s="73">
        <f t="shared" si="46"/>
        <v>2025</v>
      </c>
      <c r="D60" s="73">
        <f t="shared" si="46"/>
        <v>2026</v>
      </c>
      <c r="E60" s="73">
        <f t="shared" si="46"/>
        <v>2027</v>
      </c>
      <c r="F60" s="73">
        <f t="shared" si="46"/>
        <v>2028</v>
      </c>
      <c r="G60" s="73">
        <f t="shared" si="46"/>
        <v>2029</v>
      </c>
      <c r="H60" s="18">
        <f t="shared" si="46"/>
        <v>2030</v>
      </c>
    </row>
    <row r="61" spans="1:10" ht="15" thickBot="1">
      <c r="A61" s="248" t="s">
        <v>844</v>
      </c>
      <c r="B61" s="165">
        <f>+'Capex '!C11</f>
        <v>87.596318346920427</v>
      </c>
      <c r="C61" s="165">
        <f>+'Capex '!D11</f>
        <v>0</v>
      </c>
      <c r="D61" s="165">
        <f>+'Capex '!E11</f>
        <v>0</v>
      </c>
      <c r="E61" s="165">
        <f>+'Capex '!F11</f>
        <v>0</v>
      </c>
      <c r="F61" s="165">
        <f>+'Capex '!G11</f>
        <v>0</v>
      </c>
      <c r="G61" s="165">
        <f>+'Capex '!H11</f>
        <v>0</v>
      </c>
      <c r="H61" s="165">
        <f>+'Capex '!I11</f>
        <v>0</v>
      </c>
      <c r="J61" t="s">
        <v>845</v>
      </c>
    </row>
    <row r="62" spans="1:10">
      <c r="A62" s="41" t="s">
        <v>846</v>
      </c>
      <c r="B62" s="275">
        <f>+B$61/5</f>
        <v>17.519263669384085</v>
      </c>
      <c r="C62" s="275">
        <f>+B62</f>
        <v>17.519263669384085</v>
      </c>
      <c r="D62" s="275">
        <f t="shared" ref="D62:H65" si="47">+C62</f>
        <v>17.519263669384085</v>
      </c>
      <c r="E62" s="275">
        <f t="shared" si="47"/>
        <v>17.519263669384085</v>
      </c>
      <c r="F62" s="275">
        <f t="shared" si="47"/>
        <v>17.519263669384085</v>
      </c>
      <c r="G62" s="275"/>
      <c r="H62" s="438"/>
    </row>
    <row r="63" spans="1:10">
      <c r="A63" s="25" t="s">
        <v>847</v>
      </c>
      <c r="B63" s="260"/>
      <c r="C63" s="260">
        <f>+C$61/5</f>
        <v>0</v>
      </c>
      <c r="D63" s="260">
        <f>+C63</f>
        <v>0</v>
      </c>
      <c r="E63" s="260">
        <f t="shared" si="47"/>
        <v>0</v>
      </c>
      <c r="F63" s="260">
        <f t="shared" si="47"/>
        <v>0</v>
      </c>
      <c r="G63" s="260">
        <f t="shared" si="47"/>
        <v>0</v>
      </c>
      <c r="H63" s="439"/>
    </row>
    <row r="64" spans="1:10">
      <c r="A64" s="25" t="s">
        <v>848</v>
      </c>
      <c r="B64" s="260"/>
      <c r="C64" s="260"/>
      <c r="D64" s="260">
        <f>+D$61/5</f>
        <v>0</v>
      </c>
      <c r="E64" s="260">
        <f>+D64</f>
        <v>0</v>
      </c>
      <c r="F64" s="260">
        <f t="shared" si="47"/>
        <v>0</v>
      </c>
      <c r="G64" s="260">
        <f t="shared" si="47"/>
        <v>0</v>
      </c>
      <c r="H64" s="439">
        <f t="shared" si="47"/>
        <v>0</v>
      </c>
    </row>
    <row r="65" spans="1:12">
      <c r="A65" s="25" t="s">
        <v>849</v>
      </c>
      <c r="B65" s="260"/>
      <c r="C65" s="260"/>
      <c r="D65" s="260"/>
      <c r="E65" s="260">
        <f>+E$61/5</f>
        <v>0</v>
      </c>
      <c r="F65" s="260">
        <f>+E65</f>
        <v>0</v>
      </c>
      <c r="G65" s="260">
        <f t="shared" si="47"/>
        <v>0</v>
      </c>
      <c r="H65" s="439">
        <f t="shared" si="47"/>
        <v>0</v>
      </c>
    </row>
    <row r="66" spans="1:12" ht="15" thickBot="1">
      <c r="A66" s="36" t="s">
        <v>850</v>
      </c>
      <c r="B66" s="273"/>
      <c r="C66" s="273"/>
      <c r="D66" s="273"/>
      <c r="E66" s="273"/>
      <c r="F66" s="273">
        <f>+F$61/5</f>
        <v>0</v>
      </c>
      <c r="G66" s="273">
        <f>+F66</f>
        <v>0</v>
      </c>
      <c r="H66" s="440">
        <f>+G66</f>
        <v>0</v>
      </c>
    </row>
    <row r="67" spans="1:12" ht="15" thickBot="1">
      <c r="A67" s="248" t="s">
        <v>828</v>
      </c>
      <c r="B67" s="85">
        <f t="shared" ref="B67:H67" si="48">+SUM(B62:B66)</f>
        <v>17.519263669384085</v>
      </c>
      <c r="C67" s="85">
        <f t="shared" si="48"/>
        <v>17.519263669384085</v>
      </c>
      <c r="D67" s="85">
        <f t="shared" si="48"/>
        <v>17.519263669384085</v>
      </c>
      <c r="E67" s="85">
        <f t="shared" si="48"/>
        <v>17.519263669384085</v>
      </c>
      <c r="F67" s="85">
        <f t="shared" si="48"/>
        <v>17.519263669384085</v>
      </c>
      <c r="G67" s="85">
        <f t="shared" si="48"/>
        <v>0</v>
      </c>
      <c r="H67" s="86">
        <f t="shared" si="48"/>
        <v>0</v>
      </c>
      <c r="K67" t="s">
        <v>92</v>
      </c>
    </row>
    <row r="68" spans="1:12" ht="15" thickBot="1"/>
    <row r="69" spans="1:12" ht="15" thickBot="1">
      <c r="A69" s="3"/>
      <c r="B69" s="252">
        <f>+B60</f>
        <v>2024</v>
      </c>
      <c r="C69" s="74">
        <f t="shared" ref="C69:H69" si="49">+C60</f>
        <v>2025</v>
      </c>
      <c r="D69" s="74">
        <f t="shared" si="49"/>
        <v>2026</v>
      </c>
      <c r="E69" s="74">
        <f t="shared" si="49"/>
        <v>2027</v>
      </c>
      <c r="F69" s="74">
        <f t="shared" si="49"/>
        <v>2028</v>
      </c>
      <c r="G69" s="74">
        <f t="shared" si="49"/>
        <v>2029</v>
      </c>
      <c r="H69" s="75">
        <f t="shared" si="49"/>
        <v>2030</v>
      </c>
    </row>
    <row r="70" spans="1:12">
      <c r="A70" s="117" t="s">
        <v>277</v>
      </c>
      <c r="B70" s="62">
        <f>+'Material Cost '!$BJ$35*B2</f>
        <v>0</v>
      </c>
      <c r="C70" s="87">
        <f>+'Material Cost '!$BJ$35*C2</f>
        <v>30.905648379249914</v>
      </c>
      <c r="D70" s="87">
        <f>+'Material Cost '!$BJ$35*D2</f>
        <v>30.905648379249914</v>
      </c>
      <c r="E70" s="87">
        <f>+'Material Cost '!$BJ$35*E2</f>
        <v>30.905648379249914</v>
      </c>
      <c r="F70" s="87">
        <f>+'Material Cost '!$BJ$35*F2</f>
        <v>30.905648379249914</v>
      </c>
      <c r="G70" s="87">
        <f>+'Material Cost '!$BJ$35*G2</f>
        <v>30.905648379249914</v>
      </c>
      <c r="H70" s="42">
        <f>+'Material Cost '!$BJ$35*H2</f>
        <v>0</v>
      </c>
    </row>
    <row r="71" spans="1:12">
      <c r="A71" s="188" t="s">
        <v>826</v>
      </c>
      <c r="B71" s="57">
        <f>-'RFQ Data'!$E$16*B9/365-IF('RFQ Data'!$D$17="DAP",'RFQ Data'!$F$18*B9/48,0)</f>
        <v>0</v>
      </c>
      <c r="C71" s="26">
        <f>-'RFQ Data'!$E$16*C9/365-IF('RFQ Data'!$D$17="DAP",'RFQ Data'!$F$18*C9/48,0)</f>
        <v>-249.06628683912007</v>
      </c>
      <c r="D71" s="26">
        <f>-'RFQ Data'!$E$16*D9/365-IF('RFQ Data'!$D$17="DAP",'RFQ Data'!$F$18*D9/48,0)</f>
        <v>-249.06628683912007</v>
      </c>
      <c r="E71" s="26">
        <f>-'RFQ Data'!$E$16*E9/365-IF('RFQ Data'!$D$17="DAP",'RFQ Data'!$F$18*E9/48,0)</f>
        <v>-249.06628683912007</v>
      </c>
      <c r="F71" s="26">
        <f>-'RFQ Data'!$E$16*F9/365-IF('RFQ Data'!$D$17="DAP",'RFQ Data'!$F$18*F9/48,0)</f>
        <v>-249.06628683912007</v>
      </c>
      <c r="G71" s="26">
        <f>-'RFQ Data'!$E$16*G9/365-IF('RFQ Data'!$D$17="DAP",'RFQ Data'!$F$18*G9/48,0)</f>
        <v>-249.06628683912007</v>
      </c>
      <c r="H71" s="29">
        <f>-'RFQ Data'!$E$16*H9/365-IF('RFQ Data'!$D$17="DAP",'RFQ Data'!$F$18*H9/48,0)</f>
        <v>0</v>
      </c>
    </row>
    <row r="72" spans="1:12">
      <c r="A72" s="188" t="s">
        <v>822</v>
      </c>
      <c r="B72" s="25">
        <f>-'RFQ Data'!$G$25/365*B9</f>
        <v>0</v>
      </c>
      <c r="C72" s="26">
        <f>-'RFQ Data'!$G$25/365*C9</f>
        <v>-48.484195004755065</v>
      </c>
      <c r="D72" s="26">
        <f>-'RFQ Data'!$G$25/365*D9</f>
        <v>-48.484195004755065</v>
      </c>
      <c r="E72" s="26">
        <f>-'RFQ Data'!$G$25/365*E9</f>
        <v>-48.484195004755065</v>
      </c>
      <c r="F72" s="26">
        <f>-'RFQ Data'!$G$25/365*F9</f>
        <v>-48.484195004755065</v>
      </c>
      <c r="G72" s="26">
        <f>-'RFQ Data'!$G$25/365*G9</f>
        <v>-48.484195004755065</v>
      </c>
      <c r="H72" s="28">
        <f>-'RFQ Data'!$G$25/365*H9</f>
        <v>0</v>
      </c>
    </row>
    <row r="73" spans="1:12">
      <c r="A73" s="188" t="s">
        <v>819</v>
      </c>
      <c r="B73" s="25">
        <f>-'RFQ Data'!$J$65/365*B13</f>
        <v>0</v>
      </c>
      <c r="C73" s="26">
        <f>-'RFQ Data'!$J$65/365*C13</f>
        <v>-5.5632661385464948</v>
      </c>
      <c r="D73" s="26">
        <f>-'RFQ Data'!$J$65/365*D13</f>
        <v>-5.5071752069984408</v>
      </c>
      <c r="E73" s="26">
        <f>-'RFQ Data'!$J$65/365*E13</f>
        <v>-5.4523968994505498</v>
      </c>
      <c r="F73" s="26">
        <f>-'RFQ Data'!$J$65/365*F13</f>
        <v>-5.4523968994505498</v>
      </c>
      <c r="G73" s="26">
        <f>-'RFQ Data'!$J$65/365*G13</f>
        <v>-5.4523968994505498</v>
      </c>
      <c r="H73" s="28">
        <f>-'RFQ Data'!$J$65/365*H13</f>
        <v>0</v>
      </c>
    </row>
    <row r="74" spans="1:12" ht="15" thickBot="1">
      <c r="A74" s="188" t="s">
        <v>851</v>
      </c>
      <c r="B74" s="25">
        <f>-'Material Cost '!$BL$35*B11</f>
        <v>0</v>
      </c>
      <c r="C74" s="26">
        <f>-'Material Cost '!$BL$35*C2</f>
        <v>-16.285965162838885</v>
      </c>
      <c r="D74" s="26">
        <f>-'Material Cost '!$BL$35*D2</f>
        <v>-16.285965162838885</v>
      </c>
      <c r="E74" s="26">
        <f>-'Material Cost '!$BL$35*E2</f>
        <v>-16.285965162838885</v>
      </c>
      <c r="F74" s="26">
        <f>-'Material Cost '!$BL$35*F2</f>
        <v>-16.285965162838885</v>
      </c>
      <c r="G74" s="26">
        <f>-'Material Cost '!$BL$35*G2</f>
        <v>-16.285965162838885</v>
      </c>
      <c r="H74" s="26">
        <f>-'Material Cost '!$BL$35*H2</f>
        <v>0</v>
      </c>
    </row>
    <row r="75" spans="1:12">
      <c r="A75" s="188" t="s">
        <v>827</v>
      </c>
      <c r="B75" s="57">
        <f>+SUM(B70:B74)</f>
        <v>0</v>
      </c>
      <c r="C75" s="26">
        <f t="shared" ref="C75:F75" si="50">+SUM(C70:C74)</f>
        <v>-288.49406476601058</v>
      </c>
      <c r="D75" s="26">
        <f t="shared" si="50"/>
        <v>-288.43797383446253</v>
      </c>
      <c r="E75" s="26">
        <f t="shared" si="50"/>
        <v>-288.38319552691462</v>
      </c>
      <c r="F75" s="26">
        <f t="shared" si="50"/>
        <v>-288.38319552691462</v>
      </c>
      <c r="G75" s="26">
        <f>+SUM(G70:G74)</f>
        <v>-288.38319552691462</v>
      </c>
      <c r="H75" s="29">
        <f t="shared" ref="H75" si="51">+SUM(H70:H74)</f>
        <v>0</v>
      </c>
      <c r="J75" s="461" t="s">
        <v>852</v>
      </c>
      <c r="K75" s="462"/>
      <c r="L75" s="463"/>
    </row>
    <row r="76" spans="1:12" ht="15" thickBot="1">
      <c r="A76" s="144" t="s">
        <v>839</v>
      </c>
      <c r="B76" s="107">
        <v>0</v>
      </c>
      <c r="C76" s="81">
        <f>+C75-B75</f>
        <v>-288.49406476601058</v>
      </c>
      <c r="D76" s="81">
        <f>+D75-C75</f>
        <v>5.6090931548055778E-2</v>
      </c>
      <c r="E76" s="81">
        <f t="shared" ref="E76:G76" si="52">+E75-D75</f>
        <v>5.4778307547906024E-2</v>
      </c>
      <c r="F76" s="81">
        <f t="shared" si="52"/>
        <v>0</v>
      </c>
      <c r="G76" s="81">
        <f t="shared" si="52"/>
        <v>0</v>
      </c>
      <c r="H76" s="1956">
        <f>+H75-G75*J76</f>
        <v>0</v>
      </c>
      <c r="J76" s="464">
        <v>0</v>
      </c>
      <c r="K76" s="465"/>
      <c r="L76" s="466"/>
    </row>
    <row r="77" spans="1:12" ht="15" thickBot="1">
      <c r="A77" s="1958" t="s">
        <v>853</v>
      </c>
      <c r="B77" s="1860"/>
      <c r="C77" s="1957">
        <f>+C75/C9</f>
        <v>-0.30974009695983395</v>
      </c>
      <c r="D77" s="1957">
        <f>+D75/D9</f>
        <v>-0.30967987523364227</v>
      </c>
      <c r="E77" s="1957">
        <f>+E75/E9</f>
        <v>-0.30962106279913015</v>
      </c>
      <c r="F77" s="1957">
        <f>+F75/F9</f>
        <v>-0.30962106279913015</v>
      </c>
      <c r="G77" s="1957">
        <f>+G75/G9</f>
        <v>-0.30962106279913015</v>
      </c>
      <c r="H77" s="18"/>
    </row>
    <row r="78" spans="1:12">
      <c r="B78" s="46"/>
      <c r="H78" s="46"/>
    </row>
  </sheetData>
  <mergeCells count="8">
    <mergeCell ref="J25:S26"/>
    <mergeCell ref="A44:A45"/>
    <mergeCell ref="J39:L40"/>
    <mergeCell ref="J33:R33"/>
    <mergeCell ref="A39:A40"/>
    <mergeCell ref="J28:L29"/>
    <mergeCell ref="J30:L31"/>
    <mergeCell ref="J36:L37"/>
  </mergeCells>
  <phoneticPr fontId="12"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Bouton_export">
                <anchor moveWithCells="1" sizeWithCells="1">
                  <from>
                    <xdr:col>9</xdr:col>
                    <xdr:colOff>624840</xdr:colOff>
                    <xdr:row>0</xdr:row>
                    <xdr:rowOff>76200</xdr:rowOff>
                  </from>
                  <to>
                    <xdr:col>11</xdr:col>
                    <xdr:colOff>548640</xdr:colOff>
                    <xdr:row>3</xdr:row>
                    <xdr:rowOff>137160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DCE8C-376F-431A-B2C6-1AD3F367D21F}">
  <sheetPr codeName="Feuil25">
    <tabColor theme="9" tint="0.59999389629810485"/>
  </sheetPr>
  <dimension ref="A5:AQ128"/>
  <sheetViews>
    <sheetView zoomScale="80" zoomScaleNormal="80" workbookViewId="0">
      <selection activeCell="P27" sqref="P27"/>
    </sheetView>
  </sheetViews>
  <sheetFormatPr baseColWidth="10" defaultColWidth="11.44140625" defaultRowHeight="14.4" outlineLevelRow="2"/>
  <cols>
    <col min="1" max="1" width="60.44140625" customWidth="1"/>
    <col min="2" max="8" width="11.109375" customWidth="1"/>
    <col min="9" max="9" width="16.44140625" customWidth="1"/>
    <col min="10" max="15" width="8.109375" customWidth="1"/>
    <col min="16" max="18" width="7" customWidth="1"/>
    <col min="27" max="27" width="19.21875" customWidth="1"/>
    <col min="28" max="28" width="6.77734375" customWidth="1"/>
  </cols>
  <sheetData>
    <row r="5" spans="1:8" hidden="1" outlineLevel="1">
      <c r="A5" s="2181" t="s">
        <v>854</v>
      </c>
      <c r="B5" s="2182" t="s">
        <v>855</v>
      </c>
      <c r="C5" s="2181" t="s">
        <v>856</v>
      </c>
      <c r="D5" s="2181" t="s">
        <v>157</v>
      </c>
      <c r="E5" s="2181" t="s">
        <v>158</v>
      </c>
      <c r="F5" s="2181" t="s">
        <v>159</v>
      </c>
      <c r="G5" s="2181" t="s">
        <v>160</v>
      </c>
      <c r="H5" s="2181" t="s">
        <v>857</v>
      </c>
    </row>
    <row r="6" spans="1:8" hidden="1" outlineLevel="1">
      <c r="A6" s="1426" t="str">
        <f>INPUTCOSTING!B4</f>
        <v>Request Type</v>
      </c>
      <c r="B6" s="2183">
        <f>INPUTCOSTING!$C$4</f>
        <v>0</v>
      </c>
      <c r="C6" s="2183">
        <f>B6</f>
        <v>0</v>
      </c>
      <c r="D6" s="2183">
        <f>C6</f>
        <v>0</v>
      </c>
      <c r="E6" s="2183">
        <f t="shared" ref="E6:H6" si="0">D6</f>
        <v>0</v>
      </c>
      <c r="F6" s="2183">
        <f t="shared" si="0"/>
        <v>0</v>
      </c>
      <c r="G6" s="2183">
        <f t="shared" si="0"/>
        <v>0</v>
      </c>
      <c r="H6" s="2183">
        <f t="shared" si="0"/>
        <v>0</v>
      </c>
    </row>
    <row r="7" spans="1:8" hidden="1" outlineLevel="1">
      <c r="A7" s="1426" t="str">
        <f>INPUTCOSTING!B5</f>
        <v>Quote ID</v>
      </c>
      <c r="B7" s="2183">
        <f>'RFQ Data'!$D$7</f>
        <v>0</v>
      </c>
      <c r="C7" s="2183">
        <f>'RFQ Data'!$D$7</f>
        <v>0</v>
      </c>
      <c r="D7" s="2183">
        <f>'RFQ Data'!$D$7</f>
        <v>0</v>
      </c>
      <c r="E7" s="2183">
        <f>'RFQ Data'!$D$7</f>
        <v>0</v>
      </c>
      <c r="F7" s="2183">
        <f>'RFQ Data'!$D$7</f>
        <v>0</v>
      </c>
      <c r="G7" s="2183">
        <f>'RFQ Data'!$D$7</f>
        <v>0</v>
      </c>
      <c r="H7" s="2183">
        <f>'RFQ Data'!$D$7</f>
        <v>0</v>
      </c>
    </row>
    <row r="8" spans="1:8" hidden="1" outlineLevel="1">
      <c r="A8" s="1426" t="s">
        <v>858</v>
      </c>
      <c r="B8" s="2186">
        <v>1</v>
      </c>
      <c r="C8" s="2183">
        <f>B8</f>
        <v>1</v>
      </c>
      <c r="D8" s="2183">
        <f t="shared" ref="D8:H8" si="1">C8</f>
        <v>1</v>
      </c>
      <c r="E8" s="2183">
        <f t="shared" si="1"/>
        <v>1</v>
      </c>
      <c r="F8" s="2183">
        <f t="shared" si="1"/>
        <v>1</v>
      </c>
      <c r="G8" s="2183">
        <f t="shared" si="1"/>
        <v>1</v>
      </c>
      <c r="H8" s="2183">
        <f t="shared" si="1"/>
        <v>1</v>
      </c>
    </row>
    <row r="9" spans="1:8" hidden="1" outlineLevel="1">
      <c r="A9" s="2181" t="s">
        <v>859</v>
      </c>
      <c r="B9" s="2184" t="str">
        <f>'RFQ Data'!H7</f>
        <v>Fuse choke</v>
      </c>
      <c r="C9" s="2187" t="str">
        <f>B9</f>
        <v>Fuse choke</v>
      </c>
      <c r="D9" s="2187" t="str">
        <f t="shared" ref="D9:H9" si="2">C9</f>
        <v>Fuse choke</v>
      </c>
      <c r="E9" s="2187" t="str">
        <f t="shared" si="2"/>
        <v>Fuse choke</v>
      </c>
      <c r="F9" s="2187" t="str">
        <f t="shared" si="2"/>
        <v>Fuse choke</v>
      </c>
      <c r="G9" s="2187" t="str">
        <f t="shared" si="2"/>
        <v>Fuse choke</v>
      </c>
      <c r="H9" s="2187" t="str">
        <f t="shared" si="2"/>
        <v>Fuse choke</v>
      </c>
    </row>
    <row r="10" spans="1:8" hidden="1" outlineLevel="1">
      <c r="A10" s="1426" t="s">
        <v>860</v>
      </c>
      <c r="B10" s="2185" t="str">
        <f>'RFQ Data'!K10</f>
        <v>24003-CHO-00</v>
      </c>
      <c r="C10" s="2185" t="str">
        <f>B10</f>
        <v>24003-CHO-00</v>
      </c>
      <c r="D10" s="2185" t="str">
        <f t="shared" ref="D10:H10" si="3">C10</f>
        <v>24003-CHO-00</v>
      </c>
      <c r="E10" s="2185" t="str">
        <f t="shared" si="3"/>
        <v>24003-CHO-00</v>
      </c>
      <c r="F10" s="2185" t="str">
        <f t="shared" si="3"/>
        <v>24003-CHO-00</v>
      </c>
      <c r="G10" s="2185" t="str">
        <f t="shared" si="3"/>
        <v>24003-CHO-00</v>
      </c>
      <c r="H10" s="2185" t="str">
        <f t="shared" si="3"/>
        <v>24003-CHO-00</v>
      </c>
    </row>
    <row r="11" spans="1:8" hidden="1" outlineLevel="1">
      <c r="A11" s="1426" t="str">
        <f>INPUTCOSTING!F4</f>
        <v>Quote Type</v>
      </c>
      <c r="B11" s="2183">
        <f>INPUTCOSTING!$G$4</f>
        <v>0</v>
      </c>
      <c r="C11" s="2187">
        <f>B11</f>
        <v>0</v>
      </c>
      <c r="D11" s="2187">
        <f t="shared" ref="D11:H11" si="4">C11</f>
        <v>0</v>
      </c>
      <c r="E11" s="2187">
        <f t="shared" si="4"/>
        <v>0</v>
      </c>
      <c r="F11" s="2187">
        <f t="shared" si="4"/>
        <v>0</v>
      </c>
      <c r="G11" s="2187">
        <f t="shared" si="4"/>
        <v>0</v>
      </c>
      <c r="H11" s="2187">
        <f t="shared" si="4"/>
        <v>0</v>
      </c>
    </row>
    <row r="12" spans="1:8" hidden="1" outlineLevel="1">
      <c r="A12" s="1426" t="str">
        <f>INPUTCOSTING!F5</f>
        <v>Program Type</v>
      </c>
      <c r="B12" s="2183">
        <f>INPUTCOSTING!G5</f>
        <v>0</v>
      </c>
      <c r="C12" s="2183">
        <f>B12</f>
        <v>0</v>
      </c>
      <c r="D12" s="2183">
        <f>Preparation_export[[#This Row],[Y1]]</f>
        <v>0</v>
      </c>
      <c r="E12" s="2183">
        <f>Preparation_export[[#This Row],[Y1]]</f>
        <v>0</v>
      </c>
      <c r="F12" s="2183">
        <f>Preparation_export[[#This Row],[Y1]]</f>
        <v>0</v>
      </c>
      <c r="G12" s="2183">
        <f>Preparation_export[[#This Row],[Y1]]</f>
        <v>0</v>
      </c>
      <c r="H12" s="2183">
        <f>Preparation_export[[#This Row],[Y1]]</f>
        <v>0</v>
      </c>
    </row>
    <row r="13" spans="1:8" hidden="1" outlineLevel="1">
      <c r="A13" s="1426" t="s">
        <v>861</v>
      </c>
      <c r="B13" s="2183" t="str">
        <f>'RFQ Data'!I12</f>
        <v>Chokes - Fuse chokes</v>
      </c>
      <c r="C13" s="2187" t="str">
        <f>Tableau5[[#This Row],[Pre-launch]]</f>
        <v>Chokes - Fuse chokes</v>
      </c>
      <c r="D13" s="2183" t="str">
        <f>Tableau5[[#This Row],[Pre-launch]]</f>
        <v>Chokes - Fuse chokes</v>
      </c>
      <c r="E13" s="2183" t="str">
        <f>Tableau5[[#This Row],[Pre-launch]]</f>
        <v>Chokes - Fuse chokes</v>
      </c>
      <c r="F13" s="2183" t="str">
        <f>Tableau5[[#This Row],[Pre-launch]]</f>
        <v>Chokes - Fuse chokes</v>
      </c>
      <c r="G13" s="2183" t="str">
        <f>Tableau5[[#This Row],[Pre-launch]]</f>
        <v>Chokes - Fuse chokes</v>
      </c>
      <c r="H13" s="2186" t="str">
        <f>Tableau5[[#This Row],[Pre-launch]]</f>
        <v>Chokes - Fuse chokes</v>
      </c>
    </row>
    <row r="14" spans="1:8" hidden="1" outlineLevel="1">
      <c r="A14" s="1426" t="s">
        <v>862</v>
      </c>
      <c r="B14" s="2183">
        <f>INPUTCOSTING!C13</f>
        <v>0</v>
      </c>
      <c r="C14" s="2187">
        <f>Tableau5[[#This Row],[Pre-launch]]</f>
        <v>0</v>
      </c>
      <c r="D14" s="2187">
        <f>Tableau5[[#This Row],[Pre-launch]]</f>
        <v>0</v>
      </c>
      <c r="E14" s="2187">
        <f>Tableau5[[#This Row],[Pre-launch]]</f>
        <v>0</v>
      </c>
      <c r="F14" s="2187">
        <f>Tableau5[[#This Row],[Pre-launch]]</f>
        <v>0</v>
      </c>
      <c r="G14" s="2187">
        <f>Tableau5[[#This Row],[Pre-launch]]</f>
        <v>0</v>
      </c>
      <c r="H14" s="2187">
        <f>Tableau5[[#This Row],[Pre-launch]]</f>
        <v>0</v>
      </c>
    </row>
    <row r="15" spans="1:8" hidden="1" outlineLevel="1">
      <c r="A15" s="1426" t="s">
        <v>863</v>
      </c>
      <c r="B15" s="2183">
        <f>INPUTCOSTING!G13</f>
        <v>0</v>
      </c>
      <c r="C15" s="2187">
        <f>Tableau5[[#This Row],[Pre-launch]]</f>
        <v>0</v>
      </c>
      <c r="D15" s="2186">
        <f>Tableau5[[#This Row],[Pre-launch]]</f>
        <v>0</v>
      </c>
      <c r="E15" s="2186">
        <f>Tableau5[[#This Row],[Pre-launch]]</f>
        <v>0</v>
      </c>
      <c r="F15" s="2186">
        <f>Tableau5[[#This Row],[Pre-launch]]</f>
        <v>0</v>
      </c>
      <c r="G15" s="2186">
        <f>Tableau5[[#This Row],[Pre-launch]]</f>
        <v>0</v>
      </c>
      <c r="H15" s="2186">
        <f>Tableau5[[#This Row],[Pre-launch]]</f>
        <v>0</v>
      </c>
    </row>
    <row r="16" spans="1:8" hidden="1" outlineLevel="1">
      <c r="A16" s="1426" t="str">
        <f>'RFQ Data'!B8</f>
        <v>Assembly Level</v>
      </c>
      <c r="B16" s="2183">
        <f>'RFQ Data'!$C$8</f>
        <v>1</v>
      </c>
      <c r="C16" s="2187">
        <f>Tableau5[[#This Row],[Pre-launch]]</f>
        <v>1</v>
      </c>
      <c r="D16" s="2186">
        <f>Tableau5[[#This Row],[Pre-launch]]</f>
        <v>1</v>
      </c>
      <c r="E16" s="2186">
        <f>Tableau5[[#This Row],[Pre-launch]]</f>
        <v>1</v>
      </c>
      <c r="F16" s="2186">
        <f>Tableau5[[#This Row],[Pre-launch]]</f>
        <v>1</v>
      </c>
      <c r="G16" s="2186">
        <f>Tableau5[[#This Row],[Pre-launch]]</f>
        <v>1</v>
      </c>
      <c r="H16" s="2186">
        <f>Tableau5[[#This Row],[Pre-launch]]</f>
        <v>1</v>
      </c>
    </row>
    <row r="17" spans="1:43" hidden="1" outlineLevel="1">
      <c r="A17" s="1426" t="s">
        <v>149</v>
      </c>
      <c r="B17" s="2183" t="str">
        <f>'RFQ Data'!D10</f>
        <v>NBT</v>
      </c>
      <c r="C17" s="2186" t="str">
        <f>Tableau5[[#This Row],[Pre-launch]]</f>
        <v>NBT</v>
      </c>
      <c r="D17" s="2186" t="str">
        <f>Tableau5[[#This Row],[Pre-launch]]</f>
        <v>NBT</v>
      </c>
      <c r="E17" s="2186" t="str">
        <f>Tableau5[[#This Row],[Pre-launch]]</f>
        <v>NBT</v>
      </c>
      <c r="F17" s="2186" t="str">
        <f>Tableau5[[#This Row],[Pre-launch]]</f>
        <v>NBT</v>
      </c>
      <c r="G17" s="2186" t="str">
        <f>Tableau5[[#This Row],[Pre-launch]]</f>
        <v>NBT</v>
      </c>
      <c r="H17" s="2186" t="str">
        <f>Tableau5[[#This Row],[Pre-launch]]</f>
        <v>NBT</v>
      </c>
    </row>
    <row r="18" spans="1:43" hidden="1" outlineLevel="1">
      <c r="A18" s="1426" t="s">
        <v>469</v>
      </c>
      <c r="B18" s="2183" t="str">
        <f>'RFQ Data'!D12</f>
        <v>China + South pacific</v>
      </c>
      <c r="C18" s="2186" t="str">
        <f>Tableau5[[#This Row],[Pre-launch]]</f>
        <v>China + South pacific</v>
      </c>
      <c r="D18" s="2186" t="str">
        <f>Tableau5[[#This Row],[Pre-launch]]</f>
        <v>China + South pacific</v>
      </c>
      <c r="E18" s="2186" t="str">
        <f>Tableau5[[#This Row],[Pre-launch]]</f>
        <v>China + South pacific</v>
      </c>
      <c r="F18" s="2186" t="str">
        <f>Tableau5[[#This Row],[Pre-launch]]</f>
        <v>China + South pacific</v>
      </c>
      <c r="G18" s="2186" t="str">
        <f>Tableau5[[#This Row],[Pre-launch]]</f>
        <v>China + South pacific</v>
      </c>
      <c r="H18" s="2186" t="str">
        <f>Tableau5[[#This Row],[Pre-launch]]</f>
        <v>China + South pacific</v>
      </c>
    </row>
    <row r="19" spans="1:43" hidden="1" outlineLevel="1">
      <c r="A19" s="1426" t="s">
        <v>864</v>
      </c>
      <c r="B19" s="2183" t="str">
        <f>'RFQ Data'!K13</f>
        <v>Kunshan</v>
      </c>
      <c r="C19" s="2186" t="str">
        <f>Tableau5[[#This Row],[Pre-launch]]</f>
        <v>Kunshan</v>
      </c>
      <c r="D19" s="2186" t="str">
        <f>Tableau5[[#This Row],[Pre-launch]]</f>
        <v>Kunshan</v>
      </c>
      <c r="E19" s="2186" t="str">
        <f>Tableau5[[#This Row],[Pre-launch]]</f>
        <v>Kunshan</v>
      </c>
      <c r="F19" s="2186" t="str">
        <f>Tableau5[[#This Row],[Pre-launch]]</f>
        <v>Kunshan</v>
      </c>
      <c r="G19" s="2186" t="str">
        <f>Tableau5[[#This Row],[Pre-launch]]</f>
        <v>Kunshan</v>
      </c>
      <c r="H19" s="2186" t="str">
        <f>Tableau5[[#This Row],[Pre-launch]]</f>
        <v>Kunshan</v>
      </c>
    </row>
    <row r="20" spans="1:43" hidden="1" outlineLevel="1">
      <c r="A20" s="1426" t="s">
        <v>865</v>
      </c>
      <c r="B20" s="2183" t="str">
        <f>QuotingCUR</f>
        <v>RMB</v>
      </c>
      <c r="C20" s="2186" t="str">
        <f>Tableau5[[#This Row],[Pre-launch]]</f>
        <v>RMB</v>
      </c>
      <c r="D20" s="2183" t="str">
        <f>Tableau5[[#This Row],[Pre-launch]]</f>
        <v>RMB</v>
      </c>
      <c r="E20" s="2183" t="str">
        <f>Tableau5[[#This Row],[Pre-launch]]</f>
        <v>RMB</v>
      </c>
      <c r="F20" s="2183" t="str">
        <f>Tableau5[[#This Row],[Pre-launch]]</f>
        <v>RMB</v>
      </c>
      <c r="G20" s="2183" t="str">
        <f>Tableau5[[#This Row],[Pre-launch]]</f>
        <v>RMB</v>
      </c>
      <c r="H20" s="2183" t="str">
        <f>Tableau5[[#This Row],[Pre-launch]]</f>
        <v>RMB</v>
      </c>
    </row>
    <row r="21" spans="1:43" collapsed="1"/>
    <row r="22" spans="1:43" ht="15" thickBot="1">
      <c r="A22" s="852" t="s">
        <v>755</v>
      </c>
      <c r="B22" s="926" t="s">
        <v>855</v>
      </c>
      <c r="C22" s="853" t="s">
        <v>856</v>
      </c>
      <c r="D22" s="853" t="s">
        <v>157</v>
      </c>
      <c r="E22" s="853" t="s">
        <v>158</v>
      </c>
      <c r="F22" s="853" t="s">
        <v>159</v>
      </c>
      <c r="G22" s="853" t="s">
        <v>160</v>
      </c>
      <c r="H22" s="854" t="s">
        <v>857</v>
      </c>
      <c r="L22" s="1"/>
      <c r="AB22" s="55"/>
      <c r="AN22" s="1"/>
      <c r="AQ22" s="1"/>
    </row>
    <row r="23" spans="1:43" ht="15" thickBot="1">
      <c r="A23" s="917" t="s">
        <v>58</v>
      </c>
      <c r="B23" s="927">
        <f>+'RFQ Data'!C30</f>
        <v>2024</v>
      </c>
      <c r="C23" s="928">
        <f>+'RFQ Data'!D30</f>
        <v>2025</v>
      </c>
      <c r="D23" s="928">
        <f>+'RFQ Data'!E30</f>
        <v>2026</v>
      </c>
      <c r="E23" s="928">
        <f>+'RFQ Data'!F30</f>
        <v>2027</v>
      </c>
      <c r="F23" s="928">
        <f>+'RFQ Data'!G30</f>
        <v>2028</v>
      </c>
      <c r="G23" s="928">
        <f>+'RFQ Data'!H30</f>
        <v>2029</v>
      </c>
      <c r="H23" s="929">
        <f>+'RFQ Data'!I30</f>
        <v>2030</v>
      </c>
      <c r="K23" s="927">
        <v>2024</v>
      </c>
      <c r="L23" s="928">
        <v>2025</v>
      </c>
      <c r="M23" s="928">
        <v>2026</v>
      </c>
      <c r="N23" s="928">
        <v>2027</v>
      </c>
      <c r="O23" s="1982">
        <v>2028</v>
      </c>
      <c r="P23" s="1290"/>
      <c r="U23" s="266"/>
      <c r="AB23" s="55"/>
      <c r="AN23" s="1"/>
      <c r="AQ23" s="1"/>
    </row>
    <row r="24" spans="1:43">
      <c r="A24" s="185" t="s">
        <v>760</v>
      </c>
      <c r="B24" s="4">
        <f>+'RFQ Data'!C31</f>
        <v>0</v>
      </c>
      <c r="C24" s="803">
        <f>+'RFQ Data'!D31</f>
        <v>600</v>
      </c>
      <c r="D24" s="803">
        <f>+'RFQ Data'!E31</f>
        <v>600</v>
      </c>
      <c r="E24" s="803">
        <f>+'RFQ Data'!F31</f>
        <v>600</v>
      </c>
      <c r="F24" s="803">
        <f>+'RFQ Data'!G31</f>
        <v>600</v>
      </c>
      <c r="G24" s="803">
        <f>+'RFQ Data'!H31</f>
        <v>600</v>
      </c>
      <c r="H24" s="185">
        <v>0</v>
      </c>
      <c r="K24" s="2481" t="s">
        <v>866</v>
      </c>
      <c r="L24" s="2482"/>
      <c r="M24" s="2482"/>
      <c r="N24" s="2482"/>
      <c r="O24" s="2483"/>
      <c r="AB24" s="55"/>
      <c r="AC24" s="55"/>
      <c r="AD24" s="55"/>
      <c r="AN24" s="1"/>
      <c r="AQ24" s="1"/>
    </row>
    <row r="25" spans="1:43">
      <c r="A25" s="933" t="s">
        <v>770</v>
      </c>
      <c r="B25" s="934">
        <f>IF(K25&lt;&gt;0,K25,PriceCalAVO!B7)</f>
        <v>1.6</v>
      </c>
      <c r="C25" s="935">
        <f>+C28+C27+C26</f>
        <v>1.6</v>
      </c>
      <c r="D25" s="935">
        <f t="shared" ref="D25:H25" si="5">+D28+D27+D26</f>
        <v>1.6</v>
      </c>
      <c r="E25" s="935">
        <f t="shared" si="5"/>
        <v>1.6</v>
      </c>
      <c r="F25" s="935">
        <f t="shared" si="5"/>
        <v>1.6</v>
      </c>
      <c r="G25" s="935">
        <f t="shared" si="5"/>
        <v>1.6</v>
      </c>
      <c r="H25" s="936">
        <f t="shared" si="5"/>
        <v>1.6</v>
      </c>
      <c r="K25" s="2484">
        <v>1.6</v>
      </c>
      <c r="L25" s="2485"/>
      <c r="M25" s="2485"/>
      <c r="N25" s="2485"/>
      <c r="O25" s="2486"/>
      <c r="P25" s="2180"/>
      <c r="AB25" s="55"/>
      <c r="AC25" s="46"/>
      <c r="AD25" s="55"/>
      <c r="AE25" s="46"/>
      <c r="AN25" s="1"/>
    </row>
    <row r="26" spans="1:43" outlineLevel="1">
      <c r="A26" s="855" t="s">
        <v>769</v>
      </c>
      <c r="B26" s="938">
        <f>GETPIVOTDATA("Somme de Value (Cur)",Buffersheet!$B$7)</f>
        <v>0.28241902834008092</v>
      </c>
      <c r="C26" s="939">
        <f>+B26</f>
        <v>0.28241902834008092</v>
      </c>
      <c r="D26" s="939">
        <f t="shared" ref="D26:H27" si="6">+C26</f>
        <v>0.28241902834008092</v>
      </c>
      <c r="E26" s="939">
        <f t="shared" si="6"/>
        <v>0.28241902834008092</v>
      </c>
      <c r="F26" s="939">
        <f t="shared" si="6"/>
        <v>0.28241902834008092</v>
      </c>
      <c r="G26" s="939">
        <f t="shared" si="6"/>
        <v>0.28241902834008092</v>
      </c>
      <c r="H26" s="965">
        <f t="shared" si="6"/>
        <v>0.28241902834008092</v>
      </c>
      <c r="K26" s="2487" t="s">
        <v>867</v>
      </c>
      <c r="L26" s="2488"/>
      <c r="M26" s="2488"/>
      <c r="N26" s="2488"/>
      <c r="O26" s="2489"/>
      <c r="P26" s="17"/>
      <c r="AB26" s="55"/>
      <c r="AC26" s="46"/>
      <c r="AD26" s="55"/>
      <c r="AE26" s="46"/>
      <c r="AN26" s="1"/>
    </row>
    <row r="27" spans="1:43" ht="21" outlineLevel="1">
      <c r="A27" s="855" t="s">
        <v>768</v>
      </c>
      <c r="B27" s="938">
        <f>IF(K27="",PriceCalAVO!B5,IF(K27="FCA",'Transp-Packaging-AMS'!S4,'Transp-Packaging-AMS'!S4+'Transp-Packaging-AMS'!S6))</f>
        <v>2.3490166726756419E-2</v>
      </c>
      <c r="C27" s="939">
        <f>+B27</f>
        <v>2.3490166726756419E-2</v>
      </c>
      <c r="D27" s="939">
        <f t="shared" si="6"/>
        <v>2.3490166726756419E-2</v>
      </c>
      <c r="E27" s="939">
        <f t="shared" si="6"/>
        <v>2.3490166726756419E-2</v>
      </c>
      <c r="F27" s="939">
        <f t="shared" si="6"/>
        <v>2.3490166726756419E-2</v>
      </c>
      <c r="G27" s="939">
        <f t="shared" si="6"/>
        <v>2.3490166726756419E-2</v>
      </c>
      <c r="H27" s="937">
        <f t="shared" si="6"/>
        <v>2.3490166726756419E-2</v>
      </c>
      <c r="I27" s="318"/>
      <c r="J27" s="55"/>
      <c r="K27" s="2490" t="s">
        <v>868</v>
      </c>
      <c r="L27" s="2491"/>
      <c r="M27" s="2491"/>
      <c r="N27" s="2491"/>
      <c r="O27" s="2492"/>
      <c r="P27" s="2209" t="s">
        <v>869</v>
      </c>
      <c r="Q27" s="17"/>
      <c r="AB27" s="55"/>
      <c r="AC27" s="46"/>
      <c r="AD27" s="55"/>
      <c r="AE27" s="46"/>
      <c r="AN27" s="1"/>
    </row>
    <row r="28" spans="1:43" outlineLevel="1">
      <c r="A28" s="855" t="s">
        <v>870</v>
      </c>
      <c r="B28" s="938">
        <f>B25-B26-B27</f>
        <v>1.2940908049331628</v>
      </c>
      <c r="C28" s="939">
        <f>B28*(1-C29)</f>
        <v>1.2940908049331628</v>
      </c>
      <c r="D28" s="939">
        <f t="shared" ref="D28:H28" si="7">C28*(1-D29)</f>
        <v>1.2940908049331628</v>
      </c>
      <c r="E28" s="939">
        <f t="shared" si="7"/>
        <v>1.2940908049331628</v>
      </c>
      <c r="F28" s="939">
        <f t="shared" si="7"/>
        <v>1.2940908049331628</v>
      </c>
      <c r="G28" s="939">
        <f t="shared" si="7"/>
        <v>1.2940908049331628</v>
      </c>
      <c r="H28" s="965">
        <f t="shared" si="7"/>
        <v>1.2940908049331628</v>
      </c>
      <c r="J28" s="2"/>
      <c r="K28" s="2487" t="s">
        <v>871</v>
      </c>
      <c r="L28" s="2488"/>
      <c r="M28" s="2488"/>
      <c r="N28" s="2488"/>
      <c r="O28" s="2489"/>
      <c r="P28" s="17"/>
      <c r="Q28" s="17"/>
      <c r="AB28" s="55"/>
      <c r="AC28" s="46"/>
      <c r="AD28" s="55"/>
      <c r="AE28" s="46"/>
      <c r="AN28" s="1"/>
    </row>
    <row r="29" spans="1:43" ht="15" outlineLevel="1" thickBot="1">
      <c r="A29" s="855" t="s">
        <v>872</v>
      </c>
      <c r="B29" s="856">
        <f>'RFQ Data'!C32</f>
        <v>0</v>
      </c>
      <c r="C29" s="857">
        <f>'RFQ Data'!D32</f>
        <v>0</v>
      </c>
      <c r="D29" s="858">
        <f>IF(L29&lt;&gt;"",L29,'RFQ Data'!E32)</f>
        <v>0</v>
      </c>
      <c r="E29" s="858">
        <f>IF(M29&lt;&gt;"",M29,'RFQ Data'!F32)</f>
        <v>0</v>
      </c>
      <c r="F29" s="858">
        <f>IF(N29&lt;&gt;"",N29,'RFQ Data'!G32)</f>
        <v>0</v>
      </c>
      <c r="G29" s="858">
        <f>IF(O29&lt;&gt;"",O29,'RFQ Data'!H32)</f>
        <v>0</v>
      </c>
      <c r="H29" s="859">
        <f>'RFQ Data'!I32</f>
        <v>0</v>
      </c>
      <c r="J29" s="266"/>
      <c r="K29" s="2165">
        <v>0</v>
      </c>
      <c r="L29" s="1980"/>
      <c r="M29" s="1980"/>
      <c r="N29" s="1980"/>
      <c r="O29" s="1983"/>
      <c r="P29" s="1981"/>
      <c r="Q29" s="1981"/>
      <c r="AB29" s="55"/>
      <c r="AC29" s="46"/>
      <c r="AD29" s="55"/>
      <c r="AE29" s="46"/>
      <c r="AN29" s="1"/>
    </row>
    <row r="30" spans="1:43" ht="15" outlineLevel="1" thickBot="1">
      <c r="A30" s="1048" t="str">
        <f xml:space="preserve"> "Amortization on "&amp;'RFQ Data'!N35&amp;" years at "&amp;" "&amp;'RFQ Data'!N36*100&amp;"%"</f>
        <v>Amortization on 3 years at  12%</v>
      </c>
      <c r="B30" s="1049">
        <f>IF('Capex '!$L$24*PriceCalAVO!B4&lt;'Capex '!$L$23,'Capex '!$L$24,0)</f>
        <v>0</v>
      </c>
      <c r="C30" s="1050">
        <f>IF('Capex '!$L$24*SUM($B$24:C24)&lt;='Capex '!$L$23,'Capex '!$L$24,0)</f>
        <v>0</v>
      </c>
      <c r="D30" s="1050">
        <f>IF('Capex '!$L$24*SUM($B$24:D24)&lt;='Capex '!$L$23,'Capex '!$L$24,0)</f>
        <v>0</v>
      </c>
      <c r="E30" s="1050">
        <f>IF('Capex '!$L$24*SUM($B$24:E24)&lt;='Capex '!$L$23,'Capex '!$L$24,0)</f>
        <v>0</v>
      </c>
      <c r="F30" s="1050">
        <f>IF('Capex '!$L$24*SUM($B$24:F24)&lt;='Capex '!$L$23,'Capex '!$L$24,0)</f>
        <v>0</v>
      </c>
      <c r="G30" s="1051">
        <f>IF('Capex '!$L$24*SUM($B$24:G24)&lt;='Capex '!$L$23,'Capex '!$L$24,0)</f>
        <v>0</v>
      </c>
      <c r="H30" s="1052">
        <v>0</v>
      </c>
      <c r="J30" s="266"/>
      <c r="AB30" s="55"/>
      <c r="AC30" s="46"/>
      <c r="AD30" s="55"/>
      <c r="AE30" s="46"/>
      <c r="AN30" s="1"/>
    </row>
    <row r="31" spans="1:43" ht="15" thickBot="1">
      <c r="A31" s="860" t="str">
        <f>+"Sales (k"&amp;'RFQ Data'!H16&amp;")"</f>
        <v>Sales (kRMB)</v>
      </c>
      <c r="B31" s="861">
        <f t="shared" ref="B31:H31" si="8">+B25*B24</f>
        <v>0</v>
      </c>
      <c r="C31" s="862">
        <f>+C25*C24</f>
        <v>960</v>
      </c>
      <c r="D31" s="862">
        <f t="shared" si="8"/>
        <v>960</v>
      </c>
      <c r="E31" s="862">
        <f t="shared" si="8"/>
        <v>960</v>
      </c>
      <c r="F31" s="862">
        <f t="shared" si="8"/>
        <v>960</v>
      </c>
      <c r="G31" s="862">
        <f t="shared" si="8"/>
        <v>960</v>
      </c>
      <c r="H31" s="863">
        <f t="shared" si="8"/>
        <v>0</v>
      </c>
      <c r="I31" s="2"/>
      <c r="K31" t="s">
        <v>873</v>
      </c>
      <c r="AB31" s="16"/>
      <c r="AC31" s="46"/>
      <c r="AD31" s="55"/>
      <c r="AN31" s="1"/>
    </row>
    <row r="32" spans="1:43" ht="8.6999999999999993" customHeight="1" thickBot="1">
      <c r="A32" s="864"/>
      <c r="B32" s="4"/>
      <c r="C32" s="4"/>
      <c r="D32" s="4"/>
      <c r="E32" s="4"/>
      <c r="F32" s="4"/>
      <c r="G32" s="4"/>
      <c r="H32" s="865"/>
      <c r="AB32" s="55"/>
      <c r="AC32" s="46"/>
      <c r="AD32" s="55"/>
      <c r="AE32" s="46"/>
      <c r="AN32" s="1"/>
    </row>
    <row r="33" spans="1:42" outlineLevel="1">
      <c r="A33" s="866" t="s">
        <v>777</v>
      </c>
      <c r="B33" s="866">
        <f>+C33*B24</f>
        <v>0</v>
      </c>
      <c r="C33" s="867">
        <f>+'Material Cost '!BP35*C24</f>
        <v>275.99049147387046</v>
      </c>
      <c r="D33" s="867">
        <f>+'Material Cost '!BQ35*D24</f>
        <v>273.0657500431505</v>
      </c>
      <c r="E33" s="867">
        <f>+'Material Cost '!BR35*E24</f>
        <v>270.20945257815333</v>
      </c>
      <c r="F33" s="867">
        <f>+'Material Cost '!BS35*F24</f>
        <v>270.20945257815333</v>
      </c>
      <c r="G33" s="867">
        <f>+F33/F24*G24</f>
        <v>270.20945257815333</v>
      </c>
      <c r="H33" s="868">
        <f>+G33/G24*H24</f>
        <v>0</v>
      </c>
      <c r="N33" s="1"/>
      <c r="AB33" s="55"/>
      <c r="AC33" s="46"/>
      <c r="AD33" s="55"/>
      <c r="AE33" s="46"/>
      <c r="AF33" s="71"/>
      <c r="AG33" s="2"/>
      <c r="AL33" s="77"/>
      <c r="AM33" s="77"/>
      <c r="AN33" s="77"/>
      <c r="AO33" s="77"/>
    </row>
    <row r="34" spans="1:42" ht="15" outlineLevel="1" thickBot="1">
      <c r="A34" s="144" t="s">
        <v>473</v>
      </c>
      <c r="B34" s="869">
        <f>'Transp-Packaging-AMS'!$S$4*B24</f>
        <v>0</v>
      </c>
      <c r="C34" s="870">
        <f>'Transp-Packaging-AMS'!$S$4*C24</f>
        <v>14.094100036053851</v>
      </c>
      <c r="D34" s="870">
        <f>'Transp-Packaging-AMS'!$S$4*D24</f>
        <v>14.094100036053851</v>
      </c>
      <c r="E34" s="870">
        <f>'Transp-Packaging-AMS'!$S$4*E24</f>
        <v>14.094100036053851</v>
      </c>
      <c r="F34" s="870">
        <f>'Transp-Packaging-AMS'!$S$4*F24</f>
        <v>14.094100036053851</v>
      </c>
      <c r="G34" s="870">
        <f>'Transp-Packaging-AMS'!$S$4*G24</f>
        <v>14.094100036053851</v>
      </c>
      <c r="H34" s="871">
        <f>'Transp-Packaging-AMS'!$S$4*H24</f>
        <v>0</v>
      </c>
      <c r="N34" s="1"/>
      <c r="AB34" s="55"/>
      <c r="AC34" s="46"/>
      <c r="AD34" s="55"/>
      <c r="AE34" s="46"/>
      <c r="AG34" s="2"/>
      <c r="AN34" s="1"/>
    </row>
    <row r="35" spans="1:42">
      <c r="A35" s="872" t="s">
        <v>781</v>
      </c>
      <c r="B35" s="861">
        <f t="shared" ref="B35:H35" si="9">+B33+B34</f>
        <v>0</v>
      </c>
      <c r="C35" s="862">
        <f t="shared" si="9"/>
        <v>290.08459150992434</v>
      </c>
      <c r="D35" s="862">
        <f t="shared" si="9"/>
        <v>287.15985007920438</v>
      </c>
      <c r="E35" s="862">
        <f t="shared" si="9"/>
        <v>284.30355261420721</v>
      </c>
      <c r="F35" s="862">
        <f t="shared" si="9"/>
        <v>284.30355261420721</v>
      </c>
      <c r="G35" s="862">
        <f t="shared" si="9"/>
        <v>284.30355261420721</v>
      </c>
      <c r="H35" s="873">
        <f t="shared" si="9"/>
        <v>0</v>
      </c>
      <c r="N35" s="1"/>
      <c r="AB35" s="55"/>
      <c r="AC35" s="116"/>
      <c r="AD35" s="55"/>
      <c r="AE35" s="46"/>
      <c r="AG35" s="2"/>
      <c r="AN35" s="1"/>
    </row>
    <row r="36" spans="1:42" ht="15" thickBot="1">
      <c r="A36" s="874" t="s">
        <v>787</v>
      </c>
      <c r="B36" s="875">
        <f t="shared" ref="B36:H36" si="10">+IF(B31&lt;&gt;0,B33/B31,0)</f>
        <v>0</v>
      </c>
      <c r="C36" s="876">
        <f>+IF(C31&lt;&gt;0,C33/C31,0)</f>
        <v>0.28749009528528174</v>
      </c>
      <c r="D36" s="876">
        <f t="shared" si="10"/>
        <v>0.28444348962828175</v>
      </c>
      <c r="E36" s="876">
        <f t="shared" si="10"/>
        <v>0.2814681797689097</v>
      </c>
      <c r="F36" s="876">
        <f t="shared" si="10"/>
        <v>0.2814681797689097</v>
      </c>
      <c r="G36" s="876">
        <f t="shared" si="10"/>
        <v>0.2814681797689097</v>
      </c>
      <c r="H36" s="877">
        <f t="shared" si="10"/>
        <v>0</v>
      </c>
      <c r="N36" s="1"/>
      <c r="AB36" s="55"/>
      <c r="AC36" s="46"/>
      <c r="AD36" s="55"/>
      <c r="AE36" s="46"/>
    </row>
    <row r="37" spans="1:42" ht="15" thickBot="1">
      <c r="A37" s="878"/>
      <c r="B37" s="879"/>
      <c r="C37" s="879"/>
      <c r="D37" s="879"/>
      <c r="E37" s="879"/>
      <c r="F37" s="879"/>
      <c r="G37" s="879"/>
      <c r="H37" s="880"/>
      <c r="AB37" s="55"/>
      <c r="AC37" s="46"/>
      <c r="AD37" s="55"/>
      <c r="AE37" s="46"/>
      <c r="AI37" s="2"/>
      <c r="AN37" s="1"/>
      <c r="AO37" s="1"/>
      <c r="AP37" s="1"/>
    </row>
    <row r="38" spans="1:42">
      <c r="A38" s="881" t="s">
        <v>793</v>
      </c>
      <c r="B38" s="882">
        <f>+'Product Added value'!$AJ$32*B24</f>
        <v>0</v>
      </c>
      <c r="C38" s="867">
        <f>+'Product Added value'!$AJ$32*C24</f>
        <v>45.701778846153843</v>
      </c>
      <c r="D38" s="867">
        <f>+'Product Added value'!$AJ$32*D24</f>
        <v>45.701778846153843</v>
      </c>
      <c r="E38" s="867">
        <f>+'Product Added value'!$AJ$32*E24</f>
        <v>45.701778846153843</v>
      </c>
      <c r="F38" s="867">
        <f>+'Product Added value'!$AJ$32*F24</f>
        <v>45.701778846153843</v>
      </c>
      <c r="G38" s="867">
        <f>+'Product Added value'!$AJ$32*G24</f>
        <v>45.701778846153843</v>
      </c>
      <c r="H38" s="868">
        <f>+'Product Added value'!$AJ$32*H24</f>
        <v>0</v>
      </c>
      <c r="AB38" s="55"/>
      <c r="AC38" s="46"/>
      <c r="AD38" s="55"/>
      <c r="AE38" s="46"/>
      <c r="AN38" s="1"/>
      <c r="AO38" s="1"/>
      <c r="AP38" s="1"/>
    </row>
    <row r="39" spans="1:42" ht="15" thickBot="1">
      <c r="A39" s="883"/>
      <c r="B39" s="884">
        <f>+IF(B$31&lt;&gt;0,B38/B$31,0)</f>
        <v>0</v>
      </c>
      <c r="C39" s="885">
        <f t="shared" ref="C39:F39" si="11">+IF(C$31&lt;&gt;0,C38/C$31,0)</f>
        <v>4.760601963141025E-2</v>
      </c>
      <c r="D39" s="885">
        <f t="shared" si="11"/>
        <v>4.760601963141025E-2</v>
      </c>
      <c r="E39" s="885">
        <f t="shared" si="11"/>
        <v>4.760601963141025E-2</v>
      </c>
      <c r="F39" s="885">
        <f t="shared" si="11"/>
        <v>4.760601963141025E-2</v>
      </c>
      <c r="G39" s="885">
        <f>+IF(G$31&lt;&gt;0,G38/G$31,0)</f>
        <v>4.760601963141025E-2</v>
      </c>
      <c r="H39" s="886">
        <f t="shared" ref="H39" si="12">+IF(H$31&lt;&gt;0,H38/H$31,0)</f>
        <v>0</v>
      </c>
      <c r="AB39" s="55"/>
      <c r="AC39" s="46"/>
      <c r="AD39" s="55"/>
      <c r="AE39" s="46"/>
      <c r="AN39" s="1"/>
      <c r="AO39" s="1"/>
      <c r="AP39" s="1"/>
    </row>
    <row r="40" spans="1:42">
      <c r="A40" s="881" t="s">
        <v>798</v>
      </c>
      <c r="B40" s="882">
        <f>+'Product Added value'!$AG$32*B24</f>
        <v>0</v>
      </c>
      <c r="C40" s="867">
        <f>+'Product Added value'!$AG$32*C24</f>
        <v>62.17610722610722</v>
      </c>
      <c r="D40" s="867">
        <f>+'Product Added value'!$AG$32*D24</f>
        <v>62.17610722610722</v>
      </c>
      <c r="E40" s="867">
        <f>+'Product Added value'!$AG$32*E24</f>
        <v>62.17610722610722</v>
      </c>
      <c r="F40" s="867">
        <f>+'Product Added value'!$AG$32*F24</f>
        <v>62.17610722610722</v>
      </c>
      <c r="G40" s="867">
        <f>+'Product Added value'!$AG$32*G24</f>
        <v>62.17610722610722</v>
      </c>
      <c r="H40" s="868">
        <f>+'Product Added value'!$AG$32*H24</f>
        <v>0</v>
      </c>
      <c r="AB40" s="55"/>
      <c r="AC40" s="46"/>
      <c r="AD40" s="55"/>
      <c r="AE40" s="46"/>
      <c r="AM40" s="2"/>
      <c r="AN40" s="887"/>
      <c r="AO40" s="887"/>
      <c r="AP40" s="46"/>
    </row>
    <row r="41" spans="1:42" ht="15" thickBot="1">
      <c r="A41" s="883"/>
      <c r="B41" s="884">
        <f>+IF(B$31&lt;&gt;0,B40/B$31,0)</f>
        <v>0</v>
      </c>
      <c r="C41" s="885">
        <f t="shared" ref="C41:H41" si="13">+IF(C$31&lt;&gt;0,C40/C$31,0)</f>
        <v>6.4766778360528354E-2</v>
      </c>
      <c r="D41" s="885">
        <f t="shared" si="13"/>
        <v>6.4766778360528354E-2</v>
      </c>
      <c r="E41" s="885">
        <f t="shared" si="13"/>
        <v>6.4766778360528354E-2</v>
      </c>
      <c r="F41" s="885">
        <f t="shared" si="13"/>
        <v>6.4766778360528354E-2</v>
      </c>
      <c r="G41" s="885">
        <f t="shared" si="13"/>
        <v>6.4766778360528354E-2</v>
      </c>
      <c r="H41" s="886">
        <f t="shared" si="13"/>
        <v>0</v>
      </c>
      <c r="AB41" s="55"/>
      <c r="AC41" s="46"/>
      <c r="AD41" s="55"/>
      <c r="AE41" s="46"/>
      <c r="AN41" s="46"/>
      <c r="AO41" s="46"/>
      <c r="AP41" s="46"/>
    </row>
    <row r="42" spans="1:42" ht="15" thickBot="1">
      <c r="A42" s="878"/>
      <c r="B42" s="879"/>
      <c r="C42" s="879"/>
      <c r="D42" s="879"/>
      <c r="E42" s="879"/>
      <c r="F42" s="879"/>
      <c r="G42" s="879"/>
      <c r="H42" s="880"/>
      <c r="AB42" s="55"/>
      <c r="AC42" s="46"/>
      <c r="AD42" s="55"/>
      <c r="AE42" s="46"/>
      <c r="AI42" s="2"/>
      <c r="AN42" s="1"/>
      <c r="AO42" s="1"/>
      <c r="AP42" s="1"/>
    </row>
    <row r="43" spans="1:42" ht="15" outlineLevel="1" thickBot="1">
      <c r="A43" s="866" t="s">
        <v>802</v>
      </c>
      <c r="B43" s="866">
        <f>+'Material Cost '!$BN$35*'Output for sales-PM'!B24</f>
        <v>0</v>
      </c>
      <c r="C43" s="867">
        <f>+'Material Cost '!$BN$35*'Output for sales-PM'!C24</f>
        <v>4.1841837000000002</v>
      </c>
      <c r="D43" s="867">
        <f>+'Material Cost '!$BN$35*'Output for sales-PM'!D24</f>
        <v>4.1841837000000002</v>
      </c>
      <c r="E43" s="867">
        <f>+'Material Cost '!$BN$35*'Output for sales-PM'!E24</f>
        <v>4.1841837000000002</v>
      </c>
      <c r="F43" s="867">
        <f>+'Material Cost '!$BN$35*'Output for sales-PM'!F24</f>
        <v>4.1841837000000002</v>
      </c>
      <c r="G43" s="867">
        <f>+'Material Cost '!$BN$35*'Output for sales-PM'!G24</f>
        <v>4.1841837000000002</v>
      </c>
      <c r="H43" s="868">
        <f>+'Material Cost '!$BN$35*'Output for sales-PM'!H24</f>
        <v>0</v>
      </c>
      <c r="AB43" s="55"/>
      <c r="AC43" s="46"/>
      <c r="AD43" s="55"/>
      <c r="AE43" s="46"/>
    </row>
    <row r="44" spans="1:42" ht="15" outlineLevel="1" thickBot="1">
      <c r="A44" s="3" t="s">
        <v>804</v>
      </c>
      <c r="B44" s="144">
        <f>IF($K27="DAP",'Transp-Packaging-AMS'!$S$6*B24,0)</f>
        <v>0</v>
      </c>
      <c r="C44" s="830">
        <f>IF($K27="DAP",'Transp-Packaging-AMS'!$S$6*C24,0)</f>
        <v>0</v>
      </c>
      <c r="D44" s="830">
        <f>IF($K27="DAP",'Transp-Packaging-AMS'!$S$6*D24,0)</f>
        <v>0</v>
      </c>
      <c r="E44" s="830">
        <f>IF($K27="DAP",'Transp-Packaging-AMS'!$S$6*E24,0)</f>
        <v>0</v>
      </c>
      <c r="F44" s="830">
        <f>IF($K27="DAP",'Transp-Packaging-AMS'!$S$6*F24,0)</f>
        <v>0</v>
      </c>
      <c r="G44" s="830">
        <f>IF($K27="DAP",'Transp-Packaging-AMS'!$S$6*G24,0)</f>
        <v>0</v>
      </c>
      <c r="H44" s="888">
        <f>IF(P27="DAP",'Transp-Packaging-AMS'!$S$6*H24,0)</f>
        <v>0</v>
      </c>
      <c r="AB44" s="55"/>
      <c r="AC44" s="46"/>
      <c r="AD44" s="55"/>
      <c r="AE44" s="46"/>
    </row>
    <row r="45" spans="1:42">
      <c r="A45" s="889" t="s">
        <v>806</v>
      </c>
      <c r="B45" s="3">
        <f t="shared" ref="B45:H45" si="14">+B43+B44</f>
        <v>0</v>
      </c>
      <c r="C45" s="890">
        <f t="shared" si="14"/>
        <v>4.1841837000000002</v>
      </c>
      <c r="D45" s="890">
        <f t="shared" si="14"/>
        <v>4.1841837000000002</v>
      </c>
      <c r="E45" s="890">
        <f t="shared" si="14"/>
        <v>4.1841837000000002</v>
      </c>
      <c r="F45" s="890">
        <f t="shared" si="14"/>
        <v>4.1841837000000002</v>
      </c>
      <c r="G45" s="890">
        <f t="shared" si="14"/>
        <v>4.1841837000000002</v>
      </c>
      <c r="H45" s="891">
        <f t="shared" si="14"/>
        <v>0</v>
      </c>
      <c r="AB45" s="55"/>
      <c r="AC45" s="46"/>
      <c r="AD45" s="55"/>
      <c r="AE45" s="46"/>
    </row>
    <row r="46" spans="1:42" ht="15" thickBot="1">
      <c r="A46" s="892"/>
      <c r="B46" s="893">
        <f>+IF(B$31&lt;&gt;0,B45/B$31,0)</f>
        <v>0</v>
      </c>
      <c r="C46" s="894">
        <f t="shared" ref="C46:H46" si="15">+IF(C$31&lt;&gt;0,C45/C$31,0)</f>
        <v>4.3585246875000004E-3</v>
      </c>
      <c r="D46" s="894">
        <f t="shared" si="15"/>
        <v>4.3585246875000004E-3</v>
      </c>
      <c r="E46" s="894">
        <f t="shared" si="15"/>
        <v>4.3585246875000004E-3</v>
      </c>
      <c r="F46" s="894">
        <f t="shared" si="15"/>
        <v>4.3585246875000004E-3</v>
      </c>
      <c r="G46" s="894">
        <f t="shared" si="15"/>
        <v>4.3585246875000004E-3</v>
      </c>
      <c r="H46" s="895">
        <f t="shared" si="15"/>
        <v>0</v>
      </c>
      <c r="AB46" s="55"/>
      <c r="AC46" s="46"/>
      <c r="AD46" s="55"/>
      <c r="AE46" s="46"/>
    </row>
    <row r="47" spans="1:42" ht="7.2" customHeight="1" thickBot="1">
      <c r="A47" s="878"/>
      <c r="B47" s="879"/>
      <c r="C47" s="879"/>
      <c r="D47" s="879"/>
      <c r="E47" s="879"/>
      <c r="F47" s="879"/>
      <c r="G47" s="879"/>
      <c r="H47" s="880"/>
      <c r="AB47" s="55"/>
      <c r="AC47" s="46"/>
      <c r="AD47" s="55"/>
      <c r="AE47" s="46"/>
    </row>
    <row r="48" spans="1:42">
      <c r="A48" s="872" t="s">
        <v>791</v>
      </c>
      <c r="B48" s="860">
        <f t="shared" ref="B48:G48" si="16">+B31-B33-B38-B40-B45-B34</f>
        <v>0</v>
      </c>
      <c r="C48" s="862">
        <f>+C31-C33-C38-C40-C45-C34</f>
        <v>557.85333871781472</v>
      </c>
      <c r="D48" s="862">
        <f t="shared" si="16"/>
        <v>560.77808014853463</v>
      </c>
      <c r="E48" s="862">
        <f t="shared" si="16"/>
        <v>563.6343776135318</v>
      </c>
      <c r="F48" s="862">
        <f t="shared" si="16"/>
        <v>563.6343776135318</v>
      </c>
      <c r="G48" s="862">
        <f t="shared" si="16"/>
        <v>563.6343776135318</v>
      </c>
      <c r="H48" s="863">
        <f>+H31-H33-H38-H40-H45</f>
        <v>0</v>
      </c>
      <c r="AB48" s="55"/>
      <c r="AC48" s="46"/>
      <c r="AD48" s="55"/>
      <c r="AE48" s="46"/>
    </row>
    <row r="49" spans="1:40" ht="21" customHeight="1" thickBot="1">
      <c r="A49" s="966"/>
      <c r="B49" s="968">
        <f>+IF(B$31&lt;&gt;0,B48/B$31,0)</f>
        <v>0</v>
      </c>
      <c r="C49" s="969">
        <f t="shared" ref="C49:H49" si="17">+IF(C$31&lt;&gt;0,C48/C$31,0)</f>
        <v>0.58109722783105699</v>
      </c>
      <c r="D49" s="969">
        <f t="shared" si="17"/>
        <v>0.58414383348805687</v>
      </c>
      <c r="E49" s="969">
        <f t="shared" si="17"/>
        <v>0.58711914334742898</v>
      </c>
      <c r="F49" s="969">
        <f t="shared" si="17"/>
        <v>0.58711914334742898</v>
      </c>
      <c r="G49" s="969">
        <f t="shared" si="17"/>
        <v>0.58711914334742898</v>
      </c>
      <c r="H49" s="967">
        <f t="shared" si="17"/>
        <v>0</v>
      </c>
      <c r="AC49" s="46"/>
      <c r="AN49" s="1"/>
    </row>
    <row r="50" spans="1:40" ht="7.2" customHeight="1" thickBot="1">
      <c r="A50" s="878"/>
      <c r="B50" s="879"/>
      <c r="C50" s="879"/>
      <c r="D50" s="879"/>
      <c r="E50" s="879"/>
      <c r="F50" s="879"/>
      <c r="G50" s="879"/>
      <c r="H50" s="880"/>
      <c r="AB50" s="55"/>
      <c r="AD50" s="55"/>
      <c r="AI50" s="55"/>
    </row>
    <row r="51" spans="1:40">
      <c r="A51" s="889" t="s">
        <v>874</v>
      </c>
      <c r="B51" s="3">
        <f>PriceCalAVO!B28</f>
        <v>0</v>
      </c>
      <c r="C51" s="890">
        <f>PriceCalAVO!C28</f>
        <v>159.45284252838491</v>
      </c>
      <c r="D51" s="890">
        <f>PriceCalAVO!D28</f>
        <v>159.45284252838491</v>
      </c>
      <c r="E51" s="890">
        <f>PriceCalAVO!E28</f>
        <v>159.45284252838491</v>
      </c>
      <c r="F51" s="890">
        <f>PriceCalAVO!F28</f>
        <v>159.45284252838491</v>
      </c>
      <c r="G51" s="890">
        <f>PriceCalAVO!G28</f>
        <v>159.45284252838491</v>
      </c>
      <c r="H51" s="868">
        <f>PriceCalAVO!H28</f>
        <v>0</v>
      </c>
      <c r="AB51" s="55"/>
      <c r="AD51" s="55"/>
      <c r="AI51" s="16"/>
    </row>
    <row r="52" spans="1:40" ht="15" thickBot="1">
      <c r="A52" s="896"/>
      <c r="B52" s="897">
        <f>PriceCalAVO!B29</f>
        <v>0</v>
      </c>
      <c r="C52" s="898">
        <f>PriceCalAVO!C29</f>
        <v>0.1711956845466511</v>
      </c>
      <c r="D52" s="898">
        <f>PriceCalAVO!D29</f>
        <v>0.1711956845466511</v>
      </c>
      <c r="E52" s="898">
        <f>PriceCalAVO!E29</f>
        <v>0.1711956845466511</v>
      </c>
      <c r="F52" s="898">
        <f>PriceCalAVO!F29</f>
        <v>0.1711956845466511</v>
      </c>
      <c r="G52" s="898">
        <f>PriceCalAVO!G29</f>
        <v>0.1711956845466511</v>
      </c>
      <c r="H52" s="899">
        <f>PriceCalAVO!H29</f>
        <v>0</v>
      </c>
      <c r="AB52" s="55"/>
      <c r="AD52" s="55"/>
      <c r="AI52" s="55"/>
    </row>
    <row r="53" spans="1:40">
      <c r="A53" s="889" t="s">
        <v>875</v>
      </c>
      <c r="B53" s="3">
        <f>PriceCalAVO!B30</f>
        <v>0</v>
      </c>
      <c r="C53" s="890">
        <f>PriceCalAVO!C30</f>
        <v>82.720840842190285</v>
      </c>
      <c r="D53" s="890">
        <f>PriceCalAVO!D30</f>
        <v>82.720840842190285</v>
      </c>
      <c r="E53" s="890">
        <f>PriceCalAVO!E30</f>
        <v>82.720840842190285</v>
      </c>
      <c r="F53" s="890">
        <f>PriceCalAVO!F30</f>
        <v>82.720840842190285</v>
      </c>
      <c r="G53" s="890">
        <f>PriceCalAVO!G30</f>
        <v>82.720840842190285</v>
      </c>
      <c r="H53" s="868">
        <f>PriceCalAVO!H30</f>
        <v>0</v>
      </c>
      <c r="AB53" s="55"/>
      <c r="AC53" s="77"/>
      <c r="AD53" s="55"/>
    </row>
    <row r="54" spans="1:40" ht="15" thickBot="1">
      <c r="A54" s="896"/>
      <c r="B54" s="897">
        <f>PriceCalAVO!B31</f>
        <v>0</v>
      </c>
      <c r="C54" s="898">
        <f>PriceCalAVO!C31</f>
        <v>8.8812784706126496E-2</v>
      </c>
      <c r="D54" s="898">
        <f>PriceCalAVO!D31</f>
        <v>8.8812784706126496E-2</v>
      </c>
      <c r="E54" s="898">
        <f>PriceCalAVO!E31</f>
        <v>8.8812784706126496E-2</v>
      </c>
      <c r="F54" s="898">
        <f>PriceCalAVO!F31</f>
        <v>8.8812784706126496E-2</v>
      </c>
      <c r="G54" s="898">
        <f>PriceCalAVO!G31</f>
        <v>8.8812784706126496E-2</v>
      </c>
      <c r="H54" s="899">
        <f>PriceCalAVO!H31</f>
        <v>0</v>
      </c>
      <c r="AB54" s="55"/>
      <c r="AC54" s="55"/>
      <c r="AD54" s="55"/>
      <c r="AI54" s="55"/>
    </row>
    <row r="55" spans="1:40" ht="6.6" customHeight="1" thickBot="1">
      <c r="A55" s="864"/>
      <c r="B55" s="4"/>
      <c r="C55" s="4"/>
      <c r="D55" s="4"/>
      <c r="E55" s="4"/>
      <c r="F55" s="4"/>
      <c r="G55" s="4"/>
      <c r="H55" s="865"/>
      <c r="AB55" s="55"/>
    </row>
    <row r="56" spans="1:40">
      <c r="A56" s="872" t="s">
        <v>824</v>
      </c>
      <c r="B56" s="861">
        <f>+B48-B51-B53</f>
        <v>0</v>
      </c>
      <c r="C56" s="862">
        <f>+C48-C51-C53</f>
        <v>315.67965534723953</v>
      </c>
      <c r="D56" s="862">
        <f t="shared" ref="D56:H56" si="18">+D48-D51-D53</f>
        <v>318.60439677795944</v>
      </c>
      <c r="E56" s="862">
        <f t="shared" si="18"/>
        <v>321.46069424295661</v>
      </c>
      <c r="F56" s="862">
        <f t="shared" si="18"/>
        <v>321.46069424295661</v>
      </c>
      <c r="G56" s="862">
        <f t="shared" si="18"/>
        <v>321.46069424295661</v>
      </c>
      <c r="H56" s="863">
        <f t="shared" si="18"/>
        <v>0</v>
      </c>
      <c r="AB56" s="9"/>
      <c r="AC56" s="216"/>
      <c r="AI56" s="2"/>
    </row>
    <row r="57" spans="1:40" ht="15" thickBot="1">
      <c r="A57" s="966"/>
      <c r="B57" s="968">
        <f>+IF(B$31&lt;&gt;0,B56/B$31,0)</f>
        <v>0</v>
      </c>
      <c r="C57" s="969">
        <f t="shared" ref="C57:H57" si="19">+IF(C$31&lt;&gt;0,C56/C$31,0)</f>
        <v>0.32883297432004116</v>
      </c>
      <c r="D57" s="969">
        <f t="shared" si="19"/>
        <v>0.33187957997704109</v>
      </c>
      <c r="E57" s="969">
        <f t="shared" si="19"/>
        <v>0.33485488983641315</v>
      </c>
      <c r="F57" s="969">
        <f t="shared" si="19"/>
        <v>0.33485488983641315</v>
      </c>
      <c r="G57" s="969">
        <f t="shared" si="19"/>
        <v>0.33485488983641315</v>
      </c>
      <c r="H57" s="967">
        <f t="shared" si="19"/>
        <v>0</v>
      </c>
      <c r="AB57" s="9"/>
      <c r="AC57" s="55"/>
    </row>
    <row r="58" spans="1:40" ht="6.6" customHeight="1" thickBot="1">
      <c r="AA58" t="s">
        <v>827</v>
      </c>
      <c r="AB58" s="9">
        <f>-AB56-AB54-AB50</f>
        <v>0</v>
      </c>
      <c r="AC58" s="55"/>
      <c r="AD58" s="9"/>
    </row>
    <row r="59" spans="1:40">
      <c r="A59" s="117" t="s">
        <v>828</v>
      </c>
      <c r="B59" s="62">
        <f>+B90</f>
        <v>17.519263669384085</v>
      </c>
      <c r="C59" s="87">
        <f>+C90</f>
        <v>17.519263669384085</v>
      </c>
      <c r="D59" s="87">
        <f t="shared" ref="D59:H59" si="20">+D90</f>
        <v>17.519263669384085</v>
      </c>
      <c r="E59" s="87">
        <f t="shared" si="20"/>
        <v>17.519263669384085</v>
      </c>
      <c r="F59" s="87">
        <f t="shared" si="20"/>
        <v>17.519263669384085</v>
      </c>
      <c r="G59" s="42">
        <f t="shared" si="20"/>
        <v>0</v>
      </c>
      <c r="H59" s="198">
        <f t="shared" si="20"/>
        <v>0</v>
      </c>
      <c r="J59" s="1640"/>
      <c r="K59" s="1640"/>
      <c r="L59" s="1640"/>
      <c r="M59" s="69"/>
      <c r="N59" s="777"/>
      <c r="O59" s="777"/>
      <c r="P59" s="777"/>
      <c r="Q59" s="777"/>
      <c r="R59" s="777"/>
      <c r="S59" s="777"/>
      <c r="AA59" t="s">
        <v>830</v>
      </c>
      <c r="AB59" s="55" t="e">
        <f>+AB61+AB62</f>
        <v>#DIV/0!</v>
      </c>
      <c r="AD59" s="55"/>
    </row>
    <row r="60" spans="1:40" ht="15" thickBot="1">
      <c r="A60" s="60" t="s">
        <v>831</v>
      </c>
      <c r="B60" s="58">
        <f>-B75</f>
        <v>9.6355950181612471</v>
      </c>
      <c r="C60" s="37">
        <f>-C75</f>
        <v>9.0443198693195352</v>
      </c>
      <c r="D60" s="37">
        <f>-D75</f>
        <v>14.606935366839089</v>
      </c>
      <c r="E60" s="37">
        <f t="shared" ref="E60:H60" si="21">-E75</f>
        <v>-5.1499548802758319</v>
      </c>
      <c r="F60" s="37">
        <f t="shared" si="21"/>
        <v>-26.348324270997889</v>
      </c>
      <c r="G60" s="32">
        <f t="shared" si="21"/>
        <v>-48.893433554236907</v>
      </c>
      <c r="H60" s="189">
        <f t="shared" si="21"/>
        <v>-72.503509201307992</v>
      </c>
      <c r="J60" s="1640"/>
      <c r="K60" s="1640"/>
      <c r="L60" s="1640"/>
      <c r="M60" s="1977"/>
      <c r="N60" s="1977"/>
      <c r="O60" s="1977"/>
      <c r="P60" s="1977"/>
      <c r="Q60" s="1977"/>
      <c r="R60" s="1977"/>
      <c r="S60" s="1977"/>
      <c r="AA60" t="s">
        <v>70</v>
      </c>
      <c r="AB60" s="17" t="e">
        <f>+AQ24*AB24*AVERAGE('RFQ Data'!C33:H33)/AJ49</f>
        <v>#DIV/0!</v>
      </c>
      <c r="AD60" s="17"/>
    </row>
    <row r="61" spans="1:40" ht="15" thickBot="1">
      <c r="J61" s="1640"/>
      <c r="K61" s="1640"/>
      <c r="L61" s="1640"/>
      <c r="M61" s="69"/>
      <c r="N61" s="69"/>
      <c r="O61" s="69"/>
      <c r="P61" s="69"/>
      <c r="Q61" s="69"/>
      <c r="R61" s="69"/>
      <c r="S61" s="69"/>
      <c r="AA61" t="s">
        <v>832</v>
      </c>
      <c r="AB61" s="16" t="e">
        <f>+AJ50/AJ49/(1-AN35)</f>
        <v>#DIV/0!</v>
      </c>
      <c r="AD61" s="16"/>
    </row>
    <row r="62" spans="1:40">
      <c r="A62" s="1924" t="s">
        <v>833</v>
      </c>
      <c r="B62" s="212">
        <f>+B56-B59-B60</f>
        <v>-27.154858687545332</v>
      </c>
      <c r="C62" s="203">
        <f>+C56-C59-C60</f>
        <v>289.11607180853593</v>
      </c>
      <c r="D62" s="203">
        <f>+D56-D59-D60</f>
        <v>286.47819774173627</v>
      </c>
      <c r="E62" s="203">
        <f>+E56-E59-E60</f>
        <v>309.09138545384837</v>
      </c>
      <c r="F62" s="203">
        <f t="shared" ref="F62" si="22">+F56-F59-F60</f>
        <v>330.28975484457038</v>
      </c>
      <c r="G62" s="204">
        <f>+G56-G59-G60</f>
        <v>370.35412779719354</v>
      </c>
      <c r="H62" s="205">
        <f>+H56-H59-H60</f>
        <v>72.503509201307992</v>
      </c>
      <c r="J62" s="1640"/>
      <c r="K62" s="1640"/>
      <c r="L62" s="1640"/>
      <c r="M62" s="69"/>
      <c r="N62" s="777"/>
      <c r="O62" s="777"/>
      <c r="P62" s="777"/>
      <c r="Q62" s="777"/>
      <c r="R62" s="777"/>
      <c r="S62" s="777"/>
      <c r="AA62" t="s">
        <v>835</v>
      </c>
      <c r="AB62" s="16" t="e">
        <f>+(AJ51/AJ49)/(1-AN35)</f>
        <v>#DIV/0!</v>
      </c>
      <c r="AD62" s="16"/>
    </row>
    <row r="63" spans="1:40" ht="15" thickBot="1">
      <c r="A63" s="1925"/>
      <c r="B63" s="197">
        <f>+IF(B$31&lt;&gt;0,B62/B$31,0)</f>
        <v>0</v>
      </c>
      <c r="C63" s="194">
        <f>+IF(C$31&lt;&gt;0,C62/C$31,0)</f>
        <v>0.30116257480055825</v>
      </c>
      <c r="D63" s="194">
        <f t="shared" ref="D63:H63" si="23">+IF(D$31&lt;&gt;0,D62/D$31,0)</f>
        <v>0.29841478931430859</v>
      </c>
      <c r="E63" s="194">
        <f t="shared" si="23"/>
        <v>0.32197019318109205</v>
      </c>
      <c r="F63" s="194">
        <f t="shared" si="23"/>
        <v>0.34405182796309414</v>
      </c>
      <c r="G63" s="195">
        <f t="shared" si="23"/>
        <v>0.3857855497887433</v>
      </c>
      <c r="H63" s="206">
        <f t="shared" si="23"/>
        <v>0</v>
      </c>
      <c r="J63" s="1640"/>
      <c r="K63" s="1640"/>
      <c r="L63" s="1640"/>
      <c r="M63" s="1977"/>
      <c r="N63" s="1977"/>
      <c r="O63" s="1977"/>
      <c r="P63" s="1977"/>
      <c r="Q63" s="1977"/>
      <c r="R63" s="1977"/>
      <c r="S63" s="1977"/>
    </row>
    <row r="64" spans="1:40" ht="15" thickBot="1"/>
    <row r="65" spans="1:30" ht="15" thickBot="1">
      <c r="A65" s="45" t="s">
        <v>836</v>
      </c>
      <c r="B65" s="213">
        <f>+VLOOKUP('RFQ Data'!$K$13,'Financials Parameters'!$I$5:$W$16,12,FALSE)*B62</f>
        <v>-6.7887146718863329</v>
      </c>
      <c r="C65" s="82">
        <f>+VLOOKUP('RFQ Data'!$K$13,'Financials Parameters'!$I$5:$W$16,12,FALSE)*C62</f>
        <v>72.279017952133984</v>
      </c>
      <c r="D65" s="82">
        <f>+VLOOKUP('RFQ Data'!$K$13,'Financials Parameters'!$I$5:$W$16,12,FALSE)*D62</f>
        <v>71.619549435434067</v>
      </c>
      <c r="E65" s="82">
        <f>+VLOOKUP('RFQ Data'!$K$13,'Financials Parameters'!$I$5:$W$16,12,FALSE)*E62</f>
        <v>77.272846363462094</v>
      </c>
      <c r="F65" s="82">
        <f>+VLOOKUP('RFQ Data'!$K$13,'Financials Parameters'!$I$5:$W$16,12,FALSE)*F62</f>
        <v>82.572438711142595</v>
      </c>
      <c r="G65" s="83">
        <f>+VLOOKUP('RFQ Data'!$K$13,'Financials Parameters'!$I$5:$W$16,12,FALSE)*G62</f>
        <v>92.588531949298385</v>
      </c>
      <c r="H65" s="177">
        <f>+VLOOKUP('RFQ Data'!$K$13,'Financials Parameters'!$I$5:$W$16,12,FALSE)*H62</f>
        <v>18.125877300326998</v>
      </c>
      <c r="AA65" t="s">
        <v>756</v>
      </c>
      <c r="AB65" s="46" t="e">
        <f>+AB48/(AB59+AB58+AB60)</f>
        <v>#DIV/0!</v>
      </c>
      <c r="AD65" s="46"/>
    </row>
    <row r="66" spans="1:30" ht="15" thickBot="1"/>
    <row r="67" spans="1:30">
      <c r="A67" s="1924" t="s">
        <v>837</v>
      </c>
      <c r="B67" s="212">
        <f>+B62-B65</f>
        <v>-20.366144015659</v>
      </c>
      <c r="C67" s="203">
        <f>+C62-C65</f>
        <v>216.83705385640195</v>
      </c>
      <c r="D67" s="203">
        <f t="shared" ref="D67:H67" si="24">+D62-D65</f>
        <v>214.8586483063022</v>
      </c>
      <c r="E67" s="203">
        <f t="shared" si="24"/>
        <v>231.81853909038628</v>
      </c>
      <c r="F67" s="203">
        <f t="shared" si="24"/>
        <v>247.7173161334278</v>
      </c>
      <c r="G67" s="204">
        <f t="shared" si="24"/>
        <v>277.76559584789516</v>
      </c>
      <c r="H67" s="205">
        <f t="shared" si="24"/>
        <v>54.377631900980994</v>
      </c>
      <c r="K67" s="2"/>
    </row>
    <row r="68" spans="1:30" ht="14.7" customHeight="1" thickBot="1">
      <c r="A68" s="1925"/>
      <c r="B68" s="197">
        <f t="shared" ref="B68" si="25">+IF(B$31&lt;&gt;0,B67/B$31,0)</f>
        <v>0</v>
      </c>
      <c r="C68" s="194">
        <f>+IF(C$31&lt;&gt;0,C67/C$31,0)</f>
        <v>0.2258719311004187</v>
      </c>
      <c r="D68" s="194">
        <f t="shared" ref="D68:G68" si="26">+IF(D$31&lt;&gt;0,D67/D$31,0)</f>
        <v>0.22381109198573146</v>
      </c>
      <c r="E68" s="194">
        <f t="shared" si="26"/>
        <v>0.24147764488581905</v>
      </c>
      <c r="F68" s="194">
        <f t="shared" si="26"/>
        <v>0.25803887097232064</v>
      </c>
      <c r="G68" s="195">
        <f t="shared" si="26"/>
        <v>0.28933916234155743</v>
      </c>
      <c r="H68" s="206">
        <f>+IF(H$31&lt;&gt;0,H67/H$31,0)</f>
        <v>0</v>
      </c>
      <c r="K68" s="2"/>
    </row>
    <row r="69" spans="1:30" ht="15" thickBot="1"/>
    <row r="70" spans="1:30" ht="15" thickBot="1">
      <c r="B70" s="44">
        <f t="shared" ref="B70:H70" si="27">+B24</f>
        <v>0</v>
      </c>
      <c r="C70" s="73">
        <f t="shared" si="27"/>
        <v>600</v>
      </c>
      <c r="D70" s="73">
        <f t="shared" si="27"/>
        <v>600</v>
      </c>
      <c r="E70" s="73">
        <f t="shared" si="27"/>
        <v>600</v>
      </c>
      <c r="F70" s="73">
        <f t="shared" si="27"/>
        <v>600</v>
      </c>
      <c r="G70" s="73">
        <f t="shared" si="27"/>
        <v>600</v>
      </c>
      <c r="H70" s="18">
        <f t="shared" si="27"/>
        <v>0</v>
      </c>
    </row>
    <row r="71" spans="1:30">
      <c r="A71" s="117" t="s">
        <v>824</v>
      </c>
      <c r="B71" s="63">
        <f t="shared" ref="B71:H71" si="28">+B56</f>
        <v>0</v>
      </c>
      <c r="C71" s="50">
        <f>+C56</f>
        <v>315.67965534723953</v>
      </c>
      <c r="D71" s="50">
        <f t="shared" si="28"/>
        <v>318.60439677795944</v>
      </c>
      <c r="E71" s="50">
        <f t="shared" si="28"/>
        <v>321.46069424295661</v>
      </c>
      <c r="F71" s="50">
        <f t="shared" si="28"/>
        <v>321.46069424295661</v>
      </c>
      <c r="G71" s="50">
        <f t="shared" si="28"/>
        <v>321.46069424295661</v>
      </c>
      <c r="H71" s="88">
        <f t="shared" si="28"/>
        <v>0</v>
      </c>
    </row>
    <row r="72" spans="1:30">
      <c r="A72" s="188" t="s">
        <v>838</v>
      </c>
      <c r="B72" s="57">
        <f>-B65</f>
        <v>6.7887146718863329</v>
      </c>
      <c r="C72" s="26">
        <f>-C65</f>
        <v>-72.279017952133984</v>
      </c>
      <c r="D72" s="26">
        <f t="shared" ref="D72:H72" si="29">-D65</f>
        <v>-71.619549435434067</v>
      </c>
      <c r="E72" s="26">
        <f>-E65</f>
        <v>-77.272846363462094</v>
      </c>
      <c r="F72" s="26">
        <f t="shared" si="29"/>
        <v>-82.572438711142595</v>
      </c>
      <c r="G72" s="26">
        <f t="shared" si="29"/>
        <v>-92.588531949298385</v>
      </c>
      <c r="H72" s="29">
        <f t="shared" si="29"/>
        <v>-18.125877300326998</v>
      </c>
    </row>
    <row r="73" spans="1:30">
      <c r="A73" s="188" t="s">
        <v>830</v>
      </c>
      <c r="B73" s="57">
        <f>-B84</f>
        <v>-87.596318346920427</v>
      </c>
      <c r="C73" s="26">
        <f>-C84</f>
        <v>0</v>
      </c>
      <c r="D73" s="26">
        <f t="shared" ref="D73:G73" si="30">-D84</f>
        <v>0</v>
      </c>
      <c r="E73" s="26">
        <f>-E84</f>
        <v>0</v>
      </c>
      <c r="F73" s="26">
        <f t="shared" si="30"/>
        <v>0</v>
      </c>
      <c r="G73" s="26">
        <f t="shared" si="30"/>
        <v>0</v>
      </c>
      <c r="H73" s="29">
        <f>-H84</f>
        <v>0</v>
      </c>
    </row>
    <row r="74" spans="1:30">
      <c r="A74" s="188" t="s">
        <v>839</v>
      </c>
      <c r="B74" s="57">
        <f>+B123</f>
        <v>0</v>
      </c>
      <c r="C74" s="26">
        <f>+C123</f>
        <v>-289.98247250098154</v>
      </c>
      <c r="D74" s="26">
        <f t="shared" ref="D74:H74" si="31">+D123</f>
        <v>5.6090931548055778E-2</v>
      </c>
      <c r="E74" s="26">
        <f t="shared" si="31"/>
        <v>5.4778307547906024E-2</v>
      </c>
      <c r="F74" s="26">
        <f t="shared" si="31"/>
        <v>0</v>
      </c>
      <c r="G74" s="26">
        <f t="shared" si="31"/>
        <v>0</v>
      </c>
      <c r="H74" s="29">
        <f t="shared" si="31"/>
        <v>0</v>
      </c>
    </row>
    <row r="75" spans="1:30">
      <c r="A75" s="188" t="s">
        <v>831</v>
      </c>
      <c r="B75" s="57">
        <f>+IF((B71+B73+B74)*1.1*0.1&lt;0,(B71+B73+B74)*1.1*0.1,0)</f>
        <v>-9.6355950181612471</v>
      </c>
      <c r="C75" s="26">
        <f>10%*B78</f>
        <v>-9.0443198693195352</v>
      </c>
      <c r="D75" s="26">
        <f>10%*C78</f>
        <v>-14.606935366839089</v>
      </c>
      <c r="E75" s="26">
        <f>10%*D78</f>
        <v>5.1499548802758319</v>
      </c>
      <c r="F75" s="26">
        <f t="shared" ref="F75" si="32">10%*E78</f>
        <v>26.348324270997889</v>
      </c>
      <c r="G75" s="26">
        <f>10%*F78</f>
        <v>48.893433554236907</v>
      </c>
      <c r="H75" s="29">
        <f>10%*G78</f>
        <v>72.503509201307992</v>
      </c>
    </row>
    <row r="76" spans="1:30" ht="15" thickBot="1">
      <c r="A76" s="144" t="s">
        <v>840</v>
      </c>
      <c r="B76" s="80">
        <f>+IF(SUM(B71:B75)&gt;0,VLOOKUP('RFQ Data'!$K$13,'Financials Parameters'!$I$5:$U$16,13,FALSE)*SUM(B71:B75),0)</f>
        <v>0</v>
      </c>
      <c r="C76" s="81">
        <f>+IF(SUM(C71:C75)&gt;0,VLOOKUP('RFQ Data'!$K$13,'Financials Parameters'!$I$5:$U$16,13,FALSE)*SUM(C71:C75),0)</f>
        <v>0</v>
      </c>
      <c r="D76" s="81">
        <f>-IF(SUM(D71:D75)&gt;0,VLOOKUP('RFQ Data'!$K$13,'Financials Parameters'!$I$5:$U$16,13,FALSE)*SUM(D71:D75),0)</f>
        <v>-34.86510043608515</v>
      </c>
      <c r="E76" s="81">
        <f>-IF(SUM(E71:E75)&gt;0,VLOOKUP('RFQ Data'!$K$13,'Financials Parameters'!$I$5:$U$16,13,FALSE)*SUM(E71:E75),0)</f>
        <v>-37.408887160097734</v>
      </c>
      <c r="F76" s="81">
        <f>-IF(SUM(F71:F75)&gt;0,VLOOKUP('RFQ Data'!$K$13,'Financials Parameters'!$I$5:$U$16,13,FALSE)*SUM(F71:F75),0)</f>
        <v>-39.785486970421779</v>
      </c>
      <c r="G76" s="81">
        <f>-IF(SUM(G71:G75)&gt;0,VLOOKUP('RFQ Data'!$K$13,'Financials Parameters'!$I$5:$U$16,13,FALSE)*SUM(G71:G75),0)</f>
        <v>-41.664839377184272</v>
      </c>
      <c r="H76" s="106">
        <f>-IF(SUM(H71:H75)&gt;0,VLOOKUP('RFQ Data'!$K$13,'Financials Parameters'!$I$5:$U$16,13,FALSE)*SUM(H71:H75),0)</f>
        <v>-8.1566447851471491</v>
      </c>
    </row>
    <row r="77" spans="1:30">
      <c r="A77" s="214" t="s">
        <v>841</v>
      </c>
      <c r="B77" s="212">
        <f>+SUM(B71:B76)</f>
        <v>-90.443198693195342</v>
      </c>
      <c r="C77" s="203">
        <f>+SUM(C71:C76)</f>
        <v>-55.626154975195533</v>
      </c>
      <c r="D77" s="203">
        <f>+SUM(D71:D76)</f>
        <v>197.56890247114919</v>
      </c>
      <c r="E77" s="203">
        <f>+SUM(E71:E76)</f>
        <v>211.98369390722053</v>
      </c>
      <c r="F77" s="203">
        <f t="shared" ref="F77" si="33">+SUM(F71:F76)</f>
        <v>225.45109283239012</v>
      </c>
      <c r="G77" s="203">
        <f>+SUM(G71:G76)</f>
        <v>236.10075647071088</v>
      </c>
      <c r="H77" s="204">
        <f>+SUM(H71:H76)</f>
        <v>46.220987115833843</v>
      </c>
    </row>
    <row r="78" spans="1:30" ht="15" thickBot="1">
      <c r="A78" s="190" t="s">
        <v>842</v>
      </c>
      <c r="B78" s="191">
        <f>+B77</f>
        <v>-90.443198693195342</v>
      </c>
      <c r="C78" s="182">
        <f t="shared" ref="C78:H78" si="34">+B78+C77</f>
        <v>-146.06935366839087</v>
      </c>
      <c r="D78" s="182">
        <f>+C78+D77</f>
        <v>51.499548802758312</v>
      </c>
      <c r="E78" s="182">
        <f t="shared" si="34"/>
        <v>263.48324270997887</v>
      </c>
      <c r="F78" s="182">
        <f t="shared" si="34"/>
        <v>488.93433554236901</v>
      </c>
      <c r="G78" s="182">
        <f t="shared" si="34"/>
        <v>725.03509201307986</v>
      </c>
      <c r="H78" s="183">
        <f t="shared" si="34"/>
        <v>771.25607912891371</v>
      </c>
      <c r="I78" s="2"/>
    </row>
    <row r="79" spans="1:30">
      <c r="A79" s="3" t="s">
        <v>164</v>
      </c>
      <c r="B79" s="1214">
        <f>+B30</f>
        <v>0</v>
      </c>
      <c r="C79" s="108" t="s">
        <v>876</v>
      </c>
      <c r="D79" s="108"/>
      <c r="E79" s="108"/>
      <c r="F79" s="108"/>
      <c r="G79" s="108"/>
      <c r="H79" s="146"/>
      <c r="I79" s="46"/>
    </row>
    <row r="80" spans="1:30">
      <c r="A80" s="6" t="s">
        <v>756</v>
      </c>
      <c r="B80" s="487">
        <f>PriceCalAVO!B57</f>
        <v>0.49999999999994471</v>
      </c>
      <c r="C80" s="46">
        <f>Output_for_SALES_PM[[#This Row],[Pre-launch]]</f>
        <v>0.49999999999994471</v>
      </c>
      <c r="D80" s="46">
        <f>Output_for_SALES_PM[[#This Row],[Pre-launch]]</f>
        <v>0.49999999999994471</v>
      </c>
      <c r="E80" s="46">
        <f>Output_for_SALES_PM[[#This Row],[Pre-launch]]</f>
        <v>0.49999999999994471</v>
      </c>
      <c r="F80" s="46">
        <f>Output_for_SALES_PM[[#This Row],[Pre-launch]]</f>
        <v>0.49999999999994471</v>
      </c>
      <c r="G80" s="46">
        <f>Output_for_SALES_PM[[#This Row],[Pre-launch]]</f>
        <v>0.49999999999994471</v>
      </c>
      <c r="H80" s="141">
        <f>Output_for_SALES_PM[[#This Row],[Pre-launch]]</f>
        <v>0.49999999999994471</v>
      </c>
    </row>
    <row r="81" spans="1:30" ht="15" thickBot="1">
      <c r="A81" s="10" t="s">
        <v>843</v>
      </c>
      <c r="B81" s="1213">
        <f>+NPV(M26,B77:H77)</f>
        <v>771.25607912891371</v>
      </c>
      <c r="C81" s="250" t="s">
        <v>877</v>
      </c>
      <c r="D81" s="250"/>
      <c r="E81" s="250"/>
      <c r="F81" s="250"/>
      <c r="G81" s="250"/>
      <c r="H81" s="251"/>
    </row>
    <row r="82" spans="1:30" ht="15" thickBot="1">
      <c r="B82" s="2"/>
      <c r="C82" s="2"/>
      <c r="D82" s="2"/>
      <c r="E82" s="2"/>
      <c r="F82" s="2"/>
      <c r="G82" s="2"/>
      <c r="H82" s="2"/>
    </row>
    <row r="83" spans="1:30" ht="15" thickBot="1">
      <c r="B83" s="44">
        <f>B23</f>
        <v>2024</v>
      </c>
      <c r="C83" s="73">
        <f t="shared" ref="C83:H83" si="35">C23</f>
        <v>2025</v>
      </c>
      <c r="D83" s="73">
        <f t="shared" si="35"/>
        <v>2026</v>
      </c>
      <c r="E83" s="73">
        <f t="shared" si="35"/>
        <v>2027</v>
      </c>
      <c r="F83" s="73">
        <f t="shared" si="35"/>
        <v>2028</v>
      </c>
      <c r="G83" s="73">
        <f t="shared" si="35"/>
        <v>2029</v>
      </c>
      <c r="H83" s="18">
        <f t="shared" si="35"/>
        <v>2030</v>
      </c>
    </row>
    <row r="84" spans="1:30" ht="15" thickBot="1">
      <c r="A84" s="248" t="s">
        <v>844</v>
      </c>
      <c r="B84" s="165">
        <f>B114</f>
        <v>87.596318346920427</v>
      </c>
      <c r="C84" s="165">
        <f t="shared" ref="C84:H84" si="36">C114</f>
        <v>0</v>
      </c>
      <c r="D84" s="165">
        <f t="shared" si="36"/>
        <v>0</v>
      </c>
      <c r="E84" s="165">
        <f t="shared" si="36"/>
        <v>0</v>
      </c>
      <c r="F84" s="165">
        <f t="shared" si="36"/>
        <v>0</v>
      </c>
      <c r="G84" s="165">
        <f t="shared" si="36"/>
        <v>0</v>
      </c>
      <c r="H84" s="165">
        <f t="shared" si="36"/>
        <v>0</v>
      </c>
    </row>
    <row r="85" spans="1:30">
      <c r="A85" s="41" t="s">
        <v>846</v>
      </c>
      <c r="B85" s="275">
        <f>+B$84/5</f>
        <v>17.519263669384085</v>
      </c>
      <c r="C85" s="275">
        <f>+B85</f>
        <v>17.519263669384085</v>
      </c>
      <c r="D85" s="275">
        <f t="shared" ref="D85:H88" si="37">+C85</f>
        <v>17.519263669384085</v>
      </c>
      <c r="E85" s="275">
        <f t="shared" si="37"/>
        <v>17.519263669384085</v>
      </c>
      <c r="F85" s="275">
        <f t="shared" si="37"/>
        <v>17.519263669384085</v>
      </c>
      <c r="G85" s="275"/>
      <c r="H85" s="438"/>
    </row>
    <row r="86" spans="1:30">
      <c r="A86" s="25" t="s">
        <v>847</v>
      </c>
      <c r="B86" s="260"/>
      <c r="C86" s="260">
        <f>+C$84/5</f>
        <v>0</v>
      </c>
      <c r="D86" s="260">
        <f>+C86</f>
        <v>0</v>
      </c>
      <c r="E86" s="260">
        <f t="shared" si="37"/>
        <v>0</v>
      </c>
      <c r="F86" s="260">
        <f t="shared" si="37"/>
        <v>0</v>
      </c>
      <c r="G86" s="260">
        <f t="shared" si="37"/>
        <v>0</v>
      </c>
      <c r="H86" s="439"/>
    </row>
    <row r="87" spans="1:30">
      <c r="A87" s="25" t="s">
        <v>848</v>
      </c>
      <c r="B87" s="260"/>
      <c r="C87" s="260"/>
      <c r="D87" s="260">
        <f>+D$84/5</f>
        <v>0</v>
      </c>
      <c r="E87" s="260">
        <f>+D87</f>
        <v>0</v>
      </c>
      <c r="F87" s="260">
        <f t="shared" si="37"/>
        <v>0</v>
      </c>
      <c r="G87" s="260">
        <f t="shared" si="37"/>
        <v>0</v>
      </c>
      <c r="H87" s="439">
        <f t="shared" si="37"/>
        <v>0</v>
      </c>
    </row>
    <row r="88" spans="1:30">
      <c r="A88" s="25" t="s">
        <v>849</v>
      </c>
      <c r="B88" s="260"/>
      <c r="C88" s="260"/>
      <c r="D88" s="260"/>
      <c r="E88" s="260">
        <f>+E$84/5</f>
        <v>0</v>
      </c>
      <c r="F88" s="260">
        <f>+E88</f>
        <v>0</v>
      </c>
      <c r="G88" s="260">
        <f t="shared" si="37"/>
        <v>0</v>
      </c>
      <c r="H88" s="439">
        <f t="shared" si="37"/>
        <v>0</v>
      </c>
    </row>
    <row r="89" spans="1:30" ht="15" thickBot="1">
      <c r="A89" s="36" t="s">
        <v>850</v>
      </c>
      <c r="B89" s="273"/>
      <c r="C89" s="273"/>
      <c r="D89" s="273"/>
      <c r="E89" s="273"/>
      <c r="F89" s="273">
        <f>+F$84/5</f>
        <v>0</v>
      </c>
      <c r="G89" s="273">
        <f>+F89</f>
        <v>0</v>
      </c>
      <c r="H89" s="440">
        <f>+G89</f>
        <v>0</v>
      </c>
    </row>
    <row r="90" spans="1:30" ht="15" thickBot="1">
      <c r="A90" s="248" t="s">
        <v>828</v>
      </c>
      <c r="B90" s="85">
        <f>+SUM(B85:B89)</f>
        <v>17.519263669384085</v>
      </c>
      <c r="C90" s="85">
        <f t="shared" ref="C90:H90" si="38">+SUM(C85:C89)</f>
        <v>17.519263669384085</v>
      </c>
      <c r="D90" s="85">
        <f t="shared" si="38"/>
        <v>17.519263669384085</v>
      </c>
      <c r="E90" s="85">
        <f t="shared" si="38"/>
        <v>17.519263669384085</v>
      </c>
      <c r="F90" s="85">
        <f t="shared" si="38"/>
        <v>17.519263669384085</v>
      </c>
      <c r="G90" s="85">
        <f t="shared" si="38"/>
        <v>0</v>
      </c>
      <c r="H90" s="86">
        <f t="shared" si="38"/>
        <v>0</v>
      </c>
      <c r="K90" t="s">
        <v>92</v>
      </c>
    </row>
    <row r="91" spans="1:30" ht="18.600000000000001" customHeight="1" thickBot="1">
      <c r="A91" s="878"/>
      <c r="B91" s="879"/>
      <c r="C91" s="879"/>
      <c r="D91" s="879"/>
      <c r="E91" s="879"/>
      <c r="F91" s="879"/>
      <c r="G91" s="879"/>
      <c r="H91" s="880"/>
      <c r="AB91" s="9"/>
      <c r="AC91" s="55"/>
      <c r="AD91" s="9"/>
    </row>
    <row r="92" spans="1:30" ht="15" thickBot="1">
      <c r="A92" s="915" t="s">
        <v>878</v>
      </c>
      <c r="B92" s="3" t="str">
        <f>'Output for sales-PM'!$B$22</f>
        <v>Pre-launch</v>
      </c>
      <c r="C92" s="803" t="str">
        <f>'Output for sales-PM'!$C$22</f>
        <v>SOP/Y1</v>
      </c>
      <c r="D92" s="803" t="str">
        <f>'Output for sales-PM'!$D$22</f>
        <v>Y2</v>
      </c>
      <c r="E92" s="803" t="str">
        <f>'Output for sales-PM'!$E$22</f>
        <v>Y3</v>
      </c>
      <c r="F92" s="803" t="str">
        <f>'Output for sales-PM'!$F$22</f>
        <v>Y4</v>
      </c>
      <c r="G92" s="803" t="str">
        <f>'Output for sales-PM'!$G$22</f>
        <v>Y5</v>
      </c>
      <c r="H92" s="75" t="str">
        <f>'Output for sales-PM'!$H$22</f>
        <v>EOL</v>
      </c>
      <c r="I92" s="964" t="s">
        <v>738</v>
      </c>
    </row>
    <row r="93" spans="1:30" ht="22.2" hidden="1" customHeight="1" outlineLevel="2">
      <c r="A93" s="951" t="s">
        <v>879</v>
      </c>
      <c r="B93" s="902">
        <f>+'Material Cost '!DH35</f>
        <v>0</v>
      </c>
      <c r="C93" s="902">
        <f>+'Material Cost '!DI35</f>
        <v>0</v>
      </c>
      <c r="D93" s="902">
        <f>+'Material Cost '!DJ35</f>
        <v>0</v>
      </c>
      <c r="E93" s="902">
        <f>+'Material Cost '!DK35</f>
        <v>0</v>
      </c>
      <c r="F93" s="902">
        <f>+'Material Cost '!DL35</f>
        <v>0</v>
      </c>
      <c r="G93" s="902">
        <f>+'Material Cost '!DM35</f>
        <v>0</v>
      </c>
      <c r="H93" s="952"/>
      <c r="AB93" s="9"/>
      <c r="AC93" s="55"/>
      <c r="AD93" s="9"/>
    </row>
    <row r="94" spans="1:30" ht="22.2" hidden="1" customHeight="1" outlineLevel="2" thickBot="1">
      <c r="A94" s="953" t="s">
        <v>880</v>
      </c>
      <c r="B94" s="945">
        <f>'Financials Parameters'!$Q$20</f>
        <v>0.1</v>
      </c>
      <c r="C94" s="253">
        <f>'Financials Parameters'!$Q$20</f>
        <v>0.1</v>
      </c>
      <c r="D94" s="253">
        <f>'Financials Parameters'!$Q$20</f>
        <v>0.1</v>
      </c>
      <c r="E94" s="253">
        <f>'Financials Parameters'!$Q$20</f>
        <v>0.1</v>
      </c>
      <c r="F94" s="253">
        <f>'Financials Parameters'!$Q$20</f>
        <v>0.1</v>
      </c>
      <c r="G94" s="253">
        <f>'Financials Parameters'!$Q$20</f>
        <v>0.1</v>
      </c>
      <c r="H94" s="954"/>
      <c r="AB94" s="9"/>
      <c r="AC94" s="55"/>
      <c r="AD94" s="9"/>
    </row>
    <row r="95" spans="1:30" ht="22.2" customHeight="1" outlineLevel="1" collapsed="1" thickBot="1">
      <c r="A95" s="955" t="s">
        <v>881</v>
      </c>
      <c r="B95" s="946">
        <f>B93/(1-B94)</f>
        <v>0</v>
      </c>
      <c r="C95" s="947">
        <f t="shared" ref="C95:G95" si="39">C93/(1-C94)</f>
        <v>0</v>
      </c>
      <c r="D95" s="947">
        <f t="shared" si="39"/>
        <v>0</v>
      </c>
      <c r="E95" s="947">
        <f t="shared" si="39"/>
        <v>0</v>
      </c>
      <c r="F95" s="947">
        <f t="shared" si="39"/>
        <v>0</v>
      </c>
      <c r="G95" s="947">
        <f t="shared" si="39"/>
        <v>0</v>
      </c>
      <c r="H95" s="956"/>
      <c r="I95" s="964" t="str">
        <f>'RFQ Data'!N30</f>
        <v>Invoiced</v>
      </c>
      <c r="AB95" s="9"/>
      <c r="AC95" s="55"/>
      <c r="AD95" s="9"/>
    </row>
    <row r="96" spans="1:30" ht="22.2" hidden="1" customHeight="1" outlineLevel="2">
      <c r="A96" s="957" t="s">
        <v>882</v>
      </c>
      <c r="B96" s="948">
        <f>+'Product Added value'!CH32</f>
        <v>0</v>
      </c>
      <c r="C96" s="949">
        <f>+'Product Added value'!CI32</f>
        <v>0</v>
      </c>
      <c r="D96" s="949">
        <f>+'Product Added value'!CJ32</f>
        <v>0</v>
      </c>
      <c r="E96" s="949">
        <f>+'Product Added value'!CK32</f>
        <v>0</v>
      </c>
      <c r="F96" s="949">
        <f>+'Product Added value'!CL32</f>
        <v>0</v>
      </c>
      <c r="G96" s="949">
        <f>+'Product Added value'!CM32</f>
        <v>0</v>
      </c>
      <c r="H96" s="954"/>
      <c r="I96">
        <f>'RFQ Data'!N53</f>
        <v>0</v>
      </c>
      <c r="AB96" s="9"/>
      <c r="AC96" s="55"/>
      <c r="AD96" s="9"/>
    </row>
    <row r="97" spans="1:30" ht="22.2" hidden="1" customHeight="1" outlineLevel="2" thickBot="1">
      <c r="A97" s="2166" t="s">
        <v>880</v>
      </c>
      <c r="B97" s="2167">
        <f>'Financials Parameters'!$Q$21</f>
        <v>0.1</v>
      </c>
      <c r="C97" s="2168">
        <f>'Financials Parameters'!$Q$21</f>
        <v>0.1</v>
      </c>
      <c r="D97" s="2168">
        <f>'Financials Parameters'!$Q$21</f>
        <v>0.1</v>
      </c>
      <c r="E97" s="2168">
        <f>'Financials Parameters'!$Q$21</f>
        <v>0.1</v>
      </c>
      <c r="F97" s="2168">
        <f>'Financials Parameters'!$Q$21</f>
        <v>0.1</v>
      </c>
      <c r="G97" s="2168">
        <f>'Financials Parameters'!$Q$21</f>
        <v>0.1</v>
      </c>
      <c r="H97" s="954"/>
      <c r="I97">
        <f>'RFQ Data'!N54</f>
        <v>0</v>
      </c>
      <c r="AB97" s="9"/>
      <c r="AC97" s="55"/>
      <c r="AD97" s="9"/>
    </row>
    <row r="98" spans="1:30" ht="22.2" customHeight="1" outlineLevel="1" collapsed="1" thickBot="1">
      <c r="A98" s="958" t="s">
        <v>883</v>
      </c>
      <c r="B98" s="950">
        <f>B96/(1-B97)</f>
        <v>0</v>
      </c>
      <c r="C98" s="950">
        <f t="shared" ref="C98:G98" si="40">C96/(1-C97)</f>
        <v>0</v>
      </c>
      <c r="D98" s="950">
        <f t="shared" si="40"/>
        <v>0</v>
      </c>
      <c r="E98" s="950">
        <f t="shared" si="40"/>
        <v>0</v>
      </c>
      <c r="F98" s="950">
        <f t="shared" si="40"/>
        <v>0</v>
      </c>
      <c r="G98" s="950">
        <f t="shared" si="40"/>
        <v>0</v>
      </c>
      <c r="H98" s="956"/>
      <c r="I98" s="964" t="str">
        <f>'RFQ Data'!N31</f>
        <v>Invoiced</v>
      </c>
      <c r="AB98" s="9"/>
      <c r="AC98" s="55"/>
      <c r="AD98" s="9"/>
    </row>
    <row r="99" spans="1:30" ht="22.2" hidden="1" customHeight="1" outlineLevel="2">
      <c r="A99" s="957" t="s">
        <v>884</v>
      </c>
      <c r="B99" s="948">
        <f t="shared" ref="B99:G99" si="41">CL55</f>
        <v>0</v>
      </c>
      <c r="C99" s="949">
        <f t="shared" si="41"/>
        <v>0</v>
      </c>
      <c r="D99" s="949">
        <f t="shared" si="41"/>
        <v>0</v>
      </c>
      <c r="E99" s="949">
        <f t="shared" si="41"/>
        <v>0</v>
      </c>
      <c r="F99" s="949">
        <f t="shared" si="41"/>
        <v>0</v>
      </c>
      <c r="G99" s="949">
        <f t="shared" si="41"/>
        <v>0</v>
      </c>
      <c r="H99" s="956"/>
      <c r="AB99" s="9"/>
      <c r="AC99" s="55"/>
      <c r="AD99" s="9"/>
    </row>
    <row r="100" spans="1:30" ht="22.2" hidden="1" customHeight="1" outlineLevel="2" thickBot="1">
      <c r="A100" s="959" t="s">
        <v>880</v>
      </c>
      <c r="B100" s="2167">
        <f>'Financials Parameters'!$Q$22</f>
        <v>0.1</v>
      </c>
      <c r="C100" s="2168">
        <f>'Financials Parameters'!$Q$21</f>
        <v>0.1</v>
      </c>
      <c r="D100" s="2168">
        <f>'Financials Parameters'!$Q$21</f>
        <v>0.1</v>
      </c>
      <c r="E100" s="2168">
        <f>'Financials Parameters'!$Q$21</f>
        <v>0.1</v>
      </c>
      <c r="F100" s="2168">
        <f>'Financials Parameters'!$Q$21</f>
        <v>0.1</v>
      </c>
      <c r="G100" s="2168">
        <f>'Financials Parameters'!$Q$21</f>
        <v>0.1</v>
      </c>
      <c r="H100" s="954"/>
      <c r="AB100" s="9"/>
      <c r="AC100" s="55"/>
      <c r="AD100" s="9"/>
    </row>
    <row r="101" spans="1:30" ht="22.2" customHeight="1" outlineLevel="1" collapsed="1" thickBot="1">
      <c r="A101" s="955" t="s">
        <v>885</v>
      </c>
      <c r="B101" s="946">
        <f>B99/(1-B100)</f>
        <v>0</v>
      </c>
      <c r="C101" s="947">
        <f t="shared" ref="C101:G101" si="42">C99/(1-C100)</f>
        <v>0</v>
      </c>
      <c r="D101" s="947">
        <f t="shared" si="42"/>
        <v>0</v>
      </c>
      <c r="E101" s="947">
        <f t="shared" si="42"/>
        <v>0</v>
      </c>
      <c r="F101" s="947">
        <f t="shared" si="42"/>
        <v>0</v>
      </c>
      <c r="G101" s="947">
        <f t="shared" si="42"/>
        <v>0</v>
      </c>
      <c r="H101" s="960"/>
      <c r="I101" s="964" t="str">
        <f>'RFQ Data'!N32</f>
        <v>Invoiced</v>
      </c>
      <c r="AB101" s="9"/>
      <c r="AC101" s="55"/>
      <c r="AD101" s="9"/>
    </row>
    <row r="102" spans="1:30" ht="22.2" hidden="1" customHeight="1" outlineLevel="2">
      <c r="A102" s="2169" t="s">
        <v>730</v>
      </c>
      <c r="B102" s="2170">
        <f>'Transp-Packaging-AMS'!S55</f>
        <v>0</v>
      </c>
      <c r="C102" s="2171"/>
      <c r="D102" s="2171"/>
      <c r="E102" s="2171"/>
      <c r="F102" s="2171"/>
      <c r="G102" s="2171"/>
      <c r="H102" s="960"/>
      <c r="AB102" s="9"/>
      <c r="AC102" s="55"/>
      <c r="AD102" s="9"/>
    </row>
    <row r="103" spans="1:30" ht="22.2" hidden="1" customHeight="1" outlineLevel="2" thickBot="1">
      <c r="A103" s="959" t="s">
        <v>880</v>
      </c>
      <c r="B103" s="2167">
        <f>'Financials Parameters'!$Q$22</f>
        <v>0.1</v>
      </c>
      <c r="C103" s="947"/>
      <c r="D103" s="947"/>
      <c r="E103" s="947"/>
      <c r="F103" s="947"/>
      <c r="G103" s="947"/>
      <c r="H103" s="960"/>
      <c r="AB103" s="9"/>
      <c r="AC103" s="55"/>
      <c r="AD103" s="9"/>
    </row>
    <row r="104" spans="1:30" ht="22.2" customHeight="1" outlineLevel="1" collapsed="1" thickBot="1">
      <c r="A104" s="2174" t="s">
        <v>886</v>
      </c>
      <c r="B104" s="2175">
        <f>B102/(1-B103)</f>
        <v>0</v>
      </c>
      <c r="C104" s="946"/>
      <c r="D104" s="946"/>
      <c r="E104" s="946"/>
      <c r="F104" s="946"/>
      <c r="G104" s="946"/>
      <c r="H104" s="960"/>
      <c r="I104" s="964" t="str">
        <f>'RFQ Data'!N33</f>
        <v>Invoiced</v>
      </c>
      <c r="AB104" s="9"/>
      <c r="AC104" s="55"/>
      <c r="AD104" s="9"/>
    </row>
    <row r="105" spans="1:30" ht="22.2" hidden="1" customHeight="1" outlineLevel="2">
      <c r="A105" s="957" t="s">
        <v>731</v>
      </c>
      <c r="B105" s="948">
        <f>'Capex '!C26</f>
        <v>0</v>
      </c>
      <c r="C105" s="949"/>
      <c r="D105" s="949"/>
      <c r="E105" s="949"/>
      <c r="F105" s="949"/>
      <c r="G105" s="949"/>
      <c r="H105" s="960"/>
      <c r="AB105" s="9"/>
      <c r="AC105" s="55"/>
      <c r="AD105" s="9"/>
    </row>
    <row r="106" spans="1:30" ht="22.2" hidden="1" customHeight="1" outlineLevel="2" thickBot="1">
      <c r="A106" s="2166" t="s">
        <v>880</v>
      </c>
      <c r="B106" s="2167">
        <f>'Financials Parameters'!$Q$22</f>
        <v>0.1</v>
      </c>
      <c r="C106" s="2173"/>
      <c r="D106" s="2173"/>
      <c r="E106" s="2173"/>
      <c r="F106" s="2173"/>
      <c r="G106" s="2173"/>
      <c r="H106" s="960"/>
      <c r="AB106" s="9"/>
      <c r="AC106" s="55"/>
      <c r="AD106" s="9"/>
    </row>
    <row r="107" spans="1:30" ht="22.2" customHeight="1" outlineLevel="1" collapsed="1" thickBot="1">
      <c r="A107" s="963" t="s">
        <v>887</v>
      </c>
      <c r="B107" s="2172">
        <f>B105/(1-B106)</f>
        <v>0</v>
      </c>
      <c r="C107" s="961"/>
      <c r="D107" s="961"/>
      <c r="E107" s="961"/>
      <c r="F107" s="961"/>
      <c r="G107" s="961"/>
      <c r="H107" s="962"/>
      <c r="I107" s="964" t="str">
        <f>'RFQ Data'!N34</f>
        <v>Invoiced</v>
      </c>
      <c r="AB107" s="9"/>
      <c r="AC107" s="55"/>
      <c r="AD107" s="9"/>
    </row>
    <row r="108" spans="1:30" ht="22.2" customHeight="1" thickBot="1">
      <c r="A108" s="940" t="s">
        <v>888</v>
      </c>
      <c r="B108" s="941">
        <f>B101+B98+B95+B104+B107</f>
        <v>0</v>
      </c>
      <c r="C108" s="942">
        <f t="shared" ref="C108:G108" si="43">C101+C98+C95</f>
        <v>0</v>
      </c>
      <c r="D108" s="942">
        <f t="shared" si="43"/>
        <v>0</v>
      </c>
      <c r="E108" s="942">
        <f t="shared" si="43"/>
        <v>0</v>
      </c>
      <c r="F108" s="942">
        <f t="shared" si="43"/>
        <v>0</v>
      </c>
      <c r="G108" s="943">
        <f t="shared" si="43"/>
        <v>0</v>
      </c>
      <c r="H108" s="944"/>
      <c r="AB108" s="9"/>
      <c r="AC108" s="55"/>
      <c r="AD108" s="9"/>
    </row>
    <row r="109" spans="1:30" ht="18.600000000000001" customHeight="1" thickBot="1">
      <c r="A109" s="878"/>
      <c r="B109" s="879"/>
      <c r="C109" s="879"/>
      <c r="D109" s="879"/>
      <c r="E109" s="879"/>
      <c r="F109" s="879"/>
      <c r="G109" s="879"/>
      <c r="H109" s="880"/>
      <c r="AB109" s="9"/>
      <c r="AC109" s="55"/>
      <c r="AD109" s="9"/>
    </row>
    <row r="110" spans="1:30" ht="15" thickBot="1">
      <c r="A110" s="900" t="s">
        <v>889</v>
      </c>
      <c r="B110" s="3" t="str">
        <f>'Output for sales-PM'!$B$22</f>
        <v>Pre-launch</v>
      </c>
      <c r="C110" s="803" t="str">
        <f>'Output for sales-PM'!$C$22</f>
        <v>SOP/Y1</v>
      </c>
      <c r="D110" s="803" t="str">
        <f>'Output for sales-PM'!$D$22</f>
        <v>Y2</v>
      </c>
      <c r="E110" s="803" t="str">
        <f>'Output for sales-PM'!$E$22</f>
        <v>Y3</v>
      </c>
      <c r="F110" s="803" t="str">
        <f>'Output for sales-PM'!$F$22</f>
        <v>Y4</v>
      </c>
      <c r="G110" s="803" t="str">
        <f>'Output for sales-PM'!$G$22</f>
        <v>Y5</v>
      </c>
      <c r="H110" s="75" t="str">
        <f>'Output for sales-PM'!$H$22</f>
        <v>EOL</v>
      </c>
    </row>
    <row r="111" spans="1:30" ht="22.2" customHeight="1" outlineLevel="1">
      <c r="A111" s="889" t="s">
        <v>890</v>
      </c>
      <c r="B111" s="901">
        <f>'Product Added value'!CN32+'Material Cost '!DA35</f>
        <v>0</v>
      </c>
      <c r="C111" s="902">
        <f>'Product Added value'!CO32+'Material Cost '!DB35</f>
        <v>0</v>
      </c>
      <c r="D111" s="902">
        <f>'Product Added value'!CP32+'Material Cost '!DC35</f>
        <v>0</v>
      </c>
      <c r="E111" s="902">
        <f>'Product Added value'!CQ32+'Material Cost '!DD35</f>
        <v>0</v>
      </c>
      <c r="F111" s="902">
        <f>'Product Added value'!CR32+'Material Cost '!DE35</f>
        <v>0</v>
      </c>
      <c r="G111" s="907">
        <f>'Product Added value'!CS32+'Material Cost '!DF35</f>
        <v>0</v>
      </c>
      <c r="H111" s="903"/>
      <c r="AB111" s="9"/>
      <c r="AC111" s="55"/>
      <c r="AD111" s="9"/>
    </row>
    <row r="112" spans="1:30" ht="22.2" customHeight="1" outlineLevel="1">
      <c r="A112" s="847" t="s">
        <v>891</v>
      </c>
      <c r="B112" s="904">
        <f>+'Product Added value'!CB32</f>
        <v>70.707070707070699</v>
      </c>
      <c r="C112" s="908">
        <f>+'Product Added value'!CC32</f>
        <v>0</v>
      </c>
      <c r="D112" s="908">
        <f>+'Product Added value'!CD32</f>
        <v>0</v>
      </c>
      <c r="E112" s="908">
        <f>+'Product Added value'!CE32</f>
        <v>0</v>
      </c>
      <c r="F112" s="908">
        <f>+'Product Added value'!CF32</f>
        <v>0</v>
      </c>
      <c r="G112" s="908">
        <f>+'Product Added value'!CG32</f>
        <v>0</v>
      </c>
      <c r="H112" s="909"/>
      <c r="AB112" s="9"/>
      <c r="AC112" s="55"/>
      <c r="AD112" s="9"/>
    </row>
    <row r="113" spans="1:30" ht="22.2" customHeight="1" outlineLevel="1" thickBot="1">
      <c r="A113" s="846" t="s">
        <v>892</v>
      </c>
      <c r="B113" s="910">
        <f>'Capex '!C9</f>
        <v>16.889247639849728</v>
      </c>
      <c r="C113" s="911"/>
      <c r="D113" s="911"/>
      <c r="E113" s="911"/>
      <c r="F113" s="911"/>
      <c r="G113" s="911"/>
      <c r="H113" s="912"/>
      <c r="AB113" s="9"/>
      <c r="AC113" s="55"/>
      <c r="AD113" s="9"/>
    </row>
    <row r="114" spans="1:30" ht="22.2" customHeight="1" thickBot="1">
      <c r="A114" s="905" t="s">
        <v>893</v>
      </c>
      <c r="B114" s="1978">
        <f>SUM(B111:B113)</f>
        <v>87.596318346920427</v>
      </c>
      <c r="C114" s="1979">
        <f t="shared" ref="C114:G114" si="44">SUM(C111:C113)</f>
        <v>0</v>
      </c>
      <c r="D114" s="1979">
        <f>SUM(D111:D113)</f>
        <v>0</v>
      </c>
      <c r="E114" s="1979">
        <f t="shared" si="44"/>
        <v>0</v>
      </c>
      <c r="F114" s="1979">
        <f t="shared" si="44"/>
        <v>0</v>
      </c>
      <c r="G114" s="1979">
        <f t="shared" si="44"/>
        <v>0</v>
      </c>
      <c r="H114" s="906"/>
      <c r="AB114" s="9"/>
      <c r="AC114" s="55"/>
      <c r="AD114" s="9"/>
    </row>
    <row r="115" spans="1:30" ht="10.199999999999999" customHeight="1" thickBot="1">
      <c r="A115" s="913"/>
      <c r="B115" s="913"/>
      <c r="C115" s="914"/>
      <c r="D115" s="914"/>
      <c r="E115" s="914"/>
      <c r="F115" s="914"/>
      <c r="G115" s="914"/>
      <c r="H115" s="914"/>
      <c r="AB115" s="9"/>
      <c r="AC115" s="55"/>
      <c r="AD115" s="9"/>
    </row>
    <row r="116" spans="1:30" ht="15" thickBot="1">
      <c r="A116" s="915" t="s">
        <v>894</v>
      </c>
      <c r="B116" s="3" t="str">
        <f>'Output for sales-PM'!$B$22</f>
        <v>Pre-launch</v>
      </c>
      <c r="C116" s="803" t="str">
        <f>'Output for sales-PM'!$C$22</f>
        <v>SOP/Y1</v>
      </c>
      <c r="D116" s="803" t="str">
        <f>'Output for sales-PM'!$D$22</f>
        <v>Y2</v>
      </c>
      <c r="E116" s="803" t="str">
        <f>'Output for sales-PM'!$E$22</f>
        <v>Y3</v>
      </c>
      <c r="F116" s="803" t="str">
        <f>'Output for sales-PM'!$F$22</f>
        <v>Y4</v>
      </c>
      <c r="G116" s="803" t="str">
        <f>'Output for sales-PM'!$G$22</f>
        <v>Y5</v>
      </c>
      <c r="H116" s="75" t="str">
        <f>'Output for sales-PM'!$H$22</f>
        <v>EOL</v>
      </c>
    </row>
    <row r="117" spans="1:30" outlineLevel="1">
      <c r="A117" s="3" t="s">
        <v>895</v>
      </c>
      <c r="B117" s="145">
        <f>+'Material Cost '!$BJ$35*'Output for sales-PM'!B24</f>
        <v>0</v>
      </c>
      <c r="C117" s="890">
        <f>+'Material Cost '!$BJ$35*'Output for sales-PM'!C24</f>
        <v>30.905648379249914</v>
      </c>
      <c r="D117" s="890">
        <f>+'Material Cost '!$BJ$35*'Output for sales-PM'!D24</f>
        <v>30.905648379249914</v>
      </c>
      <c r="E117" s="890">
        <f>+'Material Cost '!$BJ$35*'Output for sales-PM'!E24</f>
        <v>30.905648379249914</v>
      </c>
      <c r="F117" s="890">
        <f>+'Material Cost '!$BJ$35*'Output for sales-PM'!F24</f>
        <v>30.905648379249914</v>
      </c>
      <c r="G117" s="890">
        <f>+'Material Cost '!$BJ$35*'Output for sales-PM'!G24</f>
        <v>30.905648379249914</v>
      </c>
      <c r="H117" s="916">
        <f>+'Material Cost '!$BJ$35*'Output for sales-PM'!H24</f>
        <v>0</v>
      </c>
      <c r="K117" s="2"/>
      <c r="L117" s="2"/>
      <c r="M117" s="2"/>
      <c r="N117" s="2"/>
      <c r="O117" s="2"/>
      <c r="P117" s="2"/>
      <c r="Q117" s="2"/>
    </row>
    <row r="118" spans="1:30" outlineLevel="1">
      <c r="A118" s="917" t="s">
        <v>896</v>
      </c>
      <c r="B118" s="918">
        <f>-'RFQ Data'!$E$16*PriceCalAVO!B9/365-IF('RFQ Data'!$D$17="DAP",'RFQ Data'!$F$18*PriceCalAVO!B9/48,0)</f>
        <v>0</v>
      </c>
      <c r="C118" s="919">
        <f>-'RFQ Data'!$E$16*PriceCalAVO!C9/365-IF('RFQ Data'!$D$17="DAP",'RFQ Data'!$F$18*PriceCalAVO!C9/48,0)</f>
        <v>-249.06628683912007</v>
      </c>
      <c r="D118" s="919">
        <f>-'RFQ Data'!$E$16*PriceCalAVO!D9/365-IF('RFQ Data'!$D$17="DAP",'RFQ Data'!$F$18*PriceCalAVO!D9/48,0)</f>
        <v>-249.06628683912007</v>
      </c>
      <c r="E118" s="919">
        <f>-'RFQ Data'!$E$16*PriceCalAVO!E9/365-IF('RFQ Data'!$D$17="DAP",'RFQ Data'!$F$18*PriceCalAVO!E9/48,0)</f>
        <v>-249.06628683912007</v>
      </c>
      <c r="F118" s="919">
        <f>-'RFQ Data'!$E$16*PriceCalAVO!F9/365-IF('RFQ Data'!$D$17="DAP",'RFQ Data'!$F$18*PriceCalAVO!F9/48,0)</f>
        <v>-249.06628683912007</v>
      </c>
      <c r="G118" s="919">
        <f>-'RFQ Data'!$E$16*PriceCalAVO!G9/365-IF('RFQ Data'!$D$17="DAP",'RFQ Data'!$F$18*PriceCalAVO!G9/48,0)</f>
        <v>-249.06628683912007</v>
      </c>
      <c r="H118" s="920">
        <f>-'RFQ Data'!$E$16*PriceCalAVO!H9/365-IF('RFQ Data'!$D$17="DAP",'RFQ Data'!$F$18*PriceCalAVO!H9/48,0)</f>
        <v>0</v>
      </c>
      <c r="K118" s="2"/>
      <c r="L118" s="2"/>
      <c r="M118" s="2"/>
      <c r="N118" s="2"/>
      <c r="O118" s="2"/>
      <c r="P118" s="2"/>
      <c r="Q118" s="2"/>
    </row>
    <row r="119" spans="1:30" outlineLevel="1">
      <c r="A119" s="144" t="s">
        <v>897</v>
      </c>
      <c r="B119" s="144">
        <f>-'RFQ Data'!$G$25/365*'Output for sales-PM'!B31</f>
        <v>0</v>
      </c>
      <c r="C119" s="830">
        <f>-'RFQ Data'!$G$25/365*'Output for sales-PM'!C31</f>
        <v>-49.972602739726028</v>
      </c>
      <c r="D119" s="830">
        <f>-'RFQ Data'!$G$25/365*'Output for sales-PM'!D31</f>
        <v>-49.972602739726028</v>
      </c>
      <c r="E119" s="830">
        <f>-'RFQ Data'!$G$25/365*'Output for sales-PM'!E31</f>
        <v>-49.972602739726028</v>
      </c>
      <c r="F119" s="830">
        <f>-'RFQ Data'!$G$25/365*'Output for sales-PM'!F31</f>
        <v>-49.972602739726028</v>
      </c>
      <c r="G119" s="830">
        <f>-'RFQ Data'!$G$25/365*'Output for sales-PM'!G31</f>
        <v>-49.972602739726028</v>
      </c>
      <c r="H119" s="35">
        <f>-'RFQ Data'!$G$25/365*'Output for sales-PM'!H31</f>
        <v>0</v>
      </c>
      <c r="K119" s="2"/>
      <c r="L119" s="2"/>
      <c r="M119" s="2"/>
      <c r="N119" s="2"/>
      <c r="O119" s="2"/>
      <c r="P119" s="2"/>
      <c r="Q119" s="2"/>
    </row>
    <row r="120" spans="1:30" outlineLevel="1">
      <c r="A120" s="917" t="s">
        <v>898</v>
      </c>
      <c r="B120" s="917">
        <f>-'RFQ Data'!$J$65/365*B35</f>
        <v>0</v>
      </c>
      <c r="C120" s="919">
        <f>-'RFQ Data'!$J$65/365*C35</f>
        <v>-5.5632661385464948</v>
      </c>
      <c r="D120" s="919">
        <f>-'RFQ Data'!$J$65/365*D35</f>
        <v>-5.5071752069984408</v>
      </c>
      <c r="E120" s="919">
        <f>-'RFQ Data'!$J$65/365*E35</f>
        <v>-5.4523968994505498</v>
      </c>
      <c r="F120" s="919">
        <f>-'RFQ Data'!$J$65/365*F35</f>
        <v>-5.4523968994505498</v>
      </c>
      <c r="G120" s="919">
        <f>-'RFQ Data'!$J$65/365*G35</f>
        <v>-5.4523968994505498</v>
      </c>
      <c r="H120" s="921">
        <f>-'RFQ Data'!$J$65/365*H35</f>
        <v>0</v>
      </c>
      <c r="K120" s="2"/>
      <c r="L120" s="2"/>
      <c r="M120" s="2"/>
      <c r="N120" s="2"/>
      <c r="O120" s="2"/>
      <c r="P120" s="2"/>
      <c r="Q120" s="2"/>
    </row>
    <row r="121" spans="1:30" outlineLevel="1">
      <c r="A121" s="144" t="s">
        <v>899</v>
      </c>
      <c r="B121" s="144">
        <f>-'Material Cost '!$BL$35*'Output for sales-PM'!B33</f>
        <v>0</v>
      </c>
      <c r="C121" s="830">
        <f>-'Material Cost '!$BL$35*'Output for sales-PM'!C24</f>
        <v>-16.285965162838885</v>
      </c>
      <c r="D121" s="830">
        <f>-'Material Cost '!$BL$35*'Output for sales-PM'!D24</f>
        <v>-16.285965162838885</v>
      </c>
      <c r="E121" s="830">
        <f>-'Material Cost '!$BL$35*'Output for sales-PM'!E24</f>
        <v>-16.285965162838885</v>
      </c>
      <c r="F121" s="830">
        <f>-'Material Cost '!$BL$35*'Output for sales-PM'!F24</f>
        <v>-16.285965162838885</v>
      </c>
      <c r="G121" s="830">
        <f>-'Material Cost '!$BL$35*'Output for sales-PM'!G24</f>
        <v>-16.285965162838885</v>
      </c>
      <c r="H121" s="106">
        <f>-'Material Cost '!$BL$35*'Output for sales-PM'!H24</f>
        <v>0</v>
      </c>
      <c r="K121" s="2"/>
      <c r="L121" s="2"/>
      <c r="M121" s="2"/>
      <c r="N121" s="2"/>
      <c r="O121" s="2"/>
      <c r="P121" s="2"/>
      <c r="Q121" s="2"/>
    </row>
    <row r="122" spans="1:30" ht="15" thickBot="1">
      <c r="A122" s="970" t="s">
        <v>900</v>
      </c>
      <c r="B122" s="971">
        <f>+SUM(B117:B121)</f>
        <v>0</v>
      </c>
      <c r="C122" s="972">
        <f t="shared" ref="C122:F122" si="45">+SUM(C117:C121)</f>
        <v>-289.98247250098154</v>
      </c>
      <c r="D122" s="972">
        <f t="shared" si="45"/>
        <v>-289.92638156943349</v>
      </c>
      <c r="E122" s="972">
        <f>+SUM(E117:E121)</f>
        <v>-289.87160326188558</v>
      </c>
      <c r="F122" s="972">
        <f t="shared" si="45"/>
        <v>-289.87160326188558</v>
      </c>
      <c r="G122" s="972">
        <f>+SUM(G117:G121)</f>
        <v>-289.87160326188558</v>
      </c>
      <c r="H122" s="973">
        <f>+SUM(H117:H121)</f>
        <v>0</v>
      </c>
      <c r="K122" s="2"/>
      <c r="L122" s="2"/>
      <c r="M122" s="2"/>
      <c r="N122" s="2"/>
      <c r="O122" s="2"/>
      <c r="P122" s="2"/>
      <c r="Q122" s="2"/>
    </row>
    <row r="123" spans="1:30">
      <c r="A123" s="922" t="s">
        <v>901</v>
      </c>
      <c r="B123" s="923">
        <v>0</v>
      </c>
      <c r="C123" s="924">
        <f>+C122-B122</f>
        <v>-289.98247250098154</v>
      </c>
      <c r="D123" s="924">
        <f>+D122-C122</f>
        <v>5.6090931548055778E-2</v>
      </c>
      <c r="E123" s="924">
        <f t="shared" ref="E123:G123" si="46">+E122-D122</f>
        <v>5.4778307547906024E-2</v>
      </c>
      <c r="F123" s="924">
        <f t="shared" si="46"/>
        <v>0</v>
      </c>
      <c r="G123" s="924">
        <f t="shared" si="46"/>
        <v>0</v>
      </c>
      <c r="H123" s="925">
        <f>+H122-G122*PriceCalAVO!J76</f>
        <v>0</v>
      </c>
      <c r="K123" s="2"/>
      <c r="L123" s="2"/>
      <c r="M123" s="2"/>
      <c r="N123" s="2"/>
      <c r="O123" s="2"/>
      <c r="P123" s="2"/>
      <c r="Q123" s="2"/>
    </row>
    <row r="124" spans="1:30">
      <c r="B124" s="46"/>
      <c r="C124" s="46"/>
      <c r="D124" s="46"/>
      <c r="E124" s="46"/>
      <c r="F124" s="46"/>
      <c r="G124" s="46"/>
      <c r="H124" s="46"/>
    </row>
    <row r="128" spans="1:30">
      <c r="A128" t="s">
        <v>902</v>
      </c>
    </row>
  </sheetData>
  <mergeCells count="5">
    <mergeCell ref="K24:O24"/>
    <mergeCell ref="K25:O25"/>
    <mergeCell ref="K26:O26"/>
    <mergeCell ref="K27:O27"/>
    <mergeCell ref="K28:O28"/>
  </mergeCells>
  <phoneticPr fontId="67" type="noConversion"/>
  <dataValidations count="1">
    <dataValidation type="list" allowBlank="1" showInputMessage="1" showErrorMessage="1" sqref="K27" xr:uid="{BE6B0D45-48EA-46D7-9A70-0B674AE9ABE6}">
      <formula1>"DAP,FCA"</formula1>
    </dataValidation>
  </dataValidations>
  <pageMargins left="0.7" right="0.7" top="0.75" bottom="0.75" header="0.3" footer="0.3"/>
  <pageSetup paperSize="9" orientation="portrait" horizontalDpi="300" verticalDpi="300" r:id="rId1"/>
  <legacyDrawing r:id="rId2"/>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CDBDA-B199-4B26-9B8F-AADE44B13A0D}">
  <sheetPr codeName="Feuil13"/>
  <dimension ref="A1:DK8"/>
  <sheetViews>
    <sheetView workbookViewId="0">
      <selection activeCell="D6" sqref="D6"/>
    </sheetView>
  </sheetViews>
  <sheetFormatPr baseColWidth="10" defaultColWidth="11.44140625" defaultRowHeight="14.4"/>
  <cols>
    <col min="1" max="1" width="16.77734375" bestFit="1" customWidth="1"/>
    <col min="2" max="2" width="14.44140625" bestFit="1" customWidth="1"/>
    <col min="3" max="3" width="10.77734375" bestFit="1" customWidth="1"/>
    <col min="4" max="4" width="11" bestFit="1" customWidth="1"/>
    <col min="5" max="5" width="14.33203125" bestFit="1" customWidth="1"/>
    <col min="6" max="6" width="22.44140625" bestFit="1" customWidth="1"/>
    <col min="7" max="7" width="12.88671875" bestFit="1" customWidth="1"/>
    <col min="8" max="8" width="15" bestFit="1" customWidth="1"/>
    <col min="9" max="9" width="25.21875" bestFit="1" customWidth="1"/>
    <col min="10" max="10" width="12.77734375" bestFit="1" customWidth="1"/>
    <col min="11" max="11" width="17.21875" bestFit="1" customWidth="1"/>
    <col min="12" max="12" width="16.109375" bestFit="1" customWidth="1"/>
    <col min="13" max="13" width="11.21875" bestFit="1" customWidth="1"/>
    <col min="14" max="14" width="18.77734375" bestFit="1" customWidth="1"/>
    <col min="15" max="15" width="21.77734375" bestFit="1" customWidth="1"/>
    <col min="16" max="16" width="17.21875" bestFit="1" customWidth="1"/>
    <col min="17" max="17" width="9.6640625" bestFit="1" customWidth="1"/>
    <col min="18" max="18" width="7.77734375" bestFit="1" customWidth="1"/>
    <col min="19" max="19" width="7" bestFit="1" customWidth="1"/>
    <col min="20" max="20" width="12" bestFit="1" customWidth="1"/>
    <col min="21" max="21" width="17.77734375" bestFit="1" customWidth="1"/>
    <col min="22" max="22" width="28.21875" bestFit="1" customWidth="1"/>
    <col min="23" max="23" width="28.44140625" bestFit="1" customWidth="1"/>
    <col min="24" max="24" width="24.44140625" bestFit="1" customWidth="1"/>
    <col min="25" max="25" width="29.88671875" bestFit="1" customWidth="1"/>
    <col min="26" max="26" width="13.77734375" bestFit="1" customWidth="1"/>
    <col min="27" max="27" width="11.77734375" bestFit="1" customWidth="1"/>
    <col min="28" max="28" width="32.77734375" bestFit="1" customWidth="1"/>
    <col min="29" max="29" width="11.77734375" bestFit="1" customWidth="1"/>
    <col min="30" max="30" width="15.21875" bestFit="1" customWidth="1"/>
    <col min="31" max="31" width="18" bestFit="1" customWidth="1"/>
    <col min="32" max="32" width="11.77734375" bestFit="1" customWidth="1"/>
    <col min="33" max="33" width="16.6640625" bestFit="1" customWidth="1"/>
    <col min="34" max="34" width="12" bestFit="1" customWidth="1"/>
    <col min="35" max="35" width="24.109375" bestFit="1" customWidth="1"/>
    <col min="36" max="36" width="12" bestFit="1" customWidth="1"/>
    <col min="37" max="37" width="11.77734375" bestFit="1" customWidth="1"/>
    <col min="38" max="38" width="31.6640625" bestFit="1" customWidth="1"/>
    <col min="39" max="39" width="30.109375" bestFit="1" customWidth="1"/>
    <col min="40" max="40" width="20.109375" bestFit="1" customWidth="1"/>
    <col min="41" max="41" width="23.44140625" bestFit="1" customWidth="1"/>
    <col min="42" max="42" width="11.77734375" bestFit="1" customWidth="1"/>
    <col min="43" max="43" width="8.6640625" bestFit="1" customWidth="1"/>
    <col min="44" max="44" width="12" bestFit="1" customWidth="1"/>
    <col min="45" max="45" width="11.77734375" bestFit="1" customWidth="1"/>
    <col min="46" max="46" width="25.109375" bestFit="1" customWidth="1"/>
    <col min="47" max="47" width="16.44140625" bestFit="1" customWidth="1"/>
    <col min="48" max="48" width="18.77734375" bestFit="1" customWidth="1"/>
    <col min="49" max="49" width="22" bestFit="1" customWidth="1"/>
    <col min="50" max="50" width="11.77734375" bestFit="1" customWidth="1"/>
    <col min="51" max="51" width="9.109375" bestFit="1" customWidth="1"/>
    <col min="52" max="52" width="12.6640625" bestFit="1" customWidth="1"/>
    <col min="53" max="53" width="11.77734375" bestFit="1" customWidth="1"/>
    <col min="54" max="54" width="13.77734375" bestFit="1" customWidth="1"/>
    <col min="55" max="55" width="14.33203125" bestFit="1" customWidth="1"/>
    <col min="56" max="56" width="11.77734375" bestFit="1" customWidth="1"/>
    <col min="57" max="57" width="18.33203125" bestFit="1" customWidth="1"/>
    <col min="58" max="58" width="21.44140625" bestFit="1" customWidth="1"/>
    <col min="59" max="59" width="11.77734375" bestFit="1" customWidth="1"/>
    <col min="60" max="60" width="7.88671875" bestFit="1" customWidth="1"/>
    <col min="61" max="61" width="11.77734375" bestFit="1" customWidth="1"/>
    <col min="62" max="62" width="11.21875" bestFit="1" customWidth="1"/>
    <col min="63" max="63" width="14.44140625" bestFit="1" customWidth="1"/>
    <col min="64" max="64" width="11.77734375" bestFit="1" customWidth="1"/>
    <col min="65" max="65" width="11.21875" bestFit="1" customWidth="1"/>
    <col min="66" max="66" width="14.21875" bestFit="1" customWidth="1"/>
    <col min="67" max="67" width="8.77734375" bestFit="1" customWidth="1"/>
    <col min="68" max="68" width="8.21875" bestFit="1" customWidth="1"/>
    <col min="69" max="70" width="16.44140625" bestFit="1" customWidth="1"/>
    <col min="71" max="71" width="7.77734375" bestFit="1" customWidth="1"/>
    <col min="72" max="72" width="11.77734375" bestFit="1" customWidth="1"/>
    <col min="73" max="73" width="12" bestFit="1" customWidth="1"/>
    <col min="74" max="75" width="11.77734375" bestFit="1" customWidth="1"/>
    <col min="76" max="76" width="18.77734375" bestFit="1" customWidth="1"/>
    <col min="77" max="81" width="16.33203125" bestFit="1" customWidth="1"/>
    <col min="82" max="82" width="15.88671875" bestFit="1" customWidth="1"/>
    <col min="83" max="83" width="11.77734375" bestFit="1" customWidth="1"/>
    <col min="84" max="84" width="23.6640625" bestFit="1" customWidth="1"/>
    <col min="85" max="85" width="50.77734375" bestFit="1" customWidth="1"/>
    <col min="86" max="86" width="12.44140625" bestFit="1" customWidth="1"/>
    <col min="87" max="87" width="44.77734375" bestFit="1" customWidth="1"/>
    <col min="88" max="88" width="43.77734375" bestFit="1" customWidth="1"/>
    <col min="89" max="89" width="14.33203125" bestFit="1" customWidth="1"/>
    <col min="90" max="90" width="39.77734375" bestFit="1" customWidth="1"/>
    <col min="91" max="91" width="49.44140625" bestFit="1" customWidth="1"/>
    <col min="92" max="92" width="14.33203125" bestFit="1" customWidth="1"/>
    <col min="93" max="93" width="60.33203125" bestFit="1" customWidth="1"/>
    <col min="94" max="94" width="37.109375" bestFit="1" customWidth="1"/>
    <col min="95" max="95" width="14.33203125" bestFit="1" customWidth="1"/>
    <col min="96" max="96" width="51.88671875" bestFit="1" customWidth="1"/>
    <col min="97" max="97" width="18.6640625" bestFit="1" customWidth="1"/>
    <col min="98" max="98" width="14.33203125" bestFit="1" customWidth="1"/>
    <col min="99" max="99" width="33.21875" bestFit="1" customWidth="1"/>
    <col min="100" max="100" width="34.109375" bestFit="1" customWidth="1"/>
    <col min="101" max="101" width="11.77734375" bestFit="1" customWidth="1"/>
    <col min="102" max="102" width="31.109375" bestFit="1" customWidth="1"/>
    <col min="103" max="103" width="45.88671875" bestFit="1" customWidth="1"/>
    <col min="104" max="104" width="31.77734375" bestFit="1" customWidth="1"/>
    <col min="105" max="105" width="13.77734375" bestFit="1" customWidth="1"/>
    <col min="106" max="106" width="36.21875" bestFit="1" customWidth="1"/>
    <col min="107" max="107" width="11.77734375" bestFit="1" customWidth="1"/>
    <col min="108" max="108" width="21.21875" bestFit="1" customWidth="1"/>
    <col min="109" max="109" width="31.6640625" bestFit="1" customWidth="1"/>
    <col min="110" max="110" width="36.33203125" bestFit="1" customWidth="1"/>
    <col min="111" max="111" width="37" bestFit="1" customWidth="1"/>
    <col min="112" max="112" width="38.6640625" bestFit="1" customWidth="1"/>
    <col min="113" max="113" width="48" bestFit="1" customWidth="1"/>
    <col min="114" max="114" width="59.21875" bestFit="1" customWidth="1"/>
    <col min="115" max="115" width="49.88671875" bestFit="1" customWidth="1"/>
  </cols>
  <sheetData>
    <row r="1" spans="1:115">
      <c r="A1" t="s">
        <v>854</v>
      </c>
      <c r="B1" t="s">
        <v>903</v>
      </c>
      <c r="C1" t="s">
        <v>904</v>
      </c>
      <c r="D1" t="s">
        <v>858</v>
      </c>
      <c r="E1" t="s">
        <v>859</v>
      </c>
      <c r="F1" t="s">
        <v>860</v>
      </c>
      <c r="G1" t="s">
        <v>905</v>
      </c>
      <c r="H1" t="s">
        <v>906</v>
      </c>
      <c r="I1" t="s">
        <v>861</v>
      </c>
      <c r="J1" t="s">
        <v>862</v>
      </c>
      <c r="K1" t="s">
        <v>863</v>
      </c>
      <c r="L1" t="s">
        <v>13</v>
      </c>
      <c r="M1" t="s">
        <v>149</v>
      </c>
      <c r="N1" t="s">
        <v>469</v>
      </c>
      <c r="O1" t="s">
        <v>864</v>
      </c>
      <c r="P1" t="s">
        <v>865</v>
      </c>
      <c r="Q1" t="s">
        <v>755</v>
      </c>
      <c r="R1" t="s">
        <v>58</v>
      </c>
      <c r="S1" t="s">
        <v>760</v>
      </c>
      <c r="T1" t="s">
        <v>770</v>
      </c>
      <c r="U1" t="s">
        <v>769</v>
      </c>
      <c r="V1" t="s">
        <v>768</v>
      </c>
      <c r="W1" t="s">
        <v>870</v>
      </c>
      <c r="X1" t="s">
        <v>872</v>
      </c>
      <c r="Y1" t="s">
        <v>907</v>
      </c>
      <c r="Z1" t="s">
        <v>908</v>
      </c>
      <c r="AA1" t="s">
        <v>909</v>
      </c>
      <c r="AB1" t="s">
        <v>777</v>
      </c>
      <c r="AC1" t="s">
        <v>473</v>
      </c>
      <c r="AD1" t="s">
        <v>781</v>
      </c>
      <c r="AE1" t="s">
        <v>787</v>
      </c>
      <c r="AF1" t="s">
        <v>910</v>
      </c>
      <c r="AG1" t="s">
        <v>793</v>
      </c>
      <c r="AH1" t="s">
        <v>911</v>
      </c>
      <c r="AI1" t="s">
        <v>798</v>
      </c>
      <c r="AJ1" t="s">
        <v>912</v>
      </c>
      <c r="AK1" t="s">
        <v>913</v>
      </c>
      <c r="AL1" t="s">
        <v>802</v>
      </c>
      <c r="AM1" t="s">
        <v>804</v>
      </c>
      <c r="AN1" t="s">
        <v>806</v>
      </c>
      <c r="AO1" t="s">
        <v>914</v>
      </c>
      <c r="AP1" t="s">
        <v>915</v>
      </c>
      <c r="AQ1" t="s">
        <v>791</v>
      </c>
      <c r="AR1" t="s">
        <v>916</v>
      </c>
      <c r="AS1" t="s">
        <v>917</v>
      </c>
      <c r="AT1" t="s">
        <v>874</v>
      </c>
      <c r="AU1" t="s">
        <v>918</v>
      </c>
      <c r="AV1" t="s">
        <v>875</v>
      </c>
      <c r="AW1" t="s">
        <v>919</v>
      </c>
      <c r="AX1" t="s">
        <v>920</v>
      </c>
      <c r="AY1" t="s">
        <v>824</v>
      </c>
      <c r="AZ1" t="s">
        <v>921</v>
      </c>
      <c r="BA1" t="s">
        <v>922</v>
      </c>
      <c r="BB1" t="s">
        <v>828</v>
      </c>
      <c r="BC1" t="s">
        <v>831</v>
      </c>
      <c r="BD1" t="s">
        <v>923</v>
      </c>
      <c r="BE1" t="s">
        <v>833</v>
      </c>
      <c r="BF1" t="s">
        <v>924</v>
      </c>
      <c r="BG1" t="s">
        <v>925</v>
      </c>
      <c r="BH1" t="s">
        <v>836</v>
      </c>
      <c r="BI1" t="s">
        <v>926</v>
      </c>
      <c r="BJ1" t="s">
        <v>837</v>
      </c>
      <c r="BK1" t="s">
        <v>927</v>
      </c>
      <c r="BL1" t="s">
        <v>928</v>
      </c>
      <c r="BM1" t="s">
        <v>929</v>
      </c>
      <c r="BN1" t="s">
        <v>838</v>
      </c>
      <c r="BO1" t="s">
        <v>830</v>
      </c>
      <c r="BP1" t="s">
        <v>839</v>
      </c>
      <c r="BQ1" t="s">
        <v>930</v>
      </c>
      <c r="BR1" t="s">
        <v>840</v>
      </c>
      <c r="BS1" t="s">
        <v>841</v>
      </c>
      <c r="BT1" t="s">
        <v>842</v>
      </c>
      <c r="BU1" t="s">
        <v>756</v>
      </c>
      <c r="BV1" t="s">
        <v>931</v>
      </c>
      <c r="BW1" t="s">
        <v>932</v>
      </c>
      <c r="BX1" t="s">
        <v>844</v>
      </c>
      <c r="BY1" t="s">
        <v>846</v>
      </c>
      <c r="BZ1" t="s">
        <v>847</v>
      </c>
      <c r="CA1" t="s">
        <v>848</v>
      </c>
      <c r="CB1" t="s">
        <v>849</v>
      </c>
      <c r="CC1" t="s">
        <v>850</v>
      </c>
      <c r="CD1" t="s">
        <v>933</v>
      </c>
      <c r="CE1" t="s">
        <v>934</v>
      </c>
      <c r="CF1" t="s">
        <v>878</v>
      </c>
      <c r="CG1" t="s">
        <v>879</v>
      </c>
      <c r="CH1" t="s">
        <v>880</v>
      </c>
      <c r="CI1" t="s">
        <v>881</v>
      </c>
      <c r="CJ1" t="s">
        <v>882</v>
      </c>
      <c r="CK1" t="s">
        <v>935</v>
      </c>
      <c r="CL1" t="s">
        <v>883</v>
      </c>
      <c r="CM1" t="s">
        <v>884</v>
      </c>
      <c r="CN1" t="s">
        <v>936</v>
      </c>
      <c r="CO1" t="s">
        <v>885</v>
      </c>
      <c r="CP1" t="s">
        <v>730</v>
      </c>
      <c r="CQ1" t="s">
        <v>937</v>
      </c>
      <c r="CR1" t="s">
        <v>886</v>
      </c>
      <c r="CS1" t="s">
        <v>731</v>
      </c>
      <c r="CT1" t="s">
        <v>938</v>
      </c>
      <c r="CU1" t="s">
        <v>887</v>
      </c>
      <c r="CV1" t="s">
        <v>888</v>
      </c>
      <c r="CW1" t="s">
        <v>939</v>
      </c>
      <c r="CX1" t="s">
        <v>889</v>
      </c>
      <c r="CY1" t="s">
        <v>890</v>
      </c>
      <c r="CZ1" t="s">
        <v>891</v>
      </c>
      <c r="DA1" t="s">
        <v>892</v>
      </c>
      <c r="DB1" t="s">
        <v>893</v>
      </c>
      <c r="DC1" t="s">
        <v>940</v>
      </c>
      <c r="DD1" t="s">
        <v>894</v>
      </c>
      <c r="DE1" t="s">
        <v>895</v>
      </c>
      <c r="DF1" t="s">
        <v>896</v>
      </c>
      <c r="DG1" t="s">
        <v>897</v>
      </c>
      <c r="DH1" t="s">
        <v>898</v>
      </c>
      <c r="DI1" t="s">
        <v>899</v>
      </c>
      <c r="DJ1" t="s">
        <v>900</v>
      </c>
      <c r="DK1" t="s">
        <v>901</v>
      </c>
    </row>
    <row r="2" spans="1:115">
      <c r="A2" t="s">
        <v>855</v>
      </c>
      <c r="B2">
        <v>0</v>
      </c>
      <c r="C2" t="s">
        <v>941</v>
      </c>
      <c r="D2">
        <v>1</v>
      </c>
      <c r="E2" t="s">
        <v>942</v>
      </c>
      <c r="F2">
        <v>54300000119832</v>
      </c>
      <c r="G2">
        <v>0</v>
      </c>
      <c r="H2">
        <v>0</v>
      </c>
      <c r="I2" t="s">
        <v>943</v>
      </c>
      <c r="J2">
        <v>0</v>
      </c>
      <c r="K2">
        <v>0</v>
      </c>
      <c r="L2">
        <v>1</v>
      </c>
      <c r="M2" t="s">
        <v>944</v>
      </c>
      <c r="N2" t="s">
        <v>505</v>
      </c>
      <c r="O2" t="s">
        <v>945</v>
      </c>
      <c r="P2" t="s">
        <v>450</v>
      </c>
      <c r="Q2" t="s">
        <v>855</v>
      </c>
      <c r="R2">
        <v>2023</v>
      </c>
      <c r="S2">
        <v>0</v>
      </c>
      <c r="T2">
        <v>1.6</v>
      </c>
      <c r="U2">
        <v>8.9999999999999993E-3</v>
      </c>
      <c r="V2">
        <v>0.2</v>
      </c>
      <c r="W2">
        <v>1.391</v>
      </c>
      <c r="X2">
        <v>0</v>
      </c>
      <c r="Y2">
        <v>0</v>
      </c>
      <c r="Z2">
        <v>0</v>
      </c>
      <c r="AB2">
        <v>0</v>
      </c>
      <c r="AC2">
        <v>0</v>
      </c>
      <c r="AD2">
        <v>0</v>
      </c>
      <c r="AE2">
        <v>0</v>
      </c>
      <c r="AG2">
        <v>0</v>
      </c>
      <c r="AH2">
        <v>0</v>
      </c>
      <c r="AI2">
        <v>0</v>
      </c>
      <c r="AJ2">
        <v>0</v>
      </c>
      <c r="AL2">
        <v>0</v>
      </c>
      <c r="AM2">
        <v>0</v>
      </c>
      <c r="AN2">
        <v>0</v>
      </c>
      <c r="AO2">
        <v>0</v>
      </c>
      <c r="AQ2">
        <v>0</v>
      </c>
      <c r="AR2">
        <v>0</v>
      </c>
      <c r="AT2">
        <v>0</v>
      </c>
      <c r="AU2">
        <v>0</v>
      </c>
      <c r="AV2">
        <v>0</v>
      </c>
      <c r="AW2">
        <v>0</v>
      </c>
      <c r="AY2">
        <v>0</v>
      </c>
      <c r="AZ2">
        <v>0</v>
      </c>
      <c r="BB2">
        <v>11.1</v>
      </c>
      <c r="BC2">
        <v>6.1</v>
      </c>
      <c r="BE2">
        <v>-17.100000000000001</v>
      </c>
      <c r="BF2">
        <v>0</v>
      </c>
      <c r="BH2">
        <v>-5.0999999999999996</v>
      </c>
      <c r="BJ2">
        <v>-12</v>
      </c>
      <c r="BK2">
        <v>0</v>
      </c>
      <c r="BM2">
        <v>0</v>
      </c>
      <c r="BN2">
        <v>5.0999999999999996</v>
      </c>
      <c r="BO2">
        <v>-55.3</v>
      </c>
      <c r="BP2">
        <v>0</v>
      </c>
      <c r="BQ2">
        <v>-6.1</v>
      </c>
      <c r="BR2">
        <v>0</v>
      </c>
      <c r="BS2">
        <v>-56.2</v>
      </c>
      <c r="BT2">
        <v>-56.2</v>
      </c>
      <c r="BU2">
        <v>0.56825394663513396</v>
      </c>
      <c r="BW2">
        <v>2023</v>
      </c>
      <c r="BX2">
        <v>55.3</v>
      </c>
      <c r="BY2">
        <v>11.1</v>
      </c>
      <c r="CD2">
        <v>11.1</v>
      </c>
      <c r="CF2" t="s">
        <v>855</v>
      </c>
      <c r="CG2">
        <v>40</v>
      </c>
      <c r="CH2">
        <v>0.1</v>
      </c>
      <c r="CI2">
        <v>44.4</v>
      </c>
      <c r="CJ2">
        <v>345.9</v>
      </c>
      <c r="CK2">
        <v>0.1</v>
      </c>
      <c r="CL2">
        <v>384.4</v>
      </c>
      <c r="CM2">
        <v>0</v>
      </c>
      <c r="CN2">
        <v>0.1</v>
      </c>
      <c r="CO2">
        <v>0</v>
      </c>
      <c r="CP2">
        <v>0</v>
      </c>
      <c r="CQ2">
        <v>0.1</v>
      </c>
      <c r="CR2">
        <v>0</v>
      </c>
      <c r="CS2">
        <v>0</v>
      </c>
      <c r="CT2">
        <v>0.1</v>
      </c>
      <c r="CU2">
        <v>0</v>
      </c>
      <c r="CV2">
        <v>428.8</v>
      </c>
      <c r="CX2" t="s">
        <v>855</v>
      </c>
      <c r="CY2">
        <v>0</v>
      </c>
      <c r="CZ2">
        <v>0</v>
      </c>
      <c r="DA2">
        <v>55.3</v>
      </c>
      <c r="DB2">
        <v>55.3</v>
      </c>
      <c r="DD2" t="s">
        <v>855</v>
      </c>
      <c r="DE2">
        <v>0</v>
      </c>
      <c r="DF2">
        <v>0</v>
      </c>
      <c r="DG2">
        <v>0</v>
      </c>
      <c r="DH2">
        <v>0</v>
      </c>
      <c r="DI2">
        <v>0</v>
      </c>
      <c r="DJ2">
        <v>0</v>
      </c>
      <c r="DK2">
        <v>0</v>
      </c>
    </row>
    <row r="3" spans="1:115">
      <c r="A3" t="s">
        <v>856</v>
      </c>
      <c r="B3">
        <v>0</v>
      </c>
      <c r="C3" t="s">
        <v>941</v>
      </c>
      <c r="D3">
        <v>1</v>
      </c>
      <c r="E3" t="s">
        <v>942</v>
      </c>
      <c r="F3">
        <v>54300000119832</v>
      </c>
      <c r="G3">
        <v>0</v>
      </c>
      <c r="H3">
        <v>0</v>
      </c>
      <c r="I3" t="s">
        <v>943</v>
      </c>
      <c r="J3">
        <v>0</v>
      </c>
      <c r="K3">
        <v>0</v>
      </c>
      <c r="L3">
        <v>1</v>
      </c>
      <c r="M3" t="s">
        <v>944</v>
      </c>
      <c r="N3" t="s">
        <v>505</v>
      </c>
      <c r="O3" t="s">
        <v>945</v>
      </c>
      <c r="P3" t="s">
        <v>450</v>
      </c>
      <c r="Q3" t="s">
        <v>856</v>
      </c>
      <c r="R3">
        <v>2024</v>
      </c>
      <c r="S3">
        <v>3000</v>
      </c>
      <c r="T3">
        <v>1.6</v>
      </c>
      <c r="U3">
        <v>8.9999999999999993E-3</v>
      </c>
      <c r="V3">
        <v>0.2</v>
      </c>
      <c r="W3">
        <v>1.391</v>
      </c>
      <c r="X3">
        <v>0</v>
      </c>
      <c r="Y3">
        <v>0</v>
      </c>
      <c r="Z3">
        <v>4800</v>
      </c>
      <c r="AB3">
        <v>2278.9</v>
      </c>
      <c r="AC3">
        <v>600</v>
      </c>
      <c r="AD3">
        <v>2878.9</v>
      </c>
      <c r="AE3">
        <v>0.4747702533293785</v>
      </c>
      <c r="AG3">
        <v>444.2</v>
      </c>
      <c r="AH3">
        <v>9.2534115753859697E-2</v>
      </c>
      <c r="AI3">
        <v>289.3</v>
      </c>
      <c r="AJ3">
        <v>6.0279761534634997E-2</v>
      </c>
      <c r="AL3">
        <v>172.8</v>
      </c>
      <c r="AM3">
        <v>0</v>
      </c>
      <c r="AN3">
        <v>172.8</v>
      </c>
      <c r="AO3">
        <v>3.6002536256906102E-2</v>
      </c>
      <c r="AQ3">
        <v>1014.8</v>
      </c>
      <c r="AR3">
        <v>0.21141333312522101</v>
      </c>
      <c r="AT3">
        <v>152.6</v>
      </c>
      <c r="AU3">
        <v>3.0256040822286001E-2</v>
      </c>
      <c r="AV3">
        <v>122.7</v>
      </c>
      <c r="AW3">
        <v>2.4323483798308398E-2</v>
      </c>
      <c r="AY3">
        <v>739.4</v>
      </c>
      <c r="AZ3">
        <v>0.15404918559054601</v>
      </c>
      <c r="BB3">
        <v>11.1</v>
      </c>
      <c r="BC3">
        <v>5.6</v>
      </c>
      <c r="BE3">
        <v>722.8</v>
      </c>
      <c r="BF3">
        <v>0.15057424670106601</v>
      </c>
      <c r="BH3">
        <v>216.8</v>
      </c>
      <c r="BJ3">
        <v>505.9</v>
      </c>
      <c r="BK3">
        <v>0.105401972690747</v>
      </c>
      <c r="BM3">
        <v>739.4</v>
      </c>
      <c r="BN3">
        <v>-216.8</v>
      </c>
      <c r="BO3">
        <v>0</v>
      </c>
      <c r="BP3">
        <v>-1216.8</v>
      </c>
      <c r="BQ3">
        <v>-5.6</v>
      </c>
      <c r="BR3">
        <v>0</v>
      </c>
      <c r="BS3">
        <v>-699.8</v>
      </c>
      <c r="BT3">
        <v>-756</v>
      </c>
      <c r="BU3">
        <v>0.56825394663513396</v>
      </c>
      <c r="BW3">
        <v>2024</v>
      </c>
      <c r="BX3">
        <v>0</v>
      </c>
      <c r="BY3">
        <v>11.1</v>
      </c>
      <c r="BZ3">
        <v>0</v>
      </c>
      <c r="CD3">
        <v>11.1</v>
      </c>
      <c r="CF3" t="s">
        <v>856</v>
      </c>
      <c r="CG3">
        <v>0</v>
      </c>
      <c r="CH3">
        <v>0.1</v>
      </c>
      <c r="CI3">
        <v>0</v>
      </c>
      <c r="CJ3">
        <v>0</v>
      </c>
      <c r="CK3">
        <v>0.1</v>
      </c>
      <c r="CL3">
        <v>0</v>
      </c>
      <c r="CM3">
        <v>0</v>
      </c>
      <c r="CN3">
        <v>0.1</v>
      </c>
      <c r="CO3">
        <v>0</v>
      </c>
      <c r="CV3">
        <v>0</v>
      </c>
      <c r="CX3" t="s">
        <v>856</v>
      </c>
      <c r="CY3">
        <v>0</v>
      </c>
      <c r="CZ3">
        <v>0</v>
      </c>
      <c r="DB3">
        <v>0</v>
      </c>
      <c r="DD3" t="s">
        <v>856</v>
      </c>
      <c r="DE3">
        <v>358.4</v>
      </c>
      <c r="DF3">
        <v>-934.4</v>
      </c>
      <c r="DG3">
        <v>-249.9</v>
      </c>
      <c r="DH3">
        <v>-55.2</v>
      </c>
      <c r="DI3">
        <v>-335.7</v>
      </c>
      <c r="DJ3">
        <v>-1216.8</v>
      </c>
      <c r="DK3">
        <v>-1216.8</v>
      </c>
    </row>
    <row r="4" spans="1:115">
      <c r="A4" t="s">
        <v>157</v>
      </c>
      <c r="B4">
        <v>0</v>
      </c>
      <c r="C4" t="s">
        <v>941</v>
      </c>
      <c r="D4">
        <v>1</v>
      </c>
      <c r="E4" t="s">
        <v>942</v>
      </c>
      <c r="F4">
        <v>54300000119832</v>
      </c>
      <c r="G4">
        <v>0</v>
      </c>
      <c r="H4">
        <v>0</v>
      </c>
      <c r="I4" t="s">
        <v>943</v>
      </c>
      <c r="J4">
        <v>0</v>
      </c>
      <c r="K4">
        <v>0</v>
      </c>
      <c r="L4">
        <v>1</v>
      </c>
      <c r="M4" t="s">
        <v>944</v>
      </c>
      <c r="N4" t="s">
        <v>505</v>
      </c>
      <c r="O4" t="s">
        <v>945</v>
      </c>
      <c r="P4" t="s">
        <v>450</v>
      </c>
      <c r="Q4" t="s">
        <v>157</v>
      </c>
      <c r="R4">
        <v>2025</v>
      </c>
      <c r="S4">
        <v>3000</v>
      </c>
      <c r="T4">
        <v>1.5720000000000001</v>
      </c>
      <c r="U4">
        <v>8.9999999999999993E-3</v>
      </c>
      <c r="V4">
        <v>0.2</v>
      </c>
      <c r="W4">
        <v>1.363</v>
      </c>
      <c r="X4">
        <v>0.02</v>
      </c>
      <c r="Y4">
        <v>0</v>
      </c>
      <c r="Z4">
        <v>4716.6000000000004</v>
      </c>
      <c r="AB4">
        <v>2247.5</v>
      </c>
      <c r="AC4">
        <v>600</v>
      </c>
      <c r="AD4">
        <v>2847.5</v>
      </c>
      <c r="AE4">
        <v>0.47652159874771433</v>
      </c>
      <c r="AG4">
        <v>444.2</v>
      </c>
      <c r="AH4">
        <v>9.4170969788942196E-2</v>
      </c>
      <c r="AI4">
        <v>289.3</v>
      </c>
      <c r="AJ4">
        <v>6.13460620022835E-2</v>
      </c>
      <c r="AL4">
        <v>172.8</v>
      </c>
      <c r="AM4">
        <v>0</v>
      </c>
      <c r="AN4">
        <v>172.8</v>
      </c>
      <c r="AO4">
        <v>3.6639392148003297E-2</v>
      </c>
      <c r="AQ4">
        <v>962.7</v>
      </c>
      <c r="AR4">
        <v>0.204110827914606</v>
      </c>
      <c r="AT4">
        <v>152.6</v>
      </c>
      <c r="AU4">
        <v>3.07771981758184E-2</v>
      </c>
      <c r="AV4">
        <v>122.7</v>
      </c>
      <c r="AW4">
        <v>2.47424534354618E-2</v>
      </c>
      <c r="AY4">
        <v>687.4</v>
      </c>
      <c r="AZ4">
        <v>0.14573195477741999</v>
      </c>
      <c r="BB4">
        <v>11.1</v>
      </c>
      <c r="BC4">
        <v>75.599999999999994</v>
      </c>
      <c r="BE4">
        <v>600.70000000000005</v>
      </c>
      <c r="BF4">
        <v>0.127358858168231</v>
      </c>
      <c r="BH4">
        <v>180.2</v>
      </c>
      <c r="BJ4">
        <v>420.5</v>
      </c>
      <c r="BK4">
        <v>8.9151200717761697E-2</v>
      </c>
      <c r="BM4">
        <v>687.4</v>
      </c>
      <c r="BN4">
        <v>-180.2</v>
      </c>
      <c r="BO4">
        <v>0</v>
      </c>
      <c r="BP4">
        <v>20.8</v>
      </c>
      <c r="BQ4">
        <v>-75.599999999999994</v>
      </c>
      <c r="BR4">
        <v>-22.6</v>
      </c>
      <c r="BS4">
        <v>429.7</v>
      </c>
      <c r="BT4">
        <v>-326.3</v>
      </c>
      <c r="BU4">
        <v>0.56825394663513396</v>
      </c>
      <c r="BW4">
        <v>2025</v>
      </c>
      <c r="BX4">
        <v>0</v>
      </c>
      <c r="BY4">
        <v>11.1</v>
      </c>
      <c r="BZ4">
        <v>0</v>
      </c>
      <c r="CA4">
        <v>0</v>
      </c>
      <c r="CD4">
        <v>11.1</v>
      </c>
      <c r="CF4" t="s">
        <v>157</v>
      </c>
      <c r="CG4">
        <v>0</v>
      </c>
      <c r="CH4">
        <v>0.1</v>
      </c>
      <c r="CI4">
        <v>0</v>
      </c>
      <c r="CJ4">
        <v>0</v>
      </c>
      <c r="CK4">
        <v>0.1</v>
      </c>
      <c r="CL4">
        <v>0</v>
      </c>
      <c r="CM4">
        <v>0</v>
      </c>
      <c r="CN4">
        <v>0.1</v>
      </c>
      <c r="CO4">
        <v>0</v>
      </c>
      <c r="CV4">
        <v>0</v>
      </c>
      <c r="CX4" t="s">
        <v>157</v>
      </c>
      <c r="CY4">
        <v>0</v>
      </c>
      <c r="CZ4">
        <v>0</v>
      </c>
      <c r="DB4">
        <v>0</v>
      </c>
      <c r="DD4" t="s">
        <v>157</v>
      </c>
      <c r="DE4">
        <v>358.4</v>
      </c>
      <c r="DF4">
        <v>-918.6</v>
      </c>
      <c r="DG4">
        <v>-245.5</v>
      </c>
      <c r="DH4">
        <v>-54.6</v>
      </c>
      <c r="DI4">
        <v>-335.7</v>
      </c>
      <c r="DJ4">
        <v>-1196</v>
      </c>
      <c r="DK4">
        <v>20.8</v>
      </c>
    </row>
    <row r="5" spans="1:115">
      <c r="A5" t="s">
        <v>158</v>
      </c>
      <c r="B5">
        <v>0</v>
      </c>
      <c r="C5" t="s">
        <v>941</v>
      </c>
      <c r="D5">
        <v>1</v>
      </c>
      <c r="E5" t="s">
        <v>942</v>
      </c>
      <c r="F5">
        <v>54300000119832</v>
      </c>
      <c r="G5">
        <v>0</v>
      </c>
      <c r="H5">
        <v>0</v>
      </c>
      <c r="I5" t="s">
        <v>943</v>
      </c>
      <c r="J5">
        <v>0</v>
      </c>
      <c r="K5">
        <v>0</v>
      </c>
      <c r="L5">
        <v>1</v>
      </c>
      <c r="M5" t="s">
        <v>944</v>
      </c>
      <c r="N5" t="s">
        <v>505</v>
      </c>
      <c r="O5" t="s">
        <v>945</v>
      </c>
      <c r="P5" t="s">
        <v>450</v>
      </c>
      <c r="Q5" t="s">
        <v>158</v>
      </c>
      <c r="R5">
        <v>2026</v>
      </c>
      <c r="S5">
        <v>3000</v>
      </c>
      <c r="T5">
        <v>1.5449999999999999</v>
      </c>
      <c r="U5">
        <v>8.9999999999999993E-3</v>
      </c>
      <c r="V5">
        <v>0.2</v>
      </c>
      <c r="W5">
        <v>1.335</v>
      </c>
      <c r="X5">
        <v>0.02</v>
      </c>
      <c r="Y5">
        <v>0</v>
      </c>
      <c r="Z5">
        <v>4634.8</v>
      </c>
      <c r="AB5">
        <v>2217.1</v>
      </c>
      <c r="AC5">
        <v>600</v>
      </c>
      <c r="AD5">
        <v>2817.1</v>
      </c>
      <c r="AE5">
        <v>0.47836673329976492</v>
      </c>
      <c r="AG5">
        <v>444.2</v>
      </c>
      <c r="AH5">
        <v>9.5832261455535694E-2</v>
      </c>
      <c r="AI5">
        <v>289.3</v>
      </c>
      <c r="AJ5">
        <v>6.2428281945553998E-2</v>
      </c>
      <c r="AL5">
        <v>172.8</v>
      </c>
      <c r="AM5">
        <v>0</v>
      </c>
      <c r="AN5">
        <v>172.8</v>
      </c>
      <c r="AO5">
        <v>3.7285756064409301E-2</v>
      </c>
      <c r="AQ5">
        <v>911.3</v>
      </c>
      <c r="AR5">
        <v>0.19663165678679101</v>
      </c>
      <c r="AT5">
        <v>152.6</v>
      </c>
      <c r="AU5">
        <v>3.1305650213326701E-2</v>
      </c>
      <c r="AV5">
        <v>122.7</v>
      </c>
      <c r="AW5">
        <v>2.5167287426399901E-2</v>
      </c>
      <c r="AY5">
        <v>636</v>
      </c>
      <c r="AZ5">
        <v>0.13722290856532701</v>
      </c>
      <c r="BB5">
        <v>11.1</v>
      </c>
      <c r="BC5">
        <v>32.6</v>
      </c>
      <c r="BE5">
        <v>592.29999999999995</v>
      </c>
      <c r="BF5">
        <v>0.12779675832814799</v>
      </c>
      <c r="BH5">
        <v>177.7</v>
      </c>
      <c r="BJ5">
        <v>414.6</v>
      </c>
      <c r="BK5">
        <v>8.9457730829703597E-2</v>
      </c>
      <c r="BM5">
        <v>636</v>
      </c>
      <c r="BN5">
        <v>-177.7</v>
      </c>
      <c r="BO5">
        <v>0</v>
      </c>
      <c r="BP5">
        <v>20.3</v>
      </c>
      <c r="BQ5">
        <v>-32.6</v>
      </c>
      <c r="BR5">
        <v>-22.3</v>
      </c>
      <c r="BS5">
        <v>423.7</v>
      </c>
      <c r="BT5">
        <v>97.4</v>
      </c>
      <c r="BU5">
        <v>0.56825394663513396</v>
      </c>
      <c r="BW5">
        <v>2026</v>
      </c>
      <c r="BX5">
        <v>0</v>
      </c>
      <c r="BY5">
        <v>11.1</v>
      </c>
      <c r="BZ5">
        <v>0</v>
      </c>
      <c r="CA5">
        <v>0</v>
      </c>
      <c r="CB5">
        <v>0</v>
      </c>
      <c r="CD5">
        <v>11.1</v>
      </c>
      <c r="CF5" t="s">
        <v>158</v>
      </c>
      <c r="CG5">
        <v>0</v>
      </c>
      <c r="CH5">
        <v>0.1</v>
      </c>
      <c r="CI5">
        <v>0</v>
      </c>
      <c r="CJ5">
        <v>0</v>
      </c>
      <c r="CK5">
        <v>0.1</v>
      </c>
      <c r="CL5">
        <v>0</v>
      </c>
      <c r="CM5">
        <v>0</v>
      </c>
      <c r="CN5">
        <v>0.1</v>
      </c>
      <c r="CO5">
        <v>0</v>
      </c>
      <c r="CV5">
        <v>0</v>
      </c>
      <c r="CX5" t="s">
        <v>158</v>
      </c>
      <c r="CY5">
        <v>0</v>
      </c>
      <c r="CZ5">
        <v>0</v>
      </c>
      <c r="DB5">
        <v>0</v>
      </c>
      <c r="DD5" t="s">
        <v>158</v>
      </c>
      <c r="DE5">
        <v>358.4</v>
      </c>
      <c r="DF5">
        <v>-903.1</v>
      </c>
      <c r="DG5">
        <v>-241.3</v>
      </c>
      <c r="DH5">
        <v>-54</v>
      </c>
      <c r="DI5">
        <v>-335.7</v>
      </c>
      <c r="DJ5">
        <v>-1175.7</v>
      </c>
      <c r="DK5">
        <v>20.3</v>
      </c>
    </row>
    <row r="6" spans="1:115">
      <c r="A6" t="s">
        <v>159</v>
      </c>
      <c r="B6">
        <v>0</v>
      </c>
      <c r="C6" t="s">
        <v>941</v>
      </c>
      <c r="D6">
        <v>1</v>
      </c>
      <c r="E6" t="s">
        <v>942</v>
      </c>
      <c r="F6">
        <v>54300000119832</v>
      </c>
      <c r="G6">
        <v>0</v>
      </c>
      <c r="H6">
        <v>0</v>
      </c>
      <c r="I6" t="s">
        <v>943</v>
      </c>
      <c r="J6">
        <v>0</v>
      </c>
      <c r="K6">
        <v>0</v>
      </c>
      <c r="L6">
        <v>1</v>
      </c>
      <c r="M6" t="s">
        <v>944</v>
      </c>
      <c r="N6" t="s">
        <v>505</v>
      </c>
      <c r="O6" t="s">
        <v>945</v>
      </c>
      <c r="P6" t="s">
        <v>450</v>
      </c>
      <c r="Q6" t="s">
        <v>159</v>
      </c>
      <c r="R6">
        <v>2027</v>
      </c>
      <c r="S6">
        <v>3000</v>
      </c>
      <c r="T6">
        <v>1.518</v>
      </c>
      <c r="U6">
        <v>8.9999999999999993E-3</v>
      </c>
      <c r="V6">
        <v>0.2</v>
      </c>
      <c r="W6">
        <v>1.3089999999999999</v>
      </c>
      <c r="X6">
        <v>0.02</v>
      </c>
      <c r="Y6">
        <v>0</v>
      </c>
      <c r="Z6">
        <v>4554.7</v>
      </c>
      <c r="AB6">
        <v>2217.1</v>
      </c>
      <c r="AC6">
        <v>600</v>
      </c>
      <c r="AD6">
        <v>2817.1</v>
      </c>
      <c r="AE6">
        <v>0.48678242484351952</v>
      </c>
      <c r="AG6">
        <v>444.2</v>
      </c>
      <c r="AH6">
        <v>9.7518195481062594E-2</v>
      </c>
      <c r="AI6">
        <v>289.3</v>
      </c>
      <c r="AJ6">
        <v>6.3526554730612195E-2</v>
      </c>
      <c r="AL6">
        <v>172.8</v>
      </c>
      <c r="AM6">
        <v>0</v>
      </c>
      <c r="AN6">
        <v>172.8</v>
      </c>
      <c r="AO6">
        <v>3.7941707660059103E-2</v>
      </c>
      <c r="AQ6">
        <v>831.2</v>
      </c>
      <c r="AR6">
        <v>0.18249835757958499</v>
      </c>
      <c r="AT6">
        <v>152.6</v>
      </c>
      <c r="AU6">
        <v>3.18414410549899E-2</v>
      </c>
      <c r="AV6">
        <v>122.7</v>
      </c>
      <c r="AW6">
        <v>2.5598021240286001E-2</v>
      </c>
      <c r="AY6">
        <v>555.9</v>
      </c>
      <c r="AZ6">
        <v>0.12204445787657101</v>
      </c>
      <c r="BB6">
        <v>11.1</v>
      </c>
      <c r="BC6">
        <v>-9.6999999999999993</v>
      </c>
      <c r="BE6">
        <v>554.6</v>
      </c>
      <c r="BF6">
        <v>0.121755455622421</v>
      </c>
      <c r="BH6">
        <v>166.4</v>
      </c>
      <c r="BJ6">
        <v>388.2</v>
      </c>
      <c r="BK6">
        <v>8.5228818935695005E-2</v>
      </c>
      <c r="BM6">
        <v>555.9</v>
      </c>
      <c r="BN6">
        <v>-166.4</v>
      </c>
      <c r="BO6">
        <v>0</v>
      </c>
      <c r="BP6">
        <v>19.399999999999999</v>
      </c>
      <c r="BQ6">
        <v>9.6999999999999993</v>
      </c>
      <c r="BR6">
        <v>-20.9</v>
      </c>
      <c r="BS6">
        <v>397.7</v>
      </c>
      <c r="BT6">
        <v>495.1</v>
      </c>
      <c r="BU6">
        <v>0.56825394663513396</v>
      </c>
      <c r="BW6">
        <v>2027</v>
      </c>
      <c r="BX6">
        <v>0</v>
      </c>
      <c r="BY6">
        <v>11.1</v>
      </c>
      <c r="BZ6">
        <v>0</v>
      </c>
      <c r="CA6">
        <v>0</v>
      </c>
      <c r="CB6">
        <v>0</v>
      </c>
      <c r="CC6">
        <v>0</v>
      </c>
      <c r="CD6">
        <v>11.1</v>
      </c>
      <c r="CF6" t="s">
        <v>159</v>
      </c>
      <c r="CG6">
        <v>0</v>
      </c>
      <c r="CH6">
        <v>0.1</v>
      </c>
      <c r="CI6">
        <v>0</v>
      </c>
      <c r="CJ6">
        <v>0</v>
      </c>
      <c r="CK6">
        <v>0.1</v>
      </c>
      <c r="CL6">
        <v>0</v>
      </c>
      <c r="CM6">
        <v>0</v>
      </c>
      <c r="CN6">
        <v>0.1</v>
      </c>
      <c r="CO6">
        <v>0</v>
      </c>
      <c r="CV6">
        <v>0</v>
      </c>
      <c r="CX6" t="s">
        <v>159</v>
      </c>
      <c r="CY6">
        <v>0</v>
      </c>
      <c r="CZ6">
        <v>0</v>
      </c>
      <c r="DB6">
        <v>0</v>
      </c>
      <c r="DD6" t="s">
        <v>159</v>
      </c>
      <c r="DE6">
        <v>358.4</v>
      </c>
      <c r="DF6">
        <v>-887.9</v>
      </c>
      <c r="DG6">
        <v>-237.1</v>
      </c>
      <c r="DH6">
        <v>-54</v>
      </c>
      <c r="DI6">
        <v>-335.7</v>
      </c>
      <c r="DJ6">
        <v>-1156.3</v>
      </c>
      <c r="DK6">
        <v>19.399999999999999</v>
      </c>
    </row>
    <row r="7" spans="1:115">
      <c r="A7" t="s">
        <v>160</v>
      </c>
      <c r="B7">
        <v>0</v>
      </c>
      <c r="C7" t="s">
        <v>941</v>
      </c>
      <c r="D7">
        <v>1</v>
      </c>
      <c r="E7" t="s">
        <v>942</v>
      </c>
      <c r="F7">
        <v>54300000119832</v>
      </c>
      <c r="G7">
        <v>0</v>
      </c>
      <c r="H7">
        <v>0</v>
      </c>
      <c r="I7" t="s">
        <v>943</v>
      </c>
      <c r="J7">
        <v>0</v>
      </c>
      <c r="K7">
        <v>0</v>
      </c>
      <c r="L7">
        <v>1</v>
      </c>
      <c r="M7" t="s">
        <v>944</v>
      </c>
      <c r="N7" t="s">
        <v>505</v>
      </c>
      <c r="O7" t="s">
        <v>945</v>
      </c>
      <c r="P7" t="s">
        <v>450</v>
      </c>
      <c r="Q7" t="s">
        <v>160</v>
      </c>
      <c r="R7">
        <v>2028</v>
      </c>
      <c r="S7">
        <v>3000</v>
      </c>
      <c r="T7">
        <v>1.518</v>
      </c>
      <c r="U7">
        <v>8.9999999999999993E-3</v>
      </c>
      <c r="V7">
        <v>0.2</v>
      </c>
      <c r="W7">
        <v>1.3089999999999999</v>
      </c>
      <c r="X7">
        <v>0</v>
      </c>
      <c r="Y7">
        <v>0</v>
      </c>
      <c r="Z7">
        <v>4554.7</v>
      </c>
      <c r="AB7">
        <v>2217.1</v>
      </c>
      <c r="AC7">
        <v>600</v>
      </c>
      <c r="AD7">
        <v>2817.1</v>
      </c>
      <c r="AE7">
        <v>0.48678242484351952</v>
      </c>
      <c r="AG7">
        <v>444.2</v>
      </c>
      <c r="AH7">
        <v>9.7518195481062594E-2</v>
      </c>
      <c r="AI7">
        <v>289.3</v>
      </c>
      <c r="AJ7">
        <v>6.3526554730612195E-2</v>
      </c>
      <c r="AL7">
        <v>172.8</v>
      </c>
      <c r="AM7">
        <v>0</v>
      </c>
      <c r="AN7">
        <v>172.8</v>
      </c>
      <c r="AO7">
        <v>3.7941707660059103E-2</v>
      </c>
      <c r="AQ7">
        <v>831.2</v>
      </c>
      <c r="AR7">
        <v>0.18249835757958499</v>
      </c>
      <c r="AT7">
        <v>152.6</v>
      </c>
      <c r="AU7">
        <v>3.18414410549899E-2</v>
      </c>
      <c r="AV7">
        <v>122.7</v>
      </c>
      <c r="AW7">
        <v>2.5598021240286001E-2</v>
      </c>
      <c r="AY7">
        <v>555.9</v>
      </c>
      <c r="AZ7">
        <v>0.12204445787657101</v>
      </c>
      <c r="BB7">
        <v>0</v>
      </c>
      <c r="BC7">
        <v>-49.5</v>
      </c>
      <c r="BE7">
        <v>605.4</v>
      </c>
      <c r="BF7">
        <v>0.132914416235724</v>
      </c>
      <c r="BH7">
        <v>181.6</v>
      </c>
      <c r="BJ7">
        <v>423.8</v>
      </c>
      <c r="BK7">
        <v>9.30400913650066E-2</v>
      </c>
      <c r="BM7">
        <v>555.9</v>
      </c>
      <c r="BN7">
        <v>-181.6</v>
      </c>
      <c r="BO7">
        <v>0</v>
      </c>
      <c r="BP7">
        <v>0</v>
      </c>
      <c r="BQ7">
        <v>49.5</v>
      </c>
      <c r="BR7">
        <v>-21.2</v>
      </c>
      <c r="BS7">
        <v>402.6</v>
      </c>
      <c r="BT7">
        <v>897.7</v>
      </c>
      <c r="BU7">
        <v>0.56825394663513396</v>
      </c>
      <c r="BW7">
        <v>2028</v>
      </c>
      <c r="BX7">
        <v>0</v>
      </c>
      <c r="BZ7">
        <v>0</v>
      </c>
      <c r="CA7">
        <v>0</v>
      </c>
      <c r="CB7">
        <v>0</v>
      </c>
      <c r="CC7">
        <v>0</v>
      </c>
      <c r="CD7">
        <v>0</v>
      </c>
      <c r="CF7" t="s">
        <v>160</v>
      </c>
      <c r="CG7">
        <v>0</v>
      </c>
      <c r="CH7">
        <v>0.1</v>
      </c>
      <c r="CI7">
        <v>0</v>
      </c>
      <c r="CJ7">
        <v>0</v>
      </c>
      <c r="CK7">
        <v>0.1</v>
      </c>
      <c r="CL7">
        <v>0</v>
      </c>
      <c r="CM7">
        <v>0</v>
      </c>
      <c r="CN7">
        <v>0.1</v>
      </c>
      <c r="CO7">
        <v>0</v>
      </c>
      <c r="CV7">
        <v>0</v>
      </c>
      <c r="CX7" t="s">
        <v>160</v>
      </c>
      <c r="CY7">
        <v>0</v>
      </c>
      <c r="CZ7">
        <v>0</v>
      </c>
      <c r="DB7">
        <v>0</v>
      </c>
      <c r="DD7" t="s">
        <v>160</v>
      </c>
      <c r="DE7">
        <v>358.4</v>
      </c>
      <c r="DF7">
        <v>-887.9</v>
      </c>
      <c r="DG7">
        <v>-237.1</v>
      </c>
      <c r="DH7">
        <v>-54</v>
      </c>
      <c r="DI7">
        <v>-335.7</v>
      </c>
      <c r="DJ7">
        <v>-1156.3</v>
      </c>
      <c r="DK7">
        <v>0</v>
      </c>
    </row>
    <row r="8" spans="1:115">
      <c r="A8" t="s">
        <v>857</v>
      </c>
      <c r="B8">
        <v>0</v>
      </c>
      <c r="C8" t="s">
        <v>941</v>
      </c>
      <c r="D8">
        <v>1</v>
      </c>
      <c r="E8" t="s">
        <v>942</v>
      </c>
      <c r="F8">
        <v>54300000119832</v>
      </c>
      <c r="G8">
        <v>0</v>
      </c>
      <c r="H8">
        <v>0</v>
      </c>
      <c r="I8" t="s">
        <v>943</v>
      </c>
      <c r="J8">
        <v>0</v>
      </c>
      <c r="K8">
        <v>0</v>
      </c>
      <c r="L8">
        <v>1</v>
      </c>
      <c r="M8" t="s">
        <v>944</v>
      </c>
      <c r="N8" t="s">
        <v>505</v>
      </c>
      <c r="O8" t="s">
        <v>945</v>
      </c>
      <c r="P8" t="s">
        <v>450</v>
      </c>
      <c r="Q8" t="s">
        <v>857</v>
      </c>
      <c r="R8">
        <v>2029</v>
      </c>
      <c r="S8">
        <v>0</v>
      </c>
      <c r="T8">
        <v>1.518</v>
      </c>
      <c r="U8">
        <v>8.9999999999999993E-3</v>
      </c>
      <c r="V8">
        <v>0.2</v>
      </c>
      <c r="W8">
        <v>1.3089999999999999</v>
      </c>
      <c r="X8">
        <v>0</v>
      </c>
      <c r="Y8">
        <v>0</v>
      </c>
      <c r="Z8">
        <v>0</v>
      </c>
      <c r="AB8">
        <v>0</v>
      </c>
      <c r="AC8">
        <v>0</v>
      </c>
      <c r="AD8">
        <v>0</v>
      </c>
      <c r="AE8">
        <v>0</v>
      </c>
      <c r="AG8">
        <v>0</v>
      </c>
      <c r="AH8">
        <v>0</v>
      </c>
      <c r="AI8">
        <v>0</v>
      </c>
      <c r="AJ8">
        <v>0</v>
      </c>
      <c r="AL8">
        <v>0</v>
      </c>
      <c r="AM8">
        <v>0</v>
      </c>
      <c r="AN8">
        <v>0</v>
      </c>
      <c r="AO8">
        <v>0</v>
      </c>
      <c r="AQ8">
        <v>0</v>
      </c>
      <c r="AR8">
        <v>0</v>
      </c>
      <c r="AT8">
        <v>0</v>
      </c>
      <c r="AU8">
        <v>0</v>
      </c>
      <c r="AV8">
        <v>0</v>
      </c>
      <c r="AW8">
        <v>0</v>
      </c>
      <c r="AY8">
        <v>0</v>
      </c>
      <c r="AZ8">
        <v>0</v>
      </c>
      <c r="BB8">
        <v>0</v>
      </c>
      <c r="BC8">
        <v>-89.8</v>
      </c>
      <c r="BE8">
        <v>89.8</v>
      </c>
      <c r="BF8">
        <v>0</v>
      </c>
      <c r="BH8">
        <v>26.9</v>
      </c>
      <c r="BJ8">
        <v>62.8</v>
      </c>
      <c r="BK8">
        <v>0</v>
      </c>
      <c r="BM8">
        <v>0</v>
      </c>
      <c r="BN8">
        <v>-26.9</v>
      </c>
      <c r="BO8">
        <v>0</v>
      </c>
      <c r="BP8">
        <v>0</v>
      </c>
      <c r="BQ8">
        <v>89.8</v>
      </c>
      <c r="BR8">
        <v>-3.1</v>
      </c>
      <c r="BS8">
        <v>59.7</v>
      </c>
      <c r="BT8">
        <v>957.4</v>
      </c>
      <c r="BU8">
        <v>0.56825394663513396</v>
      </c>
      <c r="BW8">
        <v>2029</v>
      </c>
      <c r="BX8">
        <v>0</v>
      </c>
      <c r="CA8">
        <v>0</v>
      </c>
      <c r="CB8">
        <v>0</v>
      </c>
      <c r="CC8">
        <v>0</v>
      </c>
      <c r="CD8">
        <v>0</v>
      </c>
      <c r="CF8" t="s">
        <v>857</v>
      </c>
      <c r="CX8" t="s">
        <v>857</v>
      </c>
      <c r="DD8" t="s">
        <v>857</v>
      </c>
      <c r="DE8">
        <v>0</v>
      </c>
      <c r="DF8">
        <v>0</v>
      </c>
      <c r="DG8">
        <v>0</v>
      </c>
      <c r="DH8">
        <v>0</v>
      </c>
      <c r="DI8">
        <v>0</v>
      </c>
      <c r="DJ8">
        <v>0</v>
      </c>
      <c r="DK8">
        <v>0</v>
      </c>
    </row>
  </sheetData>
  <phoneticPr fontId="67"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0B4A5-152F-4CE0-AC11-D71F94C0FDAE}">
  <sheetPr codeName="Feuil15">
    <tabColor theme="9" tint="0.59999389629810485"/>
    <pageSetUpPr fitToPage="1"/>
  </sheetPr>
  <dimension ref="B1:P148"/>
  <sheetViews>
    <sheetView view="pageBreakPreview" topLeftCell="A71" zoomScaleNormal="90" zoomScaleSheetLayoutView="100" workbookViewId="0">
      <selection activeCell="D93" sqref="D93"/>
    </sheetView>
  </sheetViews>
  <sheetFormatPr baseColWidth="10" defaultColWidth="11.44140625" defaultRowHeight="14.4"/>
  <cols>
    <col min="1" max="1" width="4.21875" customWidth="1"/>
    <col min="2" max="2" width="51.6640625" bestFit="1" customWidth="1"/>
    <col min="3" max="3" width="14.77734375" bestFit="1" customWidth="1"/>
    <col min="4" max="4" width="19.6640625" bestFit="1" customWidth="1"/>
    <col min="5" max="5" width="20.109375" bestFit="1" customWidth="1"/>
    <col min="10" max="16" width="11.44140625" customWidth="1"/>
  </cols>
  <sheetData>
    <row r="1" spans="2:16" ht="18">
      <c r="B1" s="2513" t="s">
        <v>946</v>
      </c>
      <c r="C1" s="2513"/>
      <c r="D1" s="2513"/>
      <c r="E1" s="2513"/>
      <c r="F1" s="2513"/>
      <c r="G1" s="2513"/>
      <c r="H1" s="2513"/>
    </row>
    <row r="7" spans="2:16">
      <c r="B7" s="1176" t="s">
        <v>947</v>
      </c>
      <c r="C7" s="1175"/>
      <c r="D7" s="1175"/>
      <c r="G7" s="2521"/>
      <c r="H7" s="2521"/>
      <c r="I7" s="1175"/>
      <c r="J7" s="1175"/>
      <c r="K7" s="1175"/>
      <c r="L7" s="1175"/>
      <c r="M7" s="1175"/>
      <c r="N7" s="1177"/>
      <c r="O7" s="1177"/>
      <c r="P7" s="1177"/>
    </row>
    <row r="8" spans="2:16">
      <c r="B8" s="1175"/>
      <c r="C8" s="1175"/>
      <c r="D8" s="1175"/>
      <c r="F8" s="1177" t="s">
        <v>948</v>
      </c>
      <c r="G8" s="1191"/>
      <c r="I8" s="1175"/>
      <c r="J8" s="1175"/>
      <c r="K8" s="1175"/>
      <c r="L8" s="1175"/>
      <c r="M8" s="1175"/>
      <c r="N8" s="1177"/>
      <c r="O8" s="1177"/>
      <c r="P8" s="1177"/>
    </row>
    <row r="9" spans="2:16">
      <c r="B9" s="1178" t="s">
        <v>949</v>
      </c>
      <c r="C9" s="1189"/>
      <c r="D9" s="1175"/>
      <c r="F9" s="1177"/>
      <c r="G9" s="1185"/>
      <c r="I9" s="1175"/>
      <c r="J9" s="1175"/>
      <c r="K9" s="1175"/>
      <c r="L9" s="1175"/>
      <c r="M9" s="1175"/>
      <c r="N9" s="1177"/>
      <c r="O9" s="1177"/>
      <c r="P9" s="1177"/>
    </row>
    <row r="10" spans="2:16">
      <c r="B10" s="1175" t="s">
        <v>950</v>
      </c>
      <c r="C10" s="1189"/>
      <c r="D10" s="1175"/>
      <c r="F10" s="1177" t="s">
        <v>951</v>
      </c>
      <c r="G10" s="1191" t="s">
        <v>952</v>
      </c>
      <c r="I10" s="1175"/>
      <c r="J10" s="1175"/>
      <c r="K10" s="1175"/>
      <c r="L10" s="1175"/>
      <c r="M10" s="1175"/>
      <c r="N10" s="1177"/>
      <c r="O10" s="1177"/>
      <c r="P10" s="1177"/>
    </row>
    <row r="11" spans="2:16">
      <c r="B11" s="1184" t="s">
        <v>953</v>
      </c>
      <c r="C11" s="1189"/>
      <c r="D11" s="1175"/>
      <c r="F11" s="1177" t="s">
        <v>954</v>
      </c>
      <c r="G11" s="1203" t="str">
        <f>'RFQ Data'!D10</f>
        <v>NBT</v>
      </c>
      <c r="I11" s="1175"/>
      <c r="J11" s="1175"/>
      <c r="K11" s="1175"/>
      <c r="L11" s="1175"/>
      <c r="M11" s="1175"/>
      <c r="N11" s="1177"/>
      <c r="O11" s="1177"/>
      <c r="P11" s="1177"/>
    </row>
    <row r="12" spans="2:16">
      <c r="B12" s="1179"/>
      <c r="C12" s="1175"/>
      <c r="D12" s="1175"/>
      <c r="E12" s="1175"/>
      <c r="F12" s="1175"/>
      <c r="G12" s="1175"/>
      <c r="H12" s="1175"/>
      <c r="I12" s="1175"/>
      <c r="J12" s="1175"/>
      <c r="K12" s="1175"/>
      <c r="L12" s="1175"/>
      <c r="M12" s="1175"/>
      <c r="N12" s="1177"/>
      <c r="O12" s="1177"/>
      <c r="P12" s="1177"/>
    </row>
    <row r="13" spans="2:16">
      <c r="B13" s="1175" t="s">
        <v>955</v>
      </c>
      <c r="C13" s="1175"/>
      <c r="D13" s="1175"/>
      <c r="E13" s="1175"/>
      <c r="F13" s="1175"/>
      <c r="G13" s="1175"/>
      <c r="H13" s="1180"/>
      <c r="I13" s="1175"/>
      <c r="J13" s="1175"/>
      <c r="K13" s="1175"/>
      <c r="L13" s="1175"/>
      <c r="M13" s="1175"/>
      <c r="N13" s="1175"/>
      <c r="O13" s="1175"/>
      <c r="P13" s="1175"/>
    </row>
    <row r="14" spans="2:16">
      <c r="B14" s="1175"/>
      <c r="C14" s="1175"/>
      <c r="D14" s="1175"/>
      <c r="E14" s="1175"/>
      <c r="F14" s="1175"/>
      <c r="G14" s="1175"/>
      <c r="H14" s="1175"/>
      <c r="I14" s="1175"/>
      <c r="J14" s="1175"/>
      <c r="K14" s="1175"/>
      <c r="L14" s="1175"/>
      <c r="M14" s="1175"/>
      <c r="N14" s="1175"/>
      <c r="O14" s="1175"/>
      <c r="P14" s="1175"/>
    </row>
    <row r="15" spans="2:16">
      <c r="B15" s="1175"/>
      <c r="C15" s="1175"/>
      <c r="D15" s="1175"/>
      <c r="E15" s="1175"/>
      <c r="F15" s="1175"/>
      <c r="G15" s="1175"/>
      <c r="H15" s="1175"/>
      <c r="I15" s="1175"/>
      <c r="J15" s="1175"/>
      <c r="K15" s="1175"/>
      <c r="L15" s="1175"/>
      <c r="M15" s="1175"/>
      <c r="N15" s="1175"/>
      <c r="O15" s="1175"/>
      <c r="P15" s="1175"/>
    </row>
    <row r="16" spans="2:16">
      <c r="B16" s="1181" t="s">
        <v>956</v>
      </c>
      <c r="C16" s="1192" t="str">
        <f>"AVO Carbon ref: "&amp;'RFQ Data'!D7&amp;" / Product: "&amp;'RFQ Data'!H7</f>
        <v>AVO Carbon ref:  / Product: Fuse choke</v>
      </c>
      <c r="D16" s="1181"/>
      <c r="E16" s="1181"/>
      <c r="F16" s="1175"/>
      <c r="G16" s="1182"/>
      <c r="H16" s="1175"/>
      <c r="I16" s="1175"/>
      <c r="J16" s="1175"/>
      <c r="K16" s="1175"/>
      <c r="L16" s="1175"/>
      <c r="M16" s="1175"/>
      <c r="N16" s="1175"/>
      <c r="O16" s="1175"/>
      <c r="P16" s="1175"/>
    </row>
    <row r="17" spans="2:16">
      <c r="B17" s="1175"/>
      <c r="C17" s="1193" t="s">
        <v>957</v>
      </c>
      <c r="D17" s="1194"/>
      <c r="E17" s="1175"/>
      <c r="F17" s="1175"/>
      <c r="G17" s="1175"/>
      <c r="H17" s="1175"/>
      <c r="I17" s="1175"/>
      <c r="J17" s="1175"/>
      <c r="K17" s="1175"/>
      <c r="L17" s="1175"/>
      <c r="M17" s="1175"/>
      <c r="N17" s="1175"/>
      <c r="O17" s="1175"/>
      <c r="P17" s="1175"/>
    </row>
    <row r="18" spans="2:16">
      <c r="B18" s="1175"/>
      <c r="C18" s="1175"/>
      <c r="D18" s="1175"/>
      <c r="E18" s="1175"/>
      <c r="F18" s="1175"/>
      <c r="G18" s="1175"/>
      <c r="H18" s="1175"/>
      <c r="I18" s="1175"/>
      <c r="J18" s="1175"/>
      <c r="K18" s="1175"/>
      <c r="L18" s="1175"/>
      <c r="M18" s="1175"/>
      <c r="N18" s="1175"/>
      <c r="O18" s="1175"/>
      <c r="P18" s="1175"/>
    </row>
    <row r="19" spans="2:16">
      <c r="B19" s="1174" t="s">
        <v>958</v>
      </c>
      <c r="C19" s="1191" t="str">
        <f>G10</f>
        <v>M.XXXXX</v>
      </c>
      <c r="D19" s="1175" t="s">
        <v>959</v>
      </c>
      <c r="E19" s="1175"/>
      <c r="F19" s="1175"/>
      <c r="G19" s="1175"/>
      <c r="H19" s="1175"/>
      <c r="I19" s="1175"/>
      <c r="J19" s="1175"/>
      <c r="K19" s="1175"/>
      <c r="L19" s="1175"/>
      <c r="M19" s="1175"/>
      <c r="N19" s="1175"/>
      <c r="O19" s="1175"/>
      <c r="P19" s="1175"/>
    </row>
    <row r="20" spans="2:16">
      <c r="B20" s="1175"/>
      <c r="C20" s="1175"/>
      <c r="D20" s="1175"/>
      <c r="E20" s="1175"/>
      <c r="F20" s="1175"/>
      <c r="G20" s="1175"/>
      <c r="H20" s="1175"/>
      <c r="I20" s="1175"/>
      <c r="J20" s="1175"/>
      <c r="K20" s="1175"/>
      <c r="L20" s="1175"/>
      <c r="M20" s="1175"/>
      <c r="N20" s="1175"/>
      <c r="O20" s="1175"/>
      <c r="P20" s="1175"/>
    </row>
    <row r="21" spans="2:16">
      <c r="C21" s="1174" t="s">
        <v>960</v>
      </c>
      <c r="D21" s="1175"/>
      <c r="E21" s="1175"/>
      <c r="F21" s="1175"/>
      <c r="G21" s="1175"/>
      <c r="H21" s="1175"/>
      <c r="I21" s="1175"/>
      <c r="J21" s="1175"/>
      <c r="K21" s="1175"/>
      <c r="L21" s="1175"/>
      <c r="M21" s="1175"/>
      <c r="N21" s="1175"/>
      <c r="O21" s="1175"/>
      <c r="P21" s="1175"/>
    </row>
    <row r="22" spans="2:16">
      <c r="B22" s="1175"/>
      <c r="C22" s="1175"/>
      <c r="D22" s="1175"/>
      <c r="E22" s="1175"/>
      <c r="F22" s="1175"/>
      <c r="G22" s="1175"/>
      <c r="H22" s="1175"/>
      <c r="I22" s="1175"/>
      <c r="J22" s="1175"/>
      <c r="K22" s="1175"/>
      <c r="L22" s="1175"/>
      <c r="M22" s="1175"/>
      <c r="N22" s="1175"/>
      <c r="O22" s="1175"/>
      <c r="P22" s="1175"/>
    </row>
    <row r="23" spans="2:16">
      <c r="B23" s="1181" t="s">
        <v>961</v>
      </c>
      <c r="C23" s="1183"/>
      <c r="D23" s="1175"/>
      <c r="E23" s="1175"/>
      <c r="F23" s="1175"/>
      <c r="G23" s="1175"/>
      <c r="H23" s="1175"/>
      <c r="I23" s="1175"/>
      <c r="J23" s="1175"/>
      <c r="K23" s="1175"/>
      <c r="L23" s="1175"/>
      <c r="M23" s="1175"/>
      <c r="N23" s="1175"/>
      <c r="O23" s="1175"/>
      <c r="P23" s="1175"/>
    </row>
    <row r="24" spans="2:16">
      <c r="B24" s="1175"/>
      <c r="C24" s="1175"/>
      <c r="D24" s="1175"/>
      <c r="E24" s="1175"/>
      <c r="F24" s="1175"/>
      <c r="G24" s="1175"/>
      <c r="H24" s="1175"/>
      <c r="I24" s="1175"/>
      <c r="J24" s="1175"/>
      <c r="K24" s="1175"/>
      <c r="L24" s="1175"/>
      <c r="M24" s="1175"/>
      <c r="N24" s="1175"/>
      <c r="O24" s="1175"/>
      <c r="P24" s="1175"/>
    </row>
    <row r="25" spans="2:16">
      <c r="B25" s="1174" t="s">
        <v>962</v>
      </c>
      <c r="C25" t="str">
        <f>'RFQ Data'!D11&amp;" "&amp;'RFQ Data'!D12</f>
        <v xml:space="preserve"> China + South pacific</v>
      </c>
      <c r="D25" s="1175"/>
      <c r="E25" s="1174"/>
      <c r="F25" s="1175"/>
      <c r="G25" s="1175"/>
      <c r="H25" s="1175"/>
      <c r="I25" s="1175"/>
      <c r="J25" s="1175"/>
      <c r="K25" s="1175"/>
      <c r="L25" s="1175"/>
      <c r="M25" s="1175"/>
      <c r="N25" s="1175"/>
      <c r="O25" s="1175"/>
      <c r="P25" s="1175"/>
    </row>
    <row r="26" spans="2:16">
      <c r="B26" s="1175" t="s">
        <v>963</v>
      </c>
      <c r="C26" t="str">
        <f>'RFQ Data'!K13</f>
        <v>Kunshan</v>
      </c>
      <c r="D26" s="1175"/>
      <c r="E26" s="1174"/>
      <c r="F26" s="1175"/>
      <c r="G26" s="1175"/>
      <c r="H26" s="1175"/>
      <c r="I26" s="1175"/>
      <c r="J26" s="1175"/>
      <c r="K26" s="1175"/>
      <c r="L26" s="1175"/>
      <c r="M26" s="1175"/>
      <c r="N26" s="1175"/>
      <c r="O26" s="1175"/>
      <c r="P26" s="1175"/>
    </row>
    <row r="27" spans="2:16">
      <c r="B27" s="1174" t="s">
        <v>964</v>
      </c>
      <c r="C27" t="str">
        <f>'RFQ Data'!D17&amp;" "&amp;IF('RFQ Data'!D17="DAP",C25,C26)</f>
        <v>DAP  China + South pacific</v>
      </c>
      <c r="D27" s="1175"/>
      <c r="E27" s="1174"/>
      <c r="F27" s="1175"/>
      <c r="G27" s="1175"/>
      <c r="I27" s="1175"/>
      <c r="J27" s="1175"/>
      <c r="K27" s="1175"/>
      <c r="L27" s="1175"/>
      <c r="M27" s="1175"/>
      <c r="N27" s="1175"/>
      <c r="O27" s="1175"/>
      <c r="P27" s="1175"/>
    </row>
    <row r="28" spans="2:16">
      <c r="B28" s="1174" t="s">
        <v>965</v>
      </c>
      <c r="C28" t="str">
        <f>'Transp-Packaging-AMS'!L7</f>
        <v>NO</v>
      </c>
      <c r="D28" s="1175"/>
      <c r="E28" s="1190"/>
      <c r="F28" s="1188"/>
      <c r="G28" s="1188"/>
      <c r="H28" s="558"/>
      <c r="I28" s="1175"/>
      <c r="J28" s="1175"/>
      <c r="K28" s="1175"/>
      <c r="L28" s="1175"/>
      <c r="M28" s="1175"/>
      <c r="N28" s="1175"/>
      <c r="O28" s="1175"/>
      <c r="P28" s="1175"/>
    </row>
    <row r="29" spans="2:16">
      <c r="B29" s="1175" t="s">
        <v>966</v>
      </c>
      <c r="D29" s="1175"/>
      <c r="E29" s="1174"/>
      <c r="H29" s="1175"/>
      <c r="I29" s="1175"/>
      <c r="J29" s="1175"/>
      <c r="K29" s="1175"/>
      <c r="L29" s="1175"/>
      <c r="M29" s="1175"/>
      <c r="N29" s="1175"/>
      <c r="O29" s="1175"/>
      <c r="P29" s="1175"/>
    </row>
    <row r="30" spans="2:16">
      <c r="C30" t="str">
        <f>IF('Transp-Packaging-AMS'!N2="Auto",'Transp-Packaging-AMS'!K8&amp;" "&amp;'Transp-Packaging-AMS'!L8,"")</f>
        <v>Returnable Box &amp; pallet: NO</v>
      </c>
      <c r="F30" s="1175"/>
      <c r="G30" s="1175"/>
      <c r="H30" s="1175"/>
      <c r="I30" s="1175"/>
      <c r="J30" s="1175"/>
      <c r="K30" s="1175"/>
      <c r="L30" s="1175"/>
      <c r="M30" s="1175"/>
      <c r="N30" s="1175"/>
      <c r="O30" s="1175"/>
      <c r="P30" s="1175"/>
    </row>
    <row r="31" spans="2:16">
      <c r="C31" s="490" t="str">
        <f>IF('Transp-Packaging-AMS'!N2="Auto",'Transp-Packaging-AMS'!K11&amp;" "&amp;'Transp-Packaging-AMS'!L11,"")</f>
        <v>Choice of tray or dividers: Carboard divider</v>
      </c>
      <c r="H31" s="1175"/>
      <c r="I31" s="1175"/>
      <c r="J31" s="1175"/>
      <c r="K31" s="1175"/>
      <c r="L31" s="1175"/>
      <c r="M31" s="1175"/>
      <c r="N31" s="1175"/>
      <c r="O31" s="1175"/>
      <c r="P31" s="1175"/>
    </row>
    <row r="32" spans="2:16">
      <c r="C32" s="490"/>
      <c r="H32" s="1175"/>
      <c r="I32" s="1175"/>
      <c r="J32" s="1175"/>
      <c r="K32" s="1175"/>
      <c r="L32" s="1175"/>
      <c r="M32" s="1175"/>
      <c r="N32" s="1175"/>
      <c r="O32" s="1175"/>
      <c r="P32" s="1175"/>
    </row>
    <row r="33" spans="2:16">
      <c r="B33" t="s">
        <v>967</v>
      </c>
      <c r="C33" s="1198" t="str">
        <f>'RFQ Data'!E16&amp;" days net"</f>
        <v>90 days net</v>
      </c>
      <c r="D33" s="490"/>
      <c r="I33" s="1175"/>
      <c r="J33" s="1175"/>
      <c r="K33" s="1175"/>
      <c r="L33" s="1175"/>
      <c r="M33" s="1175"/>
      <c r="N33" s="1175"/>
      <c r="O33" s="1175"/>
      <c r="P33" s="1175"/>
    </row>
    <row r="34" spans="2:16">
      <c r="B34" t="s">
        <v>968</v>
      </c>
      <c r="C34" s="1199">
        <f>'RFQ Data'!G22</f>
        <v>5</v>
      </c>
      <c r="D34" t="s">
        <v>969</v>
      </c>
    </row>
    <row r="35" spans="2:16">
      <c r="B35" t="s">
        <v>970</v>
      </c>
      <c r="C35" s="1200">
        <v>10</v>
      </c>
      <c r="D35" t="s">
        <v>971</v>
      </c>
    </row>
    <row r="36" spans="2:16">
      <c r="B36" s="1174" t="s">
        <v>972</v>
      </c>
      <c r="C36" s="1754">
        <f>'Transp-Packaging-AMS'!N13/1000</f>
        <v>15.789473684210526</v>
      </c>
      <c r="D36" s="1201" t="s">
        <v>973</v>
      </c>
      <c r="F36" s="1175"/>
      <c r="G36" s="1175"/>
    </row>
    <row r="37" spans="2:16">
      <c r="B37" t="s">
        <v>974</v>
      </c>
      <c r="C37" s="1199">
        <f>+'RFQ Data'!F37/2</f>
        <v>8.444623819924864</v>
      </c>
      <c r="D37" t="str">
        <f>"(K"&amp;QuotingCUR&amp;") at SOP"</f>
        <v>(KRMB) at SOP</v>
      </c>
    </row>
    <row r="39" spans="2:16">
      <c r="B39" s="72" t="s">
        <v>975</v>
      </c>
    </row>
    <row r="40" spans="2:16">
      <c r="B40" s="72" t="s">
        <v>976</v>
      </c>
    </row>
    <row r="41" spans="2:16" ht="15" thickBot="1"/>
    <row r="42" spans="2:16" ht="16.2" customHeight="1" thickBot="1">
      <c r="B42" s="179"/>
      <c r="C42" s="180">
        <f>'RFQ Data'!C30</f>
        <v>2024</v>
      </c>
      <c r="D42" s="180">
        <f>'RFQ Data'!D30</f>
        <v>2025</v>
      </c>
      <c r="E42" s="180">
        <f>'RFQ Data'!E30</f>
        <v>2026</v>
      </c>
      <c r="F42" s="180">
        <f>'RFQ Data'!F30</f>
        <v>2027</v>
      </c>
      <c r="G42" s="180">
        <f>'RFQ Data'!G30</f>
        <v>2028</v>
      </c>
      <c r="H42" s="24">
        <f>'RFQ Data'!H30</f>
        <v>2029</v>
      </c>
      <c r="J42" s="72"/>
      <c r="K42" s="72"/>
      <c r="L42" s="72"/>
      <c r="M42" s="72"/>
      <c r="N42" s="72"/>
      <c r="O42" s="72"/>
      <c r="P42" s="72"/>
    </row>
    <row r="43" spans="2:16" ht="16.2" customHeight="1">
      <c r="B43" s="41" t="s">
        <v>977</v>
      </c>
      <c r="C43" s="22">
        <f>+'RFQ Data'!C31</f>
        <v>0</v>
      </c>
      <c r="D43" s="22">
        <f>+'RFQ Data'!D31</f>
        <v>600</v>
      </c>
      <c r="E43" s="22">
        <f>+'RFQ Data'!E31</f>
        <v>600</v>
      </c>
      <c r="F43" s="22">
        <f>+'RFQ Data'!F31</f>
        <v>600</v>
      </c>
      <c r="G43" s="22">
        <f>+'RFQ Data'!G31</f>
        <v>600</v>
      </c>
      <c r="H43" s="23">
        <f>+'RFQ Data'!H31</f>
        <v>600</v>
      </c>
    </row>
    <row r="44" spans="2:16" ht="16.2" customHeight="1">
      <c r="B44" s="25" t="str">
        <f>+"Sale price ("&amp;'RFQ Data'!H16&amp;")"</f>
        <v>Sale price (RMB)</v>
      </c>
      <c r="C44" s="52">
        <f>PriceCalAVO!B7</f>
        <v>1.5523448400645263</v>
      </c>
      <c r="D44" s="52">
        <f>PriceCalAVO!C7</f>
        <v>1.5523448400645263</v>
      </c>
      <c r="E44" s="52">
        <f>PriceCalAVO!D7</f>
        <v>1.5523448400645263</v>
      </c>
      <c r="F44" s="52">
        <f>PriceCalAVO!E7</f>
        <v>1.5523448400645263</v>
      </c>
      <c r="G44" s="52">
        <f>PriceCalAVO!F7</f>
        <v>1.5523448400645263</v>
      </c>
      <c r="H44" s="163">
        <f>PriceCalAVO!G7</f>
        <v>1.5523448400645263</v>
      </c>
      <c r="K44" s="55"/>
      <c r="L44" s="55"/>
      <c r="M44" s="55"/>
      <c r="N44" s="55"/>
      <c r="O44" s="55"/>
      <c r="P44" s="55"/>
    </row>
    <row r="45" spans="2:16" ht="16.2" customHeight="1">
      <c r="B45" s="25" t="str">
        <f>"Investment "&amp;PriceCalAVO!A8</f>
        <v>Investment Amortization during 3 years at 12% interest rate</v>
      </c>
      <c r="C45" s="52">
        <f>PriceCalAVO!B8</f>
        <v>0</v>
      </c>
      <c r="D45" s="52">
        <f>PriceCalAVO!C8</f>
        <v>0</v>
      </c>
      <c r="E45" s="52">
        <f>PriceCalAVO!D8</f>
        <v>0</v>
      </c>
      <c r="F45" s="52">
        <f>PriceCalAVO!E8</f>
        <v>0</v>
      </c>
      <c r="G45" s="52">
        <f>PriceCalAVO!F8</f>
        <v>0</v>
      </c>
      <c r="H45" s="163">
        <f>PriceCalAVO!G8</f>
        <v>0</v>
      </c>
      <c r="K45" s="55"/>
      <c r="L45" s="55"/>
      <c r="M45" s="55"/>
      <c r="N45" s="55"/>
      <c r="O45" s="55"/>
      <c r="P45" s="55"/>
    </row>
    <row r="46" spans="2:16" ht="16.2" customHeight="1">
      <c r="B46" s="25" t="s">
        <v>978</v>
      </c>
      <c r="C46" s="178">
        <f>+PriceCalAVO!B3</f>
        <v>0</v>
      </c>
      <c r="D46" s="178">
        <f>+PriceCalAVO!C3</f>
        <v>0</v>
      </c>
      <c r="E46" s="178">
        <f>+PriceCalAVO!D3</f>
        <v>0</v>
      </c>
      <c r="F46" s="178">
        <f>+PriceCalAVO!E3</f>
        <v>0</v>
      </c>
      <c r="G46" s="178">
        <f>+PriceCalAVO!F3</f>
        <v>0</v>
      </c>
      <c r="H46" s="181">
        <f>+PriceCalAVO!G3</f>
        <v>0</v>
      </c>
      <c r="K46" s="1"/>
      <c r="L46" s="1"/>
      <c r="M46" s="1"/>
      <c r="N46" s="1"/>
      <c r="O46" s="1"/>
      <c r="P46" s="1"/>
    </row>
    <row r="47" spans="2:16" ht="16.2" customHeight="1" thickBot="1">
      <c r="B47" s="36" t="str">
        <f>"Expected sales (k"&amp;QuotingCUR&amp;")"</f>
        <v>Expected sales (kRMB)</v>
      </c>
      <c r="C47" s="37">
        <f>+C43*C44</f>
        <v>0</v>
      </c>
      <c r="D47" s="37">
        <f t="shared" ref="D47:H47" si="0">+D43*D44</f>
        <v>931.40690403871577</v>
      </c>
      <c r="E47" s="37">
        <f t="shared" si="0"/>
        <v>931.40690403871577</v>
      </c>
      <c r="F47" s="37">
        <f t="shared" si="0"/>
        <v>931.40690403871577</v>
      </c>
      <c r="G47" s="37">
        <f t="shared" si="0"/>
        <v>931.40690403871577</v>
      </c>
      <c r="H47" s="32">
        <f t="shared" si="0"/>
        <v>931.40690403871577</v>
      </c>
      <c r="K47" s="2"/>
      <c r="L47" s="2"/>
      <c r="M47" s="2"/>
      <c r="N47" s="2"/>
      <c r="O47" s="2"/>
      <c r="P47" s="2"/>
    </row>
    <row r="48" spans="2:16">
      <c r="B48" s="4"/>
      <c r="C48" s="108"/>
      <c r="D48" s="108"/>
      <c r="E48" s="108"/>
      <c r="F48" s="108"/>
      <c r="G48" s="108"/>
      <c r="H48" s="108"/>
      <c r="K48" s="2"/>
      <c r="L48" s="2"/>
      <c r="M48" s="2"/>
      <c r="N48" s="2"/>
      <c r="O48" s="2"/>
      <c r="P48" s="2"/>
    </row>
    <row r="49" spans="2:16">
      <c r="B49" t="s">
        <v>979</v>
      </c>
      <c r="C49" s="2"/>
      <c r="D49" s="2">
        <f>+SUM(C43:H43)</f>
        <v>3000</v>
      </c>
      <c r="E49" s="2" t="s">
        <v>551</v>
      </c>
      <c r="G49" s="2"/>
      <c r="K49" s="2"/>
      <c r="L49" s="2"/>
      <c r="M49" s="2"/>
      <c r="N49" s="2"/>
      <c r="O49" s="2"/>
      <c r="P49" s="2"/>
    </row>
    <row r="50" spans="2:16">
      <c r="B50" t="s">
        <v>980</v>
      </c>
      <c r="D50" s="55">
        <f>'Transp-Packaging-AMS'!S4</f>
        <v>2.3490166726756419E-2</v>
      </c>
      <c r="E50" s="2" t="str">
        <f>QuotingCUR&amp;" /pc"</f>
        <v>RMB /pc</v>
      </c>
      <c r="F50" t="s">
        <v>981</v>
      </c>
      <c r="G50" s="2"/>
      <c r="M50" s="55"/>
      <c r="N50" s="2"/>
      <c r="O50" s="2"/>
      <c r="P50" s="2"/>
    </row>
    <row r="51" spans="2:16">
      <c r="B51" t="s">
        <v>982</v>
      </c>
      <c r="D51" s="55">
        <f>'Transp-Packaging-AMS'!S6</f>
        <v>8.5176983689261979E-2</v>
      </c>
      <c r="E51" s="2" t="str">
        <f>QuotingCUR&amp;" /pc"</f>
        <v>RMB /pc</v>
      </c>
      <c r="F51" t="s">
        <v>981</v>
      </c>
      <c r="G51" s="2"/>
      <c r="M51" s="55"/>
      <c r="N51" s="2"/>
      <c r="O51" s="2"/>
      <c r="P51" s="2"/>
    </row>
    <row r="53" spans="2:16">
      <c r="B53" s="72" t="s">
        <v>983</v>
      </c>
    </row>
    <row r="54" spans="2:16">
      <c r="B54" t="s">
        <v>984</v>
      </c>
    </row>
    <row r="55" spans="2:16" ht="15" thickBot="1">
      <c r="B55" s="11"/>
      <c r="C55" s="11"/>
      <c r="D55" s="11"/>
      <c r="E55" s="11"/>
      <c r="F55" s="11"/>
      <c r="G55" s="11"/>
    </row>
    <row r="56" spans="2:16" ht="15" thickBot="1">
      <c r="B56" s="252" t="s">
        <v>985</v>
      </c>
      <c r="C56" s="74">
        <f>C42</f>
        <v>2024</v>
      </c>
      <c r="D56" s="74">
        <f>D42</f>
        <v>2025</v>
      </c>
      <c r="E56" s="74">
        <f>E42</f>
        <v>2026</v>
      </c>
      <c r="F56" s="74">
        <f>F42</f>
        <v>2027</v>
      </c>
      <c r="G56" s="75">
        <f>G42</f>
        <v>2028</v>
      </c>
      <c r="H56" s="6"/>
    </row>
    <row r="57" spans="2:16">
      <c r="B57" s="41" t="s">
        <v>986</v>
      </c>
      <c r="C57" s="87">
        <f>+'Product Added value'!CH32/(1-'Financials Parameters'!$Q$22)</f>
        <v>0</v>
      </c>
      <c r="D57" s="87">
        <f>+'Product Added value'!CI32/(1-'Financials Parameters'!$Q$22)</f>
        <v>0</v>
      </c>
      <c r="E57" s="87">
        <f>+'Product Added value'!CJ32/(1-'Financials Parameters'!$Q$22)</f>
        <v>0</v>
      </c>
      <c r="F57" s="87">
        <f>+'Product Added value'!CK32/(1-'Financials Parameters'!$Q$22)</f>
        <v>0</v>
      </c>
      <c r="G57" s="42">
        <f>+'Product Added value'!CL32/(1-'Financials Parameters'!$Q$22)</f>
        <v>0</v>
      </c>
      <c r="H57" t="str">
        <f>'Capex '!I22</f>
        <v>Invoiced</v>
      </c>
      <c r="K57" s="2"/>
      <c r="L57" s="2"/>
      <c r="M57" s="2"/>
      <c r="N57" s="2"/>
      <c r="O57" s="2"/>
      <c r="P57" s="2"/>
    </row>
    <row r="58" spans="2:16">
      <c r="B58" s="25" t="s">
        <v>987</v>
      </c>
      <c r="C58" s="26">
        <f>+'Product Added value'!CU32/(1-'Financials Parameters'!$Q$21)</f>
        <v>5.5555555555555554</v>
      </c>
      <c r="D58" s="26">
        <f>+'Product Added value'!CV32/(1-'Financials Parameters'!$Q$21)</f>
        <v>0</v>
      </c>
      <c r="E58" s="26">
        <f>+'Product Added value'!CW32/(1-'Financials Parameters'!$Q$21)</f>
        <v>0</v>
      </c>
      <c r="F58" s="26">
        <f>+'Product Added value'!CX32/(1-'Financials Parameters'!$Q$21)</f>
        <v>0</v>
      </c>
      <c r="G58" s="29">
        <f>+'Product Added value'!CY32/(1-'Financials Parameters'!$Q$21)</f>
        <v>0</v>
      </c>
      <c r="H58" t="str">
        <f>'Capex '!I23</f>
        <v>Invoiced</v>
      </c>
      <c r="K58" s="2"/>
      <c r="L58" s="2"/>
      <c r="M58" s="2"/>
      <c r="N58" s="2"/>
      <c r="O58" s="2"/>
      <c r="P58" s="2"/>
    </row>
    <row r="59" spans="2:16" ht="15" thickBot="1">
      <c r="B59" s="107" t="s">
        <v>988</v>
      </c>
      <c r="C59" s="81">
        <f>+'Material Cost '!DH35/(1-'Financials Parameters'!$Q$20)</f>
        <v>0</v>
      </c>
      <c r="D59" s="81">
        <f>+'Material Cost '!DI35/(1-'Financials Parameters'!$Q$20)</f>
        <v>0</v>
      </c>
      <c r="E59" s="81">
        <f>+'Material Cost '!DJ35/(1-'Financials Parameters'!$Q$20)</f>
        <v>0</v>
      </c>
      <c r="F59" s="81">
        <f>+'Material Cost '!DK35/(1-'Financials Parameters'!$Q$20)</f>
        <v>0</v>
      </c>
      <c r="G59" s="106">
        <f>+'Material Cost '!DL35/(1-'Financials Parameters'!$Q$20)</f>
        <v>0</v>
      </c>
      <c r="H59" t="str">
        <f>'Capex '!I24</f>
        <v>Invoiced</v>
      </c>
      <c r="K59" s="2"/>
      <c r="L59" s="2"/>
      <c r="M59" s="2"/>
      <c r="N59" s="2"/>
      <c r="O59" s="2"/>
      <c r="P59" s="2"/>
    </row>
    <row r="60" spans="2:16" ht="15" thickBot="1">
      <c r="B60" s="248" t="s">
        <v>989</v>
      </c>
      <c r="C60" s="85">
        <f>SUM(C57:C59)</f>
        <v>5.5555555555555554</v>
      </c>
      <c r="D60" s="85">
        <f t="shared" ref="D60:G60" si="1">SUM(D57:D59)</f>
        <v>0</v>
      </c>
      <c r="E60" s="85">
        <f t="shared" si="1"/>
        <v>0</v>
      </c>
      <c r="F60" s="85">
        <f t="shared" si="1"/>
        <v>0</v>
      </c>
      <c r="G60" s="86">
        <f t="shared" si="1"/>
        <v>0</v>
      </c>
      <c r="K60" s="2"/>
      <c r="L60" s="2"/>
      <c r="M60" s="2"/>
      <c r="N60" s="2"/>
      <c r="O60" s="2"/>
      <c r="P60" s="2"/>
    </row>
    <row r="61" spans="2:16">
      <c r="K61" s="2"/>
      <c r="L61" s="2"/>
      <c r="M61" s="2"/>
      <c r="N61" s="2"/>
      <c r="O61" s="2"/>
      <c r="P61" s="2"/>
    </row>
    <row r="62" spans="2:16">
      <c r="B62" t="s">
        <v>990</v>
      </c>
      <c r="C62" t="str">
        <f>'RFQ Data'!O30&amp;" Kpcs/year with a potential overcapacity of +"</f>
        <v>600 Kpcs/year with a potential overcapacity of +</v>
      </c>
      <c r="E62" s="1197">
        <f>'RFQ Data'!E43</f>
        <v>0.2</v>
      </c>
      <c r="K62" s="2"/>
      <c r="L62" s="2"/>
      <c r="M62" s="2"/>
      <c r="N62" s="2"/>
      <c r="O62" s="2"/>
      <c r="P62" s="2"/>
    </row>
    <row r="63" spans="2:16">
      <c r="C63" s="490"/>
      <c r="E63" s="218" t="s">
        <v>81</v>
      </c>
      <c r="F63" s="1">
        <f>'RFQ Data'!K44</f>
        <v>0.1</v>
      </c>
      <c r="G63" t="s">
        <v>82</v>
      </c>
      <c r="K63" s="2"/>
      <c r="L63" s="2"/>
      <c r="M63" s="2"/>
      <c r="N63" s="2"/>
      <c r="O63" s="2"/>
      <c r="P63" s="2"/>
    </row>
    <row r="64" spans="2:16">
      <c r="E64" s="218"/>
      <c r="F64" s="1">
        <f>'RFQ Data'!K45</f>
        <v>0.1</v>
      </c>
      <c r="G64" t="s">
        <v>83</v>
      </c>
      <c r="K64" s="2"/>
      <c r="L64" s="2"/>
      <c r="M64" s="2"/>
      <c r="N64" s="2"/>
      <c r="O64" s="2"/>
      <c r="P64" s="2"/>
    </row>
    <row r="65" spans="2:16">
      <c r="K65" s="2"/>
      <c r="L65" s="2"/>
      <c r="M65" s="2"/>
      <c r="N65" s="2"/>
      <c r="O65" s="2"/>
      <c r="P65" s="2"/>
    </row>
    <row r="66" spans="2:16">
      <c r="B66" t="s">
        <v>991</v>
      </c>
      <c r="E66" s="218" t="s">
        <v>992</v>
      </c>
      <c r="F66" s="1"/>
      <c r="K66" s="2"/>
      <c r="L66" s="2"/>
      <c r="M66" s="2"/>
      <c r="N66" s="2"/>
      <c r="O66" s="2"/>
      <c r="P66" s="2"/>
    </row>
    <row r="67" spans="2:16">
      <c r="B67" s="1">
        <v>0.5</v>
      </c>
      <c r="C67" t="s">
        <v>993</v>
      </c>
      <c r="F67" s="1210" t="s">
        <v>994</v>
      </c>
      <c r="G67" s="1208">
        <f>'RFQ Data'!N35</f>
        <v>3</v>
      </c>
      <c r="H67" t="s">
        <v>58</v>
      </c>
      <c r="K67" s="2"/>
      <c r="L67" s="2"/>
      <c r="M67" s="2"/>
      <c r="N67" s="2"/>
      <c r="O67" s="2"/>
      <c r="P67" s="2"/>
    </row>
    <row r="68" spans="2:16">
      <c r="B68" s="1">
        <v>0.3</v>
      </c>
      <c r="C68" t="s">
        <v>995</v>
      </c>
      <c r="E68" s="218"/>
      <c r="F68" s="219" t="s">
        <v>996</v>
      </c>
      <c r="G68" s="1209">
        <f>'RFQ Data'!N36</f>
        <v>0.12</v>
      </c>
      <c r="K68" s="2"/>
      <c r="L68" s="2"/>
      <c r="M68" s="2"/>
      <c r="N68" s="2"/>
      <c r="O68" s="2"/>
      <c r="P68" s="2"/>
    </row>
    <row r="69" spans="2:16">
      <c r="B69" s="1">
        <v>0.2</v>
      </c>
      <c r="C69" t="s">
        <v>997</v>
      </c>
      <c r="F69" s="219" t="s">
        <v>998</v>
      </c>
      <c r="G69" s="1206">
        <f>'RFQ Data'!N37</f>
        <v>1800</v>
      </c>
      <c r="H69" t="s">
        <v>999</v>
      </c>
      <c r="K69" s="2"/>
      <c r="L69" s="2"/>
      <c r="M69" s="2"/>
      <c r="N69" s="2"/>
      <c r="O69" s="2"/>
      <c r="P69" s="2"/>
    </row>
    <row r="70" spans="2:16">
      <c r="B70" s="1"/>
      <c r="F70" s="219"/>
      <c r="G70" s="1206"/>
      <c r="K70" s="2"/>
      <c r="L70" s="2"/>
      <c r="M70" s="2"/>
      <c r="N70" s="2"/>
      <c r="O70" s="2"/>
      <c r="P70" s="2"/>
    </row>
    <row r="71" spans="2:16">
      <c r="B71" t="s">
        <v>1000</v>
      </c>
      <c r="F71" s="219"/>
      <c r="G71" s="1206"/>
      <c r="K71" s="2"/>
      <c r="L71" s="2"/>
      <c r="M71" s="2"/>
      <c r="N71" s="2"/>
      <c r="O71" s="2"/>
      <c r="P71" s="2"/>
    </row>
    <row r="72" spans="2:16" ht="15" thickBot="1">
      <c r="K72" s="2"/>
      <c r="L72" s="2"/>
      <c r="M72" s="2"/>
      <c r="N72" s="2"/>
      <c r="O72" s="2"/>
      <c r="P72" s="2"/>
    </row>
    <row r="73" spans="2:16" ht="15" thickBot="1">
      <c r="C73" s="44">
        <f>C56</f>
        <v>2024</v>
      </c>
      <c r="D73" s="73">
        <f t="shared" ref="D73:G73" si="2">D56</f>
        <v>2025</v>
      </c>
      <c r="E73" s="73">
        <f t="shared" si="2"/>
        <v>2026</v>
      </c>
      <c r="F73" s="73">
        <f t="shared" si="2"/>
        <v>2027</v>
      </c>
      <c r="G73" s="18">
        <f t="shared" si="2"/>
        <v>2028</v>
      </c>
      <c r="J73" s="72"/>
      <c r="K73" s="1195"/>
      <c r="L73" s="1195"/>
      <c r="M73" s="1195"/>
      <c r="N73" s="1195"/>
      <c r="O73" s="1195"/>
      <c r="P73" s="1195"/>
    </row>
    <row r="74" spans="2:16">
      <c r="B74" s="252" t="str">
        <f>'Capex '!A25</f>
        <v>Packaging tooling &amp; returnable package</v>
      </c>
      <c r="C74" s="1207">
        <f>'Capex '!C25</f>
        <v>0</v>
      </c>
      <c r="D74" s="1207">
        <f>'Capex '!D25</f>
        <v>0</v>
      </c>
      <c r="E74" s="1207">
        <f>'Capex '!E25</f>
        <v>0</v>
      </c>
      <c r="F74" s="1207">
        <f>'Capex '!F25</f>
        <v>0</v>
      </c>
      <c r="G74" s="916">
        <f>'Capex '!G25</f>
        <v>0</v>
      </c>
      <c r="H74" s="6" t="str">
        <f>'Capex '!I25</f>
        <v>Invoiced</v>
      </c>
    </row>
    <row r="75" spans="2:16" ht="15" thickBot="1">
      <c r="B75" s="36" t="str">
        <f>'Capex '!A26</f>
        <v>Development cost</v>
      </c>
      <c r="C75" s="37">
        <f>'Capex '!C26</f>
        <v>0</v>
      </c>
      <c r="D75" s="37">
        <f>'Capex '!D26</f>
        <v>0</v>
      </c>
      <c r="E75" s="37">
        <f>'Capex '!E26</f>
        <v>0</v>
      </c>
      <c r="F75" s="37">
        <f>'Capex '!F26</f>
        <v>0</v>
      </c>
      <c r="G75" s="32">
        <f>'Capex '!G26</f>
        <v>0</v>
      </c>
      <c r="H75" s="6" t="str">
        <f>'Capex '!I26</f>
        <v>Invoiced</v>
      </c>
      <c r="L75" s="2"/>
    </row>
    <row r="76" spans="2:16" ht="15" thickBot="1">
      <c r="B76" s="256" t="s">
        <v>1001</v>
      </c>
      <c r="C76" s="165">
        <f>C74+C75</f>
        <v>0</v>
      </c>
      <c r="D76" s="165">
        <f t="shared" ref="D76:G76" si="3">D74+D75</f>
        <v>0</v>
      </c>
      <c r="E76" s="165">
        <f t="shared" si="3"/>
        <v>0</v>
      </c>
      <c r="F76" s="165">
        <f t="shared" si="3"/>
        <v>0</v>
      </c>
      <c r="G76" s="166">
        <f t="shared" si="3"/>
        <v>0</v>
      </c>
      <c r="H76" s="1202"/>
      <c r="L76" s="2"/>
    </row>
    <row r="77" spans="2:16">
      <c r="C77" s="490"/>
      <c r="E77" s="218" t="s">
        <v>81</v>
      </c>
    </row>
    <row r="78" spans="2:16">
      <c r="B78" s="72" t="s">
        <v>1002</v>
      </c>
      <c r="C78" s="2"/>
      <c r="D78" s="2"/>
      <c r="E78" s="2"/>
      <c r="F78" s="2"/>
      <c r="G78" s="2"/>
      <c r="H78" s="2"/>
    </row>
    <row r="79" spans="2:16">
      <c r="B79" s="72" t="s">
        <v>1003</v>
      </c>
    </row>
    <row r="80" spans="2:16">
      <c r="F80" s="2"/>
      <c r="G80" s="2"/>
      <c r="H80" s="2"/>
    </row>
    <row r="81" spans="2:5" ht="28.8">
      <c r="B81" s="1029" t="s">
        <v>138</v>
      </c>
      <c r="C81" s="76" t="s">
        <v>719</v>
      </c>
      <c r="D81" t="s">
        <v>720</v>
      </c>
      <c r="E81" t="s">
        <v>721</v>
      </c>
    </row>
    <row r="82" spans="2:5">
      <c r="B82" s="490"/>
      <c r="C82" s="1205">
        <v>0</v>
      </c>
      <c r="D82">
        <v>0</v>
      </c>
      <c r="E82" s="17">
        <v>0</v>
      </c>
    </row>
    <row r="83" spans="2:5">
      <c r="B83" s="490" t="s">
        <v>723</v>
      </c>
      <c r="C83" s="1205">
        <v>3.9777327935222673E-3</v>
      </c>
      <c r="D83">
        <v>70.999999999999986</v>
      </c>
      <c r="E83" s="17">
        <v>0.28241902834008092</v>
      </c>
    </row>
    <row r="84" spans="2:5">
      <c r="B84" s="490" t="s">
        <v>725</v>
      </c>
      <c r="C84" s="1205">
        <v>3.9777327935222673E-3</v>
      </c>
      <c r="D84">
        <v>70.999999999999986</v>
      </c>
      <c r="E84" s="17">
        <v>0.28241902834008092</v>
      </c>
    </row>
    <row r="91" spans="2:5">
      <c r="B91" s="1204" t="s">
        <v>1004</v>
      </c>
    </row>
    <row r="92" spans="2:5">
      <c r="B92" t="s">
        <v>718</v>
      </c>
    </row>
    <row r="93" spans="2:5">
      <c r="B93" s="1029" t="s">
        <v>303</v>
      </c>
      <c r="C93" t="s">
        <v>722</v>
      </c>
    </row>
    <row r="94" spans="2:5">
      <c r="B94" s="1112"/>
      <c r="C94">
        <v>0</v>
      </c>
    </row>
    <row r="95" spans="2:5">
      <c r="B95" s="1112" t="s">
        <v>724</v>
      </c>
      <c r="C95">
        <v>0</v>
      </c>
    </row>
    <row r="96" spans="2:5">
      <c r="B96" s="490" t="s">
        <v>725</v>
      </c>
      <c r="C96" s="17">
        <v>0</v>
      </c>
    </row>
    <row r="103" spans="2:7">
      <c r="B103" s="1204" t="s">
        <v>1005</v>
      </c>
    </row>
    <row r="104" spans="2:7">
      <c r="B104" s="490"/>
    </row>
    <row r="105" spans="2:7" ht="15" thickBot="1">
      <c r="B105" s="490" t="s">
        <v>1006</v>
      </c>
    </row>
    <row r="106" spans="2:7" ht="29.4" thickBot="1">
      <c r="B106" s="44" t="s">
        <v>1007</v>
      </c>
      <c r="C106" s="1751" t="s">
        <v>1008</v>
      </c>
      <c r="D106" s="1752" t="s">
        <v>1009</v>
      </c>
      <c r="E106" s="2494" t="s">
        <v>1010</v>
      </c>
      <c r="F106" s="2494"/>
      <c r="G106" s="2495"/>
    </row>
    <row r="107" spans="2:7">
      <c r="B107" s="1212"/>
      <c r="C107" s="1753"/>
      <c r="D107" s="1753"/>
      <c r="E107" s="2496"/>
      <c r="F107" s="2496"/>
      <c r="G107" s="2497"/>
    </row>
    <row r="108" spans="2:7">
      <c r="B108" s="1211"/>
      <c r="C108" s="33"/>
      <c r="D108" s="33"/>
      <c r="E108" s="2498"/>
      <c r="F108" s="2498"/>
      <c r="G108" s="2499"/>
    </row>
    <row r="109" spans="2:7">
      <c r="B109" s="1211"/>
      <c r="C109" s="33"/>
      <c r="D109" s="33"/>
      <c r="E109" s="2498"/>
      <c r="F109" s="2498"/>
      <c r="G109" s="2499"/>
    </row>
    <row r="110" spans="2:7" ht="15" thickBot="1">
      <c r="B110" s="36"/>
      <c r="C110" s="39"/>
      <c r="D110" s="39"/>
      <c r="E110" s="2500"/>
      <c r="F110" s="2500"/>
      <c r="G110" s="2286"/>
    </row>
    <row r="111" spans="2:7">
      <c r="B111" s="490"/>
    </row>
    <row r="112" spans="2:7" ht="15" thickBot="1">
      <c r="B112" s="490" t="s">
        <v>1011</v>
      </c>
    </row>
    <row r="113" spans="2:10" ht="15" thickBot="1">
      <c r="B113" s="44" t="s">
        <v>1012</v>
      </c>
      <c r="C113" s="2522" t="s">
        <v>1013</v>
      </c>
      <c r="D113" s="2523"/>
      <c r="E113" s="2523"/>
      <c r="F113" s="2523"/>
      <c r="G113" s="2524"/>
    </row>
    <row r="114" spans="2:10">
      <c r="B114" s="1212"/>
      <c r="C114" s="2525"/>
      <c r="D114" s="2526"/>
      <c r="E114" s="2526"/>
      <c r="F114" s="2526"/>
      <c r="G114" s="2527"/>
    </row>
    <row r="115" spans="2:10">
      <c r="B115" s="1211"/>
      <c r="C115" s="2528"/>
      <c r="D115" s="2529"/>
      <c r="E115" s="2529"/>
      <c r="F115" s="2529"/>
      <c r="G115" s="2530"/>
    </row>
    <row r="116" spans="2:10">
      <c r="B116" s="1211"/>
      <c r="C116" s="2528"/>
      <c r="D116" s="2529"/>
      <c r="E116" s="2529"/>
      <c r="F116" s="2529"/>
      <c r="G116" s="2530"/>
    </row>
    <row r="117" spans="2:10" ht="15" thickBot="1">
      <c r="B117" s="36"/>
      <c r="C117" s="2501"/>
      <c r="D117" s="2502"/>
      <c r="E117" s="2502"/>
      <c r="F117" s="2502"/>
      <c r="G117" s="2503"/>
    </row>
    <row r="119" spans="2:10">
      <c r="B119" s="72" t="s">
        <v>113</v>
      </c>
      <c r="E119" s="66"/>
    </row>
    <row r="120" spans="2:10" ht="15" thickBot="1">
      <c r="B120" s="72"/>
      <c r="E120" s="66"/>
    </row>
    <row r="121" spans="2:10" ht="15" thickBot="1">
      <c r="B121" s="2504" t="s">
        <v>114</v>
      </c>
      <c r="C121" s="2505"/>
      <c r="D121" s="65" t="s">
        <v>115</v>
      </c>
      <c r="E121" s="2236" t="s">
        <v>116</v>
      </c>
      <c r="F121" s="2237"/>
      <c r="G121" s="2238"/>
    </row>
    <row r="122" spans="2:10" ht="15" thickBot="1">
      <c r="B122" s="2237"/>
      <c r="C122" s="2237"/>
      <c r="D122" s="2237"/>
      <c r="E122" s="2237"/>
      <c r="F122" s="2237"/>
      <c r="G122" s="2237"/>
    </row>
    <row r="123" spans="2:10" ht="28.95" customHeight="1" thickBot="1">
      <c r="B123" s="2509" t="s">
        <v>117</v>
      </c>
      <c r="C123" s="2510"/>
      <c r="D123" s="1019"/>
      <c r="E123" s="2506" t="s">
        <v>118</v>
      </c>
      <c r="F123" s="2507"/>
      <c r="G123" s="2508"/>
      <c r="H123" s="76"/>
    </row>
    <row r="124" spans="2:10" ht="15" thickBot="1">
      <c r="B124" s="2237"/>
      <c r="C124" s="2237"/>
      <c r="D124" s="2237"/>
      <c r="E124" s="2237"/>
      <c r="F124" s="2237"/>
      <c r="G124" s="2237"/>
    </row>
    <row r="125" spans="2:10">
      <c r="B125" s="2271" t="s">
        <v>119</v>
      </c>
      <c r="C125" s="2253"/>
      <c r="D125" s="1399"/>
      <c r="E125" s="2271" t="s">
        <v>120</v>
      </c>
      <c r="F125" s="2252"/>
      <c r="G125" s="2253"/>
    </row>
    <row r="126" spans="2:10">
      <c r="B126" s="2273" t="s">
        <v>121</v>
      </c>
      <c r="C126" s="2291"/>
      <c r="D126" s="1400"/>
      <c r="E126" s="2517" t="s">
        <v>122</v>
      </c>
      <c r="F126" s="2246"/>
      <c r="G126" s="2247"/>
      <c r="H126" s="218"/>
      <c r="I126" s="218"/>
      <c r="J126" s="218"/>
    </row>
    <row r="127" spans="2:10">
      <c r="B127" s="2273" t="s">
        <v>123</v>
      </c>
      <c r="C127" s="2291"/>
      <c r="D127" s="1400"/>
      <c r="E127" s="2273" t="s">
        <v>124</v>
      </c>
      <c r="F127" s="2290"/>
      <c r="G127" s="2291"/>
    </row>
    <row r="128" spans="2:10">
      <c r="B128" s="2273" t="s">
        <v>125</v>
      </c>
      <c r="C128" s="2291"/>
      <c r="D128" s="1400"/>
      <c r="E128" s="2517" t="s">
        <v>124</v>
      </c>
      <c r="F128" s="2246"/>
      <c r="G128" s="2247"/>
      <c r="H128" s="218"/>
      <c r="I128" s="218"/>
      <c r="J128" s="218"/>
    </row>
    <row r="129" spans="2:11" ht="15" thickBot="1">
      <c r="B129" s="2516" t="s">
        <v>126</v>
      </c>
      <c r="C129" s="2503"/>
      <c r="D129" s="1401"/>
      <c r="E129" s="2518" t="s">
        <v>127</v>
      </c>
      <c r="F129" s="2519"/>
      <c r="G129" s="2520"/>
      <c r="H129" s="218"/>
      <c r="I129" s="218"/>
      <c r="J129" s="218"/>
    </row>
    <row r="130" spans="2:11" ht="15" thickBot="1">
      <c r="B130" s="2514" t="s">
        <v>128</v>
      </c>
      <c r="C130" s="2515"/>
      <c r="D130" s="1402">
        <f>D125+D126+MAX(D127,D128)+D129</f>
        <v>0</v>
      </c>
      <c r="E130" s="2511"/>
      <c r="F130" s="2512"/>
      <c r="G130" s="2512"/>
      <c r="H130" s="2512"/>
    </row>
    <row r="131" spans="2:11">
      <c r="B131" s="6"/>
      <c r="C131" s="1300"/>
      <c r="E131" s="66"/>
      <c r="F131" s="66"/>
    </row>
    <row r="132" spans="2:11">
      <c r="C132" s="1300"/>
      <c r="E132" s="66"/>
      <c r="F132" s="66"/>
    </row>
    <row r="133" spans="2:11">
      <c r="B133" s="72" t="s">
        <v>1014</v>
      </c>
      <c r="C133" s="1300"/>
      <c r="E133" s="66"/>
      <c r="F133" s="66"/>
    </row>
    <row r="134" spans="2:11">
      <c r="B134" s="1175" t="s">
        <v>1015</v>
      </c>
      <c r="C134" s="1175"/>
      <c r="D134" s="1175"/>
      <c r="E134" s="1175"/>
      <c r="F134" s="1175"/>
      <c r="G134" s="1175"/>
      <c r="H134" s="1175"/>
      <c r="I134" s="1175"/>
      <c r="J134" s="1175"/>
      <c r="K134" s="1175"/>
    </row>
    <row r="135" spans="2:11">
      <c r="B135" s="1175" t="s">
        <v>1016</v>
      </c>
      <c r="C135" s="1175"/>
      <c r="D135" s="1175"/>
      <c r="E135" s="1175"/>
      <c r="F135" s="1175"/>
      <c r="G135" s="1175"/>
      <c r="H135" s="1175"/>
      <c r="I135" s="1175"/>
      <c r="J135" s="1175"/>
      <c r="K135" s="1175"/>
    </row>
    <row r="136" spans="2:11">
      <c r="B136" s="1175"/>
      <c r="C136" s="1175"/>
      <c r="D136" s="1175"/>
      <c r="E136" s="1175"/>
      <c r="F136" s="1175"/>
      <c r="G136" s="1175"/>
      <c r="H136" s="1175"/>
      <c r="I136" s="1175"/>
      <c r="J136" s="1175"/>
      <c r="K136" s="1175"/>
    </row>
    <row r="137" spans="2:11">
      <c r="B137" s="1193" t="s">
        <v>1017</v>
      </c>
      <c r="C137" s="1175"/>
      <c r="D137" s="1175"/>
      <c r="E137" s="1175"/>
      <c r="F137" s="1175"/>
      <c r="G137" s="1175"/>
      <c r="H137" s="1175"/>
      <c r="I137" s="1175"/>
      <c r="J137" s="1175"/>
      <c r="K137" s="1175"/>
    </row>
    <row r="138" spans="2:11">
      <c r="B138" s="2493" t="s">
        <v>1018</v>
      </c>
      <c r="C138" s="2493"/>
      <c r="D138" s="2493"/>
      <c r="E138" s="2493"/>
      <c r="F138" s="2493"/>
      <c r="G138" s="2493"/>
      <c r="H138" s="2493"/>
      <c r="I138" s="1175"/>
      <c r="J138" s="1175"/>
      <c r="K138" s="1175"/>
    </row>
    <row r="139" spans="2:11">
      <c r="B139" s="1175"/>
      <c r="C139" s="1175"/>
      <c r="D139" s="1175"/>
      <c r="E139" s="1175"/>
      <c r="F139" s="1175"/>
      <c r="G139" s="1175"/>
      <c r="H139" s="1175"/>
      <c r="I139" s="1175"/>
      <c r="J139" s="1175"/>
      <c r="K139" s="1175"/>
    </row>
    <row r="140" spans="2:11">
      <c r="B140" s="1175"/>
      <c r="C140" s="1175"/>
      <c r="D140" s="1175"/>
      <c r="E140" s="1175"/>
      <c r="F140" s="1175"/>
      <c r="G140" s="1175"/>
      <c r="H140" s="1175"/>
      <c r="I140" s="1175"/>
      <c r="J140" s="1175"/>
      <c r="K140" s="1175"/>
    </row>
    <row r="141" spans="2:11">
      <c r="B141" s="2493" t="s">
        <v>1019</v>
      </c>
      <c r="C141" s="2493"/>
      <c r="D141" s="2493"/>
      <c r="E141" s="2493"/>
      <c r="F141" s="2493"/>
      <c r="G141" s="2493"/>
      <c r="H141" s="2493"/>
      <c r="I141" s="1175"/>
      <c r="J141" s="1175"/>
      <c r="K141" s="1175"/>
    </row>
    <row r="142" spans="2:11">
      <c r="B142" s="1175"/>
      <c r="C142" s="1175"/>
      <c r="D142" s="1175"/>
      <c r="E142" s="1175"/>
      <c r="F142" s="1175"/>
      <c r="G142" s="1175"/>
      <c r="H142" s="1175"/>
      <c r="I142" s="1175"/>
      <c r="J142" s="1175"/>
      <c r="K142" s="1175"/>
    </row>
    <row r="143" spans="2:11">
      <c r="B143" s="1175" t="s">
        <v>1020</v>
      </c>
      <c r="C143" s="1175"/>
      <c r="D143" s="1175"/>
      <c r="E143" s="1175"/>
      <c r="F143" s="1175"/>
      <c r="G143" s="1175"/>
      <c r="H143" s="1175"/>
      <c r="I143" s="1175"/>
      <c r="J143" s="1175"/>
      <c r="K143" s="1175"/>
    </row>
    <row r="146" spans="2:10">
      <c r="E146" s="1175"/>
      <c r="F146" s="1175"/>
      <c r="G146" s="1175"/>
      <c r="H146" s="1175"/>
      <c r="J146" s="1175"/>
    </row>
    <row r="147" spans="2:10">
      <c r="B147" s="1175" t="s">
        <v>1021</v>
      </c>
      <c r="C147" s="1175"/>
      <c r="D147" s="1175" t="s">
        <v>1022</v>
      </c>
      <c r="E147" s="1175"/>
      <c r="F147" s="1175"/>
      <c r="G147" s="1175"/>
      <c r="H147" s="1175"/>
      <c r="J147" s="1175"/>
    </row>
    <row r="148" spans="2:10">
      <c r="B148" s="1175" t="s">
        <v>1023</v>
      </c>
      <c r="C148" s="1175"/>
      <c r="D148" s="1175" t="s">
        <v>1024</v>
      </c>
    </row>
  </sheetData>
  <mergeCells count="32">
    <mergeCell ref="B1:H1"/>
    <mergeCell ref="B130:C130"/>
    <mergeCell ref="B126:C126"/>
    <mergeCell ref="B127:C127"/>
    <mergeCell ref="B128:C128"/>
    <mergeCell ref="B129:C129"/>
    <mergeCell ref="E125:G125"/>
    <mergeCell ref="E126:G126"/>
    <mergeCell ref="E127:G127"/>
    <mergeCell ref="E128:G128"/>
    <mergeCell ref="E129:G129"/>
    <mergeCell ref="G7:H7"/>
    <mergeCell ref="C113:G113"/>
    <mergeCell ref="C114:G114"/>
    <mergeCell ref="C115:G115"/>
    <mergeCell ref="C116:G116"/>
    <mergeCell ref="B141:H141"/>
    <mergeCell ref="B138:H138"/>
    <mergeCell ref="E106:G106"/>
    <mergeCell ref="E107:G107"/>
    <mergeCell ref="E108:G108"/>
    <mergeCell ref="E109:G109"/>
    <mergeCell ref="E110:G110"/>
    <mergeCell ref="C117:G117"/>
    <mergeCell ref="B124:G124"/>
    <mergeCell ref="B121:C121"/>
    <mergeCell ref="E121:G121"/>
    <mergeCell ref="E123:G123"/>
    <mergeCell ref="B122:G122"/>
    <mergeCell ref="B123:C123"/>
    <mergeCell ref="E130:H130"/>
    <mergeCell ref="B125:C125"/>
  </mergeCells>
  <phoneticPr fontId="67" type="noConversion"/>
  <hyperlinks>
    <hyperlink ref="B11" r:id="rId3" display="mailto:lionel.clodong@avocarbon.com" xr:uid="{50749616-704C-40A2-9C49-CF3624577281}"/>
  </hyperlinks>
  <pageMargins left="0.7" right="0.7" top="0.75" bottom="0.75" header="0.3" footer="0.3"/>
  <pageSetup paperSize="9" scale="62" fitToHeight="0" orientation="portrait" r:id="rId4"/>
  <rowBreaks count="1" manualBreakCount="1">
    <brk id="77" min="1" max="7" man="1"/>
  </rowBreaks>
  <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88309-61D5-455F-9A90-4B54133F75B5}">
  <sheetPr codeName="Feuil3">
    <tabColor theme="9" tint="0.59999389629810485"/>
  </sheetPr>
  <dimension ref="A1:U92"/>
  <sheetViews>
    <sheetView zoomScale="80" zoomScaleNormal="80" workbookViewId="0">
      <selection activeCell="C10" sqref="C10"/>
    </sheetView>
  </sheetViews>
  <sheetFormatPr baseColWidth="10" defaultColWidth="11.44140625" defaultRowHeight="14.4"/>
  <cols>
    <col min="1" max="1" width="38.44140625" bestFit="1" customWidth="1"/>
    <col min="2" max="7" width="13" bestFit="1" customWidth="1"/>
    <col min="8" max="8" width="5.44140625" bestFit="1" customWidth="1"/>
    <col min="10" max="10" width="36.88671875" customWidth="1"/>
    <col min="16" max="16" width="15.44140625" bestFit="1" customWidth="1"/>
  </cols>
  <sheetData>
    <row r="1" spans="1:21" ht="15" thickBot="1"/>
    <row r="2" spans="1:21">
      <c r="A2" s="41"/>
      <c r="B2" s="22">
        <f>+'RFQ Data'!C30</f>
        <v>2024</v>
      </c>
      <c r="C2" s="22">
        <f>+'RFQ Data'!D30</f>
        <v>2025</v>
      </c>
      <c r="D2" s="22">
        <f>+'RFQ Data'!E30</f>
        <v>2026</v>
      </c>
      <c r="E2" s="22">
        <f>+'RFQ Data'!F30</f>
        <v>2027</v>
      </c>
      <c r="F2" s="22">
        <f>+'RFQ Data'!G30</f>
        <v>2028</v>
      </c>
      <c r="G2" s="23">
        <f>+'RFQ Data'!H30</f>
        <v>2029</v>
      </c>
    </row>
    <row r="3" spans="1:21">
      <c r="A3" s="25" t="str">
        <f>+"Price/piece "&amp;QuotingCUR</f>
        <v>Price/piece RMB</v>
      </c>
      <c r="B3" s="33">
        <f>+PriceCalAVO!B7</f>
        <v>1.5523448400645263</v>
      </c>
      <c r="C3" s="33">
        <f>+PriceCalAVO!C7</f>
        <v>1.5523448400645263</v>
      </c>
      <c r="D3" s="33">
        <f>+PriceCalAVO!D7</f>
        <v>1.5523448400645263</v>
      </c>
      <c r="E3" s="33">
        <f>+PriceCalAVO!E7</f>
        <v>1.5523448400645263</v>
      </c>
      <c r="F3" s="33">
        <f>+PriceCalAVO!F7</f>
        <v>1.5523448400645263</v>
      </c>
      <c r="G3" s="132">
        <f>+PriceCalAVO!G7</f>
        <v>1.5523448400645263</v>
      </c>
    </row>
    <row r="4" spans="1:21" ht="15" thickBot="1">
      <c r="A4" s="36" t="s">
        <v>1025</v>
      </c>
      <c r="B4" s="39">
        <f>+'RFQ Data'!C31</f>
        <v>0</v>
      </c>
      <c r="C4" s="39">
        <f>+'RFQ Data'!D31</f>
        <v>600</v>
      </c>
      <c r="D4" s="39">
        <f>+'RFQ Data'!E31</f>
        <v>600</v>
      </c>
      <c r="E4" s="39">
        <f>+'RFQ Data'!F31</f>
        <v>600</v>
      </c>
      <c r="F4" s="39">
        <f>+'RFQ Data'!G31</f>
        <v>600</v>
      </c>
      <c r="G4" s="43">
        <f>+'RFQ Data'!H31</f>
        <v>600</v>
      </c>
    </row>
    <row r="6" spans="1:21" ht="15" thickBot="1">
      <c r="H6" s="1289"/>
      <c r="I6" s="1289"/>
      <c r="J6" s="1289"/>
      <c r="K6" s="1289"/>
      <c r="L6" s="1289"/>
      <c r="M6" s="1289"/>
    </row>
    <row r="7" spans="1:21" ht="15" thickBot="1">
      <c r="A7" s="1196" t="s">
        <v>1026</v>
      </c>
      <c r="B7" t="s">
        <v>1027</v>
      </c>
      <c r="C7" t="s">
        <v>1028</v>
      </c>
      <c r="D7" t="s">
        <v>1029</v>
      </c>
      <c r="E7" t="s">
        <v>1030</v>
      </c>
      <c r="F7" t="s">
        <v>1031</v>
      </c>
      <c r="G7" t="s">
        <v>1032</v>
      </c>
      <c r="H7" s="1204"/>
      <c r="I7" s="1290"/>
      <c r="K7" s="2531" t="s">
        <v>1033</v>
      </c>
      <c r="L7" s="2470"/>
      <c r="M7" s="2470"/>
      <c r="N7" s="2470"/>
      <c r="O7" s="2470"/>
      <c r="P7" s="2471"/>
    </row>
    <row r="8" spans="1:21" ht="15" thickBot="1">
      <c r="A8" s="490" t="s">
        <v>729</v>
      </c>
      <c r="B8" s="1206">
        <v>0</v>
      </c>
      <c r="C8" s="1206">
        <v>0</v>
      </c>
      <c r="D8" s="1206">
        <v>0</v>
      </c>
      <c r="E8" s="1206">
        <v>0</v>
      </c>
      <c r="F8" s="1206">
        <v>0</v>
      </c>
      <c r="G8" s="1206">
        <v>0</v>
      </c>
      <c r="H8" s="71"/>
      <c r="I8" s="1206"/>
      <c r="J8" s="1041" t="s">
        <v>1034</v>
      </c>
      <c r="K8" s="1612">
        <f>'Transp-Packaging-AMS'!AU2</f>
        <v>2024</v>
      </c>
      <c r="L8" s="1613">
        <f>'Transp-Packaging-AMS'!AV2</f>
        <v>2025</v>
      </c>
      <c r="M8" s="1613">
        <f>'Transp-Packaging-AMS'!AW2</f>
        <v>2026</v>
      </c>
      <c r="N8" s="1613">
        <f>'Transp-Packaging-AMS'!AX2</f>
        <v>2027</v>
      </c>
      <c r="O8" s="1613">
        <f>'Transp-Packaging-AMS'!AY2</f>
        <v>2028</v>
      </c>
      <c r="P8" s="1614">
        <f>'Transp-Packaging-AMS'!AZ2</f>
        <v>2029</v>
      </c>
      <c r="R8" s="2"/>
      <c r="S8" s="2"/>
      <c r="T8" s="2"/>
      <c r="U8" s="2"/>
    </row>
    <row r="9" spans="1:21">
      <c r="A9" s="71"/>
      <c r="B9" s="1716">
        <v>0</v>
      </c>
      <c r="C9" s="1716">
        <v>0</v>
      </c>
      <c r="D9" s="1716">
        <v>0</v>
      </c>
      <c r="E9" s="1716">
        <v>0</v>
      </c>
      <c r="F9" s="1716">
        <v>0</v>
      </c>
      <c r="G9" s="1716">
        <v>0</v>
      </c>
      <c r="H9" s="71"/>
      <c r="I9" s="1206"/>
      <c r="J9" s="1615" t="str">
        <f>'Transp-Packaging-AMS'!AT3</f>
        <v>Annual quantity</v>
      </c>
      <c r="K9" s="1616">
        <f>'Transp-Packaging-AMS'!AU3</f>
        <v>0</v>
      </c>
      <c r="L9" s="1617">
        <f>'Transp-Packaging-AMS'!AV3</f>
        <v>666.66666666666663</v>
      </c>
      <c r="M9" s="1617">
        <f>'Transp-Packaging-AMS'!AW3</f>
        <v>666.66666666666663</v>
      </c>
      <c r="N9" s="1617">
        <f>'Transp-Packaging-AMS'!AX3</f>
        <v>666.66666666666663</v>
      </c>
      <c r="O9" s="1617">
        <f>'Transp-Packaging-AMS'!AY3</f>
        <v>666.66666666666663</v>
      </c>
      <c r="P9" s="1618">
        <f>'Transp-Packaging-AMS'!AZ3</f>
        <v>666.66666666666663</v>
      </c>
      <c r="R9" s="2"/>
      <c r="S9" s="2"/>
      <c r="T9" s="2"/>
      <c r="U9" s="2"/>
    </row>
    <row r="10" spans="1:21" ht="15" thickBot="1">
      <c r="A10" s="490" t="s">
        <v>728</v>
      </c>
      <c r="B10" s="1206">
        <v>5.5555555555555554</v>
      </c>
      <c r="C10" s="1206">
        <v>0</v>
      </c>
      <c r="D10" s="1206">
        <v>0</v>
      </c>
      <c r="E10" s="1206">
        <v>0</v>
      </c>
      <c r="F10" s="1206">
        <v>0</v>
      </c>
      <c r="G10" s="1206">
        <v>0</v>
      </c>
      <c r="H10" s="71"/>
      <c r="I10" s="1206"/>
      <c r="J10" s="1619" t="str">
        <f>'Transp-Packaging-AMS'!AT4</f>
        <v>Pick -up quantity (Kpcs/ 1W)</v>
      </c>
      <c r="K10" s="1620">
        <f>'Transp-Packaging-AMS'!AU4</f>
        <v>0</v>
      </c>
      <c r="L10" s="1621">
        <f>'Transp-Packaging-AMS'!AV4</f>
        <v>13.888888888888888</v>
      </c>
      <c r="M10" s="1621">
        <f>'Transp-Packaging-AMS'!AW4</f>
        <v>13.888888888888888</v>
      </c>
      <c r="N10" s="1621">
        <f>'Transp-Packaging-AMS'!AX4</f>
        <v>13.888888888888888</v>
      </c>
      <c r="O10" s="1621">
        <f>'Transp-Packaging-AMS'!AY4</f>
        <v>13.888888888888888</v>
      </c>
      <c r="P10" s="1622">
        <f>'Transp-Packaging-AMS'!AZ4</f>
        <v>13.888888888888888</v>
      </c>
      <c r="R10" s="2"/>
      <c r="S10" s="2"/>
      <c r="T10" s="2"/>
      <c r="U10" s="2"/>
    </row>
    <row r="11" spans="1:21">
      <c r="A11" s="71">
        <v>0</v>
      </c>
      <c r="B11" s="1206">
        <v>0</v>
      </c>
      <c r="C11" s="1206">
        <v>0</v>
      </c>
      <c r="D11" s="1206">
        <v>0</v>
      </c>
      <c r="E11" s="1206">
        <v>0</v>
      </c>
      <c r="F11" s="1206">
        <v>0</v>
      </c>
      <c r="G11" s="1206">
        <v>0</v>
      </c>
      <c r="H11" s="71"/>
      <c r="I11" s="1206"/>
      <c r="J11" s="1600" t="str">
        <f>'Transp-Packaging-AMS'!AT5</f>
        <v>Label (etiquette Galia)</v>
      </c>
      <c r="K11" s="1594"/>
      <c r="L11" s="1551"/>
      <c r="M11" s="1552"/>
      <c r="N11" s="1552"/>
      <c r="O11" s="1552"/>
      <c r="P11" s="1553"/>
      <c r="R11" s="2"/>
      <c r="S11" s="2"/>
      <c r="T11" s="2"/>
      <c r="U11" s="2"/>
    </row>
    <row r="12" spans="1:21">
      <c r="A12" s="71"/>
      <c r="B12" s="1206">
        <v>0</v>
      </c>
      <c r="C12" s="1206">
        <v>0</v>
      </c>
      <c r="D12" s="1206">
        <v>0</v>
      </c>
      <c r="E12" s="1206">
        <v>0</v>
      </c>
      <c r="F12" s="1206">
        <v>0</v>
      </c>
      <c r="G12" s="1206">
        <v>0</v>
      </c>
      <c r="H12" s="71"/>
      <c r="I12" s="1206"/>
      <c r="J12" s="2532" t="str">
        <f>'Transp-Packaging-AMS'!AT6</f>
        <v>Carboard divider horizontal</v>
      </c>
      <c r="K12" s="2533">
        <f>'Transp-Packaging-AMS'!AU6</f>
        <v>0</v>
      </c>
      <c r="L12" s="2535">
        <f>'Transp-Packaging-AMS'!AV6</f>
        <v>0</v>
      </c>
      <c r="M12" s="2535">
        <f>'Transp-Packaging-AMS'!AW6</f>
        <v>0</v>
      </c>
      <c r="N12" s="2535">
        <f>'Transp-Packaging-AMS'!AX6</f>
        <v>0</v>
      </c>
      <c r="O12" s="2535">
        <f>'Transp-Packaging-AMS'!AY6</f>
        <v>0</v>
      </c>
      <c r="P12" s="2537">
        <f>'Transp-Packaging-AMS'!AZ6</f>
        <v>0</v>
      </c>
      <c r="R12" s="2"/>
      <c r="S12" s="2"/>
      <c r="T12" s="2"/>
      <c r="U12" s="2"/>
    </row>
    <row r="13" spans="1:21">
      <c r="A13" s="71" t="s">
        <v>1035</v>
      </c>
      <c r="B13" s="1206">
        <v>5.5555555555555554</v>
      </c>
      <c r="C13" s="1206">
        <v>0</v>
      </c>
      <c r="D13" s="1206">
        <v>0</v>
      </c>
      <c r="E13" s="1206">
        <v>0</v>
      </c>
      <c r="F13" s="1206">
        <v>0</v>
      </c>
      <c r="G13" s="1206">
        <v>0</v>
      </c>
      <c r="H13" s="1204"/>
      <c r="I13" s="1290"/>
      <c r="J13" s="2532" t="str">
        <f>'Transp-Packaging-AMS'!AT7</f>
        <v/>
      </c>
      <c r="K13" s="2534">
        <f>'Transp-Packaging-AMS'!AU7</f>
        <v>0</v>
      </c>
      <c r="L13" s="2536">
        <f>'Transp-Packaging-AMS'!AV7</f>
        <v>0</v>
      </c>
      <c r="M13" s="2536">
        <f>'Transp-Packaging-AMS'!AW7</f>
        <v>0</v>
      </c>
      <c r="N13" s="2536">
        <f>'Transp-Packaging-AMS'!AX7</f>
        <v>0</v>
      </c>
      <c r="O13" s="2536">
        <f>'Transp-Packaging-AMS'!AY7</f>
        <v>0</v>
      </c>
      <c r="P13" s="2538">
        <f>'Transp-Packaging-AMS'!AZ7</f>
        <v>0</v>
      </c>
      <c r="R13" s="2"/>
      <c r="S13" s="2"/>
      <c r="T13" s="2"/>
      <c r="U13" s="2"/>
    </row>
    <row r="14" spans="1:21">
      <c r="A14" s="490" t="s">
        <v>748</v>
      </c>
      <c r="B14" s="1206">
        <v>0</v>
      </c>
      <c r="C14" s="1206">
        <v>0</v>
      </c>
      <c r="D14" s="1206">
        <v>0</v>
      </c>
      <c r="E14" s="1206">
        <v>0</v>
      </c>
      <c r="F14" s="1206">
        <v>0</v>
      </c>
      <c r="G14" s="1206">
        <v>0</v>
      </c>
      <c r="H14" s="71"/>
      <c r="I14" s="1206"/>
      <c r="J14" s="1601" t="str">
        <f>'Transp-Packaging-AMS'!AT8</f>
        <v>Cardboard box C16 300 X 200 H125</v>
      </c>
      <c r="K14" s="1595">
        <f>'Transp-Packaging-AMS'!AU8</f>
        <v>0</v>
      </c>
      <c r="L14" s="1548">
        <f>'Transp-Packaging-AMS'!AV8</f>
        <v>0</v>
      </c>
      <c r="M14" s="1548">
        <f>'Transp-Packaging-AMS'!AW8</f>
        <v>0</v>
      </c>
      <c r="N14" s="1548">
        <f>'Transp-Packaging-AMS'!AX8</f>
        <v>0</v>
      </c>
      <c r="O14" s="1548">
        <f>'Transp-Packaging-AMS'!AY8</f>
        <v>0</v>
      </c>
      <c r="P14" s="1549">
        <f>'Transp-Packaging-AMS'!AZ8</f>
        <v>0</v>
      </c>
      <c r="R14" s="2"/>
      <c r="S14" s="2"/>
      <c r="T14" s="2"/>
      <c r="U14" s="2"/>
    </row>
    <row r="15" spans="1:21">
      <c r="A15" s="71"/>
      <c r="B15" s="1206">
        <v>0</v>
      </c>
      <c r="C15" s="1206">
        <v>0</v>
      </c>
      <c r="D15" s="1206">
        <v>0</v>
      </c>
      <c r="E15" s="1206">
        <v>0</v>
      </c>
      <c r="F15" s="1206">
        <v>0</v>
      </c>
      <c r="G15" s="1206">
        <v>0</v>
      </c>
      <c r="H15" s="1204"/>
      <c r="I15" s="1290"/>
      <c r="J15" s="1601" t="str">
        <f>'Transp-Packaging-AMS'!AT9</f>
        <v>Wood pallet 800 x 600</v>
      </c>
      <c r="K15" s="1596">
        <f>'Transp-Packaging-AMS'!AU9</f>
        <v>0</v>
      </c>
      <c r="L15" s="1546">
        <f>'Transp-Packaging-AMS'!AV9</f>
        <v>0</v>
      </c>
      <c r="M15" s="1546">
        <f>'Transp-Packaging-AMS'!AW9</f>
        <v>0</v>
      </c>
      <c r="N15" s="1546">
        <f>'Transp-Packaging-AMS'!AX9</f>
        <v>0</v>
      </c>
      <c r="O15" s="1546">
        <f>'Transp-Packaging-AMS'!AY9</f>
        <v>0</v>
      </c>
      <c r="P15" s="1547">
        <f>'Transp-Packaging-AMS'!AZ9</f>
        <v>0</v>
      </c>
      <c r="R15" s="2"/>
      <c r="S15" s="2"/>
      <c r="T15" s="2"/>
      <c r="U15" s="2"/>
    </row>
    <row r="16" spans="1:21">
      <c r="A16" s="71" t="s">
        <v>1036</v>
      </c>
      <c r="B16" s="1206">
        <v>0</v>
      </c>
      <c r="C16" s="1206">
        <v>0</v>
      </c>
      <c r="D16" s="1206">
        <v>0</v>
      </c>
      <c r="E16" s="1206">
        <v>0</v>
      </c>
      <c r="F16" s="1206">
        <v>0</v>
      </c>
      <c r="G16" s="1206">
        <v>0</v>
      </c>
      <c r="H16" s="71"/>
      <c r="I16" s="1206"/>
      <c r="J16" s="1601" t="str">
        <f>'Transp-Packaging-AMS'!AT10</f>
        <v>Brush retainer</v>
      </c>
      <c r="K16" s="1595">
        <f>'Transp-Packaging-AMS'!AU10</f>
        <v>0</v>
      </c>
      <c r="L16" s="1546">
        <f>'Transp-Packaging-AMS'!AV10</f>
        <v>0</v>
      </c>
      <c r="M16" s="1546">
        <f>'Transp-Packaging-AMS'!AW10</f>
        <v>0</v>
      </c>
      <c r="N16" s="1546">
        <f>'Transp-Packaging-AMS'!AX10</f>
        <v>0</v>
      </c>
      <c r="O16" s="1546">
        <f>'Transp-Packaging-AMS'!AY10</f>
        <v>0</v>
      </c>
      <c r="P16" s="1547">
        <f>'Transp-Packaging-AMS'!AZ10</f>
        <v>0</v>
      </c>
      <c r="R16" s="2"/>
      <c r="S16" s="2"/>
      <c r="T16" s="2"/>
      <c r="U16" s="2"/>
    </row>
    <row r="17" spans="1:21">
      <c r="A17" s="71" t="s">
        <v>1037</v>
      </c>
      <c r="B17" s="1206">
        <v>0</v>
      </c>
      <c r="C17" s="1206">
        <v>0</v>
      </c>
      <c r="D17" s="1206">
        <v>0</v>
      </c>
      <c r="E17" s="1206">
        <v>0</v>
      </c>
      <c r="F17" s="1206">
        <v>0</v>
      </c>
      <c r="G17" s="1206">
        <v>0</v>
      </c>
      <c r="H17" s="71"/>
      <c r="I17" s="1206"/>
      <c r="J17" s="1601" t="str">
        <f>'Transp-Packaging-AMS'!AT11</f>
        <v>Cardboard corner</v>
      </c>
      <c r="K17" s="1597"/>
      <c r="L17" s="1557"/>
      <c r="M17" s="1557"/>
      <c r="N17" s="1557"/>
      <c r="O17" s="1557"/>
      <c r="P17" s="1558"/>
      <c r="R17" s="2"/>
      <c r="S17" s="2"/>
      <c r="T17" s="2"/>
      <c r="U17" s="2"/>
    </row>
    <row r="18" spans="1:21">
      <c r="A18" s="71" t="s">
        <v>1038</v>
      </c>
      <c r="B18" s="1206">
        <v>0</v>
      </c>
      <c r="C18" s="1206">
        <v>0</v>
      </c>
      <c r="D18" s="1206">
        <v>0</v>
      </c>
      <c r="E18" s="1206">
        <v>0</v>
      </c>
      <c r="F18" s="1206">
        <v>0</v>
      </c>
      <c r="G18" s="1206">
        <v>0</v>
      </c>
      <c r="H18" s="71"/>
      <c r="I18" s="1206"/>
      <c r="J18" s="1601" t="str">
        <f>'Transp-Packaging-AMS'!AT12</f>
        <v>Pallet cover</v>
      </c>
      <c r="K18" s="1598">
        <f>'Transp-Packaging-AMS'!AU12</f>
        <v>0</v>
      </c>
      <c r="L18" s="26">
        <f>'Transp-Packaging-AMS'!AV12</f>
        <v>0</v>
      </c>
      <c r="M18" s="26">
        <f>'Transp-Packaging-AMS'!AW12</f>
        <v>0</v>
      </c>
      <c r="N18" s="26">
        <f>'Transp-Packaging-AMS'!AX12</f>
        <v>0</v>
      </c>
      <c r="O18" s="26">
        <f>'Transp-Packaging-AMS'!AY12</f>
        <v>0</v>
      </c>
      <c r="P18" s="29">
        <f>'Transp-Packaging-AMS'!AZ12</f>
        <v>0</v>
      </c>
      <c r="R18" s="2"/>
      <c r="S18" s="2"/>
      <c r="T18" s="2"/>
      <c r="U18" s="2"/>
    </row>
    <row r="19" spans="1:21" ht="15" thickBot="1">
      <c r="A19" s="71" t="s">
        <v>1039</v>
      </c>
      <c r="B19" s="1206">
        <v>0</v>
      </c>
      <c r="C19" s="1206">
        <v>0</v>
      </c>
      <c r="D19" s="1206">
        <v>0</v>
      </c>
      <c r="E19" s="1206">
        <v>0</v>
      </c>
      <c r="F19" s="1206">
        <v>0</v>
      </c>
      <c r="G19" s="1206">
        <v>0</v>
      </c>
      <c r="H19" s="71"/>
      <c r="I19" s="1206"/>
      <c r="J19" s="1602" t="str">
        <f>'Transp-Packaging-AMS'!AT13</f>
        <v>Box cover (for plastic box)</v>
      </c>
      <c r="K19" s="1599">
        <f>'Transp-Packaging-AMS'!AU13</f>
        <v>0</v>
      </c>
      <c r="L19" s="37">
        <f>'Transp-Packaging-AMS'!AV13</f>
        <v>0</v>
      </c>
      <c r="M19" s="37">
        <f>'Transp-Packaging-AMS'!AW13</f>
        <v>0</v>
      </c>
      <c r="N19" s="37">
        <f>'Transp-Packaging-AMS'!AX13</f>
        <v>0</v>
      </c>
      <c r="O19" s="37">
        <f>'Transp-Packaging-AMS'!AY13</f>
        <v>0</v>
      </c>
      <c r="P19" s="32">
        <f>'Transp-Packaging-AMS'!AZ13</f>
        <v>0</v>
      </c>
      <c r="R19" s="2"/>
      <c r="S19" s="2"/>
      <c r="T19" s="2"/>
      <c r="U19" s="2"/>
    </row>
    <row r="20" spans="1:21" ht="15" thickBot="1">
      <c r="A20" s="490" t="s">
        <v>725</v>
      </c>
      <c r="B20" s="1206">
        <v>5.5555555555555554</v>
      </c>
      <c r="C20" s="1206">
        <v>0</v>
      </c>
      <c r="D20" s="1206">
        <v>0</v>
      </c>
      <c r="E20" s="1206">
        <v>0</v>
      </c>
      <c r="F20" s="1206">
        <v>0</v>
      </c>
      <c r="G20" s="1206">
        <v>0</v>
      </c>
      <c r="H20" s="71"/>
      <c r="I20" s="1206"/>
      <c r="K20" s="2531" t="s">
        <v>1040</v>
      </c>
      <c r="L20" s="2470"/>
      <c r="M20" s="2470"/>
      <c r="N20" s="2470"/>
      <c r="O20" s="2470"/>
      <c r="P20" s="2471"/>
      <c r="R20" s="2"/>
      <c r="S20" s="2"/>
      <c r="T20" s="2"/>
      <c r="U20" s="2"/>
    </row>
    <row r="21" spans="1:21" ht="15" thickBot="1">
      <c r="H21" s="1204"/>
      <c r="I21" s="1290"/>
      <c r="J21" s="1041" t="s">
        <v>1034</v>
      </c>
      <c r="K21" s="1612">
        <f>'Transp-Packaging-AMS'!BF2</f>
        <v>2024</v>
      </c>
      <c r="L21" s="1613">
        <f>'Transp-Packaging-AMS'!BG2</f>
        <v>2025</v>
      </c>
      <c r="M21" s="1613">
        <f>'Transp-Packaging-AMS'!BH2</f>
        <v>2026</v>
      </c>
      <c r="N21" s="1613">
        <f>'Transp-Packaging-AMS'!BI2</f>
        <v>2027</v>
      </c>
      <c r="O21" s="1613">
        <f>'Transp-Packaging-AMS'!BJ2</f>
        <v>2028</v>
      </c>
      <c r="P21" s="1614">
        <f>'Transp-Packaging-AMS'!BK2</f>
        <v>2029</v>
      </c>
      <c r="R21" s="2"/>
      <c r="S21" s="2"/>
      <c r="T21" s="2"/>
      <c r="U21" s="2"/>
    </row>
    <row r="22" spans="1:21" ht="15" thickBot="1">
      <c r="J22" s="1615" t="str">
        <f>'Transp-Packaging-AMS'!BE3</f>
        <v>Pick -up quantity (/ 1W)</v>
      </c>
      <c r="K22" s="1616">
        <f>'Transp-Packaging-AMS'!BF3</f>
        <v>0</v>
      </c>
      <c r="L22" s="1617">
        <f>'Transp-Packaging-AMS'!BG3</f>
        <v>13.888888888888888</v>
      </c>
      <c r="M22" s="1617">
        <f>'Transp-Packaging-AMS'!BH3</f>
        <v>13.888888888888888</v>
      </c>
      <c r="N22" s="1617">
        <f>'Transp-Packaging-AMS'!BI3</f>
        <v>13.888888888888888</v>
      </c>
      <c r="O22" s="1617">
        <f>'Transp-Packaging-AMS'!BJ3</f>
        <v>13.888888888888888</v>
      </c>
      <c r="P22" s="1618">
        <f>'Transp-Packaging-AMS'!BK3</f>
        <v>13.888888888888888</v>
      </c>
      <c r="R22" s="2"/>
      <c r="S22" s="2"/>
      <c r="T22" s="2"/>
      <c r="U22" s="2"/>
    </row>
    <row r="23" spans="1:21">
      <c r="J23" s="1600" t="str">
        <f>'Transp-Packaging-AMS'!BE4</f>
        <v>Label (etiquette Galia)</v>
      </c>
      <c r="K23" s="1594"/>
      <c r="L23" s="1551"/>
      <c r="M23" s="1552"/>
      <c r="N23" s="1552"/>
      <c r="O23" s="1552"/>
      <c r="P23" s="1553"/>
      <c r="R23" s="2"/>
      <c r="S23" s="2"/>
      <c r="T23" s="2"/>
      <c r="U23" s="2"/>
    </row>
    <row r="24" spans="1:21">
      <c r="J24" s="2532" t="str">
        <f>'Transp-Packaging-AMS'!BE5</f>
        <v>Carboard divider horizontal</v>
      </c>
      <c r="K24" s="1654">
        <f>'Transp-Packaging-AMS'!BM18+'Transp-Packaging-AMS'!BM30</f>
        <v>0</v>
      </c>
      <c r="L24" s="1589">
        <f>'Transp-Packaging-AMS'!BN18+'Transp-Packaging-AMS'!BN30</f>
        <v>0</v>
      </c>
      <c r="M24" s="1589">
        <f>'Transp-Packaging-AMS'!BO18+'Transp-Packaging-AMS'!BO30</f>
        <v>0</v>
      </c>
      <c r="N24" s="1589">
        <f>'Transp-Packaging-AMS'!BP18+'Transp-Packaging-AMS'!BP30</f>
        <v>0</v>
      </c>
      <c r="O24" s="1589">
        <f>'Transp-Packaging-AMS'!BQ18+'Transp-Packaging-AMS'!BQ30</f>
        <v>0</v>
      </c>
      <c r="P24" s="1590">
        <f>'Transp-Packaging-AMS'!BR18+'Transp-Packaging-AMS'!BR30</f>
        <v>0</v>
      </c>
      <c r="R24" s="2"/>
      <c r="S24" s="2"/>
      <c r="T24" s="2"/>
      <c r="U24" s="2"/>
    </row>
    <row r="25" spans="1:21">
      <c r="J25" s="2532" t="str">
        <f>'Transp-Packaging-AMS'!BE6</f>
        <v/>
      </c>
      <c r="K25" s="1655">
        <f>'Transp-Packaging-AMS'!BF6</f>
        <v>0</v>
      </c>
      <c r="L25" s="1592">
        <f>'Transp-Packaging-AMS'!BG6</f>
        <v>0</v>
      </c>
      <c r="M25" s="1592">
        <f>'Transp-Packaging-AMS'!BH6</f>
        <v>0</v>
      </c>
      <c r="N25" s="1592">
        <f>'Transp-Packaging-AMS'!BI6</f>
        <v>0</v>
      </c>
      <c r="O25" s="1592">
        <f>'Transp-Packaging-AMS'!BJ6</f>
        <v>0</v>
      </c>
      <c r="P25" s="1593">
        <f>'Transp-Packaging-AMS'!BK6</f>
        <v>0</v>
      </c>
      <c r="R25" s="2"/>
      <c r="S25" s="2"/>
      <c r="T25" s="2"/>
      <c r="U25" s="2"/>
    </row>
    <row r="26" spans="1:21">
      <c r="J26" s="1601" t="str">
        <f>'Transp-Packaging-AMS'!BE7</f>
        <v>Cardboard box C16 300 X 200 H125</v>
      </c>
      <c r="K26" s="1603">
        <f>'Transp-Packaging-AMS'!BM20+'Transp-Packaging-AMS'!BM32</f>
        <v>0</v>
      </c>
      <c r="L26" s="1560">
        <f>'Transp-Packaging-AMS'!BN20+'Transp-Packaging-AMS'!BN32</f>
        <v>0</v>
      </c>
      <c r="M26" s="1560">
        <f>'Transp-Packaging-AMS'!BO20+'Transp-Packaging-AMS'!BO32</f>
        <v>0</v>
      </c>
      <c r="N26" s="1560">
        <f>'Transp-Packaging-AMS'!BP20+'Transp-Packaging-AMS'!BP32</f>
        <v>0</v>
      </c>
      <c r="O26" s="1560">
        <f>'Transp-Packaging-AMS'!BQ20+'Transp-Packaging-AMS'!BQ32</f>
        <v>0</v>
      </c>
      <c r="P26" s="1561">
        <f>'Transp-Packaging-AMS'!BR20+'Transp-Packaging-AMS'!BR32</f>
        <v>0</v>
      </c>
      <c r="R26" s="2"/>
      <c r="S26" s="2"/>
      <c r="T26" s="2"/>
      <c r="U26" s="2"/>
    </row>
    <row r="27" spans="1:21">
      <c r="J27" s="1601" t="str">
        <f>'Transp-Packaging-AMS'!BE8</f>
        <v>Wood pallet 800 x 600</v>
      </c>
      <c r="K27" s="1604">
        <f>'Transp-Packaging-AMS'!BF8</f>
        <v>0</v>
      </c>
      <c r="L27" s="1563">
        <f>'Transp-Packaging-AMS'!BG8</f>
        <v>0</v>
      </c>
      <c r="M27" s="1563">
        <f>'Transp-Packaging-AMS'!BH8</f>
        <v>0</v>
      </c>
      <c r="N27" s="1563">
        <f>'Transp-Packaging-AMS'!BI8</f>
        <v>0</v>
      </c>
      <c r="O27" s="1563">
        <f>'Transp-Packaging-AMS'!BJ8</f>
        <v>0</v>
      </c>
      <c r="P27" s="1564">
        <f>'Transp-Packaging-AMS'!BK8</f>
        <v>0</v>
      </c>
      <c r="R27" s="2"/>
      <c r="S27" s="2"/>
      <c r="T27" s="2"/>
      <c r="U27" s="2"/>
    </row>
    <row r="28" spans="1:21">
      <c r="J28" s="1601" t="str">
        <f>'Transp-Packaging-AMS'!BE9</f>
        <v>Brush retainer</v>
      </c>
      <c r="K28" s="1603">
        <f>'Transp-Packaging-AMS'!BM22+'Transp-Packaging-AMS'!BM34</f>
        <v>0</v>
      </c>
      <c r="L28" s="1563">
        <f>'Transp-Packaging-AMS'!BN22+'Transp-Packaging-AMS'!BN34</f>
        <v>0</v>
      </c>
      <c r="M28" s="1563">
        <f>'Transp-Packaging-AMS'!BO22+'Transp-Packaging-AMS'!BO34</f>
        <v>0</v>
      </c>
      <c r="N28" s="1563">
        <f>'Transp-Packaging-AMS'!BP22+'Transp-Packaging-AMS'!BP34</f>
        <v>0</v>
      </c>
      <c r="O28" s="1563">
        <f>'Transp-Packaging-AMS'!BQ22+'Transp-Packaging-AMS'!BQ34</f>
        <v>0</v>
      </c>
      <c r="P28" s="1564">
        <f>'Transp-Packaging-AMS'!BR22+'Transp-Packaging-AMS'!BR34</f>
        <v>0</v>
      </c>
      <c r="R28" s="2"/>
      <c r="S28" s="2"/>
      <c r="T28" s="2"/>
      <c r="U28" s="2"/>
    </row>
    <row r="29" spans="1:21">
      <c r="J29" s="1601" t="str">
        <f>'Transp-Packaging-AMS'!BE10</f>
        <v>Cardboard corner</v>
      </c>
      <c r="K29" s="1597">
        <f>'Transp-Packaging-AMS'!BF10</f>
        <v>0</v>
      </c>
      <c r="L29" s="1557">
        <f>'Transp-Packaging-AMS'!BG10</f>
        <v>0</v>
      </c>
      <c r="M29" s="1557">
        <f>'Transp-Packaging-AMS'!BH10</f>
        <v>0</v>
      </c>
      <c r="N29" s="1557">
        <f>'Transp-Packaging-AMS'!BI10</f>
        <v>0</v>
      </c>
      <c r="O29" s="1557">
        <f>'Transp-Packaging-AMS'!BJ10</f>
        <v>0</v>
      </c>
      <c r="P29" s="1558">
        <f>'Transp-Packaging-AMS'!BK10</f>
        <v>0</v>
      </c>
      <c r="R29" s="2"/>
      <c r="S29" s="2"/>
      <c r="T29" s="2"/>
      <c r="U29" s="2"/>
    </row>
    <row r="30" spans="1:21">
      <c r="J30" s="1601" t="str">
        <f>'Transp-Packaging-AMS'!BE11</f>
        <v>Pallet cover</v>
      </c>
      <c r="K30" s="1596">
        <f>'Transp-Packaging-AMS'!BM24+'Transp-Packaging-AMS'!BM36</f>
        <v>0</v>
      </c>
      <c r="L30" s="1546">
        <f>'Transp-Packaging-AMS'!BN24+'Transp-Packaging-AMS'!BN36</f>
        <v>0</v>
      </c>
      <c r="M30" s="1546">
        <f>'Transp-Packaging-AMS'!BO24+'Transp-Packaging-AMS'!BO36</f>
        <v>0</v>
      </c>
      <c r="N30" s="1546">
        <f>'Transp-Packaging-AMS'!BP24+'Transp-Packaging-AMS'!BP36</f>
        <v>0</v>
      </c>
      <c r="O30" s="1546">
        <f>'Transp-Packaging-AMS'!BQ24+'Transp-Packaging-AMS'!BQ36</f>
        <v>0</v>
      </c>
      <c r="P30" s="1547">
        <f>'Transp-Packaging-AMS'!BR24+'Transp-Packaging-AMS'!BR36</f>
        <v>0</v>
      </c>
      <c r="R30" s="2"/>
      <c r="S30" s="2"/>
      <c r="T30" s="2"/>
      <c r="U30" s="2"/>
    </row>
    <row r="31" spans="1:21" ht="15" thickBot="1">
      <c r="J31" s="1605" t="str">
        <f>'Transp-Packaging-AMS'!BE12</f>
        <v>Box cover (for plastic box)</v>
      </c>
      <c r="K31" s="1606">
        <f>'Transp-Packaging-AMS'!BF12</f>
        <v>0</v>
      </c>
      <c r="L31" s="1607" t="e">
        <f>'Transp-Packaging-AMS'!BG12</f>
        <v>#N/A</v>
      </c>
      <c r="M31" s="1607" t="e">
        <f>'Transp-Packaging-AMS'!BH12</f>
        <v>#N/A</v>
      </c>
      <c r="N31" s="1607" t="e">
        <f>'Transp-Packaging-AMS'!BI12</f>
        <v>#N/A</v>
      </c>
      <c r="O31" s="1607" t="e">
        <f>'Transp-Packaging-AMS'!BJ12</f>
        <v>#N/A</v>
      </c>
      <c r="P31" s="1608" t="e">
        <f>'Transp-Packaging-AMS'!BK12</f>
        <v>#N/A</v>
      </c>
      <c r="R31" s="2"/>
      <c r="S31" s="2"/>
      <c r="T31" s="2"/>
      <c r="U31" s="2"/>
    </row>
    <row r="32" spans="1:21" ht="15" thickBot="1">
      <c r="J32" s="1611" t="s">
        <v>1041</v>
      </c>
      <c r="K32" s="1642">
        <f>SUM(K24:K31)</f>
        <v>0</v>
      </c>
      <c r="L32" s="1609" t="e">
        <f>SUM(L24:L31)</f>
        <v>#N/A</v>
      </c>
      <c r="M32" s="1609" t="e">
        <f t="shared" ref="M32:P32" si="0">SUM(M24:M31)</f>
        <v>#N/A</v>
      </c>
      <c r="N32" s="1609" t="e">
        <f t="shared" si="0"/>
        <v>#N/A</v>
      </c>
      <c r="O32" s="1609" t="e">
        <f t="shared" si="0"/>
        <v>#N/A</v>
      </c>
      <c r="P32" s="1610" t="e">
        <f t="shared" si="0"/>
        <v>#N/A</v>
      </c>
      <c r="Q32" s="1643" t="e">
        <f>SUM(K32:P32)</f>
        <v>#N/A</v>
      </c>
      <c r="R32" s="2"/>
      <c r="S32" s="2"/>
      <c r="T32" s="2"/>
      <c r="U32" s="2"/>
    </row>
    <row r="33" spans="10:21">
      <c r="J33" s="2"/>
      <c r="K33" s="2"/>
      <c r="L33" s="2"/>
      <c r="M33" s="2"/>
      <c r="N33" s="2"/>
      <c r="Q33" s="2"/>
      <c r="R33" s="2"/>
      <c r="S33" s="2"/>
      <c r="T33" s="2"/>
      <c r="U33" s="2"/>
    </row>
    <row r="34" spans="10:21">
      <c r="J34" s="2"/>
      <c r="K34" s="2"/>
      <c r="L34" s="2"/>
      <c r="M34" s="2"/>
      <c r="N34" s="2"/>
      <c r="Q34" s="2"/>
      <c r="R34" s="2"/>
      <c r="S34" s="2"/>
      <c r="T34" s="2"/>
      <c r="U34" s="2"/>
    </row>
    <row r="35" spans="10:21">
      <c r="J35" s="2"/>
      <c r="K35" s="2"/>
      <c r="L35" s="2"/>
      <c r="M35" s="2"/>
      <c r="N35" s="2"/>
      <c r="Q35" s="2"/>
      <c r="R35" s="2"/>
      <c r="S35" s="2"/>
      <c r="T35" s="2"/>
      <c r="U35" s="2"/>
    </row>
    <row r="36" spans="10:21">
      <c r="J36" s="2"/>
      <c r="K36" s="2"/>
      <c r="L36" s="2"/>
      <c r="M36" s="2"/>
      <c r="N36" s="2"/>
      <c r="Q36" s="2"/>
      <c r="R36" s="2"/>
      <c r="S36" s="2"/>
      <c r="T36" s="2"/>
      <c r="U36" s="2"/>
    </row>
    <row r="37" spans="10:21">
      <c r="J37" s="2"/>
      <c r="K37" s="2"/>
      <c r="L37" s="2"/>
      <c r="M37" s="2"/>
      <c r="N37" s="2"/>
      <c r="Q37" s="2"/>
      <c r="R37" s="2"/>
      <c r="S37" s="2"/>
      <c r="T37" s="2"/>
      <c r="U37" s="2"/>
    </row>
    <row r="38" spans="10:21">
      <c r="J38" s="2"/>
      <c r="K38" s="2"/>
      <c r="L38" s="2"/>
      <c r="M38" s="2"/>
      <c r="N38" s="2"/>
      <c r="Q38" s="2"/>
      <c r="R38" s="2"/>
      <c r="S38" s="2"/>
      <c r="T38" s="2"/>
      <c r="U38" s="2"/>
    </row>
    <row r="39" spans="10:21">
      <c r="J39" s="2"/>
      <c r="K39" s="2"/>
      <c r="L39" s="2"/>
      <c r="M39" s="2"/>
      <c r="N39" s="2"/>
      <c r="Q39" s="2"/>
      <c r="R39" s="2"/>
      <c r="S39" s="2"/>
      <c r="T39" s="2"/>
      <c r="U39" s="2"/>
    </row>
    <row r="40" spans="10:21">
      <c r="J40" s="2"/>
      <c r="K40" s="2"/>
      <c r="L40" s="2"/>
      <c r="M40" s="2"/>
      <c r="N40" s="2"/>
      <c r="Q40" s="2"/>
      <c r="R40" s="2"/>
      <c r="S40" s="2"/>
      <c r="T40" s="2"/>
      <c r="U40" s="2"/>
    </row>
    <row r="41" spans="10:21">
      <c r="J41" s="2"/>
      <c r="K41" s="2"/>
      <c r="L41" s="2"/>
      <c r="M41" s="2"/>
      <c r="N41" s="2"/>
      <c r="Q41" s="2"/>
      <c r="R41" s="2"/>
      <c r="S41" s="2"/>
      <c r="T41" s="2"/>
      <c r="U41" s="2"/>
    </row>
    <row r="42" spans="10:21">
      <c r="J42" s="2"/>
      <c r="K42" s="2"/>
      <c r="L42" s="2"/>
      <c r="M42" s="2"/>
      <c r="N42" s="2"/>
      <c r="Q42" s="2"/>
      <c r="R42" s="2"/>
      <c r="S42" s="2"/>
      <c r="T42" s="2"/>
      <c r="U42" s="2"/>
    </row>
    <row r="43" spans="10:21">
      <c r="J43" s="2"/>
      <c r="K43" s="2"/>
      <c r="L43" s="2"/>
      <c r="M43" s="2"/>
      <c r="N43" s="2"/>
      <c r="Q43" s="2"/>
      <c r="R43" s="2"/>
      <c r="S43" s="2"/>
      <c r="T43" s="2"/>
      <c r="U43" s="2"/>
    </row>
    <row r="44" spans="10:21">
      <c r="J44" s="2"/>
      <c r="K44" s="2"/>
      <c r="L44" s="2"/>
      <c r="M44" s="2"/>
      <c r="N44" s="2"/>
      <c r="Q44" s="2"/>
      <c r="R44" s="2"/>
      <c r="S44" s="2"/>
      <c r="T44" s="2"/>
      <c r="U44" s="2"/>
    </row>
    <row r="45" spans="10:21">
      <c r="J45" s="2"/>
      <c r="K45" s="2"/>
      <c r="L45" s="2"/>
      <c r="M45" s="2"/>
      <c r="N45" s="2"/>
      <c r="Q45" s="2"/>
      <c r="R45" s="2"/>
      <c r="S45" s="2"/>
      <c r="T45" s="2"/>
      <c r="U45" s="2"/>
    </row>
    <row r="46" spans="10:21">
      <c r="J46" s="2"/>
      <c r="K46" s="2"/>
      <c r="L46" s="2"/>
      <c r="M46" s="2"/>
      <c r="N46" s="2"/>
      <c r="Q46" s="2"/>
      <c r="R46" s="2"/>
      <c r="S46" s="2"/>
      <c r="T46" s="2"/>
      <c r="U46" s="2"/>
    </row>
    <row r="47" spans="10:21">
      <c r="J47" s="2"/>
      <c r="K47" s="2"/>
      <c r="L47" s="2"/>
      <c r="M47" s="2"/>
      <c r="N47" s="2"/>
      <c r="Q47" s="2"/>
      <c r="R47" s="2"/>
      <c r="S47" s="2"/>
      <c r="T47" s="2"/>
      <c r="U47" s="2"/>
    </row>
    <row r="48" spans="10:21">
      <c r="J48" s="2"/>
      <c r="K48" s="2"/>
      <c r="L48" s="2"/>
      <c r="M48" s="2"/>
      <c r="N48" s="2"/>
      <c r="Q48" s="2"/>
      <c r="R48" s="2"/>
      <c r="S48" s="2"/>
      <c r="T48" s="2"/>
      <c r="U48" s="2"/>
    </row>
    <row r="49" spans="1:21">
      <c r="J49" s="2"/>
      <c r="K49" s="2"/>
      <c r="L49" s="2"/>
      <c r="M49" s="2"/>
      <c r="N49" s="2"/>
      <c r="Q49" s="2"/>
      <c r="R49" s="2"/>
      <c r="S49" s="2"/>
      <c r="T49" s="2"/>
      <c r="U49" s="2"/>
    </row>
    <row r="50" spans="1:21">
      <c r="J50" s="2"/>
      <c r="K50" s="2"/>
      <c r="L50" s="2"/>
      <c r="M50" s="2"/>
      <c r="N50" s="2"/>
      <c r="Q50" s="2"/>
      <c r="R50" s="2"/>
      <c r="S50" s="2"/>
      <c r="T50" s="2"/>
      <c r="U50" s="2"/>
    </row>
    <row r="51" spans="1:21">
      <c r="J51" s="2"/>
      <c r="K51" s="2"/>
      <c r="L51" s="2"/>
      <c r="M51" s="2"/>
      <c r="N51" s="2"/>
      <c r="Q51" s="2"/>
      <c r="R51" s="2"/>
      <c r="S51" s="2"/>
      <c r="T51" s="2"/>
      <c r="U51" s="2"/>
    </row>
    <row r="52" spans="1:21">
      <c r="A52" s="219"/>
      <c r="J52" s="2"/>
      <c r="K52" s="2"/>
      <c r="L52" s="2"/>
      <c r="M52" s="2"/>
      <c r="N52" s="2"/>
      <c r="Q52" s="2"/>
      <c r="R52" s="2"/>
      <c r="S52" s="2"/>
      <c r="T52" s="2"/>
      <c r="U52" s="2"/>
    </row>
    <row r="53" spans="1:21">
      <c r="J53" s="2"/>
      <c r="K53" s="2"/>
      <c r="L53" s="2"/>
      <c r="M53" s="2"/>
      <c r="N53" s="2"/>
      <c r="Q53" s="2"/>
      <c r="R53" s="2"/>
      <c r="S53" s="2"/>
      <c r="T53" s="2"/>
      <c r="U53" s="2"/>
    </row>
    <row r="54" spans="1:21">
      <c r="A54" s="219"/>
      <c r="B54" s="1632"/>
      <c r="J54" s="2"/>
      <c r="K54" s="2"/>
      <c r="L54" s="2"/>
      <c r="M54" s="2"/>
      <c r="N54" s="2"/>
      <c r="Q54" s="2"/>
      <c r="R54" s="2"/>
      <c r="S54" s="2"/>
      <c r="T54" s="2"/>
      <c r="U54" s="2"/>
    </row>
    <row r="55" spans="1:21">
      <c r="A55" s="219"/>
      <c r="J55" s="2"/>
      <c r="K55" s="2"/>
      <c r="L55" s="2"/>
      <c r="M55" s="2"/>
      <c r="N55" s="2"/>
      <c r="Q55" s="2"/>
      <c r="R55" s="2"/>
      <c r="S55" s="2"/>
      <c r="T55" s="2"/>
      <c r="U55" s="2"/>
    </row>
    <row r="56" spans="1:21">
      <c r="A56" s="219"/>
      <c r="J56" s="2"/>
      <c r="K56" s="2"/>
      <c r="L56" s="2"/>
      <c r="M56" s="2"/>
      <c r="N56" s="2"/>
      <c r="Q56" s="2"/>
      <c r="R56" s="2"/>
      <c r="S56" s="2"/>
      <c r="T56" s="2"/>
      <c r="U56" s="2"/>
    </row>
    <row r="57" spans="1:21">
      <c r="A57" s="219"/>
      <c r="J57" s="2"/>
      <c r="K57" s="2"/>
      <c r="L57" s="2"/>
      <c r="M57" s="2"/>
      <c r="N57" s="2"/>
      <c r="Q57" s="2"/>
      <c r="R57" s="2"/>
      <c r="S57" s="2"/>
      <c r="T57" s="2"/>
      <c r="U57" s="2"/>
    </row>
    <row r="58" spans="1:21">
      <c r="A58" s="219"/>
      <c r="J58" s="2"/>
      <c r="K58" s="2"/>
      <c r="L58" s="2"/>
      <c r="M58" s="2"/>
      <c r="N58" s="2"/>
      <c r="Q58" s="2"/>
      <c r="R58" s="2"/>
      <c r="S58" s="2"/>
      <c r="T58" s="2"/>
      <c r="U58" s="2"/>
    </row>
    <row r="59" spans="1:21">
      <c r="A59" s="219"/>
      <c r="J59" s="2"/>
      <c r="K59" s="2"/>
      <c r="L59" s="2"/>
      <c r="M59" s="2"/>
      <c r="N59" s="2"/>
      <c r="Q59" s="2"/>
      <c r="R59" s="2"/>
      <c r="S59" s="2"/>
      <c r="T59" s="2"/>
      <c r="U59" s="2"/>
    </row>
    <row r="60" spans="1:21">
      <c r="A60" s="219"/>
      <c r="J60" s="2"/>
      <c r="K60" s="2"/>
      <c r="L60" s="2"/>
      <c r="M60" s="2"/>
      <c r="N60" s="2"/>
      <c r="Q60" s="2"/>
      <c r="R60" s="2"/>
      <c r="S60" s="2"/>
      <c r="T60" s="2"/>
      <c r="U60" s="2"/>
    </row>
    <row r="61" spans="1:21">
      <c r="A61" s="219"/>
      <c r="J61" s="2"/>
      <c r="K61" s="2"/>
      <c r="L61" s="2"/>
      <c r="M61" s="2"/>
      <c r="N61" s="2"/>
      <c r="Q61" s="2"/>
      <c r="R61" s="2"/>
      <c r="S61" s="2"/>
      <c r="T61" s="2"/>
      <c r="U61" s="2"/>
    </row>
    <row r="62" spans="1:21">
      <c r="J62" s="2"/>
      <c r="K62" s="2"/>
      <c r="L62" s="2"/>
      <c r="M62" s="2"/>
      <c r="N62" s="2"/>
      <c r="Q62" s="2"/>
      <c r="R62" s="2"/>
      <c r="S62" s="2"/>
      <c r="T62" s="2"/>
      <c r="U62" s="2"/>
    </row>
    <row r="63" spans="1:21">
      <c r="J63" s="2"/>
      <c r="K63" s="2"/>
      <c r="L63" s="2"/>
      <c r="M63" s="2"/>
      <c r="N63" s="2"/>
      <c r="Q63" s="2"/>
      <c r="R63" s="2"/>
      <c r="S63" s="2"/>
      <c r="T63" s="2"/>
      <c r="U63" s="2"/>
    </row>
    <row r="64" spans="1:21">
      <c r="J64" s="2"/>
      <c r="K64" s="2"/>
      <c r="L64" s="2"/>
      <c r="M64" s="2"/>
      <c r="N64" s="2"/>
      <c r="Q64" s="2"/>
      <c r="R64" s="2"/>
      <c r="S64" s="2"/>
      <c r="T64" s="2"/>
      <c r="U64" s="2"/>
    </row>
    <row r="65" spans="1:21">
      <c r="J65" s="2"/>
      <c r="K65" s="2"/>
      <c r="L65" s="2"/>
      <c r="M65" s="2"/>
      <c r="N65" s="2"/>
      <c r="Q65" s="2"/>
      <c r="R65" s="2"/>
      <c r="S65" s="2"/>
      <c r="T65" s="2"/>
      <c r="U65" s="2"/>
    </row>
    <row r="66" spans="1:21">
      <c r="J66" s="2"/>
      <c r="K66" s="2"/>
      <c r="L66" s="2"/>
      <c r="M66" s="2"/>
      <c r="N66" s="2"/>
      <c r="Q66" s="2"/>
      <c r="R66" s="2"/>
      <c r="S66" s="2"/>
      <c r="T66" s="2"/>
      <c r="U66" s="2"/>
    </row>
    <row r="67" spans="1:21">
      <c r="J67" s="2"/>
      <c r="K67" s="2"/>
      <c r="L67" s="2"/>
      <c r="M67" s="2"/>
      <c r="N67" s="2"/>
      <c r="Q67" s="2"/>
      <c r="R67" s="2"/>
      <c r="S67" s="2"/>
      <c r="T67" s="2"/>
      <c r="U67" s="2"/>
    </row>
    <row r="68" spans="1:21">
      <c r="J68" s="2"/>
      <c r="K68" s="2"/>
      <c r="L68" s="2"/>
      <c r="M68" s="2"/>
      <c r="N68" s="2"/>
      <c r="Q68" s="2"/>
      <c r="R68" s="2"/>
      <c r="S68" s="2"/>
      <c r="T68" s="2"/>
      <c r="U68" s="2"/>
    </row>
    <row r="69" spans="1:21">
      <c r="J69" s="2"/>
      <c r="K69" s="2"/>
      <c r="L69" s="2"/>
      <c r="M69" s="2"/>
      <c r="N69" s="2"/>
      <c r="Q69" s="2"/>
      <c r="R69" s="2"/>
      <c r="S69" s="2"/>
      <c r="T69" s="2"/>
      <c r="U69" s="2"/>
    </row>
    <row r="70" spans="1:21">
      <c r="J70" s="2"/>
      <c r="K70" s="2"/>
      <c r="L70" s="2"/>
      <c r="M70" s="2"/>
      <c r="N70" s="2"/>
      <c r="Q70" s="2"/>
      <c r="R70" s="2"/>
      <c r="S70" s="2"/>
      <c r="T70" s="2"/>
      <c r="U70" s="2"/>
    </row>
    <row r="71" spans="1:21">
      <c r="J71" s="2"/>
      <c r="K71" s="2"/>
      <c r="L71" s="2"/>
      <c r="M71" s="2"/>
      <c r="N71" s="2"/>
      <c r="Q71" s="2"/>
      <c r="R71" s="2"/>
      <c r="S71" s="2"/>
      <c r="T71" s="2"/>
      <c r="U71" s="2"/>
    </row>
    <row r="72" spans="1:21">
      <c r="J72" s="2"/>
      <c r="K72" s="2"/>
      <c r="L72" s="2"/>
      <c r="M72" s="2"/>
      <c r="N72" s="2"/>
      <c r="Q72" s="2"/>
      <c r="R72" s="2"/>
      <c r="S72" s="2"/>
      <c r="T72" s="2"/>
      <c r="U72" s="2"/>
    </row>
    <row r="73" spans="1:21" ht="15" thickBot="1">
      <c r="C73" s="2"/>
      <c r="D73" s="2"/>
      <c r="E73" s="2"/>
      <c r="F73" s="2"/>
      <c r="G73" s="2"/>
      <c r="J73" s="2"/>
      <c r="K73" s="2"/>
      <c r="L73" s="2"/>
      <c r="M73" s="2"/>
      <c r="N73" s="2"/>
      <c r="Q73" s="2"/>
      <c r="R73" s="2"/>
      <c r="S73" s="2"/>
      <c r="T73" s="2"/>
      <c r="U73" s="2"/>
    </row>
    <row r="74" spans="1:21">
      <c r="A74" s="1403" t="s">
        <v>1042</v>
      </c>
      <c r="B74" s="1338"/>
      <c r="C74" s="1338"/>
      <c r="D74" s="1338"/>
      <c r="E74" s="1338"/>
      <c r="F74" s="1338"/>
      <c r="G74" s="1338"/>
      <c r="H74" s="1338"/>
      <c r="I74" s="1338"/>
      <c r="J74" s="1339"/>
      <c r="K74" s="2"/>
      <c r="L74" s="2"/>
      <c r="M74" s="2"/>
      <c r="N74" s="2"/>
      <c r="Q74" s="2"/>
      <c r="R74" s="2"/>
      <c r="S74" s="2"/>
      <c r="T74" s="2"/>
      <c r="U74" s="2"/>
    </row>
    <row r="75" spans="1:21">
      <c r="A75" s="1340"/>
      <c r="B75" s="1341"/>
      <c r="C75" s="1341"/>
      <c r="D75" s="1341"/>
      <c r="E75" s="1341"/>
      <c r="F75" s="1341"/>
      <c r="G75" s="1341"/>
      <c r="H75" s="1341"/>
      <c r="I75" s="1341"/>
      <c r="J75" s="1342"/>
      <c r="K75" s="2"/>
      <c r="L75" s="2"/>
      <c r="M75" s="2"/>
      <c r="N75" s="2"/>
      <c r="Q75" s="2"/>
      <c r="R75" s="2"/>
      <c r="S75" s="2"/>
      <c r="T75" s="2"/>
      <c r="U75" s="2"/>
    </row>
    <row r="76" spans="1:21">
      <c r="A76" s="1340"/>
      <c r="B76" s="1343" t="s">
        <v>1043</v>
      </c>
      <c r="C76" s="1341"/>
      <c r="D76" s="1341"/>
      <c r="E76" s="1341"/>
      <c r="F76" s="1341"/>
      <c r="G76" s="1341"/>
      <c r="H76" s="1341"/>
      <c r="I76" s="1341"/>
      <c r="J76" s="1342"/>
      <c r="K76" s="2"/>
      <c r="L76" s="2"/>
      <c r="M76" s="2"/>
      <c r="N76" s="2"/>
      <c r="Q76" s="2"/>
      <c r="R76" s="2"/>
      <c r="S76" s="2"/>
      <c r="T76" s="2"/>
      <c r="U76" s="2"/>
    </row>
    <row r="77" spans="1:21">
      <c r="A77" s="1340"/>
      <c r="B77" s="1341" t="s">
        <v>1044</v>
      </c>
      <c r="C77" s="1341"/>
      <c r="D77" s="1341"/>
      <c r="E77" s="1341"/>
      <c r="F77" s="1341"/>
      <c r="G77" s="1344">
        <v>10</v>
      </c>
      <c r="H77" s="1341"/>
      <c r="I77" s="1341"/>
      <c r="J77" s="1342"/>
      <c r="K77" s="2"/>
      <c r="L77" s="2"/>
      <c r="M77" s="2"/>
      <c r="N77" s="2"/>
      <c r="Q77" s="2"/>
      <c r="R77" s="2"/>
      <c r="S77" s="2"/>
      <c r="T77" s="2"/>
      <c r="U77" s="2"/>
    </row>
    <row r="78" spans="1:21">
      <c r="A78" s="1340"/>
      <c r="B78" s="1341" t="s">
        <v>1045</v>
      </c>
      <c r="C78" s="1341"/>
      <c r="D78" s="1341"/>
      <c r="E78" s="1341"/>
      <c r="F78" s="1341"/>
      <c r="G78" s="1344"/>
      <c r="H78" s="1341"/>
      <c r="I78" s="1341"/>
      <c r="J78" s="1342"/>
      <c r="K78" s="2"/>
      <c r="L78" s="2"/>
      <c r="M78" s="2"/>
      <c r="N78" s="2"/>
      <c r="Q78" s="2"/>
      <c r="R78" s="2"/>
      <c r="S78" s="2"/>
      <c r="T78" s="2"/>
      <c r="U78" s="2"/>
    </row>
    <row r="79" spans="1:21">
      <c r="A79" s="1340"/>
      <c r="B79" s="1341" t="s">
        <v>1046</v>
      </c>
      <c r="C79" s="1341"/>
      <c r="D79" s="1341"/>
      <c r="E79" s="1341"/>
      <c r="F79" s="1341"/>
      <c r="G79" s="1344"/>
      <c r="H79" s="1341"/>
      <c r="I79" s="1341"/>
      <c r="J79" s="1342"/>
      <c r="K79" s="2"/>
      <c r="L79" s="2"/>
      <c r="M79" s="2"/>
      <c r="N79" s="2"/>
      <c r="Q79" s="2"/>
      <c r="R79" s="2"/>
      <c r="S79" s="2"/>
      <c r="T79" s="2"/>
      <c r="U79" s="2"/>
    </row>
    <row r="80" spans="1:21">
      <c r="A80" s="1340"/>
      <c r="B80" s="1341" t="s">
        <v>1047</v>
      </c>
      <c r="C80" s="1341"/>
      <c r="D80" s="1341"/>
      <c r="E80" s="1341"/>
      <c r="F80" s="1341"/>
      <c r="G80" s="1344">
        <v>5</v>
      </c>
      <c r="H80" s="1341"/>
      <c r="I80" s="1341"/>
      <c r="J80" s="1342"/>
      <c r="K80" s="2"/>
      <c r="L80" s="2"/>
      <c r="M80" s="2"/>
      <c r="N80" s="2"/>
      <c r="Q80" s="2"/>
      <c r="R80" s="2"/>
      <c r="S80" s="2"/>
      <c r="T80" s="2"/>
      <c r="U80" s="2"/>
    </row>
    <row r="81" spans="1:21">
      <c r="A81" s="1340"/>
      <c r="B81" s="1349" t="s">
        <v>1048</v>
      </c>
      <c r="C81" s="1341"/>
      <c r="D81" s="1341"/>
      <c r="E81" s="1341"/>
      <c r="F81" s="1341"/>
      <c r="G81" s="1344">
        <v>2</v>
      </c>
      <c r="H81" s="1341"/>
      <c r="I81" s="1341"/>
      <c r="J81" s="1342"/>
      <c r="K81" s="2"/>
      <c r="L81" s="2"/>
      <c r="M81" s="2"/>
      <c r="N81" s="2"/>
      <c r="Q81" s="2"/>
      <c r="R81" s="2"/>
      <c r="S81" s="2"/>
      <c r="T81" s="2"/>
      <c r="U81" s="2"/>
    </row>
    <row r="82" spans="1:21">
      <c r="A82" s="1340"/>
      <c r="B82" s="1349" t="s">
        <v>1049</v>
      </c>
      <c r="C82" s="1341"/>
      <c r="D82" s="1341"/>
      <c r="E82" s="1341"/>
      <c r="F82" s="1341"/>
      <c r="G82" s="1344">
        <v>3</v>
      </c>
      <c r="H82" s="1341"/>
      <c r="I82" s="1341"/>
      <c r="J82" s="1342"/>
      <c r="K82" s="2"/>
      <c r="L82" s="2"/>
      <c r="M82" s="2"/>
      <c r="N82" s="2"/>
      <c r="Q82" s="2"/>
      <c r="R82" s="2"/>
      <c r="S82" s="2"/>
      <c r="T82" s="2"/>
      <c r="U82" s="2"/>
    </row>
    <row r="83" spans="1:21">
      <c r="A83" s="1340"/>
      <c r="B83" s="1349" t="s">
        <v>1050</v>
      </c>
      <c r="C83" s="1341"/>
      <c r="D83" s="1341"/>
      <c r="E83" s="1341"/>
      <c r="F83" s="1341"/>
      <c r="G83" s="1344">
        <v>1</v>
      </c>
      <c r="H83" s="1341"/>
      <c r="I83" s="1341"/>
      <c r="J83" s="1342"/>
      <c r="K83" s="2"/>
      <c r="L83" s="2"/>
      <c r="M83" s="2"/>
      <c r="N83" s="2"/>
      <c r="Q83" s="2"/>
      <c r="R83" s="2"/>
      <c r="S83" s="2"/>
      <c r="T83" s="2"/>
      <c r="U83" s="2"/>
    </row>
    <row r="84" spans="1:21">
      <c r="A84" s="1340"/>
      <c r="B84" s="1349" t="s">
        <v>1051</v>
      </c>
      <c r="C84" s="1341"/>
      <c r="D84" s="1341"/>
      <c r="E84" s="1341"/>
      <c r="F84" s="1341"/>
      <c r="G84" s="1344">
        <v>1</v>
      </c>
      <c r="H84" s="1341"/>
      <c r="I84" s="1341"/>
      <c r="J84" s="1342"/>
    </row>
    <row r="85" spans="1:21">
      <c r="A85" s="1340"/>
      <c r="B85" s="1349" t="s">
        <v>1052</v>
      </c>
      <c r="C85" s="1341"/>
      <c r="D85" s="1341"/>
      <c r="E85" s="1341"/>
      <c r="F85" s="1341"/>
      <c r="G85" s="1344">
        <v>5</v>
      </c>
      <c r="H85" s="1341"/>
      <c r="I85" s="1341"/>
      <c r="J85" s="1342"/>
    </row>
    <row r="86" spans="1:21">
      <c r="A86" s="1340"/>
      <c r="B86" s="1349" t="s">
        <v>1053</v>
      </c>
      <c r="C86" s="1341"/>
      <c r="D86" s="1341"/>
      <c r="E86" s="1341"/>
      <c r="F86" s="1341"/>
      <c r="G86" s="1344">
        <v>5</v>
      </c>
      <c r="H86" s="1341"/>
      <c r="I86" s="1341"/>
      <c r="J86" s="1342"/>
    </row>
    <row r="87" spans="1:21">
      <c r="A87" s="1340"/>
      <c r="B87" s="1349" t="s">
        <v>1054</v>
      </c>
      <c r="C87" s="1341"/>
      <c r="D87" s="1341"/>
      <c r="E87" s="1341"/>
      <c r="F87" s="1341"/>
      <c r="G87" s="1344">
        <v>5</v>
      </c>
      <c r="H87" s="1341"/>
      <c r="I87" s="1341"/>
      <c r="J87" s="1342"/>
    </row>
    <row r="88" spans="1:21">
      <c r="A88" s="1340"/>
      <c r="B88" s="1349" t="s">
        <v>1055</v>
      </c>
      <c r="C88" s="1341"/>
      <c r="D88" s="1341"/>
      <c r="E88" s="1341"/>
      <c r="F88" s="1341"/>
      <c r="G88" s="1344">
        <v>1</v>
      </c>
      <c r="H88" s="1341"/>
      <c r="I88" s="1341"/>
      <c r="J88" s="1342"/>
    </row>
    <row r="89" spans="1:21">
      <c r="A89" s="1340"/>
      <c r="B89" s="1349" t="s">
        <v>1056</v>
      </c>
      <c r="C89" s="1341"/>
      <c r="D89" s="1341"/>
      <c r="E89" s="1341"/>
      <c r="F89" s="1341"/>
      <c r="G89" s="1344">
        <v>2</v>
      </c>
      <c r="H89" s="1341"/>
      <c r="I89" s="1341"/>
      <c r="J89" s="1342"/>
    </row>
    <row r="90" spans="1:21">
      <c r="A90" s="1340"/>
      <c r="B90" s="1341"/>
      <c r="C90" s="1341"/>
      <c r="D90" s="1341"/>
      <c r="E90" s="1341"/>
      <c r="F90" s="1336" t="s">
        <v>296</v>
      </c>
      <c r="G90" s="1337">
        <f>SUM(G77:G89)</f>
        <v>40</v>
      </c>
      <c r="H90" s="1341"/>
      <c r="I90" s="1341"/>
      <c r="J90" s="1342"/>
    </row>
    <row r="91" spans="1:21">
      <c r="A91" s="1340"/>
      <c r="B91" s="1343" t="s">
        <v>1057</v>
      </c>
      <c r="C91" s="1341"/>
      <c r="D91" s="1341"/>
      <c r="E91" s="1341"/>
      <c r="F91" s="1341"/>
      <c r="G91" s="1341"/>
      <c r="H91" s="1341"/>
      <c r="I91" s="1341"/>
      <c r="J91" s="1342"/>
    </row>
    <row r="92" spans="1:21" ht="15" thickBot="1">
      <c r="A92" s="1345"/>
      <c r="B92" s="1346" t="s">
        <v>1058</v>
      </c>
      <c r="C92" s="1346"/>
      <c r="D92" s="1346"/>
      <c r="E92" s="1346"/>
      <c r="F92" s="1346"/>
      <c r="G92" s="1347">
        <v>1</v>
      </c>
      <c r="H92" s="1346" t="s">
        <v>1059</v>
      </c>
      <c r="I92" s="1346">
        <v>1000</v>
      </c>
      <c r="J92" s="1348" t="s">
        <v>551</v>
      </c>
    </row>
  </sheetData>
  <mergeCells count="10">
    <mergeCell ref="K7:P7"/>
    <mergeCell ref="J12:J13"/>
    <mergeCell ref="J24:J25"/>
    <mergeCell ref="K20:P20"/>
    <mergeCell ref="K12:K13"/>
    <mergeCell ref="L12:L13"/>
    <mergeCell ref="M12:M13"/>
    <mergeCell ref="N12:N13"/>
    <mergeCell ref="O12:O13"/>
    <mergeCell ref="P12:P13"/>
  </mergeCells>
  <phoneticPr fontId="67" type="noConversion"/>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CBBA1-E897-4700-AE4B-04E56F974E10}">
  <sheetPr codeName="Feuil21"/>
  <dimension ref="B2:N75"/>
  <sheetViews>
    <sheetView zoomScale="70" zoomScaleNormal="70" workbookViewId="0">
      <selection activeCell="G17" sqref="G17"/>
    </sheetView>
  </sheetViews>
  <sheetFormatPr baseColWidth="10" defaultColWidth="11.44140625" defaultRowHeight="14.4" outlineLevelRow="1"/>
  <cols>
    <col min="2" max="2" width="28.44140625" customWidth="1"/>
    <col min="3" max="7" width="13.77734375" customWidth="1"/>
    <col min="8" max="8" width="8.21875" bestFit="1" customWidth="1"/>
    <col min="9" max="9" width="8.21875" customWidth="1"/>
    <col min="10" max="10" width="12.44140625" bestFit="1" customWidth="1"/>
    <col min="11" max="11" width="16.109375" bestFit="1" customWidth="1"/>
    <col min="12" max="12" width="12" bestFit="1" customWidth="1"/>
    <col min="13" max="13" width="17.109375" bestFit="1" customWidth="1"/>
    <col min="14" max="14" width="12.44140625" bestFit="1" customWidth="1"/>
    <col min="15" max="15" width="15.77734375" bestFit="1" customWidth="1"/>
    <col min="16" max="16" width="24.44140625" bestFit="1" customWidth="1"/>
    <col min="17" max="17" width="14.33203125" bestFit="1" customWidth="1"/>
    <col min="18" max="18" width="16.33203125" bestFit="1" customWidth="1"/>
    <col min="19" max="19" width="27.33203125" bestFit="1" customWidth="1"/>
    <col min="20" max="20" width="14.21875" bestFit="1" customWidth="1"/>
    <col min="21" max="21" width="18.77734375" bestFit="1" customWidth="1"/>
    <col min="22" max="22" width="17.44140625" bestFit="1" customWidth="1"/>
    <col min="23" max="23" width="12.77734375" bestFit="1" customWidth="1"/>
    <col min="24" max="24" width="20.109375" bestFit="1" customWidth="1"/>
    <col min="25" max="25" width="23.21875" bestFit="1" customWidth="1"/>
    <col min="26" max="26" width="18.6640625" bestFit="1" customWidth="1"/>
    <col min="27" max="27" width="12.21875" bestFit="1" customWidth="1"/>
    <col min="28" max="28" width="8.88671875" bestFit="1" customWidth="1"/>
    <col min="29" max="29" width="9.109375" bestFit="1" customWidth="1"/>
    <col min="30" max="30" width="8.21875" bestFit="1" customWidth="1"/>
    <col min="31" max="31" width="15.21875" bestFit="1" customWidth="1"/>
    <col min="32" max="32" width="30.21875" bestFit="1" customWidth="1"/>
    <col min="33" max="33" width="29.77734375" bestFit="1" customWidth="1"/>
    <col min="34" max="34" width="19.44140625" bestFit="1" customWidth="1"/>
    <col min="35" max="35" width="12.88671875" bestFit="1" customWidth="1"/>
    <col min="36" max="36" width="47.109375" bestFit="1" customWidth="1"/>
    <col min="37" max="37" width="14.44140625" bestFit="1" customWidth="1"/>
    <col min="38" max="38" width="16.6640625" bestFit="1" customWidth="1"/>
    <col min="39" max="39" width="15.77734375" bestFit="1" customWidth="1"/>
    <col min="40" max="40" width="6.33203125" bestFit="1" customWidth="1"/>
    <col min="41" max="41" width="9.6640625" bestFit="1" customWidth="1"/>
    <col min="42" max="42" width="8.21875" bestFit="1" customWidth="1"/>
    <col min="43" max="43" width="11.21875" bestFit="1" customWidth="1"/>
    <col min="44" max="44" width="21.77734375" bestFit="1" customWidth="1"/>
    <col min="45" max="45" width="25" bestFit="1" customWidth="1"/>
    <col min="46" max="46" width="9.6640625" bestFit="1" customWidth="1"/>
    <col min="47" max="47" width="12.77734375" bestFit="1" customWidth="1"/>
    <col min="48" max="48" width="15.6640625" bestFit="1" customWidth="1"/>
    <col min="49" max="49" width="18.77734375" bestFit="1" customWidth="1"/>
    <col min="50" max="50" width="8.21875" bestFit="1" customWidth="1"/>
    <col min="51" max="51" width="11.21875" bestFit="1" customWidth="1"/>
    <col min="52" max="52" width="10.21875" bestFit="1" customWidth="1"/>
    <col min="53" max="53" width="13.33203125" bestFit="1" customWidth="1"/>
    <col min="54" max="54" width="15.21875" bestFit="1" customWidth="1"/>
    <col min="55" max="55" width="15.6640625" bestFit="1" customWidth="1"/>
    <col min="56" max="56" width="19.77734375" bestFit="1" customWidth="1"/>
    <col min="57" max="57" width="23.109375" bestFit="1" customWidth="1"/>
    <col min="58" max="58" width="9.109375" bestFit="1" customWidth="1"/>
    <col min="59" max="59" width="13.109375" bestFit="1" customWidth="1"/>
    <col min="60" max="60" width="16.33203125" bestFit="1" customWidth="1"/>
    <col min="61" max="61" width="12.21875" bestFit="1" customWidth="1"/>
    <col min="62" max="62" width="15.6640625" bestFit="1" customWidth="1"/>
    <col min="63" max="63" width="9.6640625" bestFit="1" customWidth="1"/>
    <col min="64" max="64" width="9.33203125" bestFit="1" customWidth="1"/>
    <col min="65" max="65" width="17.44140625" bestFit="1" customWidth="1"/>
    <col min="66" max="66" width="17.77734375" bestFit="1" customWidth="1"/>
    <col min="67" max="67" width="8.77734375" bestFit="1" customWidth="1"/>
    <col min="68" max="69" width="12.77734375" bestFit="1" customWidth="1"/>
    <col min="70" max="70" width="11.77734375" bestFit="1" customWidth="1"/>
    <col min="71" max="71" width="11.21875" bestFit="1" customWidth="1"/>
    <col min="72" max="72" width="14.44140625" bestFit="1" customWidth="1"/>
    <col min="73" max="74" width="11.77734375" bestFit="1" customWidth="1"/>
    <col min="75" max="75" width="11.21875" bestFit="1" customWidth="1"/>
    <col min="76" max="76" width="14.21875" bestFit="1" customWidth="1"/>
    <col min="77" max="77" width="8.77734375" bestFit="1" customWidth="1"/>
    <col min="78" max="78" width="8.21875" bestFit="1" customWidth="1"/>
    <col min="79" max="80" width="16.44140625" bestFit="1" customWidth="1"/>
    <col min="81" max="81" width="7.77734375" bestFit="1" customWidth="1"/>
    <col min="82" max="82" width="11.77734375" bestFit="1" customWidth="1"/>
    <col min="83" max="83" width="11.6640625" bestFit="1" customWidth="1"/>
  </cols>
  <sheetData>
    <row r="2" spans="2:14" ht="15" thickBot="1">
      <c r="B2" s="6" t="s">
        <v>854</v>
      </c>
      <c r="C2" s="414" t="s">
        <v>156</v>
      </c>
      <c r="D2" s="414" t="s">
        <v>157</v>
      </c>
      <c r="E2" s="414" t="s">
        <v>158</v>
      </c>
      <c r="F2" s="414" t="s">
        <v>159</v>
      </c>
      <c r="G2" s="414" t="s">
        <v>160</v>
      </c>
    </row>
    <row r="3" spans="2:14" outlineLevel="1">
      <c r="B3" s="3" t="str">
        <f>INPUTCOSTING!B4</f>
        <v>Request Type</v>
      </c>
      <c r="C3" s="1951">
        <f>INPUTCOSTING!C4</f>
        <v>0</v>
      </c>
      <c r="D3" s="1951">
        <f>Preparation_export[[#This Row],[Y1]]</f>
        <v>0</v>
      </c>
      <c r="E3" s="1951">
        <f>Preparation_export[[#This Row],[Y1]]</f>
        <v>0</v>
      </c>
      <c r="F3" s="1951">
        <f>Preparation_export[[#This Row],[Y1]]</f>
        <v>0</v>
      </c>
      <c r="G3" s="1952">
        <f>Preparation_export[[#This Row],[Y1]]</f>
        <v>0</v>
      </c>
    </row>
    <row r="4" spans="2:14" outlineLevel="1">
      <c r="B4" s="6" t="str">
        <f>INPUTCOSTING!B5</f>
        <v>Quote ID</v>
      </c>
      <c r="C4" s="1988">
        <f>'RFQ Data'!$D$7</f>
        <v>0</v>
      </c>
      <c r="D4" s="1988">
        <f>Preparation_export[[#This Row],[Y1]]</f>
        <v>0</v>
      </c>
      <c r="E4" s="1988">
        <f>Preparation_export[[#This Row],[Y1]]</f>
        <v>0</v>
      </c>
      <c r="F4" s="1988">
        <f>Preparation_export[[#This Row],[Y1]]</f>
        <v>0</v>
      </c>
      <c r="G4" s="1953">
        <f>Preparation_export[[#This Row],[Y1]]</f>
        <v>0</v>
      </c>
    </row>
    <row r="5" spans="2:14" ht="15" outlineLevel="1" thickBot="1">
      <c r="B5" s="36" t="s">
        <v>858</v>
      </c>
      <c r="C5" s="1987">
        <v>3</v>
      </c>
      <c r="D5" s="1987">
        <f>Preparation_export[[#This Row],[Y1]]</f>
        <v>3</v>
      </c>
      <c r="E5" s="1987">
        <f>Preparation_export[[#This Row],[Y1]]</f>
        <v>3</v>
      </c>
      <c r="F5" s="1987">
        <f>Preparation_export[[#This Row],[Y1]]</f>
        <v>3</v>
      </c>
      <c r="G5" s="1989">
        <f>Preparation_export[[#This Row],[Y1]]</f>
        <v>3</v>
      </c>
    </row>
    <row r="6" spans="2:14" outlineLevel="1">
      <c r="B6" s="105" t="s">
        <v>859</v>
      </c>
      <c r="C6" s="1990" t="str">
        <f>'RFQ Data'!H7</f>
        <v>Fuse choke</v>
      </c>
      <c r="D6" s="1990" t="str">
        <f>Preparation_export[[#This Row],[Y1]]</f>
        <v>Fuse choke</v>
      </c>
      <c r="E6" s="1990" t="str">
        <f>Preparation_export[[#This Row],[Y1]]</f>
        <v>Fuse choke</v>
      </c>
      <c r="F6" s="1990" t="str">
        <f>Preparation_export[[#This Row],[Y1]]</f>
        <v>Fuse choke</v>
      </c>
      <c r="G6" s="1991" t="str">
        <f>Preparation_export[[#This Row],[Y1]]</f>
        <v>Fuse choke</v>
      </c>
    </row>
    <row r="7" spans="2:14" outlineLevel="1">
      <c r="B7" s="6" t="s">
        <v>860</v>
      </c>
      <c r="C7" s="1988" t="str">
        <f>'RFQ Data'!K10</f>
        <v>24003-CHO-00</v>
      </c>
      <c r="D7" s="1988" t="str">
        <f>Preparation_export[[#This Row],[Y1]]</f>
        <v>24003-CHO-00</v>
      </c>
      <c r="E7" s="1988" t="str">
        <f>Preparation_export[[#This Row],[Y1]]</f>
        <v>24003-CHO-00</v>
      </c>
      <c r="F7" s="1988" t="str">
        <f>Preparation_export[[#This Row],[Y1]]</f>
        <v>24003-CHO-00</v>
      </c>
      <c r="G7" s="1953" t="str">
        <f>Preparation_export[[#This Row],[Y1]]</f>
        <v>24003-CHO-00</v>
      </c>
    </row>
    <row r="8" spans="2:14" outlineLevel="1">
      <c r="B8" s="6" t="str">
        <f>INPUTCOSTING!F4</f>
        <v>Quote Type</v>
      </c>
      <c r="C8" s="1988">
        <f>INPUTCOSTING!$G$4</f>
        <v>0</v>
      </c>
      <c r="D8" s="1988">
        <f>Preparation_export[[#This Row],[Y1]]</f>
        <v>0</v>
      </c>
      <c r="E8" s="1988">
        <f>Preparation_export[[#This Row],[Y1]]</f>
        <v>0</v>
      </c>
      <c r="F8" s="1988">
        <f>Preparation_export[[#This Row],[Y1]]</f>
        <v>0</v>
      </c>
      <c r="G8" s="1953">
        <f>Preparation_export[[#This Row],[Y1]]</f>
        <v>0</v>
      </c>
    </row>
    <row r="9" spans="2:14" ht="15" outlineLevel="1" thickBot="1">
      <c r="B9" s="6" t="str">
        <f>INPUTCOSTING!F5</f>
        <v>Program Type</v>
      </c>
      <c r="C9" s="1988">
        <f>INPUTCOSTING!G5</f>
        <v>0</v>
      </c>
      <c r="D9" s="1988">
        <f>Preparation_export[[#This Row],[Y1]]</f>
        <v>0</v>
      </c>
      <c r="E9" s="1988">
        <f>Preparation_export[[#This Row],[Y1]]</f>
        <v>0</v>
      </c>
      <c r="F9" s="1988">
        <f>Preparation_export[[#This Row],[Y1]]</f>
        <v>0</v>
      </c>
      <c r="G9" s="1953">
        <f>Preparation_export[[#This Row],[Y1]]</f>
        <v>0</v>
      </c>
    </row>
    <row r="10" spans="2:14" outlineLevel="1">
      <c r="B10" s="6" t="s">
        <v>861</v>
      </c>
      <c r="C10" s="1988" t="str">
        <f>'RFQ Data'!I12</f>
        <v>Chokes - Fuse chokes</v>
      </c>
      <c r="D10" s="1988" t="str">
        <f>Preparation_export[[#This Row],[Y1]]</f>
        <v>Chokes - Fuse chokes</v>
      </c>
      <c r="E10" s="1988" t="str">
        <f>Preparation_export[[#This Row],[Y1]]</f>
        <v>Chokes - Fuse chokes</v>
      </c>
      <c r="F10" s="1988" t="str">
        <f>Preparation_export[[#This Row],[Y1]]</f>
        <v>Chokes - Fuse chokes</v>
      </c>
      <c r="G10" s="1953" t="str">
        <f>Preparation_export[[#This Row],[Y1]]</f>
        <v>Chokes - Fuse chokes</v>
      </c>
      <c r="J10" s="1984" t="s">
        <v>1060</v>
      </c>
      <c r="K10" s="1985" t="s">
        <v>1061</v>
      </c>
      <c r="L10" s="462"/>
      <c r="M10" s="462"/>
      <c r="N10" s="463"/>
    </row>
    <row r="11" spans="2:14" ht="15" outlineLevel="1" thickBot="1">
      <c r="B11" s="6" t="s">
        <v>862</v>
      </c>
      <c r="C11" s="1988"/>
      <c r="D11" s="1988"/>
      <c r="E11" s="1988"/>
      <c r="F11" s="1988"/>
      <c r="G11" s="1953"/>
      <c r="J11" s="1986" t="s">
        <v>1062</v>
      </c>
      <c r="K11" s="1076" t="str">
        <f>CONCATENATE(L3,"-0",M3,"_",W3,"-",S3,"-",ExportData!N3 )</f>
        <v>-0_--1</v>
      </c>
      <c r="L11" s="465"/>
      <c r="M11" s="465"/>
      <c r="N11" s="466"/>
    </row>
    <row r="12" spans="2:14" outlineLevel="1">
      <c r="B12" s="6" t="s">
        <v>863</v>
      </c>
      <c r="C12" s="1988"/>
      <c r="D12" s="1988"/>
      <c r="E12" s="1988"/>
      <c r="F12" s="1988"/>
      <c r="G12" s="1953"/>
    </row>
    <row r="13" spans="2:14" outlineLevel="1">
      <c r="B13" s="6" t="str">
        <f>'RFQ Data'!B8</f>
        <v>Assembly Level</v>
      </c>
      <c r="C13" s="1988">
        <f>'RFQ Data'!$C$8</f>
        <v>1</v>
      </c>
      <c r="D13" s="1988">
        <f>Preparation_export[[#This Row],[Y1]]</f>
        <v>1</v>
      </c>
      <c r="E13" s="1988">
        <f>Preparation_export[[#This Row],[Y1]]</f>
        <v>1</v>
      </c>
      <c r="F13" s="1988">
        <f>Preparation_export[[#This Row],[Y1]]</f>
        <v>1</v>
      </c>
      <c r="G13" s="1953">
        <f>Preparation_export[[#This Row],[Y1]]</f>
        <v>1</v>
      </c>
      <c r="K13" t="s">
        <v>1063</v>
      </c>
    </row>
    <row r="14" spans="2:14" outlineLevel="1">
      <c r="B14" s="6" t="s">
        <v>149</v>
      </c>
      <c r="C14" s="1988" t="str">
        <f>'RFQ Data'!D10</f>
        <v>NBT</v>
      </c>
      <c r="D14" s="1988" t="str">
        <f>Preparation_export[[#This Row],[Y1]]</f>
        <v>NBT</v>
      </c>
      <c r="E14" s="1988" t="str">
        <f>Preparation_export[[#This Row],[Y1]]</f>
        <v>NBT</v>
      </c>
      <c r="F14" s="1988" t="str">
        <f>Preparation_export[[#This Row],[Y1]]</f>
        <v>NBT</v>
      </c>
      <c r="G14" s="1953" t="str">
        <f>Preparation_export[[#This Row],[Y1]]</f>
        <v>NBT</v>
      </c>
    </row>
    <row r="15" spans="2:14" outlineLevel="1">
      <c r="B15" s="6" t="s">
        <v>469</v>
      </c>
      <c r="C15" s="1988" t="str">
        <f>'RFQ Data'!D12</f>
        <v>China + South pacific</v>
      </c>
      <c r="D15" s="1988" t="str">
        <f>Preparation_export[[#This Row],[Y1]]</f>
        <v>China + South pacific</v>
      </c>
      <c r="E15" s="1988" t="str">
        <f>Preparation_export[[#This Row],[Y1]]</f>
        <v>China + South pacific</v>
      </c>
      <c r="F15" s="1988" t="str">
        <f>Preparation_export[[#This Row],[Y1]]</f>
        <v>China + South pacific</v>
      </c>
      <c r="G15" s="1953" t="str">
        <f>Preparation_export[[#This Row],[Y1]]</f>
        <v>China + South pacific</v>
      </c>
    </row>
    <row r="16" spans="2:14" outlineLevel="1">
      <c r="B16" s="6" t="s">
        <v>864</v>
      </c>
      <c r="C16" s="1988" t="str">
        <f>'RFQ Data'!K13</f>
        <v>Kunshan</v>
      </c>
      <c r="D16" s="1988" t="str">
        <f>Preparation_export[[#This Row],[Y1]]</f>
        <v>Kunshan</v>
      </c>
      <c r="E16" s="1988" t="str">
        <f>Preparation_export[[#This Row],[Y1]]</f>
        <v>Kunshan</v>
      </c>
      <c r="F16" s="1988" t="str">
        <f>Preparation_export[[#This Row],[Y1]]</f>
        <v>Kunshan</v>
      </c>
      <c r="G16" s="1953" t="str">
        <f>Preparation_export[[#This Row],[Y1]]</f>
        <v>Kunshan</v>
      </c>
    </row>
    <row r="17" spans="2:7" outlineLevel="1">
      <c r="B17" s="6" t="s">
        <v>865</v>
      </c>
      <c r="C17" s="1988" t="str">
        <f>QuotingCUR</f>
        <v>RMB</v>
      </c>
      <c r="D17" s="1988" t="str">
        <f>Preparation_export[[#This Row],[Y1]]</f>
        <v>RMB</v>
      </c>
      <c r="E17" s="1988" t="str">
        <f>Preparation_export[[#This Row],[Y1]]</f>
        <v>RMB</v>
      </c>
      <c r="F17" s="1988" t="str">
        <f>Preparation_export[[#This Row],[Y1]]</f>
        <v>RMB</v>
      </c>
      <c r="G17" s="1953" t="str">
        <f>Preparation_export[[#This Row],[Y1]]</f>
        <v>RMB</v>
      </c>
    </row>
    <row r="18" spans="2:7" ht="15" outlineLevel="1" thickBot="1">
      <c r="B18" s="10" t="s">
        <v>165</v>
      </c>
      <c r="C18" s="1954" t="str">
        <f>'RFQ Data'!H14</f>
        <v>DAP</v>
      </c>
      <c r="D18" s="1954" t="str">
        <f>Preparation_export[[#This Row],[Y1]]</f>
        <v>DAP</v>
      </c>
      <c r="E18" s="1954" t="str">
        <f>Preparation_export[[#This Row],[Y1]]</f>
        <v>DAP</v>
      </c>
      <c r="F18" s="1954" t="str">
        <f>Preparation_export[[#This Row],[Y1]]</f>
        <v>DAP</v>
      </c>
      <c r="G18" s="1955" t="str">
        <f>Preparation_export[[#This Row],[Y1]]</f>
        <v>DAP</v>
      </c>
    </row>
    <row r="19" spans="2:7" ht="15" thickBot="1">
      <c r="B19" s="98" t="str">
        <f>PriceCalAVO!A57</f>
        <v>ROCE</v>
      </c>
      <c r="C19" s="851">
        <f>'Output for sales-PM'!B80</f>
        <v>0.49999999999994471</v>
      </c>
      <c r="D19" s="1926">
        <f>Preparation_export[[#This Row],[Y1]]</f>
        <v>0.49999999999994471</v>
      </c>
      <c r="E19" s="1926">
        <f>Preparation_export[[#This Row],[Y1]]</f>
        <v>0.49999999999994471</v>
      </c>
      <c r="F19" s="1926">
        <f>Preparation_export[[#This Row],[Y1]]</f>
        <v>0.49999999999994471</v>
      </c>
      <c r="G19" s="1992">
        <f>Preparation_export[[#This Row],[Y1]]</f>
        <v>0.49999999999994471</v>
      </c>
    </row>
    <row r="20" spans="2:7" ht="15" thickBot="1">
      <c r="B20" s="1502" t="s">
        <v>58</v>
      </c>
      <c r="C20" s="836">
        <f>PriceCalAVO!C1</f>
        <v>2025</v>
      </c>
      <c r="D20" s="836">
        <f>PriceCalAVO!D1</f>
        <v>2026</v>
      </c>
      <c r="E20" s="836">
        <f>PriceCalAVO!E1</f>
        <v>2027</v>
      </c>
      <c r="F20" s="836">
        <f>PriceCalAVO!F1</f>
        <v>2028</v>
      </c>
      <c r="G20" s="837">
        <f>PriceCalAVO!G1</f>
        <v>2029</v>
      </c>
    </row>
    <row r="21" spans="2:7">
      <c r="B21" s="3" t="s">
        <v>760</v>
      </c>
      <c r="C21" s="4">
        <f>'Output for sales-PM'!C24</f>
        <v>600</v>
      </c>
      <c r="D21" s="4">
        <f>'Output for sales-PM'!D24</f>
        <v>600</v>
      </c>
      <c r="E21" s="4">
        <f>'Output for sales-PM'!E24</f>
        <v>600</v>
      </c>
      <c r="F21" s="4">
        <f>'Output for sales-PM'!F24</f>
        <v>600</v>
      </c>
      <c r="G21" s="5">
        <f>'Output for sales-PM'!G24</f>
        <v>600</v>
      </c>
    </row>
    <row r="22" spans="2:7">
      <c r="B22" s="6" t="s">
        <v>250</v>
      </c>
      <c r="C22" s="140">
        <f>'Output for sales-PM'!C29</f>
        <v>0</v>
      </c>
      <c r="D22" s="140">
        <f>'Output for sales-PM'!D29</f>
        <v>0</v>
      </c>
      <c r="E22" s="140">
        <f>'Output for sales-PM'!E29</f>
        <v>0</v>
      </c>
      <c r="F22" s="140">
        <f>'Output for sales-PM'!F29</f>
        <v>0</v>
      </c>
      <c r="G22" s="141">
        <f>'Output for sales-PM'!G29</f>
        <v>0</v>
      </c>
    </row>
    <row r="23" spans="2:7">
      <c r="B23" s="6" t="s">
        <v>870</v>
      </c>
      <c r="C23" s="16">
        <f>'Output for sales-PM'!C28</f>
        <v>1.2940908049331628</v>
      </c>
      <c r="D23" s="16">
        <f>'Output for sales-PM'!D28</f>
        <v>1.2940908049331628</v>
      </c>
      <c r="E23" s="16">
        <f>'Output for sales-PM'!E28</f>
        <v>1.2940908049331628</v>
      </c>
      <c r="F23" s="16">
        <f>'Output for sales-PM'!F28</f>
        <v>1.2940908049331628</v>
      </c>
      <c r="G23" s="1960">
        <f>'Output for sales-PM'!G28</f>
        <v>1.2940908049331628</v>
      </c>
    </row>
    <row r="24" spans="2:7">
      <c r="B24" s="6" t="s">
        <v>768</v>
      </c>
      <c r="C24" s="16">
        <f>'Output for sales-PM'!C27</f>
        <v>2.3490166726756419E-2</v>
      </c>
      <c r="D24" s="16">
        <f>'Output for sales-PM'!D27</f>
        <v>2.3490166726756419E-2</v>
      </c>
      <c r="E24" s="16">
        <f>'Output for sales-PM'!E27</f>
        <v>2.3490166726756419E-2</v>
      </c>
      <c r="F24" s="16">
        <f>'Output for sales-PM'!F27</f>
        <v>2.3490166726756419E-2</v>
      </c>
      <c r="G24" s="1960">
        <f>'Output for sales-PM'!G27</f>
        <v>2.3490166726756419E-2</v>
      </c>
    </row>
    <row r="25" spans="2:7">
      <c r="B25" s="6" t="s">
        <v>769</v>
      </c>
      <c r="C25" s="16">
        <f>'Output for sales-PM'!B26</f>
        <v>0.28241902834008092</v>
      </c>
      <c r="D25" s="16">
        <f>'Output for sales-PM'!C26</f>
        <v>0.28241902834008092</v>
      </c>
      <c r="E25" s="16">
        <f>'Output for sales-PM'!D26</f>
        <v>0.28241902834008092</v>
      </c>
      <c r="F25" s="16">
        <f>'Output for sales-PM'!E26</f>
        <v>0.28241902834008092</v>
      </c>
      <c r="G25" s="1960">
        <f>'Output for sales-PM'!F26</f>
        <v>0.28241902834008092</v>
      </c>
    </row>
    <row r="26" spans="2:7">
      <c r="B26" s="6" t="s">
        <v>1064</v>
      </c>
      <c r="C26" s="1959">
        <f>'Output for sales-PM'!C25</f>
        <v>1.6</v>
      </c>
      <c r="D26" s="1959">
        <f>'Output for sales-PM'!D25</f>
        <v>1.6</v>
      </c>
      <c r="E26" s="1959">
        <f>'Output for sales-PM'!E25</f>
        <v>1.6</v>
      </c>
      <c r="F26" s="1959">
        <f>'Output for sales-PM'!F25</f>
        <v>1.6</v>
      </c>
      <c r="G26" s="1961">
        <f>'Output for sales-PM'!G25</f>
        <v>1.6</v>
      </c>
    </row>
    <row r="27" spans="2:7" ht="15" thickBot="1">
      <c r="B27" s="10" t="str">
        <f>PriceCalAVO!A8</f>
        <v>Amortization during 3 years at 12% interest rate</v>
      </c>
      <c r="C27" s="1962">
        <f>'Output for sales-PM'!C30</f>
        <v>0</v>
      </c>
      <c r="D27" s="1962">
        <f>'Output for sales-PM'!D30</f>
        <v>0</v>
      </c>
      <c r="E27" s="1962">
        <f>'Output for sales-PM'!E30</f>
        <v>0</v>
      </c>
      <c r="F27" s="1962">
        <f>'Output for sales-PM'!F30</f>
        <v>0</v>
      </c>
      <c r="G27" s="1963">
        <f>'Output for sales-PM'!G30</f>
        <v>0</v>
      </c>
    </row>
    <row r="28" spans="2:7" ht="15" thickBot="1">
      <c r="B28" s="98" t="s">
        <v>908</v>
      </c>
      <c r="C28" s="85">
        <f>'Output for sales-PM'!C31</f>
        <v>960</v>
      </c>
      <c r="D28" s="85">
        <f>'Output for sales-PM'!D31</f>
        <v>960</v>
      </c>
      <c r="E28" s="85">
        <f>'Output for sales-PM'!E31</f>
        <v>960</v>
      </c>
      <c r="F28" s="85">
        <f>'Output for sales-PM'!F31</f>
        <v>960</v>
      </c>
      <c r="G28" s="86">
        <f>'Output for sales-PM'!G31</f>
        <v>960</v>
      </c>
    </row>
    <row r="30" spans="2:7">
      <c r="C30" s="2"/>
      <c r="D30" s="2"/>
      <c r="E30" s="2"/>
      <c r="F30" s="2"/>
      <c r="G30" s="2"/>
    </row>
    <row r="31" spans="2:7" ht="15" thickBot="1">
      <c r="C31" s="2"/>
      <c r="D31" s="2"/>
      <c r="E31" s="2"/>
      <c r="F31" s="2"/>
      <c r="G31" s="2"/>
    </row>
    <row r="32" spans="2:7">
      <c r="B32" s="1966" t="s">
        <v>781</v>
      </c>
      <c r="C32" s="1967">
        <f>'Output for sales-PM'!C35</f>
        <v>290.08459150992434</v>
      </c>
      <c r="D32" s="1967">
        <f>'Output for sales-PM'!D35</f>
        <v>287.15985007920438</v>
      </c>
      <c r="E32" s="1967">
        <f>'Output for sales-PM'!E35</f>
        <v>284.30355261420721</v>
      </c>
      <c r="F32" s="1967">
        <f>'Output for sales-PM'!F35</f>
        <v>284.30355261420721</v>
      </c>
      <c r="G32" s="1968">
        <f>'Output for sales-PM'!G35</f>
        <v>284.30355261420721</v>
      </c>
    </row>
    <row r="33" spans="2:7">
      <c r="B33" s="1969" t="s">
        <v>1065</v>
      </c>
      <c r="C33" s="1965">
        <f>'Output for sales-PM'!C36</f>
        <v>0.28749009528528174</v>
      </c>
      <c r="D33" s="1965">
        <f>'Output for sales-PM'!D36</f>
        <v>0.28444348962828175</v>
      </c>
      <c r="E33" s="1965">
        <f>'Output for sales-PM'!E36</f>
        <v>0.2814681797689097</v>
      </c>
      <c r="F33" s="1965">
        <f>'Output for sales-PM'!F36</f>
        <v>0.2814681797689097</v>
      </c>
      <c r="G33" s="1970">
        <f>'Output for sales-PM'!G36</f>
        <v>0.2814681797689097</v>
      </c>
    </row>
    <row r="34" spans="2:7">
      <c r="B34" s="801" t="s">
        <v>1066</v>
      </c>
      <c r="C34" s="2">
        <f>'Output for sales-PM'!C38</f>
        <v>45.701778846153843</v>
      </c>
      <c r="D34" s="2">
        <f>'Output for sales-PM'!D38</f>
        <v>45.701778846153843</v>
      </c>
      <c r="E34" s="2">
        <f>'Output for sales-PM'!E38</f>
        <v>45.701778846153843</v>
      </c>
      <c r="F34" s="2">
        <f>'Output for sales-PM'!F38</f>
        <v>45.701778846153843</v>
      </c>
      <c r="G34" s="249">
        <f>'Output for sales-PM'!G38</f>
        <v>45.701778846153843</v>
      </c>
    </row>
    <row r="35" spans="2:7">
      <c r="B35" s="801" t="s">
        <v>911</v>
      </c>
      <c r="C35" s="140">
        <f>'Output for sales-PM'!C39</f>
        <v>4.760601963141025E-2</v>
      </c>
      <c r="D35" s="140">
        <f>'Output for sales-PM'!D39</f>
        <v>4.760601963141025E-2</v>
      </c>
      <c r="E35" s="140">
        <f>'Output for sales-PM'!E39</f>
        <v>4.760601963141025E-2</v>
      </c>
      <c r="F35" s="140">
        <f>'Output for sales-PM'!F39</f>
        <v>4.760601963141025E-2</v>
      </c>
      <c r="G35" s="141">
        <f>'Output for sales-PM'!G39</f>
        <v>4.760601963141025E-2</v>
      </c>
    </row>
    <row r="36" spans="2:7">
      <c r="B36" s="801" t="s">
        <v>778</v>
      </c>
      <c r="C36" s="2">
        <f>'Output for sales-PM'!C40</f>
        <v>62.17610722610722</v>
      </c>
      <c r="D36" s="2">
        <f>'Output for sales-PM'!D40</f>
        <v>62.17610722610722</v>
      </c>
      <c r="E36" s="2">
        <f>'Output for sales-PM'!E40</f>
        <v>62.17610722610722</v>
      </c>
      <c r="F36" s="2">
        <f>'Output for sales-PM'!F40</f>
        <v>62.17610722610722</v>
      </c>
      <c r="G36" s="249">
        <f>'Output for sales-PM'!G40</f>
        <v>62.17610722610722</v>
      </c>
    </row>
    <row r="37" spans="2:7">
      <c r="B37" s="801" t="s">
        <v>912</v>
      </c>
      <c r="C37" s="140">
        <f>'Output for sales-PM'!C41</f>
        <v>6.4766778360528354E-2</v>
      </c>
      <c r="D37" s="140">
        <f>'Output for sales-PM'!D41</f>
        <v>6.4766778360528354E-2</v>
      </c>
      <c r="E37" s="140">
        <f>'Output for sales-PM'!E41</f>
        <v>6.4766778360528354E-2</v>
      </c>
      <c r="F37" s="140">
        <f>'Output for sales-PM'!F41</f>
        <v>6.4766778360528354E-2</v>
      </c>
      <c r="G37" s="141">
        <f>'Output for sales-PM'!G41</f>
        <v>6.4766778360528354E-2</v>
      </c>
    </row>
    <row r="38" spans="2:7">
      <c r="B38" s="801"/>
      <c r="C38" s="1971"/>
      <c r="D38" s="1971"/>
      <c r="E38" s="1971"/>
      <c r="F38" s="1971"/>
      <c r="G38" s="1972"/>
    </row>
    <row r="39" spans="2:7">
      <c r="B39" s="801"/>
      <c r="C39" s="1971"/>
      <c r="D39" s="1971"/>
      <c r="E39" s="1971"/>
      <c r="F39" s="1971"/>
      <c r="G39" s="1972"/>
    </row>
    <row r="40" spans="2:7">
      <c r="B40" s="801" t="s">
        <v>806</v>
      </c>
      <c r="C40" s="2">
        <f>'Output for sales-PM'!C45</f>
        <v>4.1841837000000002</v>
      </c>
      <c r="D40" s="2">
        <f>'Output for sales-PM'!D45</f>
        <v>4.1841837000000002</v>
      </c>
      <c r="E40" s="2">
        <f>'Output for sales-PM'!E45</f>
        <v>4.1841837000000002</v>
      </c>
      <c r="F40" s="2">
        <f>'Output for sales-PM'!F45</f>
        <v>4.1841837000000002</v>
      </c>
      <c r="G40" s="249">
        <f>'Output for sales-PM'!G45</f>
        <v>4.1841837000000002</v>
      </c>
    </row>
    <row r="41" spans="2:7" ht="15" thickBot="1">
      <c r="B41" s="802" t="s">
        <v>914</v>
      </c>
      <c r="C41" s="142">
        <f>'Output for sales-PM'!C46</f>
        <v>4.3585246875000004E-3</v>
      </c>
      <c r="D41" s="142">
        <f>'Output for sales-PM'!D46</f>
        <v>4.3585246875000004E-3</v>
      </c>
      <c r="E41" s="142">
        <f>'Output for sales-PM'!E46</f>
        <v>4.3585246875000004E-3</v>
      </c>
      <c r="F41" s="142">
        <f>'Output for sales-PM'!F46</f>
        <v>4.3585246875000004E-3</v>
      </c>
      <c r="G41" s="143">
        <f>'Output for sales-PM'!G46</f>
        <v>4.3585246875000004E-3</v>
      </c>
    </row>
    <row r="42" spans="2:7" ht="15" thickBot="1"/>
    <row r="43" spans="2:7">
      <c r="B43" s="799" t="s">
        <v>791</v>
      </c>
      <c r="C43" s="87">
        <f>'Output for sales-PM'!C48</f>
        <v>557.85333871781472</v>
      </c>
      <c r="D43" s="87">
        <f>'Output for sales-PM'!D48</f>
        <v>560.77808014853463</v>
      </c>
      <c r="E43" s="87">
        <f>'Output for sales-PM'!E48</f>
        <v>563.6343776135318</v>
      </c>
      <c r="F43" s="87">
        <f>'Output for sales-PM'!F48</f>
        <v>563.6343776135318</v>
      </c>
      <c r="G43" s="42">
        <f>'Output for sales-PM'!G48</f>
        <v>563.6343776135318</v>
      </c>
    </row>
    <row r="44" spans="2:7" ht="15" thickBot="1">
      <c r="B44" s="800" t="s">
        <v>916</v>
      </c>
      <c r="C44" s="38">
        <f>'Output for sales-PM'!C49</f>
        <v>0.58109722783105699</v>
      </c>
      <c r="D44" s="38">
        <f>'Output for sales-PM'!D49</f>
        <v>0.58414383348805687</v>
      </c>
      <c r="E44" s="38">
        <f>'Output for sales-PM'!E49</f>
        <v>0.58711914334742898</v>
      </c>
      <c r="F44" s="38">
        <f>'Output for sales-PM'!F49</f>
        <v>0.58711914334742898</v>
      </c>
      <c r="G44" s="40">
        <f>'Output for sales-PM'!G49</f>
        <v>0.58711914334742898</v>
      </c>
    </row>
    <row r="45" spans="2:7" ht="15" thickBot="1"/>
    <row r="46" spans="2:7">
      <c r="B46" s="1964" t="s">
        <v>1067</v>
      </c>
      <c r="C46" s="108">
        <f>'Output for sales-PM'!C51</f>
        <v>159.45284252838491</v>
      </c>
      <c r="D46" s="108">
        <f>'Output for sales-PM'!D51</f>
        <v>159.45284252838491</v>
      </c>
      <c r="E46" s="108">
        <f>'Output for sales-PM'!E51</f>
        <v>159.45284252838491</v>
      </c>
      <c r="F46" s="108">
        <f>'Output for sales-PM'!F51</f>
        <v>159.45284252838491</v>
      </c>
      <c r="G46" s="146">
        <f>'Output for sales-PM'!G51</f>
        <v>159.45284252838491</v>
      </c>
    </row>
    <row r="47" spans="2:7">
      <c r="B47" s="801" t="s">
        <v>1068</v>
      </c>
      <c r="C47" s="140">
        <f>'Output for sales-PM'!C52</f>
        <v>0.1711956845466511</v>
      </c>
      <c r="D47" s="140">
        <f>'Output for sales-PM'!D52</f>
        <v>0.1711956845466511</v>
      </c>
      <c r="E47" s="140">
        <f>'Output for sales-PM'!E52</f>
        <v>0.1711956845466511</v>
      </c>
      <c r="F47" s="140">
        <f>'Output for sales-PM'!F52</f>
        <v>0.1711956845466511</v>
      </c>
      <c r="G47" s="141">
        <f>'Output for sales-PM'!G52</f>
        <v>0.1711956845466511</v>
      </c>
    </row>
    <row r="48" spans="2:7">
      <c r="B48" s="801" t="s">
        <v>790</v>
      </c>
      <c r="C48" s="2">
        <f>'Output for sales-PM'!C53</f>
        <v>82.720840842190285</v>
      </c>
      <c r="D48" s="2">
        <f>'Output for sales-PM'!D53</f>
        <v>82.720840842190285</v>
      </c>
      <c r="E48" s="2">
        <f>'Output for sales-PM'!E53</f>
        <v>82.720840842190285</v>
      </c>
      <c r="F48" s="2">
        <f>'Output for sales-PM'!F53</f>
        <v>82.720840842190285</v>
      </c>
      <c r="G48" s="249">
        <f>'Output for sales-PM'!G53</f>
        <v>82.720840842190285</v>
      </c>
    </row>
    <row r="49" spans="2:7" ht="15" thickBot="1">
      <c r="B49" s="802" t="s">
        <v>1069</v>
      </c>
      <c r="C49" s="142">
        <f>'Output for sales-PM'!C54</f>
        <v>8.8812784706126496E-2</v>
      </c>
      <c r="D49" s="142">
        <f>'Output for sales-PM'!D54</f>
        <v>8.8812784706126496E-2</v>
      </c>
      <c r="E49" s="142">
        <f>'Output for sales-PM'!E54</f>
        <v>8.8812784706126496E-2</v>
      </c>
      <c r="F49" s="142">
        <f>'Output for sales-PM'!F54</f>
        <v>8.8812784706126496E-2</v>
      </c>
      <c r="G49" s="143">
        <f>'Output for sales-PM'!G54</f>
        <v>8.8812784706126496E-2</v>
      </c>
    </row>
    <row r="50" spans="2:7" ht="15" thickBot="1"/>
    <row r="51" spans="2:7">
      <c r="B51" s="799" t="s">
        <v>824</v>
      </c>
      <c r="C51" s="203">
        <f>'Output for sales-PM'!C56</f>
        <v>315.67965534723953</v>
      </c>
      <c r="D51" s="203">
        <f>'Output for sales-PM'!D56</f>
        <v>318.60439677795944</v>
      </c>
      <c r="E51" s="203">
        <f>'Output for sales-PM'!E56</f>
        <v>321.46069424295661</v>
      </c>
      <c r="F51" s="203">
        <f>'Output for sales-PM'!F56</f>
        <v>321.46069424295661</v>
      </c>
      <c r="G51" s="204">
        <f>'Output for sales-PM'!G56</f>
        <v>321.46069424295661</v>
      </c>
    </row>
    <row r="52" spans="2:7" ht="15" thickBot="1">
      <c r="B52" s="800" t="s">
        <v>921</v>
      </c>
      <c r="C52" s="194">
        <f>'Output for sales-PM'!C57</f>
        <v>0.32883297432004116</v>
      </c>
      <c r="D52" s="194">
        <f>'Output for sales-PM'!D57</f>
        <v>0.33187957997704109</v>
      </c>
      <c r="E52" s="194">
        <f>'Output for sales-PM'!E57</f>
        <v>0.33485488983641315</v>
      </c>
      <c r="F52" s="194">
        <f>'Output for sales-PM'!F57</f>
        <v>0.33485488983641315</v>
      </c>
      <c r="G52" s="195">
        <f>'Output for sales-PM'!G57</f>
        <v>0.33485488983641315</v>
      </c>
    </row>
    <row r="53" spans="2:7" ht="15" thickBot="1"/>
    <row r="54" spans="2:7">
      <c r="B54" s="117" t="s">
        <v>828</v>
      </c>
      <c r="C54" s="87">
        <f>'Output for sales-PM'!C59</f>
        <v>17.519263669384085</v>
      </c>
      <c r="D54" s="87">
        <f>'Output for sales-PM'!D59</f>
        <v>17.519263669384085</v>
      </c>
      <c r="E54" s="87">
        <f>'Output for sales-PM'!E59</f>
        <v>17.519263669384085</v>
      </c>
      <c r="F54" s="87">
        <f>'Output for sales-PM'!F59</f>
        <v>17.519263669384085</v>
      </c>
      <c r="G54" s="42">
        <f>'Output for sales-PM'!G59</f>
        <v>0</v>
      </c>
    </row>
    <row r="55" spans="2:7" ht="15" thickBot="1">
      <c r="B55" s="60" t="s">
        <v>831</v>
      </c>
      <c r="C55" s="37">
        <f>'Output for sales-PM'!C60</f>
        <v>9.0443198693195352</v>
      </c>
      <c r="D55" s="37">
        <f>'Output for sales-PM'!D60</f>
        <v>14.606935366839089</v>
      </c>
      <c r="E55" s="37">
        <f>'Output for sales-PM'!E60</f>
        <v>-5.1499548802758319</v>
      </c>
      <c r="F55" s="37">
        <f>'Output for sales-PM'!F60</f>
        <v>-26.348324270997889</v>
      </c>
      <c r="G55" s="32">
        <f>'Output for sales-PM'!G60</f>
        <v>-48.893433554236907</v>
      </c>
    </row>
    <row r="56" spans="2:7" ht="15" thickBot="1"/>
    <row r="57" spans="2:7">
      <c r="B57" s="799" t="s">
        <v>833</v>
      </c>
      <c r="C57" s="203">
        <f>'Output for sales-PM'!C62</f>
        <v>289.11607180853593</v>
      </c>
      <c r="D57" s="203">
        <f>'Output for sales-PM'!D62</f>
        <v>286.47819774173627</v>
      </c>
      <c r="E57" s="203">
        <f>'Output for sales-PM'!E62</f>
        <v>309.09138545384837</v>
      </c>
      <c r="F57" s="203">
        <f>'Output for sales-PM'!F62</f>
        <v>330.28975484457038</v>
      </c>
      <c r="G57" s="204">
        <f>'Output for sales-PM'!G62</f>
        <v>370.35412779719354</v>
      </c>
    </row>
    <row r="58" spans="2:7" ht="15" thickBot="1">
      <c r="B58" s="800" t="s">
        <v>1070</v>
      </c>
      <c r="C58" s="194">
        <f>'Output for sales-PM'!C63</f>
        <v>0.30116257480055825</v>
      </c>
      <c r="D58" s="194">
        <f>'Output for sales-PM'!D63</f>
        <v>0.29841478931430859</v>
      </c>
      <c r="E58" s="194">
        <f>'Output for sales-PM'!E63</f>
        <v>0.32197019318109205</v>
      </c>
      <c r="F58" s="194">
        <f>'Output for sales-PM'!F63</f>
        <v>0.34405182796309414</v>
      </c>
      <c r="G58" s="195">
        <f>'Output for sales-PM'!G63</f>
        <v>0.3857855497887433</v>
      </c>
    </row>
    <row r="59" spans="2:7" ht="15" thickBot="1"/>
    <row r="60" spans="2:7" ht="15" thickBot="1">
      <c r="B60" s="45" t="s">
        <v>836</v>
      </c>
      <c r="C60" s="82">
        <f>'Output for sales-PM'!C65</f>
        <v>72.279017952133984</v>
      </c>
      <c r="D60" s="82">
        <f>'Output for sales-PM'!D65</f>
        <v>71.619549435434067</v>
      </c>
      <c r="E60" s="82">
        <f>'Output for sales-PM'!E65</f>
        <v>77.272846363462094</v>
      </c>
      <c r="F60" s="82">
        <f>'Output for sales-PM'!F65</f>
        <v>82.572438711142595</v>
      </c>
      <c r="G60" s="83">
        <f>'Output for sales-PM'!G65</f>
        <v>92.588531949298385</v>
      </c>
    </row>
    <row r="61" spans="2:7" ht="15" thickBot="1"/>
    <row r="62" spans="2:7">
      <c r="B62" s="799" t="s">
        <v>837</v>
      </c>
      <c r="C62" s="203">
        <f>'Output for sales-PM'!C67+'Output for sales-PM'!B67</f>
        <v>196.47090984074296</v>
      </c>
      <c r="D62" s="203">
        <f>'Output for sales-PM'!D67</f>
        <v>214.8586483063022</v>
      </c>
      <c r="E62" s="203">
        <f>'Output for sales-PM'!E67</f>
        <v>231.81853909038628</v>
      </c>
      <c r="F62" s="203">
        <f>'Output for sales-PM'!F67</f>
        <v>247.7173161334278</v>
      </c>
      <c r="G62" s="204">
        <f>'Output for sales-PM'!G67</f>
        <v>277.76559584789516</v>
      </c>
    </row>
    <row r="63" spans="2:7" ht="15" thickBot="1">
      <c r="B63" s="800" t="s">
        <v>927</v>
      </c>
      <c r="C63" s="194">
        <f>'Output for sales-PM'!C68+'Output for sales-PM'!B68</f>
        <v>0.2258719311004187</v>
      </c>
      <c r="D63" s="194">
        <f>PriceCalAVO!D45</f>
        <v>0.1618119092251161</v>
      </c>
      <c r="E63" s="194">
        <f>PriceCalAVO!E45</f>
        <v>0.17563034711569425</v>
      </c>
      <c r="F63" s="194">
        <f>PriceCalAVO!F45</f>
        <v>0.18802963430121133</v>
      </c>
      <c r="G63" s="195">
        <f>PriceCalAVO!G45</f>
        <v>0.21532272397788618</v>
      </c>
    </row>
    <row r="65" spans="2:7" ht="15" thickBot="1">
      <c r="C65" s="2"/>
      <c r="D65" s="2"/>
      <c r="E65" s="2"/>
      <c r="F65" s="2"/>
      <c r="G65" s="2"/>
    </row>
    <row r="66" spans="2:7">
      <c r="B66" s="3" t="s">
        <v>824</v>
      </c>
      <c r="C66" s="108">
        <f>'Output for sales-PM'!C71+'Output for sales-PM'!B71</f>
        <v>315.67965534723953</v>
      </c>
      <c r="D66" s="108">
        <f>'Output for sales-PM'!D71</f>
        <v>318.60439677795944</v>
      </c>
      <c r="E66" s="108">
        <f>'Output for sales-PM'!E71</f>
        <v>321.46069424295661</v>
      </c>
      <c r="F66" s="108">
        <f>'Output for sales-PM'!F71</f>
        <v>321.46069424295661</v>
      </c>
      <c r="G66" s="146">
        <f>'Output for sales-PM'!G71</f>
        <v>321.46069424295661</v>
      </c>
    </row>
    <row r="67" spans="2:7">
      <c r="B67" s="6" t="s">
        <v>838</v>
      </c>
      <c r="C67" s="2">
        <f>'Output for sales-PM'!C72+'Output for sales-PM'!B72</f>
        <v>-65.490303280247645</v>
      </c>
      <c r="D67" s="2">
        <f>'Output for sales-PM'!D72</f>
        <v>-71.619549435434067</v>
      </c>
      <c r="E67" s="2">
        <f>'Output for sales-PM'!E72</f>
        <v>-77.272846363462094</v>
      </c>
      <c r="F67" s="2">
        <f>'Output for sales-PM'!F72</f>
        <v>-82.572438711142595</v>
      </c>
      <c r="G67" s="249">
        <f>'Output for sales-PM'!G72</f>
        <v>-92.588531949298385</v>
      </c>
    </row>
    <row r="68" spans="2:7">
      <c r="B68" s="6" t="s">
        <v>830</v>
      </c>
      <c r="C68" s="2">
        <f>'Output for sales-PM'!C73+'Output for sales-PM'!B73</f>
        <v>-87.596318346920427</v>
      </c>
      <c r="D68" s="2">
        <f>'Output for sales-PM'!D73</f>
        <v>0</v>
      </c>
      <c r="E68" s="2">
        <f>'Output for sales-PM'!E73</f>
        <v>0</v>
      </c>
      <c r="F68" s="2">
        <f>'Output for sales-PM'!F73</f>
        <v>0</v>
      </c>
      <c r="G68" s="249">
        <f>'Output for sales-PM'!G73</f>
        <v>0</v>
      </c>
    </row>
    <row r="69" spans="2:7">
      <c r="B69" s="6" t="s">
        <v>839</v>
      </c>
      <c r="C69" s="2">
        <f>'Output for sales-PM'!C74+'Output for sales-PM'!B74</f>
        <v>-289.98247250098154</v>
      </c>
      <c r="D69" s="2">
        <f>'Output for sales-PM'!D74</f>
        <v>5.6090931548055778E-2</v>
      </c>
      <c r="E69" s="2">
        <f>'Output for sales-PM'!E74</f>
        <v>5.4778307547906024E-2</v>
      </c>
      <c r="F69" s="2">
        <f>'Output for sales-PM'!F74</f>
        <v>0</v>
      </c>
      <c r="G69" s="249">
        <f>'Output for sales-PM'!G74</f>
        <v>0</v>
      </c>
    </row>
    <row r="70" spans="2:7">
      <c r="B70" s="6" t="s">
        <v>831</v>
      </c>
      <c r="C70" s="2">
        <f>'Output for sales-PM'!C75+'Output for sales-PM'!B75</f>
        <v>-18.679914887480784</v>
      </c>
      <c r="D70" s="2">
        <f>'Output for sales-PM'!D75</f>
        <v>-14.606935366839089</v>
      </c>
      <c r="E70" s="2">
        <f>'Output for sales-PM'!E75</f>
        <v>5.1499548802758319</v>
      </c>
      <c r="F70" s="2">
        <f>'Output for sales-PM'!F75</f>
        <v>26.348324270997889</v>
      </c>
      <c r="G70" s="249">
        <f>'Output for sales-PM'!G75</f>
        <v>48.893433554236907</v>
      </c>
    </row>
    <row r="71" spans="2:7">
      <c r="B71" s="6" t="s">
        <v>840</v>
      </c>
      <c r="C71" s="2">
        <f>'Output for sales-PM'!C76+'Output for sales-PM'!B76</f>
        <v>0</v>
      </c>
      <c r="D71" s="2">
        <f>'Output for sales-PM'!D76</f>
        <v>-34.86510043608515</v>
      </c>
      <c r="E71" s="2">
        <f>'Output for sales-PM'!E76</f>
        <v>-37.408887160097734</v>
      </c>
      <c r="F71" s="2">
        <f>'Output for sales-PM'!F76</f>
        <v>-39.785486970421779</v>
      </c>
      <c r="G71" s="249">
        <f>'Output for sales-PM'!G76</f>
        <v>-41.664839377184272</v>
      </c>
    </row>
    <row r="72" spans="2:7">
      <c r="B72" s="985" t="s">
        <v>841</v>
      </c>
      <c r="C72" s="1195">
        <f>'Output for sales-PM'!C77+'Output for sales-PM'!B77</f>
        <v>-146.06935366839087</v>
      </c>
      <c r="D72" s="1195">
        <f>'Output for sales-PM'!D77</f>
        <v>197.56890247114919</v>
      </c>
      <c r="E72" s="1195">
        <f>'Output for sales-PM'!E77</f>
        <v>211.98369390722053</v>
      </c>
      <c r="F72" s="1195">
        <f>'Output for sales-PM'!F77</f>
        <v>225.45109283239012</v>
      </c>
      <c r="G72" s="1950">
        <f>'Output for sales-PM'!G77</f>
        <v>236.10075647071088</v>
      </c>
    </row>
    <row r="73" spans="2:7" ht="15" thickBot="1">
      <c r="B73" s="89" t="s">
        <v>842</v>
      </c>
      <c r="C73" s="1973">
        <f>'Output for sales-PM'!C78</f>
        <v>-146.06935366839087</v>
      </c>
      <c r="D73" s="1973">
        <f>'Output for sales-PM'!D78</f>
        <v>51.499548802758312</v>
      </c>
      <c r="E73" s="1973">
        <f>'Output for sales-PM'!E78</f>
        <v>263.48324270997887</v>
      </c>
      <c r="F73" s="1973">
        <f>'Output for sales-PM'!F78</f>
        <v>488.93433554236901</v>
      </c>
      <c r="G73" s="1974">
        <f>'Output for sales-PM'!G78</f>
        <v>725.03509201307986</v>
      </c>
    </row>
    <row r="74" spans="2:7">
      <c r="B74" s="252"/>
      <c r="C74" s="1207"/>
      <c r="D74" s="1207"/>
      <c r="E74" s="1207"/>
      <c r="F74" s="1207"/>
      <c r="G74" s="916"/>
    </row>
    <row r="75" spans="2:7" ht="15" thickBot="1">
      <c r="B75" s="36" t="s">
        <v>853</v>
      </c>
      <c r="C75" s="1468">
        <f>PriceCalAVO!C77</f>
        <v>-0.30974009695983395</v>
      </c>
      <c r="D75" s="1468">
        <f>PriceCalAVO!D77</f>
        <v>-0.30967987523364227</v>
      </c>
      <c r="E75" s="1468">
        <f>PriceCalAVO!E77</f>
        <v>-0.30962106279913015</v>
      </c>
      <c r="F75" s="1468">
        <f>PriceCalAVO!F77</f>
        <v>-0.30962106279913015</v>
      </c>
      <c r="G75" s="1975">
        <f>PriceCalAVO!G77</f>
        <v>-0.30962106279913015</v>
      </c>
    </row>
  </sheetData>
  <phoneticPr fontId="12" type="noConversion"/>
  <hyperlinks>
    <hyperlink ref="K10" r:id="rId1" xr:uid="{60F26862-8983-43D9-8A14-B7B7B0A51954}"/>
  </hyperlinks>
  <pageMargins left="0.7" right="0.7" top="0.75" bottom="0.75" header="0.3" footer="0.3"/>
  <pageSetup paperSize="9" orientation="portrait"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7E8BB-3734-4C1D-84FF-4B548CDEAB3F}">
  <sheetPr codeName="Feuil10"/>
  <dimension ref="B2:BI14"/>
  <sheetViews>
    <sheetView workbookViewId="0">
      <selection activeCell="B3" sqref="B3:BI7"/>
    </sheetView>
  </sheetViews>
  <sheetFormatPr baseColWidth="10" defaultColWidth="11.44140625" defaultRowHeight="14.4"/>
  <cols>
    <col min="2" max="2" width="6.77734375" bestFit="1" customWidth="1"/>
    <col min="3" max="3" width="14.44140625" bestFit="1" customWidth="1"/>
    <col min="4" max="4" width="10.77734375" bestFit="1" customWidth="1"/>
    <col min="5" max="5" width="15.44140625" bestFit="1" customWidth="1"/>
    <col min="6" max="6" width="11" bestFit="1" customWidth="1"/>
    <col min="7" max="7" width="14.33203125" bestFit="1" customWidth="1"/>
    <col min="8" max="8" width="22.44140625" bestFit="1" customWidth="1"/>
    <col min="9" max="9" width="12.88671875" bestFit="1" customWidth="1"/>
    <col min="10" max="10" width="15" bestFit="1" customWidth="1"/>
    <col min="11" max="11" width="25.21875" bestFit="1" customWidth="1"/>
    <col min="12" max="12" width="12.77734375" bestFit="1" customWidth="1"/>
    <col min="13" max="13" width="17.21875" bestFit="1" customWidth="1"/>
    <col min="14" max="14" width="16.109375" bestFit="1" customWidth="1"/>
    <col min="15" max="15" width="11.21875" bestFit="1" customWidth="1"/>
    <col min="16" max="16" width="18.77734375" bestFit="1" customWidth="1"/>
    <col min="17" max="17" width="21.77734375" bestFit="1" customWidth="1"/>
    <col min="18" max="18" width="17.21875" bestFit="1" customWidth="1"/>
    <col min="19" max="19" width="10.77734375" bestFit="1" customWidth="1"/>
    <col min="20" max="20" width="12" bestFit="1" customWidth="1"/>
    <col min="21" max="21" width="7.77734375" bestFit="1" customWidth="1"/>
    <col min="22" max="22" width="7" bestFit="1" customWidth="1"/>
    <col min="23" max="23" width="13.33203125" bestFit="1" customWidth="1"/>
    <col min="24" max="24" width="28.44140625" bestFit="1" customWidth="1"/>
    <col min="25" max="25" width="28.21875" bestFit="1" customWidth="1"/>
    <col min="26" max="26" width="17.21875" bestFit="1" customWidth="1"/>
    <col min="27" max="27" width="12" bestFit="1" customWidth="1"/>
    <col min="28" max="28" width="43.33203125" bestFit="1" customWidth="1"/>
    <col min="29" max="29" width="13.77734375" bestFit="1" customWidth="1"/>
    <col min="30" max="30" width="14.88671875" bestFit="1" customWidth="1"/>
    <col min="31" max="31" width="14" bestFit="1" customWidth="1"/>
    <col min="32" max="32" width="5.44140625" bestFit="1" customWidth="1"/>
    <col min="33" max="33" width="8.6640625" bestFit="1" customWidth="1"/>
    <col min="34" max="34" width="7" bestFit="1" customWidth="1"/>
    <col min="35" max="35" width="10.21875" bestFit="1" customWidth="1"/>
    <col min="36" max="36" width="20.109375" bestFit="1" customWidth="1"/>
    <col min="37" max="37" width="23.44140625" bestFit="1" customWidth="1"/>
    <col min="38" max="38" width="8.6640625" bestFit="1" customWidth="1"/>
    <col min="39" max="39" width="11.77734375" bestFit="1" customWidth="1"/>
    <col min="40" max="40" width="14.109375" bestFit="1" customWidth="1"/>
    <col min="41" max="41" width="17.21875" bestFit="1" customWidth="1"/>
    <col min="42" max="42" width="6.77734375" bestFit="1" customWidth="1"/>
    <col min="43" max="43" width="10.109375" bestFit="1" customWidth="1"/>
    <col min="44" max="44" width="9.109375" bestFit="1" customWidth="1"/>
    <col min="45" max="45" width="12.6640625" bestFit="1" customWidth="1"/>
    <col min="46" max="46" width="13.77734375" bestFit="1" customWidth="1"/>
    <col min="47" max="47" width="14.33203125" bestFit="1" customWidth="1"/>
    <col min="48" max="48" width="18.33203125" bestFit="1" customWidth="1"/>
    <col min="49" max="49" width="21.77734375" bestFit="1" customWidth="1"/>
    <col min="50" max="50" width="7.88671875" bestFit="1" customWidth="1"/>
    <col min="51" max="51" width="11.21875" bestFit="1" customWidth="1"/>
    <col min="52" max="52" width="14.44140625" bestFit="1" customWidth="1"/>
    <col min="53" max="53" width="11.21875" bestFit="1" customWidth="1"/>
    <col min="54" max="54" width="14.21875" bestFit="1" customWidth="1"/>
    <col min="55" max="55" width="8.77734375" bestFit="1" customWidth="1"/>
    <col min="56" max="56" width="8.21875" bestFit="1" customWidth="1"/>
    <col min="57" max="58" width="16.44140625" bestFit="1" customWidth="1"/>
    <col min="59" max="59" width="7.21875" bestFit="1" customWidth="1"/>
    <col min="60" max="60" width="11.21875" bestFit="1" customWidth="1"/>
    <col min="61" max="61" width="11.6640625" bestFit="1" customWidth="1"/>
  </cols>
  <sheetData>
    <row r="2" spans="2:61">
      <c r="B2" t="s">
        <v>1034</v>
      </c>
      <c r="C2" t="s">
        <v>903</v>
      </c>
      <c r="D2" t="s">
        <v>904</v>
      </c>
      <c r="E2" t="s">
        <v>1071</v>
      </c>
      <c r="F2" t="s">
        <v>858</v>
      </c>
      <c r="G2" t="s">
        <v>859</v>
      </c>
      <c r="H2" t="s">
        <v>860</v>
      </c>
      <c r="I2" t="s">
        <v>905</v>
      </c>
      <c r="J2" t="s">
        <v>906</v>
      </c>
      <c r="K2" t="s">
        <v>861</v>
      </c>
      <c r="L2" t="s">
        <v>862</v>
      </c>
      <c r="M2" t="s">
        <v>863</v>
      </c>
      <c r="N2" t="s">
        <v>13</v>
      </c>
      <c r="O2" t="s">
        <v>149</v>
      </c>
      <c r="P2" t="s">
        <v>469</v>
      </c>
      <c r="Q2" t="s">
        <v>864</v>
      </c>
      <c r="R2" t="s">
        <v>865</v>
      </c>
      <c r="S2" t="s">
        <v>165</v>
      </c>
      <c r="T2" t="s">
        <v>756</v>
      </c>
      <c r="U2" t="s">
        <v>58</v>
      </c>
      <c r="V2" t="s">
        <v>760</v>
      </c>
      <c r="W2" t="s">
        <v>172</v>
      </c>
      <c r="X2" t="s">
        <v>870</v>
      </c>
      <c r="Y2" t="s">
        <v>768</v>
      </c>
      <c r="Z2" t="s">
        <v>1072</v>
      </c>
      <c r="AA2" t="s">
        <v>1064</v>
      </c>
      <c r="AB2" t="s">
        <v>1073</v>
      </c>
      <c r="AC2" t="s">
        <v>908</v>
      </c>
      <c r="AD2" t="s">
        <v>1074</v>
      </c>
      <c r="AE2" t="s">
        <v>1065</v>
      </c>
      <c r="AF2" t="s">
        <v>1066</v>
      </c>
      <c r="AG2" t="s">
        <v>911</v>
      </c>
      <c r="AH2" t="s">
        <v>778</v>
      </c>
      <c r="AI2" t="s">
        <v>912</v>
      </c>
      <c r="AJ2" t="s">
        <v>806</v>
      </c>
      <c r="AK2" t="s">
        <v>914</v>
      </c>
      <c r="AL2" t="s">
        <v>791</v>
      </c>
      <c r="AM2" t="s">
        <v>916</v>
      </c>
      <c r="AN2" t="s">
        <v>1067</v>
      </c>
      <c r="AO2" t="s">
        <v>1068</v>
      </c>
      <c r="AP2" t="s">
        <v>790</v>
      </c>
      <c r="AQ2" t="s">
        <v>1069</v>
      </c>
      <c r="AR2" t="s">
        <v>824</v>
      </c>
      <c r="AS2" t="s">
        <v>921</v>
      </c>
      <c r="AT2" t="s">
        <v>828</v>
      </c>
      <c r="AU2" t="s">
        <v>831</v>
      </c>
      <c r="AV2" t="s">
        <v>833</v>
      </c>
      <c r="AW2" t="s">
        <v>1070</v>
      </c>
      <c r="AX2" t="s">
        <v>836</v>
      </c>
      <c r="AY2" t="s">
        <v>837</v>
      </c>
      <c r="AZ2" t="s">
        <v>927</v>
      </c>
      <c r="BA2" t="s">
        <v>929</v>
      </c>
      <c r="BB2" t="s">
        <v>838</v>
      </c>
      <c r="BC2" t="s">
        <v>830</v>
      </c>
      <c r="BD2" t="s">
        <v>839</v>
      </c>
      <c r="BE2" t="s">
        <v>930</v>
      </c>
      <c r="BF2" t="s">
        <v>840</v>
      </c>
      <c r="BG2" t="s">
        <v>1075</v>
      </c>
      <c r="BH2" t="s">
        <v>1076</v>
      </c>
      <c r="BI2" t="s">
        <v>853</v>
      </c>
    </row>
    <row r="3" spans="2:61">
      <c r="B3">
        <v>1</v>
      </c>
      <c r="C3" t="s">
        <v>1077</v>
      </c>
      <c r="D3">
        <v>23048</v>
      </c>
      <c r="E3">
        <v>1</v>
      </c>
      <c r="F3">
        <v>3</v>
      </c>
      <c r="G3" t="s">
        <v>942</v>
      </c>
      <c r="H3" s="2">
        <v>54300000119832</v>
      </c>
      <c r="I3" t="s">
        <v>1077</v>
      </c>
      <c r="J3" t="s">
        <v>1077</v>
      </c>
      <c r="K3" t="s">
        <v>943</v>
      </c>
      <c r="N3">
        <v>1</v>
      </c>
      <c r="O3" t="s">
        <v>944</v>
      </c>
      <c r="P3" t="s">
        <v>505</v>
      </c>
      <c r="Q3" t="s">
        <v>945</v>
      </c>
      <c r="R3" t="s">
        <v>450</v>
      </c>
      <c r="S3" t="s">
        <v>1078</v>
      </c>
      <c r="T3">
        <v>0.59209597063889796</v>
      </c>
      <c r="U3">
        <v>2024</v>
      </c>
      <c r="V3">
        <v>3000</v>
      </c>
      <c r="W3">
        <v>0</v>
      </c>
      <c r="X3">
        <v>1.4446790643945306</v>
      </c>
      <c r="Y3">
        <v>0.11048128091444115</v>
      </c>
      <c r="Z3">
        <v>9.4618851214574914E-3</v>
      </c>
      <c r="AA3">
        <v>1.5646222304304291</v>
      </c>
      <c r="AB3">
        <v>0</v>
      </c>
      <c r="AC3" s="9">
        <v>4693.8666912912877</v>
      </c>
      <c r="AD3" s="9">
        <v>2278.8972159810169</v>
      </c>
      <c r="AE3" s="9">
        <v>0.48550531275401199</v>
      </c>
      <c r="AF3" s="9">
        <v>444.16375561852652</v>
      </c>
      <c r="AG3" s="887">
        <v>9.4626410341520903E-2</v>
      </c>
      <c r="AH3" s="9">
        <v>289.34285536624799</v>
      </c>
      <c r="AI3" s="887">
        <v>6.1642750933484501E-2</v>
      </c>
      <c r="AJ3" s="9">
        <v>504.25601677647262</v>
      </c>
      <c r="AK3" s="887">
        <v>0.107428704294487</v>
      </c>
      <c r="AL3" s="9">
        <v>1177.2068475490237</v>
      </c>
      <c r="AM3" s="887">
        <v>0.25079682167649597</v>
      </c>
      <c r="AN3" s="9">
        <v>179.67522015889071</v>
      </c>
      <c r="AO3" s="887">
        <v>3.8278722421377899E-2</v>
      </c>
      <c r="AP3" s="9">
        <v>144.44478483361803</v>
      </c>
      <c r="AQ3" s="887">
        <v>3.0773090574048902E-2</v>
      </c>
      <c r="AR3" s="9">
        <v>853.08684255651497</v>
      </c>
      <c r="AS3" s="887">
        <v>0.18174500868106899</v>
      </c>
      <c r="AT3" s="9">
        <v>13.015688606281298</v>
      </c>
      <c r="AU3" s="9">
        <v>6.6184776562940399</v>
      </c>
      <c r="AV3" s="9">
        <v>833.45267629393959</v>
      </c>
      <c r="AW3" s="887">
        <v>0.17756206793010901</v>
      </c>
      <c r="AX3" s="9">
        <v>250.03580288818188</v>
      </c>
      <c r="AY3" s="9">
        <v>569.29485126794259</v>
      </c>
      <c r="AZ3" s="887">
        <v>0.12429344755107601</v>
      </c>
      <c r="BA3" s="9">
        <v>853.08684255651497</v>
      </c>
      <c r="BB3" s="9">
        <v>-243.98350768626108</v>
      </c>
      <c r="BC3" s="9">
        <v>-65</v>
      </c>
      <c r="BD3" s="9">
        <v>-1216.9711675448111</v>
      </c>
      <c r="BE3" s="9">
        <v>-13.777106389748756</v>
      </c>
      <c r="BF3" s="9">
        <v>0</v>
      </c>
      <c r="BG3" s="9">
        <v>-686.72338209571262</v>
      </c>
      <c r="BH3" s="9">
        <v>-686.72338209571262</v>
      </c>
      <c r="BI3" s="887">
        <v>-0.25926837031880401</v>
      </c>
    </row>
    <row r="4" spans="2:61">
      <c r="B4">
        <v>2</v>
      </c>
      <c r="C4" t="s">
        <v>1077</v>
      </c>
      <c r="D4">
        <v>23048</v>
      </c>
      <c r="E4">
        <v>1</v>
      </c>
      <c r="F4">
        <v>3</v>
      </c>
      <c r="G4" t="s">
        <v>942</v>
      </c>
      <c r="H4" s="2">
        <v>54300000119832</v>
      </c>
      <c r="I4" t="s">
        <v>1077</v>
      </c>
      <c r="J4" t="s">
        <v>1077</v>
      </c>
      <c r="K4" t="s">
        <v>943</v>
      </c>
      <c r="N4">
        <v>1</v>
      </c>
      <c r="O4" t="s">
        <v>944</v>
      </c>
      <c r="P4" t="s">
        <v>505</v>
      </c>
      <c r="Q4" t="s">
        <v>945</v>
      </c>
      <c r="R4" t="s">
        <v>450</v>
      </c>
      <c r="S4" t="s">
        <v>1078</v>
      </c>
      <c r="T4">
        <v>0.59209597063889796</v>
      </c>
      <c r="U4">
        <v>2025</v>
      </c>
      <c r="V4">
        <v>3000</v>
      </c>
      <c r="W4">
        <v>0.04</v>
      </c>
      <c r="X4">
        <v>1.3868919018187493</v>
      </c>
      <c r="Y4">
        <v>0.11048128091444115</v>
      </c>
      <c r="Z4">
        <v>9.4618851214574914E-3</v>
      </c>
      <c r="AA4">
        <v>1.5068350678546478</v>
      </c>
      <c r="AB4">
        <v>0</v>
      </c>
      <c r="AC4" s="9">
        <v>4520.5052035639437</v>
      </c>
      <c r="AD4" s="9">
        <v>2247.5463872517353</v>
      </c>
      <c r="AE4" s="9">
        <v>0.497189204755208</v>
      </c>
      <c r="AF4" s="9">
        <v>444.16375561852652</v>
      </c>
      <c r="AG4" s="887">
        <v>9.8255335547086597E-2</v>
      </c>
      <c r="AH4" s="9">
        <v>289.34285536624799</v>
      </c>
      <c r="AI4" s="887">
        <v>6.4006751975007506E-2</v>
      </c>
      <c r="AJ4" s="9">
        <v>504.25601677647262</v>
      </c>
      <c r="AK4" s="887">
        <v>0.111548597793654</v>
      </c>
      <c r="AL4" s="9">
        <v>1035.1961885509613</v>
      </c>
      <c r="AM4" s="887">
        <v>0.22900010992904499</v>
      </c>
      <c r="AN4" s="9">
        <v>179.67522015889071</v>
      </c>
      <c r="AO4" s="887">
        <v>3.8998907838571399E-2</v>
      </c>
      <c r="AP4" s="9">
        <v>144.44478483361803</v>
      </c>
      <c r="AQ4" s="887">
        <v>3.1352063164341699E-2</v>
      </c>
      <c r="AR4" s="9">
        <v>711.07618355845261</v>
      </c>
      <c r="AS4" s="887">
        <v>0.15730015817653401</v>
      </c>
      <c r="AT4" s="9">
        <v>13.015688606281298</v>
      </c>
      <c r="AU4" s="9">
        <v>68.672338209571265</v>
      </c>
      <c r="AV4" s="9">
        <v>629.38815674260002</v>
      </c>
      <c r="AW4" s="887">
        <v>0.139229605630449</v>
      </c>
      <c r="AX4" s="9">
        <v>188.81644702278001</v>
      </c>
      <c r="AY4" s="9">
        <v>440.57170971981998</v>
      </c>
      <c r="AZ4" s="887">
        <v>0.108797047947296</v>
      </c>
      <c r="BA4" s="9">
        <v>711.07618355845261</v>
      </c>
      <c r="BB4" s="9">
        <v>-188.81644702278001</v>
      </c>
      <c r="BC4" s="9">
        <v>0</v>
      </c>
      <c r="BD4" s="9">
        <v>30.52391651487028</v>
      </c>
      <c r="BE4" s="9">
        <v>-68.672338209571265</v>
      </c>
      <c r="BF4" s="9">
        <v>-24.205565742048581</v>
      </c>
      <c r="BG4" s="9">
        <v>459.90574909892302</v>
      </c>
      <c r="BH4" s="9">
        <v>-226.8176329967896</v>
      </c>
      <c r="BI4" s="887">
        <v>-0.25922204005418897</v>
      </c>
    </row>
    <row r="5" spans="2:61">
      <c r="B5">
        <v>3</v>
      </c>
      <c r="C5" t="s">
        <v>1077</v>
      </c>
      <c r="D5">
        <v>23048</v>
      </c>
      <c r="E5">
        <v>1</v>
      </c>
      <c r="F5">
        <v>3</v>
      </c>
      <c r="G5" t="s">
        <v>942</v>
      </c>
      <c r="H5" s="2">
        <v>54300000119832</v>
      </c>
      <c r="I5" t="s">
        <v>1077</v>
      </c>
      <c r="J5" t="s">
        <v>1077</v>
      </c>
      <c r="K5" t="s">
        <v>943</v>
      </c>
      <c r="N5">
        <v>1</v>
      </c>
      <c r="O5" t="s">
        <v>944</v>
      </c>
      <c r="P5" t="s">
        <v>505</v>
      </c>
      <c r="Q5" t="s">
        <v>945</v>
      </c>
      <c r="R5" t="s">
        <v>450</v>
      </c>
      <c r="S5" t="s">
        <v>1078</v>
      </c>
      <c r="T5">
        <v>0.59209597063889796</v>
      </c>
      <c r="U5">
        <v>2026</v>
      </c>
      <c r="V5">
        <v>3000</v>
      </c>
      <c r="W5">
        <v>0.04</v>
      </c>
      <c r="X5">
        <v>1.3314162257459994</v>
      </c>
      <c r="Y5">
        <v>0.11048128091444115</v>
      </c>
      <c r="Z5">
        <v>9.4618851214574914E-3</v>
      </c>
      <c r="AA5">
        <v>1.4513593917818979</v>
      </c>
      <c r="AB5">
        <v>0</v>
      </c>
      <c r="AC5" s="9">
        <v>4354.078175345694</v>
      </c>
      <c r="AD5" s="9">
        <v>2217.1360833843319</v>
      </c>
      <c r="AE5" s="9">
        <v>0.50920906655707898</v>
      </c>
      <c r="AF5" s="9">
        <v>444.16375561852652</v>
      </c>
      <c r="AG5" s="887">
        <v>0.10201097401822901</v>
      </c>
      <c r="AH5" s="9">
        <v>289.34285536624799</v>
      </c>
      <c r="AI5" s="887">
        <v>6.6453298198596397E-2</v>
      </c>
      <c r="AJ5" s="9">
        <v>504.25601677647262</v>
      </c>
      <c r="AK5" s="887">
        <v>0.11581234798027901</v>
      </c>
      <c r="AL5" s="9">
        <v>899.17946420011515</v>
      </c>
      <c r="AM5" s="887">
        <v>0.20651431324581701</v>
      </c>
      <c r="AN5" s="9">
        <v>179.67522015889071</v>
      </c>
      <c r="AO5" s="887">
        <v>3.9731475353799103E-2</v>
      </c>
      <c r="AP5" s="9">
        <v>144.44478483361803</v>
      </c>
      <c r="AQ5" s="887">
        <v>3.1940989990309102E-2</v>
      </c>
      <c r="AR5" s="9">
        <v>575.05945920760632</v>
      </c>
      <c r="AS5" s="887">
        <v>0.13207375615435499</v>
      </c>
      <c r="AT5" s="9">
        <v>13.015688606281298</v>
      </c>
      <c r="AU5" s="9">
        <v>22.681763299678963</v>
      </c>
      <c r="AV5" s="9">
        <v>539.36200730164603</v>
      </c>
      <c r="AW5" s="887">
        <v>0.12387513167671201</v>
      </c>
      <c r="AX5" s="9">
        <v>161.80860219049381</v>
      </c>
      <c r="AY5" s="9">
        <v>377.55340511115219</v>
      </c>
      <c r="AZ5" s="887">
        <v>0.110294858542413</v>
      </c>
      <c r="BA5" s="9">
        <v>575.05945920760632</v>
      </c>
      <c r="BB5" s="9">
        <v>-161.80860219049381</v>
      </c>
      <c r="BC5" s="9">
        <v>0</v>
      </c>
      <c r="BD5" s="9">
        <v>29.593950130021767</v>
      </c>
      <c r="BE5" s="9">
        <v>-22.681763299678963</v>
      </c>
      <c r="BF5" s="9">
        <v>-21.008152192372766</v>
      </c>
      <c r="BG5" s="9">
        <v>399.15489165508251</v>
      </c>
      <c r="BH5" s="9">
        <v>172.33725865829291</v>
      </c>
      <c r="BI5" s="887">
        <v>-0.25917624277439599</v>
      </c>
    </row>
    <row r="6" spans="2:61">
      <c r="B6">
        <v>4</v>
      </c>
      <c r="C6" t="s">
        <v>1077</v>
      </c>
      <c r="D6">
        <v>23048</v>
      </c>
      <c r="E6">
        <v>1</v>
      </c>
      <c r="F6">
        <v>3</v>
      </c>
      <c r="G6" t="s">
        <v>942</v>
      </c>
      <c r="H6" s="2">
        <v>54300000119832</v>
      </c>
      <c r="I6" t="s">
        <v>1077</v>
      </c>
      <c r="J6" t="s">
        <v>1077</v>
      </c>
      <c r="K6" t="s">
        <v>943</v>
      </c>
      <c r="N6">
        <v>1</v>
      </c>
      <c r="O6" t="s">
        <v>944</v>
      </c>
      <c r="P6" t="s">
        <v>505</v>
      </c>
      <c r="Q6" t="s">
        <v>945</v>
      </c>
      <c r="R6" t="s">
        <v>450</v>
      </c>
      <c r="S6" t="s">
        <v>1078</v>
      </c>
      <c r="T6">
        <v>0.59209597063889796</v>
      </c>
      <c r="U6">
        <v>2027</v>
      </c>
      <c r="V6">
        <v>3000</v>
      </c>
      <c r="W6">
        <v>0.04</v>
      </c>
      <c r="X6">
        <v>1.2781595767161593</v>
      </c>
      <c r="Y6">
        <v>0.11048128091444115</v>
      </c>
      <c r="Z6">
        <v>9.4618851214574914E-3</v>
      </c>
      <c r="AA6">
        <v>1.3981027427520578</v>
      </c>
      <c r="AB6">
        <v>0</v>
      </c>
      <c r="AC6" s="9">
        <v>4194.3082282561736</v>
      </c>
      <c r="AD6" s="9">
        <v>2217.1360833843319</v>
      </c>
      <c r="AE6" s="9">
        <v>0.52860590179042</v>
      </c>
      <c r="AF6" s="9">
        <v>444.16375561852652</v>
      </c>
      <c r="AG6" s="887">
        <v>0.105896784748982</v>
      </c>
      <c r="AH6" s="9">
        <v>289.34285536624799</v>
      </c>
      <c r="AI6" s="887">
        <v>6.8984642906548002E-2</v>
      </c>
      <c r="AJ6" s="9">
        <v>504.25601677647262</v>
      </c>
      <c r="AK6" s="887">
        <v>0.120223881826187</v>
      </c>
      <c r="AL6" s="9">
        <v>739.40951711059472</v>
      </c>
      <c r="AM6" s="887">
        <v>0.17628878872786399</v>
      </c>
      <c r="AN6" s="9">
        <v>179.67522015889071</v>
      </c>
      <c r="AO6" s="887">
        <v>4.0476593679257003E-2</v>
      </c>
      <c r="AP6" s="9">
        <v>144.44478483361803</v>
      </c>
      <c r="AQ6" s="887">
        <v>3.2540006683324303E-2</v>
      </c>
      <c r="AR6" s="9">
        <v>415.28951211808595</v>
      </c>
      <c r="AS6" s="887">
        <v>9.9012635580849204E-2</v>
      </c>
      <c r="AT6" s="9">
        <v>13.015688606281298</v>
      </c>
      <c r="AU6" s="9">
        <v>-17.233725865829292</v>
      </c>
      <c r="AV6" s="9">
        <v>419.50754937763395</v>
      </c>
      <c r="AW6" s="887">
        <v>0.10001829301707001</v>
      </c>
      <c r="AX6" s="9">
        <v>125.85226481329018</v>
      </c>
      <c r="AY6" s="9">
        <v>293.65528456434379</v>
      </c>
      <c r="AZ6" s="887">
        <v>0.10723574483926</v>
      </c>
      <c r="BA6" s="9">
        <v>415.28951211808595</v>
      </c>
      <c r="BB6" s="9">
        <v>-125.85226481329018</v>
      </c>
      <c r="BC6" s="9">
        <v>0</v>
      </c>
      <c r="BD6" s="9">
        <v>28.129587502340883</v>
      </c>
      <c r="BE6" s="9">
        <v>17.233725865829292</v>
      </c>
      <c r="BF6" s="9">
        <v>-16.740028033648297</v>
      </c>
      <c r="BG6" s="9">
        <v>318.06053263931767</v>
      </c>
      <c r="BH6" s="9">
        <v>490.39779129761058</v>
      </c>
      <c r="BI6" s="887">
        <v>-0.25925841695743101</v>
      </c>
    </row>
    <row r="7" spans="2:61">
      <c r="B7">
        <v>5</v>
      </c>
      <c r="C7" t="s">
        <v>1077</v>
      </c>
      <c r="D7">
        <v>23048</v>
      </c>
      <c r="E7">
        <v>1</v>
      </c>
      <c r="F7">
        <v>3</v>
      </c>
      <c r="G7" t="s">
        <v>942</v>
      </c>
      <c r="H7" s="2">
        <v>54300000119832</v>
      </c>
      <c r="I7" t="s">
        <v>1077</v>
      </c>
      <c r="J7" t="s">
        <v>1077</v>
      </c>
      <c r="K7" t="s">
        <v>943</v>
      </c>
      <c r="N7">
        <v>1</v>
      </c>
      <c r="O7" t="s">
        <v>944</v>
      </c>
      <c r="P7" t="s">
        <v>505</v>
      </c>
      <c r="Q7" t="s">
        <v>945</v>
      </c>
      <c r="R7" t="s">
        <v>450</v>
      </c>
      <c r="S7" t="s">
        <v>1078</v>
      </c>
      <c r="T7">
        <v>0.59209597063889796</v>
      </c>
      <c r="U7">
        <v>2028</v>
      </c>
      <c r="V7">
        <v>3000</v>
      </c>
      <c r="W7">
        <v>0</v>
      </c>
      <c r="X7">
        <v>1.2781595767161593</v>
      </c>
      <c r="Y7">
        <v>0.11048128091444115</v>
      </c>
      <c r="Z7">
        <v>9.4618851214574914E-3</v>
      </c>
      <c r="AA7">
        <v>1.3981027427520578</v>
      </c>
      <c r="AB7">
        <v>0</v>
      </c>
      <c r="AC7" s="9">
        <v>4194.3082282561736</v>
      </c>
      <c r="AD7" s="9">
        <v>2217.1360833843319</v>
      </c>
      <c r="AE7" s="9">
        <v>0.52860590179042</v>
      </c>
      <c r="AF7" s="9">
        <v>444.16375561852652</v>
      </c>
      <c r="AG7" s="887">
        <v>0.105896784748982</v>
      </c>
      <c r="AH7" s="9">
        <v>289.34285536624799</v>
      </c>
      <c r="AI7" s="887">
        <v>6.8984642906548002E-2</v>
      </c>
      <c r="AJ7" s="9">
        <v>504.25601677647262</v>
      </c>
      <c r="AK7" s="887">
        <v>0.120223881826187</v>
      </c>
      <c r="AL7" s="9">
        <v>739.40951711059472</v>
      </c>
      <c r="AM7" s="887">
        <v>0.17628878872786399</v>
      </c>
      <c r="AN7" s="9">
        <v>179.67522015889071</v>
      </c>
      <c r="AO7" s="887">
        <v>4.0476593679257003E-2</v>
      </c>
      <c r="AP7" s="9">
        <v>144.44478483361803</v>
      </c>
      <c r="AQ7" s="887">
        <v>3.2540006683324303E-2</v>
      </c>
      <c r="AR7" s="9">
        <v>415.28951211808595</v>
      </c>
      <c r="AS7" s="887">
        <v>9.9012635580849204E-2</v>
      </c>
      <c r="AT7" s="9">
        <v>0</v>
      </c>
      <c r="AU7" s="9">
        <v>-49.039779129761058</v>
      </c>
      <c r="AV7" s="9">
        <v>464.32929124784698</v>
      </c>
      <c r="AW7" s="887">
        <v>0.110704618253794</v>
      </c>
      <c r="AX7" s="9">
        <v>139.29878737435408</v>
      </c>
      <c r="AY7" s="9">
        <v>325.03050387349288</v>
      </c>
      <c r="AZ7" s="887">
        <v>0.116932160198086</v>
      </c>
      <c r="BA7" s="9">
        <v>415.28951211808595</v>
      </c>
      <c r="BB7" s="9">
        <v>-139.29878737435408</v>
      </c>
      <c r="BC7" s="9">
        <v>0</v>
      </c>
      <c r="BD7" s="9">
        <v>0</v>
      </c>
      <c r="BE7" s="9">
        <v>49.039779129761058</v>
      </c>
      <c r="BF7" s="9">
        <v>-16.251525193674649</v>
      </c>
      <c r="BG7" s="9">
        <v>308.77897867981835</v>
      </c>
      <c r="BH7" s="9">
        <v>799.17676997742888</v>
      </c>
      <c r="BI7" s="887">
        <v>-0.25925841695743101</v>
      </c>
    </row>
    <row r="14" spans="2:61">
      <c r="G14" s="1179"/>
    </row>
  </sheetData>
  <phoneticPr fontId="67"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631CB-6CE8-496C-A691-6AC0AD23ACE9}">
  <sheetPr codeName="Feuil6"/>
  <dimension ref="B1:U48"/>
  <sheetViews>
    <sheetView zoomScale="80" zoomScaleNormal="80" workbookViewId="0">
      <selection activeCell="C13" sqref="C13"/>
    </sheetView>
  </sheetViews>
  <sheetFormatPr baseColWidth="10" defaultColWidth="8.88671875" defaultRowHeight="14.4"/>
  <cols>
    <col min="2" max="2" width="19.109375" bestFit="1" customWidth="1"/>
    <col min="3" max="3" width="11" bestFit="1" customWidth="1"/>
    <col min="4" max="4" width="11.88671875" bestFit="1" customWidth="1"/>
    <col min="5" max="5" width="11" bestFit="1" customWidth="1"/>
    <col min="6" max="6" width="18.21875" bestFit="1" customWidth="1"/>
    <col min="11" max="11" width="13.77734375" customWidth="1"/>
    <col min="12" max="12" width="13.109375" customWidth="1"/>
    <col min="13" max="13" width="12.44140625" bestFit="1" customWidth="1"/>
    <col min="14" max="14" width="12.77734375" customWidth="1"/>
    <col min="15" max="15" width="18.21875" bestFit="1" customWidth="1"/>
    <col min="16" max="16" width="17.109375" bestFit="1" customWidth="1"/>
    <col min="17" max="17" width="11.44140625" bestFit="1" customWidth="1"/>
    <col min="18" max="18" width="11.77734375" bestFit="1" customWidth="1"/>
  </cols>
  <sheetData>
    <row r="1" spans="2:21" ht="15" thickBot="1"/>
    <row r="2" spans="2:21" ht="15" thickBot="1">
      <c r="B2" s="2539" t="s">
        <v>1079</v>
      </c>
      <c r="C2" s="2540"/>
      <c r="D2" s="2540"/>
      <c r="E2" s="2540"/>
      <c r="F2" s="2540"/>
      <c r="G2" s="2540"/>
      <c r="H2" s="2540"/>
      <c r="I2" s="2541"/>
      <c r="K2" s="2542" t="s">
        <v>1080</v>
      </c>
      <c r="L2" s="2543"/>
      <c r="M2" s="2543"/>
      <c r="N2" s="2543"/>
      <c r="O2" s="2543"/>
      <c r="P2" s="2543"/>
      <c r="Q2" s="2543"/>
      <c r="R2" s="2543"/>
      <c r="S2" s="2543"/>
      <c r="T2" s="2543"/>
      <c r="U2" s="2544"/>
    </row>
    <row r="3" spans="2:21">
      <c r="B3" s="1927"/>
      <c r="I3" s="1928"/>
      <c r="K3" s="1929" t="s">
        <v>1081</v>
      </c>
      <c r="L3" s="1930" t="s">
        <v>862</v>
      </c>
      <c r="M3" s="1930" t="s">
        <v>1082</v>
      </c>
      <c r="N3" s="1930" t="s">
        <v>1083</v>
      </c>
      <c r="O3" s="1930" t="s">
        <v>1084</v>
      </c>
      <c r="P3" s="1930" t="s">
        <v>1085</v>
      </c>
      <c r="Q3" s="1930" t="s">
        <v>1086</v>
      </c>
      <c r="R3" s="1930" t="s">
        <v>1087</v>
      </c>
      <c r="S3" s="1930" t="s">
        <v>1088</v>
      </c>
      <c r="T3" s="1930" t="s">
        <v>1089</v>
      </c>
      <c r="U3" s="1931" t="s">
        <v>1090</v>
      </c>
    </row>
    <row r="4" spans="2:21">
      <c r="B4" s="1927" t="s">
        <v>903</v>
      </c>
      <c r="F4" t="s">
        <v>905</v>
      </c>
      <c r="I4" s="1928"/>
      <c r="K4" s="1927" t="s">
        <v>1091</v>
      </c>
      <c r="L4" t="s">
        <v>1092</v>
      </c>
      <c r="M4">
        <v>434</v>
      </c>
      <c r="N4">
        <v>43</v>
      </c>
      <c r="O4" s="1416">
        <v>44957</v>
      </c>
      <c r="P4" s="1416">
        <v>44957</v>
      </c>
      <c r="R4" s="1416">
        <v>44957</v>
      </c>
      <c r="S4" s="1416">
        <v>44957</v>
      </c>
      <c r="T4" s="1416">
        <v>44957</v>
      </c>
      <c r="U4" s="1932">
        <v>44957</v>
      </c>
    </row>
    <row r="5" spans="2:21">
      <c r="B5" s="1927" t="s">
        <v>904</v>
      </c>
      <c r="F5" t="s">
        <v>906</v>
      </c>
      <c r="I5" s="1928"/>
      <c r="K5" s="1927"/>
      <c r="U5" s="1928"/>
    </row>
    <row r="6" spans="2:21" ht="15" thickBot="1">
      <c r="B6" s="1933"/>
      <c r="C6" s="1934"/>
      <c r="D6" s="1934"/>
      <c r="E6" s="1934"/>
      <c r="F6" s="1934"/>
      <c r="G6" s="1934"/>
      <c r="H6" s="1934"/>
      <c r="I6" s="1935"/>
      <c r="K6" s="1927"/>
      <c r="U6" s="1928"/>
    </row>
    <row r="7" spans="2:21" ht="15" thickBot="1">
      <c r="K7" s="1927"/>
      <c r="U7" s="1928"/>
    </row>
    <row r="8" spans="2:21" ht="15" thickBot="1">
      <c r="B8" s="2539" t="s">
        <v>1093</v>
      </c>
      <c r="C8" s="2540"/>
      <c r="D8" s="2540"/>
      <c r="E8" s="2540"/>
      <c r="F8" s="2540"/>
      <c r="G8" s="2540"/>
      <c r="H8" s="2540"/>
      <c r="I8" s="2541"/>
      <c r="K8" s="1927"/>
      <c r="U8" s="1928"/>
    </row>
    <row r="9" spans="2:21">
      <c r="B9" s="1927"/>
      <c r="I9" s="1928"/>
      <c r="K9" s="1927"/>
      <c r="U9" s="1928"/>
    </row>
    <row r="10" spans="2:21" ht="15" thickBot="1">
      <c r="B10" s="1927" t="s">
        <v>1094</v>
      </c>
      <c r="I10" s="1928"/>
      <c r="K10" s="1933"/>
      <c r="L10" s="1934"/>
      <c r="M10" s="1934"/>
      <c r="N10" s="1934"/>
      <c r="O10" s="1934"/>
      <c r="P10" s="1934"/>
      <c r="Q10" s="1934"/>
      <c r="R10" s="1934"/>
      <c r="S10" s="1934"/>
      <c r="T10" s="1934"/>
      <c r="U10" s="1935"/>
    </row>
    <row r="11" spans="2:21" ht="15" thickBot="1">
      <c r="B11" s="1927" t="s">
        <v>149</v>
      </c>
      <c r="F11" t="s">
        <v>1095</v>
      </c>
      <c r="I11" s="1928"/>
    </row>
    <row r="12" spans="2:21">
      <c r="B12" s="1927" t="s">
        <v>1096</v>
      </c>
      <c r="F12" t="s">
        <v>1097</v>
      </c>
      <c r="H12" t="s">
        <v>92</v>
      </c>
      <c r="I12" s="1928"/>
      <c r="K12" s="2542" t="s">
        <v>540</v>
      </c>
      <c r="L12" s="2543"/>
      <c r="M12" s="2543"/>
      <c r="N12" s="2543"/>
      <c r="O12" s="2543"/>
      <c r="P12" s="2543"/>
      <c r="Q12" s="2543"/>
      <c r="R12" s="2543"/>
      <c r="S12" s="2543"/>
      <c r="T12" s="2543"/>
      <c r="U12" s="2544"/>
    </row>
    <row r="13" spans="2:21">
      <c r="B13" s="1927" t="s">
        <v>862</v>
      </c>
      <c r="F13" t="s">
        <v>1098</v>
      </c>
      <c r="I13" s="1928"/>
      <c r="K13" s="1936" t="s">
        <v>1082</v>
      </c>
      <c r="L13" s="1937" t="s">
        <v>1099</v>
      </c>
      <c r="M13" s="1937" t="s">
        <v>1100</v>
      </c>
      <c r="N13" s="1937" t="s">
        <v>1101</v>
      </c>
      <c r="O13" s="1937">
        <v>2022</v>
      </c>
      <c r="P13" s="1937">
        <v>2023</v>
      </c>
      <c r="Q13" s="1937">
        <v>2024</v>
      </c>
      <c r="R13" s="1937">
        <v>2025</v>
      </c>
      <c r="S13" s="1937">
        <v>2026</v>
      </c>
      <c r="T13" s="1937">
        <v>2027</v>
      </c>
      <c r="U13" s="1938"/>
    </row>
    <row r="14" spans="2:21">
      <c r="B14" s="1927" t="s">
        <v>1102</v>
      </c>
      <c r="F14" t="s">
        <v>1103</v>
      </c>
      <c r="I14" s="1928"/>
      <c r="K14" s="1927">
        <v>434</v>
      </c>
      <c r="L14">
        <v>2</v>
      </c>
      <c r="M14">
        <v>32</v>
      </c>
      <c r="N14">
        <v>342</v>
      </c>
      <c r="O14">
        <v>234</v>
      </c>
      <c r="P14">
        <v>23</v>
      </c>
      <c r="Q14">
        <v>23</v>
      </c>
      <c r="R14">
        <v>23</v>
      </c>
      <c r="S14">
        <v>23</v>
      </c>
      <c r="T14">
        <v>23</v>
      </c>
      <c r="U14" s="1928"/>
    </row>
    <row r="15" spans="2:21">
      <c r="B15" s="1927" t="s">
        <v>1104</v>
      </c>
      <c r="F15" t="s">
        <v>1105</v>
      </c>
      <c r="I15" s="1928"/>
      <c r="K15" s="1927"/>
      <c r="U15" s="1928"/>
    </row>
    <row r="16" spans="2:21">
      <c r="B16" s="1927" t="s">
        <v>1106</v>
      </c>
      <c r="I16" s="1928"/>
      <c r="K16" s="1927"/>
      <c r="U16" s="1928"/>
    </row>
    <row r="17" spans="2:21">
      <c r="B17" s="1927" t="s">
        <v>1107</v>
      </c>
      <c r="I17" s="1928"/>
      <c r="K17" s="1927"/>
      <c r="U17" s="1928"/>
    </row>
    <row r="18" spans="2:21" ht="15" thickBot="1">
      <c r="B18" s="1933"/>
      <c r="C18" s="1934"/>
      <c r="D18" s="1934"/>
      <c r="E18" s="1934"/>
      <c r="F18" s="1934"/>
      <c r="G18" s="1934"/>
      <c r="H18" s="1934"/>
      <c r="I18" s="1935"/>
      <c r="K18" s="1927"/>
      <c r="U18" s="1928"/>
    </row>
    <row r="19" spans="2:21" ht="15" thickBot="1">
      <c r="K19" s="1927"/>
      <c r="U19" s="1928"/>
    </row>
    <row r="20" spans="2:21" ht="15" thickBot="1">
      <c r="B20" s="2539" t="s">
        <v>1108</v>
      </c>
      <c r="C20" s="2540"/>
      <c r="D20" s="2540"/>
      <c r="E20" s="2540"/>
      <c r="F20" s="2540"/>
      <c r="G20" s="2540"/>
      <c r="H20" s="2540"/>
      <c r="I20" s="2541"/>
      <c r="K20" s="1927"/>
      <c r="U20" s="1928"/>
    </row>
    <row r="21" spans="2:21">
      <c r="B21" s="1927"/>
      <c r="I21" s="1928"/>
      <c r="K21" s="1927"/>
      <c r="U21" s="1928"/>
    </row>
    <row r="22" spans="2:21">
      <c r="B22" s="1927" t="s">
        <v>1109</v>
      </c>
      <c r="I22" s="1928"/>
      <c r="K22" s="1927"/>
      <c r="U22" s="1928"/>
    </row>
    <row r="23" spans="2:21" ht="15" thickBot="1">
      <c r="B23" s="1927" t="s">
        <v>1110</v>
      </c>
      <c r="F23" t="s">
        <v>1111</v>
      </c>
      <c r="I23" s="1928"/>
      <c r="K23" s="1933"/>
      <c r="L23" s="1934"/>
      <c r="M23" s="1934"/>
      <c r="N23" s="1934"/>
      <c r="O23" s="1934"/>
      <c r="P23" s="1934"/>
      <c r="Q23" s="1934"/>
      <c r="R23" s="1934"/>
      <c r="S23" s="1934"/>
      <c r="T23" s="1934"/>
      <c r="U23" s="1935"/>
    </row>
    <row r="24" spans="2:21">
      <c r="B24" s="1927" t="s">
        <v>1112</v>
      </c>
      <c r="I24" s="1928"/>
    </row>
    <row r="25" spans="2:21">
      <c r="B25" s="1927" t="s">
        <v>1113</v>
      </c>
      <c r="I25" s="1928"/>
    </row>
    <row r="26" spans="2:21">
      <c r="B26" s="1927" t="s">
        <v>172</v>
      </c>
      <c r="C26" t="s">
        <v>1114</v>
      </c>
      <c r="E26" t="s">
        <v>1115</v>
      </c>
      <c r="G26" t="s">
        <v>1116</v>
      </c>
      <c r="I26" s="1928"/>
    </row>
    <row r="27" spans="2:21">
      <c r="B27" s="1927" t="s">
        <v>1117</v>
      </c>
      <c r="I27" s="1928"/>
    </row>
    <row r="28" spans="2:21">
      <c r="B28" s="1927" t="s">
        <v>1118</v>
      </c>
      <c r="I28" s="1928"/>
    </row>
    <row r="29" spans="2:21">
      <c r="B29" s="1927" t="s">
        <v>1119</v>
      </c>
      <c r="F29" t="s">
        <v>1120</v>
      </c>
      <c r="I29" s="1928"/>
    </row>
    <row r="30" spans="2:21">
      <c r="B30" s="1927" t="s">
        <v>1120</v>
      </c>
      <c r="I30" s="1928"/>
    </row>
    <row r="31" spans="2:21">
      <c r="B31" s="1927" t="s">
        <v>1121</v>
      </c>
      <c r="I31" s="1928"/>
    </row>
    <row r="32" spans="2:21">
      <c r="B32" s="1927" t="s">
        <v>1122</v>
      </c>
      <c r="I32" s="1928"/>
    </row>
    <row r="33" spans="2:10">
      <c r="B33" s="1927" t="s">
        <v>1081</v>
      </c>
      <c r="I33" s="1928"/>
    </row>
    <row r="34" spans="2:10">
      <c r="B34" s="1927" t="s">
        <v>1123</v>
      </c>
      <c r="I34" s="1928"/>
      <c r="J34" t="s">
        <v>1124</v>
      </c>
    </row>
    <row r="35" spans="2:10">
      <c r="B35" s="1927" t="s">
        <v>1125</v>
      </c>
      <c r="I35" s="1928"/>
    </row>
    <row r="36" spans="2:10" ht="15" thickBot="1">
      <c r="B36" s="1933"/>
      <c r="C36" s="1934"/>
      <c r="D36" s="1934"/>
      <c r="E36" s="1934"/>
      <c r="F36" s="1934"/>
      <c r="G36" s="1934"/>
      <c r="H36" s="1934"/>
      <c r="I36" s="1935"/>
    </row>
    <row r="38" spans="2:10" ht="15" thickBot="1">
      <c r="B38" s="2539" t="s">
        <v>1126</v>
      </c>
      <c r="C38" s="2540"/>
      <c r="D38" s="2540"/>
      <c r="E38" s="2540"/>
      <c r="F38" s="2540"/>
      <c r="G38" s="2540"/>
      <c r="H38" s="2540"/>
      <c r="I38" s="2541"/>
    </row>
    <row r="39" spans="2:10">
      <c r="B39" s="1939" t="s">
        <v>132</v>
      </c>
      <c r="C39" s="1940" t="s">
        <v>1127</v>
      </c>
      <c r="D39" s="1940" t="s">
        <v>1128</v>
      </c>
      <c r="I39" s="1928"/>
    </row>
    <row r="40" spans="2:10">
      <c r="B40" s="1927" t="s">
        <v>1129</v>
      </c>
      <c r="C40" t="s">
        <v>1127</v>
      </c>
      <c r="D40" t="s">
        <v>1130</v>
      </c>
      <c r="I40" s="1928"/>
    </row>
    <row r="41" spans="2:10">
      <c r="B41" s="1927" t="s">
        <v>1131</v>
      </c>
      <c r="C41" t="s">
        <v>1127</v>
      </c>
      <c r="D41" t="s">
        <v>1132</v>
      </c>
      <c r="I41" s="1928"/>
    </row>
    <row r="42" spans="2:10">
      <c r="B42" s="1927"/>
      <c r="I42" s="1928"/>
    </row>
    <row r="43" spans="2:10">
      <c r="B43" s="1927"/>
      <c r="I43" s="1928"/>
    </row>
    <row r="44" spans="2:10">
      <c r="B44" s="1927"/>
      <c r="I44" s="1928"/>
    </row>
    <row r="45" spans="2:10">
      <c r="B45" s="1927"/>
      <c r="I45" s="1928"/>
    </row>
    <row r="46" spans="2:10">
      <c r="B46" s="1927"/>
      <c r="I46" s="1928"/>
    </row>
    <row r="47" spans="2:10">
      <c r="B47" s="1927"/>
      <c r="I47" s="1928"/>
    </row>
    <row r="48" spans="2:10" ht="15" thickBot="1">
      <c r="B48" s="1933"/>
      <c r="C48" s="1934"/>
      <c r="D48" s="1934"/>
      <c r="E48" s="1934"/>
      <c r="F48" s="1934"/>
      <c r="G48" s="1934"/>
      <c r="H48" s="1934"/>
      <c r="I48" s="1935"/>
    </row>
  </sheetData>
  <mergeCells count="6">
    <mergeCell ref="B38:I38"/>
    <mergeCell ref="B2:I2"/>
    <mergeCell ref="K2:U2"/>
    <mergeCell ref="B8:I8"/>
    <mergeCell ref="K12:U12"/>
    <mergeCell ref="B20:I20"/>
  </mergeCells>
  <phoneticPr fontId="67"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E6BB8-7E05-441E-A33C-0ABD4D26221A}">
  <sheetPr codeName="Feuil26">
    <tabColor theme="4" tint="0.79998168889431442"/>
  </sheetPr>
  <dimension ref="A1:N37"/>
  <sheetViews>
    <sheetView topLeftCell="B1" zoomScale="70" zoomScaleNormal="70" workbookViewId="0">
      <selection activeCell="N7" sqref="N7"/>
    </sheetView>
  </sheetViews>
  <sheetFormatPr baseColWidth="10" defaultColWidth="11.44140625" defaultRowHeight="14.4"/>
  <cols>
    <col min="1" max="1" width="14.33203125" style="469" bestFit="1" customWidth="1"/>
    <col min="2" max="2" width="34.6640625" style="469" customWidth="1"/>
    <col min="3" max="3" width="26" style="469" customWidth="1"/>
    <col min="4" max="4" width="24.109375" style="469" customWidth="1"/>
    <col min="5" max="5" width="16.44140625" style="469" bestFit="1" customWidth="1"/>
    <col min="6" max="7" width="21" style="469" bestFit="1" customWidth="1"/>
    <col min="8" max="8" width="18.33203125" style="469" customWidth="1"/>
    <col min="9" max="9" width="21.21875" style="469" bestFit="1" customWidth="1"/>
    <col min="10" max="10" width="2.33203125" style="469" customWidth="1"/>
    <col min="11" max="11" width="15.21875" style="469" customWidth="1"/>
    <col min="12" max="13" width="11.44140625" style="469"/>
    <col min="14" max="14" width="60.33203125" style="469" bestFit="1" customWidth="1"/>
    <col min="15" max="16384" width="11.44140625" style="469"/>
  </cols>
  <sheetData>
    <row r="1" spans="1:14" ht="29.4" thickBot="1">
      <c r="A1" s="2554" t="e">
        <f>'RFQ Data'!D10&amp;" "&amp;'RFQ Data'!H7&amp;" costing reference  "&amp;'RFQ Data'!D7&amp;"-"&amp;'RFQ Data'!#REF!</f>
        <v>#REF!</v>
      </c>
      <c r="B1" s="2555"/>
      <c r="C1" s="2555"/>
      <c r="D1" s="2555"/>
      <c r="E1" s="2555"/>
      <c r="F1" s="2555"/>
      <c r="G1" s="2555"/>
      <c r="H1" s="2555"/>
      <c r="I1" s="1279"/>
      <c r="J1" s="1279"/>
      <c r="K1" s="1280"/>
      <c r="N1" s="1053"/>
    </row>
    <row r="2" spans="1:14" ht="15" thickBot="1"/>
    <row r="3" spans="1:14" s="470" customFormat="1" ht="15" customHeight="1">
      <c r="A3" s="2545" t="s">
        <v>1133</v>
      </c>
      <c r="B3" s="2546"/>
      <c r="C3" s="2546"/>
      <c r="D3" s="2546"/>
      <c r="E3" s="2546"/>
      <c r="F3" s="2546"/>
      <c r="G3" s="2546"/>
      <c r="H3" s="2547"/>
      <c r="I3" s="2546" t="s">
        <v>1134</v>
      </c>
      <c r="J3" s="2546"/>
      <c r="K3" s="2547"/>
    </row>
    <row r="4" spans="1:14" s="470" customFormat="1" ht="15" customHeight="1">
      <c r="A4" s="2548"/>
      <c r="B4" s="2549"/>
      <c r="C4" s="2549"/>
      <c r="D4" s="2549"/>
      <c r="E4" s="2549"/>
      <c r="F4" s="2549"/>
      <c r="G4" s="2549"/>
      <c r="H4" s="2550"/>
      <c r="I4" s="2549"/>
      <c r="J4" s="2549"/>
      <c r="K4" s="2550"/>
    </row>
    <row r="5" spans="1:14" s="470" customFormat="1" ht="15.75" customHeight="1" thickBot="1">
      <c r="A5" s="2551"/>
      <c r="B5" s="2552"/>
      <c r="C5" s="2552"/>
      <c r="D5" s="2552"/>
      <c r="E5" s="2552"/>
      <c r="F5" s="2552"/>
      <c r="G5" s="2552"/>
      <c r="H5" s="2553"/>
      <c r="I5" s="2552"/>
      <c r="J5" s="2552"/>
      <c r="K5" s="2553"/>
    </row>
    <row r="6" spans="1:14" ht="14.7" customHeight="1">
      <c r="A6" s="477"/>
      <c r="B6" s="478"/>
      <c r="C6" s="478"/>
      <c r="D6" s="1303"/>
      <c r="E6" s="478"/>
      <c r="F6" s="478"/>
      <c r="G6" s="478"/>
      <c r="H6" s="479"/>
      <c r="I6" s="477"/>
      <c r="J6" s="478"/>
      <c r="K6" s="479"/>
    </row>
    <row r="7" spans="1:14" ht="15" customHeight="1">
      <c r="A7" s="481"/>
      <c r="B7" s="482"/>
      <c r="C7" s="482"/>
      <c r="D7" s="482"/>
      <c r="E7" s="1304"/>
      <c r="F7" s="482"/>
      <c r="G7" s="482"/>
      <c r="H7" s="483"/>
      <c r="I7" s="481"/>
      <c r="J7" s="482"/>
      <c r="K7" s="483"/>
    </row>
    <row r="8" spans="1:14">
      <c r="A8" s="481"/>
      <c r="B8" s="482"/>
      <c r="C8" s="482"/>
      <c r="D8" s="482"/>
      <c r="E8" s="482"/>
      <c r="F8" s="482"/>
      <c r="G8" s="482"/>
      <c r="H8" s="483"/>
      <c r="I8" s="481"/>
      <c r="J8" s="482"/>
      <c r="K8" s="483"/>
    </row>
    <row r="9" spans="1:14">
      <c r="A9" s="481"/>
      <c r="B9" s="482"/>
      <c r="C9" s="482"/>
      <c r="D9" s="482"/>
      <c r="E9" s="482"/>
      <c r="F9" s="482"/>
      <c r="G9" s="482"/>
      <c r="H9" s="483"/>
      <c r="I9" s="481"/>
      <c r="J9" s="482"/>
      <c r="K9" s="483"/>
    </row>
    <row r="10" spans="1:14">
      <c r="A10" s="481"/>
      <c r="B10" s="482"/>
      <c r="C10" s="482"/>
      <c r="D10" s="482"/>
      <c r="E10" s="482"/>
      <c r="F10" s="482"/>
      <c r="G10" s="482"/>
      <c r="H10" s="483"/>
      <c r="I10" s="481"/>
      <c r="J10" s="482"/>
      <c r="K10" s="483"/>
    </row>
    <row r="11" spans="1:14">
      <c r="A11" s="481"/>
      <c r="B11" s="482"/>
      <c r="C11" s="482"/>
      <c r="D11" s="482"/>
      <c r="E11" s="482"/>
      <c r="F11" s="482"/>
      <c r="G11" s="482"/>
      <c r="H11" s="483"/>
      <c r="I11" s="481"/>
      <c r="J11" s="482"/>
      <c r="K11" s="483"/>
    </row>
    <row r="12" spans="1:14">
      <c r="A12" s="481"/>
      <c r="B12" s="482"/>
      <c r="C12" s="482"/>
      <c r="D12" s="482"/>
      <c r="E12" s="482"/>
      <c r="F12" s="482"/>
      <c r="G12" s="482"/>
      <c r="H12" s="483"/>
      <c r="I12" s="481"/>
      <c r="J12" s="482"/>
      <c r="K12" s="483"/>
    </row>
    <row r="13" spans="1:14">
      <c r="A13" s="481"/>
      <c r="B13" s="482"/>
      <c r="C13" s="482"/>
      <c r="D13" s="482"/>
      <c r="E13" s="482"/>
      <c r="F13" s="482"/>
      <c r="G13" s="482"/>
      <c r="H13" s="483"/>
      <c r="I13" s="481"/>
      <c r="J13" s="482"/>
      <c r="K13" s="483"/>
    </row>
    <row r="14" spans="1:14" ht="15" thickBot="1">
      <c r="A14" s="481"/>
      <c r="B14" s="482"/>
      <c r="C14" s="482"/>
      <c r="D14" s="482"/>
      <c r="E14" s="482"/>
      <c r="F14" s="482"/>
      <c r="G14" s="482"/>
      <c r="H14" s="483"/>
      <c r="I14" s="481"/>
      <c r="J14" s="482"/>
      <c r="K14" s="483"/>
    </row>
    <row r="15" spans="1:14" ht="15" thickBot="1">
      <c r="A15" s="481"/>
      <c r="B15" s="482"/>
      <c r="C15" s="482"/>
      <c r="D15" s="482"/>
      <c r="E15" s="482"/>
      <c r="F15" s="482"/>
      <c r="G15" s="482"/>
      <c r="H15" s="483"/>
      <c r="I15" s="481"/>
      <c r="J15" s="482"/>
      <c r="K15" s="483"/>
      <c r="M15" s="471" t="s">
        <v>1135</v>
      </c>
      <c r="N15" s="472" t="s">
        <v>1136</v>
      </c>
    </row>
    <row r="16" spans="1:14">
      <c r="A16" s="481"/>
      <c r="B16" s="482"/>
      <c r="C16" s="482"/>
      <c r="D16" s="482"/>
      <c r="E16" s="482"/>
      <c r="F16" s="482"/>
      <c r="G16" s="482"/>
      <c r="H16" s="483"/>
      <c r="I16" s="481"/>
      <c r="J16" s="482"/>
      <c r="K16" s="483"/>
      <c r="M16" s="473" t="str">
        <f>'Product Added value'!F4</f>
        <v>OP 10</v>
      </c>
      <c r="N16" s="474" t="str">
        <f>'Product Added value'!G4</f>
        <v>Winding</v>
      </c>
    </row>
    <row r="17" spans="1:14">
      <c r="A17" s="481"/>
      <c r="B17" s="482"/>
      <c r="C17" s="482"/>
      <c r="D17" s="482"/>
      <c r="E17" s="482"/>
      <c r="F17" s="482"/>
      <c r="G17" s="482"/>
      <c r="H17" s="483"/>
      <c r="I17" s="481"/>
      <c r="J17" s="482"/>
      <c r="K17" s="483"/>
      <c r="M17" s="475" t="str">
        <f>'Product Added value'!F5</f>
        <v>OP 20</v>
      </c>
      <c r="N17" s="476" t="str">
        <f>'Product Added value'!G5</f>
        <v>Assembly core</v>
      </c>
    </row>
    <row r="18" spans="1:14">
      <c r="A18" s="481"/>
      <c r="B18" s="482"/>
      <c r="C18" s="482"/>
      <c r="D18" s="482"/>
      <c r="E18" s="482"/>
      <c r="F18" s="482"/>
      <c r="G18" s="482"/>
      <c r="H18" s="483"/>
      <c r="I18" s="481"/>
      <c r="J18" s="482"/>
      <c r="K18" s="483"/>
      <c r="M18" s="480" t="str">
        <f>'Product Added value'!F6</f>
        <v>OP 30</v>
      </c>
      <c r="N18" s="476" t="str">
        <f>'Product Added value'!G6</f>
        <v>Auto Soldering</v>
      </c>
    </row>
    <row r="19" spans="1:14">
      <c r="A19" s="481"/>
      <c r="B19" s="482"/>
      <c r="C19" s="482"/>
      <c r="D19" s="482"/>
      <c r="F19" s="482"/>
      <c r="G19" s="482"/>
      <c r="H19" s="483"/>
      <c r="I19" s="481"/>
      <c r="J19" s="482"/>
      <c r="K19" s="483"/>
      <c r="M19" s="480" t="str">
        <f>'Product Added value'!F7</f>
        <v>OP 40</v>
      </c>
      <c r="N19" s="476" t="str">
        <f>'Product Added value'!G7</f>
        <v>Inspection + Packaging</v>
      </c>
    </row>
    <row r="20" spans="1:14">
      <c r="A20" s="481"/>
      <c r="B20" s="482"/>
      <c r="C20" s="482"/>
      <c r="D20" s="482"/>
      <c r="E20" s="1304"/>
      <c r="F20" s="482"/>
      <c r="G20" s="482"/>
      <c r="H20" s="483"/>
      <c r="I20" s="481"/>
      <c r="J20" s="482"/>
      <c r="K20" s="483"/>
      <c r="M20" s="480" t="str">
        <f>'Product Added value'!F8</f>
        <v>OP 50</v>
      </c>
      <c r="N20" s="476">
        <f>'Product Added value'!G8</f>
        <v>0</v>
      </c>
    </row>
    <row r="21" spans="1:14">
      <c r="A21" s="481"/>
      <c r="B21" s="482"/>
      <c r="C21" s="482"/>
      <c r="D21" s="482"/>
      <c r="E21" s="1304"/>
      <c r="F21" s="482"/>
      <c r="G21" s="482"/>
      <c r="H21" s="483"/>
      <c r="I21" s="481"/>
      <c r="J21" s="482"/>
      <c r="K21" s="483"/>
      <c r="M21" s="480" t="str">
        <f>'Product Added value'!F9</f>
        <v>OP 60</v>
      </c>
      <c r="N21" s="476">
        <f>'Product Added value'!G9</f>
        <v>0</v>
      </c>
    </row>
    <row r="22" spans="1:14">
      <c r="A22" s="481"/>
      <c r="B22" s="482"/>
      <c r="C22" s="482"/>
      <c r="D22" s="482"/>
      <c r="E22" s="482"/>
      <c r="F22" s="482"/>
      <c r="G22" s="482"/>
      <c r="H22" s="483"/>
      <c r="I22" s="481"/>
      <c r="J22" s="482"/>
      <c r="K22" s="483"/>
      <c r="M22" s="480" t="str">
        <f>'Product Added value'!F10</f>
        <v>OP 70</v>
      </c>
      <c r="N22" s="476">
        <f>'Product Added value'!G10</f>
        <v>0</v>
      </c>
    </row>
    <row r="23" spans="1:14">
      <c r="A23" s="481"/>
      <c r="B23" s="482"/>
      <c r="C23" s="482"/>
      <c r="D23" s="482"/>
      <c r="E23" s="482"/>
      <c r="F23" s="482"/>
      <c r="G23" s="482"/>
      <c r="H23" s="483"/>
      <c r="I23" s="481"/>
      <c r="J23" s="482"/>
      <c r="K23" s="483"/>
      <c r="M23" s="480" t="str">
        <f>'Product Added value'!F11</f>
        <v>OP 80</v>
      </c>
      <c r="N23" s="476">
        <f>'Product Added value'!G11</f>
        <v>0</v>
      </c>
    </row>
    <row r="24" spans="1:14">
      <c r="A24" s="481"/>
      <c r="B24" s="482"/>
      <c r="C24" s="482"/>
      <c r="D24" s="482"/>
      <c r="E24" s="482"/>
      <c r="F24" s="482"/>
      <c r="G24" s="482"/>
      <c r="H24" s="483"/>
      <c r="I24" s="481"/>
      <c r="J24" s="482"/>
      <c r="K24" s="483"/>
      <c r="M24" s="480" t="str">
        <f>'Product Added value'!F12</f>
        <v>OP 90</v>
      </c>
      <c r="N24" s="476">
        <f>'Product Added value'!G12</f>
        <v>0</v>
      </c>
    </row>
    <row r="25" spans="1:14">
      <c r="A25" s="481"/>
      <c r="B25" s="482"/>
      <c r="C25" s="482"/>
      <c r="D25" s="482"/>
      <c r="E25" s="482"/>
      <c r="F25" s="482"/>
      <c r="G25" s="482"/>
      <c r="H25" s="483"/>
      <c r="I25" s="481"/>
      <c r="J25" s="482"/>
      <c r="K25" s="483"/>
      <c r="M25" s="480" t="str">
        <f>'Product Added value'!F13</f>
        <v>OP 100</v>
      </c>
      <c r="N25" s="476">
        <f>'Product Added value'!G13</f>
        <v>0</v>
      </c>
    </row>
    <row r="26" spans="1:14">
      <c r="A26" s="481"/>
      <c r="B26" s="482"/>
      <c r="C26" s="482"/>
      <c r="D26" s="482"/>
      <c r="E26" s="482"/>
      <c r="F26" s="482"/>
      <c r="G26" s="482"/>
      <c r="H26" s="483"/>
      <c r="I26" s="481"/>
      <c r="J26" s="482"/>
      <c r="K26" s="483"/>
      <c r="M26" s="480" t="str">
        <f>'Product Added value'!F14</f>
        <v>OP 110</v>
      </c>
      <c r="N26" s="476">
        <f>'Product Added value'!G14</f>
        <v>0</v>
      </c>
    </row>
    <row r="27" spans="1:14">
      <c r="A27" s="481"/>
      <c r="B27" s="482"/>
      <c r="C27" s="482"/>
      <c r="D27" s="482"/>
      <c r="E27" s="482"/>
      <c r="F27" s="482"/>
      <c r="G27" s="482"/>
      <c r="H27" s="483"/>
      <c r="I27" s="481"/>
      <c r="J27" s="482"/>
      <c r="K27" s="483"/>
      <c r="M27" s="480" t="str">
        <f>'Product Added value'!F15</f>
        <v>OP 120</v>
      </c>
      <c r="N27" s="476">
        <f>'Product Added value'!G15</f>
        <v>0</v>
      </c>
    </row>
    <row r="28" spans="1:14">
      <c r="A28" s="481"/>
      <c r="B28" s="482"/>
      <c r="C28" s="482"/>
      <c r="D28" s="482"/>
      <c r="E28" s="482"/>
      <c r="F28" s="482"/>
      <c r="G28" s="482"/>
      <c r="H28" s="483"/>
      <c r="I28" s="481"/>
      <c r="J28" s="482"/>
      <c r="K28" s="483"/>
      <c r="M28" s="480" t="str">
        <f>'Product Added value'!F16</f>
        <v>OP 130</v>
      </c>
      <c r="N28" s="476">
        <f>'Product Added value'!G16</f>
        <v>0</v>
      </c>
    </row>
    <row r="29" spans="1:14">
      <c r="A29" s="481"/>
      <c r="B29" s="482"/>
      <c r="C29" s="482"/>
      <c r="D29" s="482"/>
      <c r="E29" s="482"/>
      <c r="F29" s="482"/>
      <c r="G29" s="482"/>
      <c r="H29" s="483"/>
      <c r="I29" s="481"/>
      <c r="J29" s="482"/>
      <c r="K29" s="483"/>
      <c r="M29" s="480" t="str">
        <f>'Product Added value'!F17</f>
        <v>OP 140</v>
      </c>
      <c r="N29" s="476">
        <f>'Product Added value'!G17</f>
        <v>0</v>
      </c>
    </row>
    <row r="30" spans="1:14">
      <c r="A30" s="481"/>
      <c r="B30" s="482"/>
      <c r="C30" s="482"/>
      <c r="D30" s="482"/>
      <c r="E30" s="482"/>
      <c r="F30" s="482"/>
      <c r="G30" s="482"/>
      <c r="H30" s="483"/>
      <c r="I30" s="481"/>
      <c r="J30" s="482"/>
      <c r="K30" s="483"/>
      <c r="M30" s="480" t="str">
        <f>'Product Added value'!F18</f>
        <v>OP 150</v>
      </c>
      <c r="N30" s="476">
        <f>'Product Added value'!G18</f>
        <v>0</v>
      </c>
    </row>
    <row r="31" spans="1:14">
      <c r="A31" s="481"/>
      <c r="B31" s="482"/>
      <c r="C31" s="482"/>
      <c r="D31" s="482"/>
      <c r="E31" s="482"/>
      <c r="F31" s="482"/>
      <c r="G31" s="482"/>
      <c r="H31" s="483"/>
      <c r="I31" s="481"/>
      <c r="J31" s="482"/>
      <c r="K31" s="483"/>
      <c r="M31" s="480" t="str">
        <f>'Product Added value'!F19</f>
        <v>OP 160</v>
      </c>
      <c r="N31" s="476">
        <f>'Product Added value'!G19</f>
        <v>0</v>
      </c>
    </row>
    <row r="32" spans="1:14">
      <c r="A32" s="481"/>
      <c r="B32" s="482"/>
      <c r="C32" s="482"/>
      <c r="D32" s="482"/>
      <c r="E32" s="482"/>
      <c r="F32" s="482"/>
      <c r="G32" s="482"/>
      <c r="H32" s="483"/>
      <c r="I32" s="481"/>
      <c r="J32" s="482"/>
      <c r="K32" s="483"/>
      <c r="M32" s="480" t="str">
        <f>'Product Added value'!F20</f>
        <v>OP 170</v>
      </c>
      <c r="N32" s="476">
        <f>'Product Added value'!G20</f>
        <v>0</v>
      </c>
    </row>
    <row r="33" spans="1:14">
      <c r="A33" s="481"/>
      <c r="B33" s="482"/>
      <c r="C33" s="482"/>
      <c r="D33" s="482"/>
      <c r="E33" s="482"/>
      <c r="F33" s="482"/>
      <c r="G33" s="482"/>
      <c r="H33" s="483"/>
      <c r="I33" s="481"/>
      <c r="J33" s="482"/>
      <c r="K33" s="483"/>
      <c r="M33" s="480" t="str">
        <f>'Product Added value'!F21</f>
        <v>OP 180</v>
      </c>
      <c r="N33" s="476">
        <f>'Product Added value'!G21</f>
        <v>0</v>
      </c>
    </row>
    <row r="34" spans="1:14">
      <c r="A34" s="481"/>
      <c r="B34" s="482"/>
      <c r="C34" s="482"/>
      <c r="D34" s="482"/>
      <c r="E34" s="482"/>
      <c r="F34" s="482"/>
      <c r="G34" s="482"/>
      <c r="H34" s="483"/>
      <c r="I34" s="481"/>
      <c r="J34" s="482"/>
      <c r="K34" s="483"/>
      <c r="M34" s="480" t="str">
        <f>'Product Added value'!F22</f>
        <v>OP 190</v>
      </c>
      <c r="N34" s="476">
        <f>'Product Added value'!G22</f>
        <v>0</v>
      </c>
    </row>
    <row r="35" spans="1:14">
      <c r="A35" s="481"/>
      <c r="B35" s="482"/>
      <c r="C35" s="482"/>
      <c r="D35" s="482"/>
      <c r="E35" s="482"/>
      <c r="F35" s="482"/>
      <c r="G35" s="482"/>
      <c r="H35" s="483"/>
      <c r="I35" s="481"/>
      <c r="J35" s="482"/>
      <c r="K35" s="483"/>
      <c r="M35" s="480" t="str">
        <f>'Product Added value'!F23</f>
        <v>OP 200</v>
      </c>
      <c r="N35" s="476">
        <f>'Product Added value'!G23</f>
        <v>0</v>
      </c>
    </row>
    <row r="36" spans="1:14">
      <c r="A36" s="481"/>
      <c r="B36" s="482"/>
      <c r="C36" s="482"/>
      <c r="D36" s="482"/>
      <c r="E36" s="482"/>
      <c r="F36" s="482"/>
      <c r="G36" s="482"/>
      <c r="H36" s="483"/>
      <c r="I36" s="481"/>
      <c r="J36" s="482"/>
      <c r="K36" s="483"/>
      <c r="M36" s="480" t="str">
        <f>'Product Added value'!F24</f>
        <v>OP 210</v>
      </c>
      <c r="N36" s="476">
        <f>'Product Added value'!G24</f>
        <v>0</v>
      </c>
    </row>
    <row r="37" spans="1:14" ht="186" customHeight="1" thickBot="1">
      <c r="A37" s="484"/>
      <c r="B37" s="485"/>
      <c r="C37" s="485"/>
      <c r="D37" s="485"/>
      <c r="E37" s="485"/>
      <c r="F37" s="485"/>
      <c r="G37" s="485"/>
      <c r="H37" s="486"/>
      <c r="I37" s="484"/>
      <c r="J37" s="485"/>
      <c r="K37" s="486"/>
    </row>
  </sheetData>
  <mergeCells count="3">
    <mergeCell ref="A3:H5"/>
    <mergeCell ref="I3:K5"/>
    <mergeCell ref="A1:H1"/>
  </mergeCells>
  <phoneticPr fontId="67" type="noConversion"/>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BFD65-D2E5-48C2-8464-A227AF8B4C09}">
  <sheetPr codeName="Feuil23"/>
  <dimension ref="B1:AR55"/>
  <sheetViews>
    <sheetView showGridLines="0" zoomScale="70" zoomScaleNormal="70" workbookViewId="0">
      <selection activeCell="I3" sqref="I3"/>
    </sheetView>
  </sheetViews>
  <sheetFormatPr baseColWidth="10" defaultColWidth="11.44140625" defaultRowHeight="14.4"/>
  <cols>
    <col min="3" max="6" width="21.77734375" style="66" customWidth="1"/>
    <col min="7" max="7" width="11.6640625" style="66" bestFit="1" customWidth="1"/>
    <col min="8" max="10" width="21.77734375" style="66" customWidth="1"/>
    <col min="11" max="11" width="16.44140625" style="66" bestFit="1" customWidth="1"/>
    <col min="12" max="12" width="17.44140625" style="66" bestFit="1" customWidth="1"/>
    <col min="13" max="13" width="18.6640625" style="66" bestFit="1" customWidth="1"/>
    <col min="14" max="14" width="17.77734375" style="66" bestFit="1" customWidth="1"/>
    <col min="15" max="15" width="5.33203125" style="66" bestFit="1" customWidth="1"/>
    <col min="16" max="16" width="5.77734375" style="66" bestFit="1" customWidth="1"/>
    <col min="17" max="18" width="7.33203125" style="66" bestFit="1" customWidth="1"/>
    <col min="19" max="20" width="21.77734375" style="66" customWidth="1"/>
    <col min="21" max="29" width="11.77734375" customWidth="1"/>
  </cols>
  <sheetData>
    <row r="1" spans="2:31" ht="15" thickBot="1">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T1" s="66">
        <v>1</v>
      </c>
      <c r="U1">
        <v>2</v>
      </c>
      <c r="V1">
        <v>3</v>
      </c>
      <c r="W1">
        <v>4</v>
      </c>
      <c r="X1">
        <v>5</v>
      </c>
      <c r="Y1">
        <v>6</v>
      </c>
      <c r="Z1">
        <v>7</v>
      </c>
      <c r="AA1">
        <v>8</v>
      </c>
      <c r="AB1">
        <v>9</v>
      </c>
      <c r="AC1">
        <v>10</v>
      </c>
      <c r="AD1">
        <v>11</v>
      </c>
    </row>
    <row r="2" spans="2:31" ht="15" thickBot="1">
      <c r="C2" s="2557" t="s">
        <v>1137</v>
      </c>
      <c r="D2" s="2558"/>
      <c r="E2" s="2559"/>
      <c r="F2" s="391"/>
      <c r="G2" s="391"/>
      <c r="H2" s="391"/>
      <c r="I2" s="392">
        <v>0.12</v>
      </c>
      <c r="J2" s="393">
        <v>0</v>
      </c>
      <c r="K2" s="394"/>
      <c r="L2" s="394"/>
      <c r="M2" s="391"/>
      <c r="N2" s="391"/>
      <c r="O2" s="394"/>
      <c r="P2" s="394"/>
      <c r="Q2" s="394"/>
      <c r="R2" s="394"/>
      <c r="S2" s="391"/>
      <c r="U2" s="2560" t="s">
        <v>1138</v>
      </c>
      <c r="V2" s="2561"/>
      <c r="W2" s="2561"/>
      <c r="X2" s="2561"/>
      <c r="Y2" s="2561"/>
      <c r="Z2" s="2561"/>
      <c r="AA2" s="2561"/>
      <c r="AB2" s="2561"/>
      <c r="AC2" s="2561"/>
      <c r="AD2" s="2562"/>
    </row>
    <row r="3" spans="2:31" ht="43.2" customHeight="1" thickBot="1">
      <c r="B3" s="27" t="s">
        <v>1139</v>
      </c>
      <c r="C3" s="395" t="s">
        <v>1140</v>
      </c>
      <c r="D3" s="396" t="s">
        <v>1141</v>
      </c>
      <c r="E3" s="397" t="s">
        <v>790</v>
      </c>
      <c r="F3" s="398" t="s">
        <v>1142</v>
      </c>
      <c r="G3" s="398" t="s">
        <v>1143</v>
      </c>
      <c r="H3" s="399" t="s">
        <v>1144</v>
      </c>
      <c r="I3" s="400" t="s">
        <v>1145</v>
      </c>
      <c r="J3" s="401" t="s">
        <v>1146</v>
      </c>
      <c r="K3" s="402" t="s">
        <v>1147</v>
      </c>
      <c r="L3" s="403" t="s">
        <v>1148</v>
      </c>
      <c r="M3" s="403" t="s">
        <v>1149</v>
      </c>
      <c r="N3" s="403" t="s">
        <v>1150</v>
      </c>
      <c r="O3" s="435" t="s">
        <v>783</v>
      </c>
      <c r="P3" s="436" t="s">
        <v>784</v>
      </c>
      <c r="Q3" s="436" t="s">
        <v>785</v>
      </c>
      <c r="R3" s="437" t="s">
        <v>786</v>
      </c>
      <c r="S3" s="398"/>
      <c r="T3" s="27" t="s">
        <v>1139</v>
      </c>
      <c r="U3" s="396" t="s">
        <v>1151</v>
      </c>
      <c r="V3" s="396" t="s">
        <v>262</v>
      </c>
      <c r="W3" s="396" t="s">
        <v>1066</v>
      </c>
      <c r="X3" s="396" t="s">
        <v>1152</v>
      </c>
      <c r="Y3" s="396" t="s">
        <v>778</v>
      </c>
      <c r="Z3" s="396" t="s">
        <v>791</v>
      </c>
      <c r="AA3" s="396" t="s">
        <v>1153</v>
      </c>
      <c r="AB3" s="396" t="s">
        <v>1154</v>
      </c>
      <c r="AC3" s="396" t="s">
        <v>1155</v>
      </c>
      <c r="AD3" s="396" t="s">
        <v>824</v>
      </c>
    </row>
    <row r="4" spans="2:31">
      <c r="B4" s="34" t="s">
        <v>563</v>
      </c>
      <c r="C4" s="404">
        <f>W4+X4+Y4</f>
        <v>-8118</v>
      </c>
      <c r="D4" s="405">
        <f>AA4+AB4</f>
        <v>-4412</v>
      </c>
      <c r="E4" s="406">
        <f>AC4</f>
        <v>-1697</v>
      </c>
      <c r="F4" s="399">
        <f>+D4/C4</f>
        <v>0.54348361665434841</v>
      </c>
      <c r="G4" s="399">
        <f t="shared" ref="G4:G14" si="1">+E4/C4</f>
        <v>0.20904163587090416</v>
      </c>
      <c r="H4" s="407">
        <f>+C4</f>
        <v>-8118</v>
      </c>
      <c r="I4" s="408">
        <f>+C4*I$2</f>
        <v>-974.16</v>
      </c>
      <c r="J4" s="409">
        <f>+J$2*C4</f>
        <v>0</v>
      </c>
      <c r="K4" s="410">
        <f>+I4/($C4/$U4)</f>
        <v>2666.04</v>
      </c>
      <c r="L4" s="410">
        <f t="shared" ref="L4:L14" si="2">+J4/($C4/$U4)</f>
        <v>0</v>
      </c>
      <c r="M4" s="399">
        <v>0.5</v>
      </c>
      <c r="N4" s="399">
        <v>1.3</v>
      </c>
      <c r="O4" s="429">
        <f>+F4*M4</f>
        <v>0.27174180832717421</v>
      </c>
      <c r="P4" s="430">
        <f>+F4*N4</f>
        <v>0.70652870165065296</v>
      </c>
      <c r="Q4" s="430">
        <f>+G4*M$4</f>
        <v>0.10452081793545208</v>
      </c>
      <c r="R4" s="431">
        <f>+G4*N$4</f>
        <v>0.27175412663217541</v>
      </c>
      <c r="S4" s="399"/>
      <c r="T4" s="34" t="s">
        <v>563</v>
      </c>
      <c r="U4" s="411">
        <v>22217</v>
      </c>
      <c r="V4" s="412">
        <v>-6070</v>
      </c>
      <c r="W4" s="412">
        <v>-4445</v>
      </c>
      <c r="X4" s="412">
        <v>-461</v>
      </c>
      <c r="Y4" s="412">
        <v>-3212</v>
      </c>
      <c r="Z4" s="412">
        <v>8029</v>
      </c>
      <c r="AA4" s="412">
        <v>-3320</v>
      </c>
      <c r="AB4" s="412">
        <v>-1092</v>
      </c>
      <c r="AC4" s="412">
        <v>-1697</v>
      </c>
      <c r="AD4" s="413">
        <v>1920</v>
      </c>
    </row>
    <row r="5" spans="2:31">
      <c r="B5" s="414" t="s">
        <v>515</v>
      </c>
      <c r="C5" s="415">
        <f t="shared" ref="C5:C14" si="3">W5+X5+Y5</f>
        <v>-2725</v>
      </c>
      <c r="D5" s="416">
        <f t="shared" ref="D5:D14" si="4">AA5+AB5</f>
        <v>-1051</v>
      </c>
      <c r="E5" s="417">
        <f t="shared" ref="E5:E14" si="5">AC5</f>
        <v>-1114</v>
      </c>
      <c r="F5" s="399">
        <f t="shared" ref="F5:F14" si="6">+D5/C5</f>
        <v>0.3856880733944954</v>
      </c>
      <c r="G5" s="399">
        <f t="shared" si="1"/>
        <v>0.40880733944954128</v>
      </c>
      <c r="H5" s="407">
        <f t="shared" ref="H5:H14" si="7">+C5</f>
        <v>-2725</v>
      </c>
      <c r="I5" s="408">
        <f t="shared" ref="I5:I14" si="8">+H5*I$2</f>
        <v>-327</v>
      </c>
      <c r="J5" s="409">
        <f t="shared" ref="J5:J14" si="9">+J$2*C5</f>
        <v>0</v>
      </c>
      <c r="K5" s="410">
        <f t="shared" ref="K5:K14" si="10">+I5/($C5/$U5)</f>
        <v>1761.24</v>
      </c>
      <c r="L5" s="410">
        <f t="shared" si="2"/>
        <v>0</v>
      </c>
      <c r="M5" s="399">
        <v>0.5</v>
      </c>
      <c r="N5" s="399">
        <v>1.3</v>
      </c>
      <c r="O5" s="429">
        <f>+F5*M5</f>
        <v>0.1928440366972477</v>
      </c>
      <c r="P5" s="430">
        <f t="shared" ref="P5:P14" si="11">+F5*N5</f>
        <v>0.50139449541284409</v>
      </c>
      <c r="Q5" s="430">
        <f t="shared" ref="Q5:Q14" si="12">+G5*M$4</f>
        <v>0.20440366972477064</v>
      </c>
      <c r="R5" s="431">
        <f t="shared" ref="R5:R14" si="13">+G5*N$4</f>
        <v>0.53144954128440369</v>
      </c>
      <c r="S5" s="399"/>
      <c r="T5" s="414" t="s">
        <v>515</v>
      </c>
      <c r="U5" s="418">
        <v>14677</v>
      </c>
      <c r="V5" s="419">
        <v>-7228</v>
      </c>
      <c r="W5" s="419">
        <v>-680</v>
      </c>
      <c r="X5" s="419">
        <v>-491</v>
      </c>
      <c r="Y5" s="419">
        <v>-1554</v>
      </c>
      <c r="Z5" s="419">
        <v>4724</v>
      </c>
      <c r="AA5" s="419">
        <v>-650</v>
      </c>
      <c r="AB5" s="419">
        <v>-401</v>
      </c>
      <c r="AC5" s="419">
        <v>-1114</v>
      </c>
      <c r="AD5" s="420">
        <v>2559</v>
      </c>
    </row>
    <row r="6" spans="2:31">
      <c r="B6" s="414" t="s">
        <v>796</v>
      </c>
      <c r="C6" s="415">
        <f t="shared" si="3"/>
        <v>-4484</v>
      </c>
      <c r="D6" s="416">
        <f t="shared" si="4"/>
        <v>-2741</v>
      </c>
      <c r="E6" s="417">
        <f t="shared" si="5"/>
        <v>-996</v>
      </c>
      <c r="F6" s="399">
        <f t="shared" si="6"/>
        <v>0.61128456735057979</v>
      </c>
      <c r="G6" s="399">
        <f t="shared" si="1"/>
        <v>0.22212310437109722</v>
      </c>
      <c r="H6" s="407">
        <f t="shared" si="7"/>
        <v>-4484</v>
      </c>
      <c r="I6" s="408">
        <f t="shared" si="8"/>
        <v>-538.07999999999993</v>
      </c>
      <c r="J6" s="409">
        <f t="shared" si="9"/>
        <v>0</v>
      </c>
      <c r="K6" s="410">
        <f t="shared" si="10"/>
        <v>1512.2399999999998</v>
      </c>
      <c r="L6" s="410">
        <f t="shared" si="2"/>
        <v>0</v>
      </c>
      <c r="M6" s="399">
        <v>0.5</v>
      </c>
      <c r="N6" s="399">
        <v>1.3</v>
      </c>
      <c r="O6" s="429">
        <f t="shared" ref="O6:O14" si="14">+F6*M6</f>
        <v>0.30564228367528989</v>
      </c>
      <c r="P6" s="430">
        <f t="shared" si="11"/>
        <v>0.79466993755575377</v>
      </c>
      <c r="Q6" s="430">
        <f t="shared" si="12"/>
        <v>0.11106155218554861</v>
      </c>
      <c r="R6" s="431">
        <f t="shared" si="13"/>
        <v>0.28876003568242642</v>
      </c>
      <c r="S6" s="399"/>
      <c r="T6" s="414" t="s">
        <v>796</v>
      </c>
      <c r="U6" s="418">
        <v>12602</v>
      </c>
      <c r="V6" s="419">
        <v>-3752</v>
      </c>
      <c r="W6" s="419">
        <v>-2859</v>
      </c>
      <c r="X6" s="419">
        <v>-354</v>
      </c>
      <c r="Y6" s="419">
        <v>-1271</v>
      </c>
      <c r="Z6" s="419">
        <v>4366</v>
      </c>
      <c r="AA6" s="419">
        <v>-1908</v>
      </c>
      <c r="AB6" s="419">
        <v>-833</v>
      </c>
      <c r="AC6" s="419">
        <v>-996</v>
      </c>
      <c r="AD6" s="420">
        <v>629</v>
      </c>
    </row>
    <row r="7" spans="2:31">
      <c r="B7" s="414" t="s">
        <v>592</v>
      </c>
      <c r="C7" s="415">
        <f t="shared" si="3"/>
        <v>-3295</v>
      </c>
      <c r="D7" s="416">
        <f t="shared" si="4"/>
        <v>-1811</v>
      </c>
      <c r="E7" s="417">
        <f t="shared" si="5"/>
        <v>-114</v>
      </c>
      <c r="F7" s="399">
        <f t="shared" si="6"/>
        <v>0.54962063732928679</v>
      </c>
      <c r="G7" s="399">
        <f t="shared" si="1"/>
        <v>3.4597875569044007E-2</v>
      </c>
      <c r="H7" s="407">
        <f t="shared" si="7"/>
        <v>-3295</v>
      </c>
      <c r="I7" s="408">
        <f t="shared" si="8"/>
        <v>-395.4</v>
      </c>
      <c r="J7" s="409">
        <f t="shared" si="9"/>
        <v>0</v>
      </c>
      <c r="K7" s="410">
        <f t="shared" si="10"/>
        <v>1588.4399999999998</v>
      </c>
      <c r="L7" s="410">
        <f t="shared" si="2"/>
        <v>0</v>
      </c>
      <c r="M7" s="399">
        <v>0.5</v>
      </c>
      <c r="N7" s="399">
        <v>1.3</v>
      </c>
      <c r="O7" s="429">
        <f t="shared" si="14"/>
        <v>0.27481031866464339</v>
      </c>
      <c r="P7" s="430">
        <f t="shared" si="11"/>
        <v>0.7145068285280729</v>
      </c>
      <c r="Q7" s="430">
        <f t="shared" si="12"/>
        <v>1.7298937784522003E-2</v>
      </c>
      <c r="R7" s="431">
        <f t="shared" si="13"/>
        <v>4.497723823975721E-2</v>
      </c>
      <c r="S7" s="399"/>
      <c r="T7" s="414" t="s">
        <v>592</v>
      </c>
      <c r="U7" s="418">
        <v>13237</v>
      </c>
      <c r="V7" s="419">
        <v>-6067</v>
      </c>
      <c r="W7" s="419">
        <v>-995</v>
      </c>
      <c r="X7" s="419">
        <v>-735</v>
      </c>
      <c r="Y7" s="419">
        <v>-1565</v>
      </c>
      <c r="Z7" s="419">
        <v>3875</v>
      </c>
      <c r="AA7" s="419">
        <v>-770</v>
      </c>
      <c r="AB7" s="419">
        <v>-1041</v>
      </c>
      <c r="AC7" s="419">
        <v>-114</v>
      </c>
      <c r="AD7" s="420">
        <v>1950</v>
      </c>
    </row>
    <row r="8" spans="2:31">
      <c r="B8" s="414" t="s">
        <v>587</v>
      </c>
      <c r="C8" s="415">
        <f t="shared" si="3"/>
        <v>-1289</v>
      </c>
      <c r="D8" s="416">
        <f t="shared" si="4"/>
        <v>-520</v>
      </c>
      <c r="E8" s="417">
        <f t="shared" si="5"/>
        <v>-421</v>
      </c>
      <c r="F8" s="399">
        <f t="shared" si="6"/>
        <v>0.40341349883630723</v>
      </c>
      <c r="G8" s="399">
        <f t="shared" si="1"/>
        <v>0.32660977501939487</v>
      </c>
      <c r="H8" s="407">
        <f t="shared" si="7"/>
        <v>-1289</v>
      </c>
      <c r="I8" s="408">
        <f>+H8*I$2</f>
        <v>-154.68</v>
      </c>
      <c r="J8" s="409">
        <f t="shared" si="9"/>
        <v>0</v>
      </c>
      <c r="K8" s="410">
        <f t="shared" si="10"/>
        <v>756.36</v>
      </c>
      <c r="L8" s="410">
        <f t="shared" si="2"/>
        <v>0</v>
      </c>
      <c r="M8" s="399">
        <v>0.5</v>
      </c>
      <c r="N8" s="399">
        <v>1.3</v>
      </c>
      <c r="O8" s="429">
        <f t="shared" si="14"/>
        <v>0.20170674941815361</v>
      </c>
      <c r="P8" s="430">
        <f t="shared" si="11"/>
        <v>0.52443754848719937</v>
      </c>
      <c r="Q8" s="430">
        <f t="shared" si="12"/>
        <v>0.16330488750969743</v>
      </c>
      <c r="R8" s="431">
        <f t="shared" si="13"/>
        <v>0.42459270752521333</v>
      </c>
      <c r="S8" s="399"/>
      <c r="T8" s="414" t="s">
        <v>587</v>
      </c>
      <c r="U8" s="418">
        <v>6303</v>
      </c>
      <c r="V8" s="419">
        <v>-3691</v>
      </c>
      <c r="W8" s="419">
        <v>-624</v>
      </c>
      <c r="X8" s="419">
        <v>-65</v>
      </c>
      <c r="Y8" s="419">
        <v>-600</v>
      </c>
      <c r="Z8" s="419">
        <v>1323</v>
      </c>
      <c r="AA8" s="419">
        <v>-293</v>
      </c>
      <c r="AB8" s="419">
        <v>-227</v>
      </c>
      <c r="AC8" s="419">
        <v>-421</v>
      </c>
      <c r="AD8" s="420">
        <v>382</v>
      </c>
    </row>
    <row r="9" spans="2:31">
      <c r="B9" s="414" t="s">
        <v>546</v>
      </c>
      <c r="C9" s="415">
        <f t="shared" si="3"/>
        <v>-6827</v>
      </c>
      <c r="D9" s="416">
        <f t="shared" si="4"/>
        <v>-2815</v>
      </c>
      <c r="E9" s="417">
        <f t="shared" si="5"/>
        <v>-2344</v>
      </c>
      <c r="F9" s="399">
        <f t="shared" si="6"/>
        <v>0.41233338215907428</v>
      </c>
      <c r="G9" s="399">
        <f t="shared" si="1"/>
        <v>0.34334261022411017</v>
      </c>
      <c r="H9" s="407">
        <f t="shared" si="7"/>
        <v>-6827</v>
      </c>
      <c r="I9" s="408">
        <f t="shared" si="8"/>
        <v>-819.24</v>
      </c>
      <c r="J9" s="409">
        <f t="shared" si="9"/>
        <v>0</v>
      </c>
      <c r="K9" s="410">
        <f t="shared" si="10"/>
        <v>4291.5600000000004</v>
      </c>
      <c r="L9" s="410">
        <f t="shared" si="2"/>
        <v>0</v>
      </c>
      <c r="M9" s="399">
        <v>0.5</v>
      </c>
      <c r="N9" s="399">
        <v>1.3</v>
      </c>
      <c r="O9" s="429">
        <f t="shared" si="14"/>
        <v>0.20616669107953714</v>
      </c>
      <c r="P9" s="430">
        <f t="shared" si="11"/>
        <v>0.53603339680679662</v>
      </c>
      <c r="Q9" s="430">
        <f t="shared" si="12"/>
        <v>0.17167130511205508</v>
      </c>
      <c r="R9" s="431">
        <f t="shared" si="13"/>
        <v>0.44634539329134321</v>
      </c>
      <c r="S9" s="399"/>
      <c r="T9" s="414" t="s">
        <v>546</v>
      </c>
      <c r="U9" s="418">
        <v>35763</v>
      </c>
      <c r="V9" s="419">
        <v>-22093</v>
      </c>
      <c r="W9" s="419">
        <v>-3492</v>
      </c>
      <c r="X9" s="419">
        <v>-1511</v>
      </c>
      <c r="Y9" s="419">
        <v>-1824</v>
      </c>
      <c r="Z9" s="419">
        <v>6843</v>
      </c>
      <c r="AA9" s="419">
        <v>-1694</v>
      </c>
      <c r="AB9" s="419">
        <v>-1121</v>
      </c>
      <c r="AC9" s="419">
        <v>-2344</v>
      </c>
      <c r="AD9" s="420">
        <v>1684</v>
      </c>
    </row>
    <row r="10" spans="2:31">
      <c r="B10" s="414" t="s">
        <v>574</v>
      </c>
      <c r="C10" s="415">
        <f t="shared" si="3"/>
        <v>-3218</v>
      </c>
      <c r="D10" s="416">
        <f t="shared" si="4"/>
        <v>-1798</v>
      </c>
      <c r="E10" s="417">
        <f t="shared" si="5"/>
        <v>-1266</v>
      </c>
      <c r="F10" s="399">
        <f t="shared" si="6"/>
        <v>0.55873213175885639</v>
      </c>
      <c r="G10" s="399">
        <f t="shared" si="1"/>
        <v>0.39341205717837163</v>
      </c>
      <c r="H10" s="407">
        <f t="shared" si="7"/>
        <v>-3218</v>
      </c>
      <c r="I10" s="408">
        <f t="shared" si="8"/>
        <v>-386.15999999999997</v>
      </c>
      <c r="J10" s="409">
        <f t="shared" si="9"/>
        <v>0</v>
      </c>
      <c r="K10" s="410">
        <f t="shared" si="10"/>
        <v>2227.4399999999996</v>
      </c>
      <c r="L10" s="410">
        <f t="shared" si="2"/>
        <v>0</v>
      </c>
      <c r="M10" s="399">
        <v>0.5</v>
      </c>
      <c r="N10" s="399">
        <v>1.3</v>
      </c>
      <c r="O10" s="429">
        <f t="shared" si="14"/>
        <v>0.27936606587942819</v>
      </c>
      <c r="P10" s="430">
        <f t="shared" si="11"/>
        <v>0.72635177128651329</v>
      </c>
      <c r="Q10" s="430">
        <f t="shared" si="12"/>
        <v>0.19670602858918582</v>
      </c>
      <c r="R10" s="431">
        <f t="shared" si="13"/>
        <v>0.51143567433188319</v>
      </c>
      <c r="S10" s="399"/>
      <c r="T10" s="414" t="s">
        <v>574</v>
      </c>
      <c r="U10" s="418">
        <v>18562</v>
      </c>
      <c r="V10" s="419">
        <v>-8706</v>
      </c>
      <c r="W10" s="419">
        <v>-1575</v>
      </c>
      <c r="X10" s="419">
        <v>-841</v>
      </c>
      <c r="Y10" s="419">
        <v>-802</v>
      </c>
      <c r="Z10" s="419">
        <v>6638</v>
      </c>
      <c r="AA10" s="419">
        <v>-1008</v>
      </c>
      <c r="AB10" s="419">
        <v>-790</v>
      </c>
      <c r="AC10" s="419">
        <v>-1266</v>
      </c>
      <c r="AD10" s="420">
        <v>3574</v>
      </c>
    </row>
    <row r="11" spans="2:31">
      <c r="B11" s="414" t="s">
        <v>384</v>
      </c>
      <c r="C11" s="415">
        <f t="shared" si="3"/>
        <v>-2120</v>
      </c>
      <c r="D11" s="416">
        <f t="shared" si="4"/>
        <v>-1704</v>
      </c>
      <c r="E11" s="417">
        <f t="shared" si="5"/>
        <v>-884</v>
      </c>
      <c r="F11" s="399">
        <f t="shared" si="6"/>
        <v>0.80377358490566042</v>
      </c>
      <c r="G11" s="399">
        <f t="shared" si="1"/>
        <v>0.41698113207547172</v>
      </c>
      <c r="H11" s="407">
        <f t="shared" si="7"/>
        <v>-2120</v>
      </c>
      <c r="I11" s="408">
        <f t="shared" si="8"/>
        <v>-254.39999999999998</v>
      </c>
      <c r="J11" s="409">
        <f t="shared" si="9"/>
        <v>0</v>
      </c>
      <c r="K11" s="410">
        <f t="shared" si="10"/>
        <v>1810.4399999999998</v>
      </c>
      <c r="L11" s="410">
        <f t="shared" si="2"/>
        <v>0</v>
      </c>
      <c r="M11" s="399">
        <v>0.5</v>
      </c>
      <c r="N11" s="399">
        <v>1.3</v>
      </c>
      <c r="O11" s="429">
        <f t="shared" si="14"/>
        <v>0.40188679245283021</v>
      </c>
      <c r="P11" s="430">
        <f t="shared" si="11"/>
        <v>1.0449056603773585</v>
      </c>
      <c r="Q11" s="430">
        <f t="shared" si="12"/>
        <v>0.20849056603773586</v>
      </c>
      <c r="R11" s="431">
        <f t="shared" si="13"/>
        <v>0.54207547169811321</v>
      </c>
      <c r="S11" s="399"/>
      <c r="T11" s="414" t="s">
        <v>384</v>
      </c>
      <c r="U11" s="418">
        <v>15087</v>
      </c>
      <c r="V11" s="419">
        <v>-8374</v>
      </c>
      <c r="W11" s="419">
        <v>-1058</v>
      </c>
      <c r="X11" s="419">
        <v>-275</v>
      </c>
      <c r="Y11" s="419">
        <v>-787</v>
      </c>
      <c r="Z11" s="419">
        <v>4593</v>
      </c>
      <c r="AA11" s="419">
        <v>-1000</v>
      </c>
      <c r="AB11" s="419">
        <v>-704</v>
      </c>
      <c r="AC11" s="419">
        <v>-884</v>
      </c>
      <c r="AD11" s="420">
        <v>2005</v>
      </c>
    </row>
    <row r="12" spans="2:31">
      <c r="B12" s="414" t="str">
        <f>'Financials Parameters'!I12</f>
        <v>Kunshan-ASSY</v>
      </c>
      <c r="C12" s="415">
        <f>C11</f>
        <v>-2120</v>
      </c>
      <c r="D12" s="416">
        <f>D11</f>
        <v>-1704</v>
      </c>
      <c r="E12" s="417">
        <f>E11</f>
        <v>-884</v>
      </c>
      <c r="F12" s="399">
        <f t="shared" si="6"/>
        <v>0.80377358490566042</v>
      </c>
      <c r="G12" s="399">
        <f t="shared" si="1"/>
        <v>0.41698113207547172</v>
      </c>
      <c r="H12" s="407">
        <f t="shared" si="7"/>
        <v>-2120</v>
      </c>
      <c r="I12" s="408">
        <f t="shared" si="8"/>
        <v>-254.39999999999998</v>
      </c>
      <c r="J12" s="409">
        <f t="shared" si="9"/>
        <v>0</v>
      </c>
      <c r="K12" s="410">
        <f t="shared" ref="K12:P12" si="15">K11</f>
        <v>1810.4399999999998</v>
      </c>
      <c r="L12" s="410">
        <f t="shared" si="15"/>
        <v>0</v>
      </c>
      <c r="M12" s="399">
        <f t="shared" si="15"/>
        <v>0.5</v>
      </c>
      <c r="N12" s="399">
        <f t="shared" si="15"/>
        <v>1.3</v>
      </c>
      <c r="O12" s="429">
        <f t="shared" si="15"/>
        <v>0.40188679245283021</v>
      </c>
      <c r="P12" s="430">
        <f t="shared" si="15"/>
        <v>1.0449056603773585</v>
      </c>
      <c r="Q12" s="430">
        <f t="shared" si="12"/>
        <v>0.20849056603773586</v>
      </c>
      <c r="R12" s="431">
        <f t="shared" si="13"/>
        <v>0.54207547169811321</v>
      </c>
      <c r="S12" s="399"/>
      <c r="T12" s="414" t="str">
        <f>B12</f>
        <v>Kunshan-ASSY</v>
      </c>
      <c r="U12" s="418"/>
      <c r="V12" s="419"/>
      <c r="W12" s="419"/>
      <c r="X12" s="419"/>
      <c r="Y12" s="419"/>
      <c r="Z12" s="419"/>
      <c r="AA12" s="419"/>
      <c r="AB12" s="419"/>
      <c r="AC12" s="419"/>
      <c r="AD12" s="420"/>
    </row>
    <row r="13" spans="2:31">
      <c r="B13" s="414" t="str">
        <f>'Financials Parameters'!I15</f>
        <v>ElFahs-SAME</v>
      </c>
      <c r="C13" s="415">
        <f t="shared" si="3"/>
        <v>-1581</v>
      </c>
      <c r="D13" s="416">
        <f t="shared" si="4"/>
        <v>-459</v>
      </c>
      <c r="E13" s="417">
        <f t="shared" si="5"/>
        <v>-369</v>
      </c>
      <c r="F13" s="399">
        <f t="shared" si="6"/>
        <v>0.29032258064516131</v>
      </c>
      <c r="G13" s="399">
        <f t="shared" si="1"/>
        <v>0.23339658444022771</v>
      </c>
      <c r="H13" s="407">
        <f t="shared" si="7"/>
        <v>-1581</v>
      </c>
      <c r="I13" s="408">
        <f t="shared" si="8"/>
        <v>-189.72</v>
      </c>
      <c r="J13" s="409">
        <f t="shared" si="9"/>
        <v>0</v>
      </c>
      <c r="K13" s="410">
        <f t="shared" si="10"/>
        <v>713.64</v>
      </c>
      <c r="L13" s="410">
        <f t="shared" si="2"/>
        <v>0</v>
      </c>
      <c r="M13" s="399">
        <v>0.5</v>
      </c>
      <c r="N13" s="399">
        <v>1.3</v>
      </c>
      <c r="O13" s="429">
        <f t="shared" si="14"/>
        <v>0.14516129032258066</v>
      </c>
      <c r="P13" s="430">
        <f t="shared" si="11"/>
        <v>0.3774193548387097</v>
      </c>
      <c r="Q13" s="430">
        <f t="shared" si="12"/>
        <v>0.11669829222011385</v>
      </c>
      <c r="R13" s="431">
        <f t="shared" si="13"/>
        <v>0.30341555977229601</v>
      </c>
      <c r="S13" s="399"/>
      <c r="T13" s="414" t="s">
        <v>808</v>
      </c>
      <c r="U13" s="418">
        <v>5947</v>
      </c>
      <c r="V13" s="419">
        <v>-2457</v>
      </c>
      <c r="W13" s="419">
        <v>-741</v>
      </c>
      <c r="X13" s="419">
        <v>-282</v>
      </c>
      <c r="Y13" s="419">
        <v>-558</v>
      </c>
      <c r="Z13" s="419">
        <v>1909</v>
      </c>
      <c r="AA13" s="419">
        <v>-298</v>
      </c>
      <c r="AB13" s="419">
        <v>-161</v>
      </c>
      <c r="AC13" s="419">
        <v>-369</v>
      </c>
      <c r="AD13" s="420">
        <v>1081</v>
      </c>
    </row>
    <row r="14" spans="2:31" ht="15" thickBot="1">
      <c r="B14" s="20" t="s">
        <v>497</v>
      </c>
      <c r="C14" s="421">
        <f t="shared" si="3"/>
        <v>-1173</v>
      </c>
      <c r="D14" s="422">
        <f t="shared" si="4"/>
        <v>-1097</v>
      </c>
      <c r="E14" s="423">
        <f t="shared" si="5"/>
        <v>-479</v>
      </c>
      <c r="F14" s="399">
        <f t="shared" si="6"/>
        <v>0.93520886615515775</v>
      </c>
      <c r="G14" s="399">
        <f t="shared" si="1"/>
        <v>0.40835464620630862</v>
      </c>
      <c r="H14" s="407">
        <f t="shared" si="7"/>
        <v>-1173</v>
      </c>
      <c r="I14" s="424">
        <f t="shared" si="8"/>
        <v>-140.76</v>
      </c>
      <c r="J14" s="425">
        <f t="shared" si="9"/>
        <v>0</v>
      </c>
      <c r="K14" s="410">
        <f t="shared" si="10"/>
        <v>604.43999999999994</v>
      </c>
      <c r="L14" s="410">
        <f t="shared" si="2"/>
        <v>0</v>
      </c>
      <c r="M14" s="399">
        <v>0.5</v>
      </c>
      <c r="N14" s="399">
        <v>1.3</v>
      </c>
      <c r="O14" s="432">
        <f t="shared" si="14"/>
        <v>0.46760443307757887</v>
      </c>
      <c r="P14" s="433">
        <f t="shared" si="11"/>
        <v>1.215771526001705</v>
      </c>
      <c r="Q14" s="433">
        <f t="shared" si="12"/>
        <v>0.20417732310315431</v>
      </c>
      <c r="R14" s="434">
        <f t="shared" si="13"/>
        <v>0.53086104006820123</v>
      </c>
      <c r="S14" s="399"/>
      <c r="T14" s="20" t="s">
        <v>497</v>
      </c>
      <c r="U14" s="426">
        <v>5037</v>
      </c>
      <c r="V14" s="427">
        <v>-1753</v>
      </c>
      <c r="W14" s="427">
        <v>-659</v>
      </c>
      <c r="X14" s="427">
        <v>-176</v>
      </c>
      <c r="Y14" s="427">
        <v>-338</v>
      </c>
      <c r="Z14" s="427">
        <v>2111</v>
      </c>
      <c r="AA14" s="427">
        <v>-783</v>
      </c>
      <c r="AB14" s="427">
        <v>-314</v>
      </c>
      <c r="AC14" s="427">
        <v>-479</v>
      </c>
      <c r="AD14" s="428">
        <v>535</v>
      </c>
    </row>
    <row r="15" spans="2:31">
      <c r="T15" s="839"/>
      <c r="U15" s="1522"/>
      <c r="V15" s="1522"/>
      <c r="W15" s="1522"/>
      <c r="X15" s="1522"/>
      <c r="Y15" s="1522"/>
      <c r="Z15" s="1522"/>
      <c r="AA15" s="1522"/>
      <c r="AB15" s="1522"/>
      <c r="AC15" s="1522"/>
      <c r="AD15" s="1288"/>
    </row>
    <row r="16" spans="2:31">
      <c r="AD16">
        <v>-258</v>
      </c>
      <c r="AE16" t="s">
        <v>1156</v>
      </c>
    </row>
    <row r="17" spans="2:44">
      <c r="AC17" t="s">
        <v>1157</v>
      </c>
      <c r="AD17" s="419">
        <f>SUM(AD4:AD16)</f>
        <v>16061</v>
      </c>
      <c r="AE17" s="419">
        <f>AD17-1209</f>
        <v>14852</v>
      </c>
    </row>
    <row r="18" spans="2:44">
      <c r="F18" s="1847"/>
      <c r="G18" s="1847"/>
      <c r="H18" s="1847"/>
      <c r="I18" s="1847">
        <v>0.2</v>
      </c>
      <c r="J18" s="1847">
        <v>0</v>
      </c>
      <c r="K18" s="1847"/>
      <c r="L18" s="1847"/>
      <c r="M18" s="1847"/>
      <c r="N18" s="1847"/>
      <c r="O18" s="1847"/>
      <c r="P18" s="1847"/>
      <c r="Q18" s="1847"/>
      <c r="R18" s="1847"/>
    </row>
    <row r="19" spans="2:44">
      <c r="F19" s="1847" t="s">
        <v>1142</v>
      </c>
      <c r="G19" s="1847" t="s">
        <v>1143</v>
      </c>
      <c r="H19" s="1847" t="s">
        <v>1144</v>
      </c>
      <c r="I19" s="1847" t="s">
        <v>1145</v>
      </c>
      <c r="J19" s="1847" t="s">
        <v>1146</v>
      </c>
      <c r="K19" s="1847" t="s">
        <v>1147</v>
      </c>
      <c r="L19" s="1847" t="s">
        <v>1148</v>
      </c>
      <c r="M19" s="1847" t="s">
        <v>1149</v>
      </c>
      <c r="N19" s="1847" t="s">
        <v>1150</v>
      </c>
      <c r="O19" s="1847" t="s">
        <v>783</v>
      </c>
      <c r="P19" s="1847" t="s">
        <v>784</v>
      </c>
      <c r="Q19" s="1847" t="s">
        <v>785</v>
      </c>
      <c r="R19" s="1847" t="s">
        <v>786</v>
      </c>
      <c r="T19" s="1847" t="s">
        <v>1139</v>
      </c>
      <c r="U19" s="1847" t="s">
        <v>1151</v>
      </c>
      <c r="V19" s="1847" t="s">
        <v>262</v>
      </c>
      <c r="W19" s="1847" t="s">
        <v>1066</v>
      </c>
      <c r="X19" s="1847" t="s">
        <v>1152</v>
      </c>
      <c r="Y19" s="1847" t="s">
        <v>778</v>
      </c>
      <c r="Z19" s="1847" t="s">
        <v>791</v>
      </c>
      <c r="AA19" s="1847" t="s">
        <v>1153</v>
      </c>
      <c r="AB19" s="1847" t="s">
        <v>1154</v>
      </c>
      <c r="AC19" s="1847" t="s">
        <v>1155</v>
      </c>
      <c r="AD19" s="1847" t="s">
        <v>824</v>
      </c>
      <c r="AH19" s="2394"/>
      <c r="AI19" s="2394"/>
      <c r="AJ19" s="2394"/>
      <c r="AK19" s="2394"/>
      <c r="AL19" s="2394"/>
      <c r="AM19" s="2394"/>
      <c r="AN19" s="2394"/>
      <c r="AO19" s="2394"/>
      <c r="AP19" s="2394"/>
      <c r="AQ19" s="2394"/>
    </row>
    <row r="20" spans="2:44">
      <c r="B20" s="1835" t="s">
        <v>563</v>
      </c>
      <c r="C20" s="1836">
        <v>-4008</v>
      </c>
      <c r="D20" s="1837">
        <v>-2322</v>
      </c>
      <c r="E20" s="1838">
        <v>-765</v>
      </c>
      <c r="F20" s="1850">
        <v>0.5793413173652695</v>
      </c>
      <c r="G20" s="1850">
        <v>0.19086826347305388</v>
      </c>
      <c r="H20" s="1848">
        <v>-4008</v>
      </c>
      <c r="I20" s="1848">
        <v>-801.6</v>
      </c>
      <c r="J20" s="1848">
        <v>0</v>
      </c>
      <c r="K20" s="1848">
        <v>1743.2</v>
      </c>
      <c r="L20" s="1848">
        <v>0</v>
      </c>
      <c r="M20" s="1850">
        <v>0.5</v>
      </c>
      <c r="N20" s="1850">
        <v>1.3</v>
      </c>
      <c r="O20" s="1850">
        <v>0.28967065868263475</v>
      </c>
      <c r="P20" s="1850">
        <v>0.75314371257485035</v>
      </c>
      <c r="Q20" s="1850">
        <v>9.5434131736526942E-2</v>
      </c>
      <c r="R20" s="1850">
        <v>0.24812874251497005</v>
      </c>
      <c r="T20" s="1847" t="s">
        <v>563</v>
      </c>
      <c r="U20" s="1849">
        <v>8716</v>
      </c>
      <c r="V20" s="1849">
        <v>-2577</v>
      </c>
      <c r="W20" s="1849">
        <v>-2180</v>
      </c>
      <c r="X20" s="1849">
        <v>-237</v>
      </c>
      <c r="Y20" s="1849">
        <v>-1591</v>
      </c>
      <c r="Z20" s="1849">
        <v>2131</v>
      </c>
      <c r="AA20" s="1849">
        <v>-1832</v>
      </c>
      <c r="AB20" s="1849">
        <v>-490</v>
      </c>
      <c r="AC20" s="1849">
        <v>-765</v>
      </c>
      <c r="AD20" s="1849">
        <v>-956</v>
      </c>
      <c r="AH20" s="398"/>
      <c r="AI20" s="398"/>
      <c r="AJ20" s="398"/>
      <c r="AK20" s="398"/>
      <c r="AL20" s="398"/>
      <c r="AM20" s="398"/>
      <c r="AN20" s="398"/>
      <c r="AO20" s="398"/>
      <c r="AP20" s="398"/>
      <c r="AQ20" s="398"/>
    </row>
    <row r="21" spans="2:44">
      <c r="B21" s="1839" t="s">
        <v>515</v>
      </c>
      <c r="C21" s="1840">
        <v>-798.32609195402301</v>
      </c>
      <c r="D21" s="1841">
        <v>-482.14822988505745</v>
      </c>
      <c r="E21" s="1842">
        <v>-462.22149425287358</v>
      </c>
      <c r="F21" s="1850">
        <v>0.60394898118001783</v>
      </c>
      <c r="G21" s="1850">
        <v>0.57898833435534725</v>
      </c>
      <c r="H21" s="1848">
        <v>-798.32609195402301</v>
      </c>
      <c r="I21" s="1848">
        <v>-159.66521839080463</v>
      </c>
      <c r="J21" s="1848">
        <v>0</v>
      </c>
      <c r="K21" s="1848">
        <v>913.09154482758629</v>
      </c>
      <c r="L21" s="1848">
        <v>0</v>
      </c>
      <c r="M21" s="1850">
        <v>0.5</v>
      </c>
      <c r="N21" s="1850">
        <v>1.3</v>
      </c>
      <c r="O21" s="1850">
        <v>0.30197449059000891</v>
      </c>
      <c r="P21" s="1850">
        <v>0.78513367553402325</v>
      </c>
      <c r="Q21" s="1850">
        <v>0.28949416717767362</v>
      </c>
      <c r="R21" s="1850">
        <v>0.75268483466195146</v>
      </c>
      <c r="T21" s="1847" t="s">
        <v>515</v>
      </c>
      <c r="U21" s="1849">
        <v>4565.4577241379311</v>
      </c>
      <c r="V21" s="1849">
        <v>-2222.6293103448274</v>
      </c>
      <c r="W21" s="1849">
        <v>-207.92595402298849</v>
      </c>
      <c r="X21" s="1849">
        <v>-155.15405747126437</v>
      </c>
      <c r="Y21" s="1849">
        <v>-435.2460804597701</v>
      </c>
      <c r="Z21" s="1849">
        <v>1544.5023218390804</v>
      </c>
      <c r="AA21" s="1849">
        <v>-300.07166666666666</v>
      </c>
      <c r="AB21" s="1849">
        <v>-182.07656321839079</v>
      </c>
      <c r="AC21" s="1849">
        <v>-462.22149425287358</v>
      </c>
      <c r="AD21" s="1849">
        <v>600.13259770114928</v>
      </c>
      <c r="AH21" s="419"/>
      <c r="AI21" s="419"/>
      <c r="AJ21" s="419"/>
      <c r="AK21" s="419"/>
      <c r="AL21" s="419"/>
      <c r="AM21" s="419"/>
      <c r="AN21" s="419"/>
      <c r="AO21" s="419"/>
      <c r="AP21" s="419"/>
      <c r="AQ21" s="419"/>
    </row>
    <row r="22" spans="2:44">
      <c r="B22" s="1839" t="s">
        <v>796</v>
      </c>
      <c r="C22" s="1840">
        <v>-2066.4866080882352</v>
      </c>
      <c r="D22" s="1841">
        <v>-1221.9334691176473</v>
      </c>
      <c r="E22" s="1842">
        <v>-429.06680220588231</v>
      </c>
      <c r="F22" s="1850">
        <v>0.5913096481414376</v>
      </c>
      <c r="G22" s="1850">
        <v>0.20763105868991044</v>
      </c>
      <c r="H22" s="1848">
        <v>-2066.4866080882352</v>
      </c>
      <c r="I22" s="1848">
        <v>-413.29732161764707</v>
      </c>
      <c r="J22" s="1848">
        <v>0</v>
      </c>
      <c r="K22" s="1848">
        <v>1202.0197120588236</v>
      </c>
      <c r="L22" s="1848">
        <v>0</v>
      </c>
      <c r="M22" s="1850">
        <v>0.5</v>
      </c>
      <c r="N22" s="1850">
        <v>1.3</v>
      </c>
      <c r="O22" s="1850">
        <v>0.2956548240707188</v>
      </c>
      <c r="P22" s="1850">
        <v>0.76870254258386894</v>
      </c>
      <c r="Q22" s="1850">
        <v>0.10381552934495522</v>
      </c>
      <c r="R22" s="1850">
        <v>0.26992037629688359</v>
      </c>
      <c r="T22" s="1847" t="s">
        <v>796</v>
      </c>
      <c r="U22" s="1849">
        <v>6010.0985602941182</v>
      </c>
      <c r="V22" s="1849">
        <v>-2324.4071933823529</v>
      </c>
      <c r="W22" s="1849">
        <v>-1260.4898838235295</v>
      </c>
      <c r="X22" s="1849">
        <v>-183.66588308823529</v>
      </c>
      <c r="Y22" s="1849">
        <v>-622.33084117647059</v>
      </c>
      <c r="Z22" s="1849">
        <v>1619.20475882353</v>
      </c>
      <c r="AA22" s="1849">
        <v>-915.79086470588243</v>
      </c>
      <c r="AB22" s="1849">
        <v>-306.14260441176475</v>
      </c>
      <c r="AC22" s="1849">
        <v>-429.06680220588231</v>
      </c>
      <c r="AD22" s="1849">
        <v>-31.795512499999461</v>
      </c>
      <c r="AH22" s="419"/>
      <c r="AI22" s="419"/>
      <c r="AJ22" s="419"/>
      <c r="AK22" s="419"/>
      <c r="AL22" s="419"/>
      <c r="AM22" s="419"/>
      <c r="AN22" s="419"/>
      <c r="AO22" s="419"/>
      <c r="AP22" s="419"/>
      <c r="AQ22" s="419"/>
    </row>
    <row r="23" spans="2:44">
      <c r="B23" s="1839" t="s">
        <v>592</v>
      </c>
      <c r="C23" s="1840">
        <v>-1206.5126269230773</v>
      </c>
      <c r="D23" s="1841">
        <v>-701.42695128205128</v>
      </c>
      <c r="E23" s="1842">
        <v>0</v>
      </c>
      <c r="F23" s="1850">
        <v>0.5813672692932137</v>
      </c>
      <c r="G23" s="1850">
        <v>0</v>
      </c>
      <c r="H23" s="1848">
        <v>-1206.5126269230773</v>
      </c>
      <c r="I23" s="1848">
        <v>-241.30252538461548</v>
      </c>
      <c r="J23" s="1848">
        <v>0</v>
      </c>
      <c r="K23" s="1848">
        <v>956.55037205128235</v>
      </c>
      <c r="L23" s="1848">
        <v>0</v>
      </c>
      <c r="M23" s="1850">
        <v>0.5</v>
      </c>
      <c r="N23" s="1850">
        <v>1.3</v>
      </c>
      <c r="O23" s="1850">
        <v>0.29068363464660685</v>
      </c>
      <c r="P23" s="1850">
        <v>0.7557774500811778</v>
      </c>
      <c r="Q23" s="1850">
        <v>0</v>
      </c>
      <c r="R23" s="1850">
        <v>0</v>
      </c>
      <c r="T23" s="1847" t="s">
        <v>592</v>
      </c>
      <c r="U23" s="1849">
        <v>4782.7518602564114</v>
      </c>
      <c r="V23" s="1849">
        <v>-1810.464116666667</v>
      </c>
      <c r="W23" s="1849">
        <v>-375.5485358974359</v>
      </c>
      <c r="X23" s="1849">
        <v>-257.30476666666669</v>
      </c>
      <c r="Y23" s="1849">
        <v>-573.65932435897457</v>
      </c>
      <c r="Z23" s="1849">
        <v>1765.7751166666671</v>
      </c>
      <c r="AA23" s="1849">
        <v>-337.74953717948716</v>
      </c>
      <c r="AB23" s="1849">
        <v>-363.67741410256406</v>
      </c>
      <c r="AC23" s="1849">
        <v>0</v>
      </c>
      <c r="AD23" s="1849">
        <v>1064.3481653846161</v>
      </c>
      <c r="AH23" s="419"/>
      <c r="AI23" s="419"/>
      <c r="AJ23" s="419"/>
      <c r="AK23" s="419"/>
      <c r="AL23" s="419"/>
      <c r="AM23" s="419"/>
      <c r="AN23" s="419"/>
      <c r="AO23" s="419"/>
      <c r="AP23" s="419"/>
      <c r="AQ23" s="419"/>
    </row>
    <row r="24" spans="2:44">
      <c r="B24" s="1839" t="s">
        <v>587</v>
      </c>
      <c r="C24" s="1840">
        <v>-649.81899999999996</v>
      </c>
      <c r="D24" s="1841">
        <v>-296.858</v>
      </c>
      <c r="E24" s="1842">
        <v>-184.28174999999999</v>
      </c>
      <c r="F24" s="1850">
        <v>0.45683182547755607</v>
      </c>
      <c r="G24" s="1850">
        <v>0.28358935334300783</v>
      </c>
      <c r="H24" s="1848">
        <v>-649.81899999999996</v>
      </c>
      <c r="I24" s="1848">
        <v>-129.96379999999999</v>
      </c>
      <c r="J24" s="1848">
        <v>0</v>
      </c>
      <c r="K24" s="1848">
        <v>492.96120000000002</v>
      </c>
      <c r="L24" s="1848">
        <v>0</v>
      </c>
      <c r="M24" s="1850">
        <v>0.5</v>
      </c>
      <c r="N24" s="1850">
        <v>1.3</v>
      </c>
      <c r="O24" s="1850">
        <v>0.22841591273877804</v>
      </c>
      <c r="P24" s="1850">
        <v>0.5938813731208229</v>
      </c>
      <c r="Q24" s="1850">
        <v>0.14179467667150392</v>
      </c>
      <c r="R24" s="1850">
        <v>0.36866615934591018</v>
      </c>
      <c r="T24" s="1847" t="s">
        <v>587</v>
      </c>
      <c r="U24" s="1849">
        <v>2464.806</v>
      </c>
      <c r="V24" s="1849">
        <v>-1485.2908</v>
      </c>
      <c r="W24" s="1849">
        <v>-333.40699999999998</v>
      </c>
      <c r="X24" s="1849">
        <v>-24.456999999999997</v>
      </c>
      <c r="Y24" s="1849">
        <v>-291.95499999999998</v>
      </c>
      <c r="Z24" s="1849">
        <v>329.69620000000015</v>
      </c>
      <c r="AA24" s="1849">
        <v>-170.58</v>
      </c>
      <c r="AB24" s="1849">
        <v>-126.27800000000001</v>
      </c>
      <c r="AC24" s="1849">
        <v>-184.28174999999999</v>
      </c>
      <c r="AD24" s="1849">
        <v>-151.44354999999985</v>
      </c>
      <c r="AH24" s="419"/>
      <c r="AI24" s="419"/>
      <c r="AJ24" s="419"/>
      <c r="AK24" s="419"/>
      <c r="AL24" s="419"/>
      <c r="AM24" s="419"/>
      <c r="AN24" s="419"/>
      <c r="AO24" s="419"/>
      <c r="AP24" s="419"/>
      <c r="AQ24" s="419"/>
    </row>
    <row r="25" spans="2:44">
      <c r="B25" s="1839" t="s">
        <v>546</v>
      </c>
      <c r="C25" s="1840">
        <v>-3646.6590000000001</v>
      </c>
      <c r="D25" s="1841">
        <v>-1585.18</v>
      </c>
      <c r="E25" s="1842">
        <v>-1001.8835799999999</v>
      </c>
      <c r="F25" s="1850">
        <v>0.43469378409113657</v>
      </c>
      <c r="G25" s="1850">
        <v>0.27474013336591108</v>
      </c>
      <c r="H25" s="1848">
        <v>-3646.6590000000001</v>
      </c>
      <c r="I25" s="1848">
        <v>-729.33180000000004</v>
      </c>
      <c r="J25" s="1848">
        <v>0</v>
      </c>
      <c r="K25" s="1848">
        <v>3358.8932</v>
      </c>
      <c r="L25" s="1848">
        <v>0</v>
      </c>
      <c r="M25" s="1850">
        <v>0.5</v>
      </c>
      <c r="N25" s="1850">
        <v>1.3</v>
      </c>
      <c r="O25" s="1850">
        <v>0.21734689204556829</v>
      </c>
      <c r="P25" s="1850">
        <v>0.56510191931847753</v>
      </c>
      <c r="Q25" s="1850">
        <v>0.13737006668295554</v>
      </c>
      <c r="R25" s="1850">
        <v>0.3571621733756844</v>
      </c>
      <c r="T25" s="1847" t="s">
        <v>546</v>
      </c>
      <c r="U25" s="1849">
        <v>16794.466</v>
      </c>
      <c r="V25" s="1849">
        <v>-10707.660039999999</v>
      </c>
      <c r="W25" s="1849">
        <v>-1777.086</v>
      </c>
      <c r="X25" s="1849">
        <v>-839.35799999999995</v>
      </c>
      <c r="Y25" s="1849">
        <v>-1030.2150000000001</v>
      </c>
      <c r="Z25" s="1849">
        <v>2440.1469600000009</v>
      </c>
      <c r="AA25" s="1849">
        <v>-879.26499999999999</v>
      </c>
      <c r="AB25" s="1849">
        <v>-705.91500000000008</v>
      </c>
      <c r="AC25" s="1849">
        <v>-1001.8835799999999</v>
      </c>
      <c r="AD25" s="1849">
        <v>-146.91661999999894</v>
      </c>
      <c r="AH25" s="419"/>
      <c r="AI25" s="419"/>
      <c r="AJ25" s="419"/>
      <c r="AK25" s="419"/>
      <c r="AL25" s="419"/>
      <c r="AM25" s="419"/>
      <c r="AN25" s="419"/>
      <c r="AO25" s="419"/>
      <c r="AP25" s="419"/>
      <c r="AQ25" s="419"/>
    </row>
    <row r="26" spans="2:44">
      <c r="B26" s="1839" t="s">
        <v>574</v>
      </c>
      <c r="C26" s="1840">
        <v>-1080.5084745762713</v>
      </c>
      <c r="D26" s="1841">
        <v>-686.4406779661017</v>
      </c>
      <c r="E26" s="1842">
        <v>-469.49152542372889</v>
      </c>
      <c r="F26" s="1850">
        <v>0.63529411764705879</v>
      </c>
      <c r="G26" s="1850">
        <v>0.43450980392156868</v>
      </c>
      <c r="H26" s="1848">
        <v>-1080.5084745762713</v>
      </c>
      <c r="I26" s="1848">
        <v>-216.10169491525426</v>
      </c>
      <c r="J26" s="1848">
        <v>0</v>
      </c>
      <c r="K26" s="1848">
        <v>1194.7457627118645</v>
      </c>
      <c r="L26" s="1848">
        <v>0</v>
      </c>
      <c r="M26" s="1850">
        <v>0.5</v>
      </c>
      <c r="N26" s="1850">
        <v>1.3</v>
      </c>
      <c r="O26" s="1850">
        <v>0.31764705882352939</v>
      </c>
      <c r="P26" s="1850">
        <v>0.8258823529411764</v>
      </c>
      <c r="Q26" s="1850">
        <v>0.21725490196078434</v>
      </c>
      <c r="R26" s="1850">
        <v>0.56486274509803935</v>
      </c>
      <c r="T26" s="1847" t="s">
        <v>574</v>
      </c>
      <c r="U26" s="1849">
        <v>5973.7288135593226</v>
      </c>
      <c r="V26" s="1849">
        <v>-2854.2372881355932</v>
      </c>
      <c r="W26" s="1849">
        <v>-466.10169491525426</v>
      </c>
      <c r="X26" s="1849">
        <v>-330.50847457627117</v>
      </c>
      <c r="Y26" s="1849">
        <v>-283.89830508474586</v>
      </c>
      <c r="Z26" s="1849">
        <v>2038.9830508474579</v>
      </c>
      <c r="AA26" s="1849">
        <v>-383.8983050847458</v>
      </c>
      <c r="AB26" s="1849">
        <v>-302.54237288135596</v>
      </c>
      <c r="AC26" s="1849">
        <v>-469.49152542372889</v>
      </c>
      <c r="AD26" s="1849">
        <v>883.05084745762724</v>
      </c>
      <c r="AH26" s="419"/>
      <c r="AI26" s="419"/>
      <c r="AJ26" s="419"/>
      <c r="AK26" s="419"/>
      <c r="AL26" s="419"/>
      <c r="AM26" s="419"/>
      <c r="AN26" s="419"/>
      <c r="AO26" s="419"/>
      <c r="AP26" s="419"/>
      <c r="AQ26" s="419"/>
    </row>
    <row r="27" spans="2:44">
      <c r="B27" s="1839" t="s">
        <v>384</v>
      </c>
      <c r="C27" s="1840">
        <v>-977.29030128205125</v>
      </c>
      <c r="D27" s="1841">
        <v>-822.03589102564104</v>
      </c>
      <c r="E27" s="1842">
        <v>-304.77355384615385</v>
      </c>
      <c r="F27" s="1850">
        <v>0.84113787883422064</v>
      </c>
      <c r="G27" s="1850">
        <v>0.31185570290254477</v>
      </c>
      <c r="H27" s="1848">
        <v>-977.29030128205125</v>
      </c>
      <c r="I27" s="1848">
        <v>-195.45806025641025</v>
      </c>
      <c r="J27" s="1848">
        <v>0</v>
      </c>
      <c r="K27" s="1848">
        <v>986.76828564102584</v>
      </c>
      <c r="L27" s="1848">
        <v>0</v>
      </c>
      <c r="M27" s="1850">
        <v>0.5</v>
      </c>
      <c r="N27" s="1850">
        <v>1.3</v>
      </c>
      <c r="O27" s="1850">
        <v>0.42056893941711032</v>
      </c>
      <c r="P27" s="1850">
        <v>1.0934792424844868</v>
      </c>
      <c r="Q27" s="1850">
        <v>0.15592785145127239</v>
      </c>
      <c r="R27" s="1850">
        <v>0.40541241377330822</v>
      </c>
      <c r="T27" s="1847" t="s">
        <v>384</v>
      </c>
      <c r="U27" s="1849">
        <v>4933.841428205129</v>
      </c>
      <c r="V27" s="1849">
        <v>-3110.7222166666661</v>
      </c>
      <c r="W27" s="1849">
        <v>-599.86040641025636</v>
      </c>
      <c r="X27" s="1849">
        <v>-99.349042307692315</v>
      </c>
      <c r="Y27" s="1849">
        <v>-278.08085256410254</v>
      </c>
      <c r="Z27" s="1849">
        <v>845.82891025641152</v>
      </c>
      <c r="AA27" s="1849">
        <v>-467.08864487179488</v>
      </c>
      <c r="AB27" s="1849">
        <v>-354.94724615384615</v>
      </c>
      <c r="AC27" s="1849">
        <v>-304.77355384615385</v>
      </c>
      <c r="AD27" s="1849">
        <v>-280.98053461538336</v>
      </c>
      <c r="AH27" s="419"/>
      <c r="AI27" s="419"/>
      <c r="AJ27" s="419"/>
      <c r="AK27" s="419"/>
      <c r="AL27" s="419"/>
      <c r="AM27" s="419"/>
      <c r="AN27" s="419"/>
      <c r="AO27" s="419"/>
      <c r="AP27" s="419"/>
      <c r="AQ27" s="419"/>
    </row>
    <row r="28" spans="2:44">
      <c r="B28" s="1839" t="s">
        <v>808</v>
      </c>
      <c r="C28" s="1840">
        <v>-640.89642000000003</v>
      </c>
      <c r="D28" s="1841">
        <v>-230.88858000000002</v>
      </c>
      <c r="E28" s="1842">
        <v>-164.66900000000001</v>
      </c>
      <c r="F28" s="1850">
        <v>0.36025880749965805</v>
      </c>
      <c r="G28" s="1850">
        <v>0.25693543427813187</v>
      </c>
      <c r="H28" s="1848">
        <v>-640.89642000000003</v>
      </c>
      <c r="I28" s="1848">
        <v>-128.17928400000002</v>
      </c>
      <c r="J28" s="1848">
        <v>0</v>
      </c>
      <c r="K28" s="1848">
        <v>423.71260000000007</v>
      </c>
      <c r="L28" s="1848">
        <v>0</v>
      </c>
      <c r="M28" s="1850">
        <v>0.5</v>
      </c>
      <c r="N28" s="1850">
        <v>1.3</v>
      </c>
      <c r="O28" s="1850">
        <v>0.18012940374982903</v>
      </c>
      <c r="P28" s="1850">
        <v>0.46833644974955546</v>
      </c>
      <c r="Q28" s="1850">
        <v>0.12846771713906593</v>
      </c>
      <c r="R28" s="1850">
        <v>0.33401606456157146</v>
      </c>
      <c r="T28" s="1847" t="s">
        <v>808</v>
      </c>
      <c r="U28" s="1849">
        <v>2118.5630000000001</v>
      </c>
      <c r="V28" s="1849">
        <v>-873.18100000000004</v>
      </c>
      <c r="W28" s="1849">
        <v>-318.87</v>
      </c>
      <c r="X28" s="1849">
        <v>-102.76742</v>
      </c>
      <c r="Y28" s="1849">
        <v>-219.25899999999996</v>
      </c>
      <c r="Z28" s="1849">
        <v>604.48558000000003</v>
      </c>
      <c r="AA28" s="1849">
        <v>-149.36500000000001</v>
      </c>
      <c r="AB28" s="1849">
        <v>-81.52358000000001</v>
      </c>
      <c r="AC28" s="1849">
        <v>-164.66900000000001</v>
      </c>
      <c r="AD28" s="1849">
        <v>208.92799999999997</v>
      </c>
    </row>
    <row r="29" spans="2:44">
      <c r="B29" s="1843" t="s">
        <v>497</v>
      </c>
      <c r="C29" s="1844">
        <v>-700.15200000000004</v>
      </c>
      <c r="D29" s="1845">
        <v>-496.50046999999995</v>
      </c>
      <c r="E29" s="1846">
        <v>-216.17799999999997</v>
      </c>
      <c r="F29" s="1850">
        <v>0.70913240267827549</v>
      </c>
      <c r="G29" s="1850">
        <v>0.30875866954604136</v>
      </c>
      <c r="H29" s="1848">
        <v>-700.15200000000004</v>
      </c>
      <c r="I29" s="1848">
        <v>-140.03040000000001</v>
      </c>
      <c r="J29" s="1848">
        <v>0</v>
      </c>
      <c r="K29" s="1848">
        <v>515.16940000000011</v>
      </c>
      <c r="L29" s="1848">
        <v>0</v>
      </c>
      <c r="M29" s="1850">
        <v>0.5</v>
      </c>
      <c r="N29" s="1850">
        <v>1.3</v>
      </c>
      <c r="O29" s="1850">
        <v>0.35456620133913774</v>
      </c>
      <c r="P29" s="1850">
        <v>0.92187212348175818</v>
      </c>
      <c r="Q29" s="1850">
        <v>0.15437933477302068</v>
      </c>
      <c r="R29" s="1850">
        <v>0.40138627040985381</v>
      </c>
      <c r="T29" s="1847" t="s">
        <v>497</v>
      </c>
      <c r="U29" s="1849">
        <v>2575.8470000000002</v>
      </c>
      <c r="V29" s="1849">
        <v>-885.32299999999998</v>
      </c>
      <c r="W29" s="1849">
        <v>-401.09699999999998</v>
      </c>
      <c r="X29" s="1849">
        <v>-104.605</v>
      </c>
      <c r="Y29" s="1849">
        <v>-194.45</v>
      </c>
      <c r="Z29" s="1849">
        <v>990.3720000000003</v>
      </c>
      <c r="AA29" s="1849">
        <v>-393.73146999999994</v>
      </c>
      <c r="AB29" s="1849">
        <v>-102.76900000000001</v>
      </c>
      <c r="AC29" s="1849">
        <v>-216.17799999999997</v>
      </c>
      <c r="AD29" s="1849">
        <v>277.69353000000035</v>
      </c>
      <c r="AH29" s="419"/>
      <c r="AI29" s="419"/>
      <c r="AJ29" s="419"/>
      <c r="AK29" s="419"/>
      <c r="AL29" s="419"/>
      <c r="AM29" s="419"/>
      <c r="AN29" s="419"/>
      <c r="AO29" s="419"/>
      <c r="AP29" s="419"/>
      <c r="AQ29" s="419"/>
    </row>
    <row r="30" spans="2:44">
      <c r="AH30" s="419"/>
      <c r="AI30" s="419"/>
      <c r="AJ30" s="419"/>
      <c r="AK30" s="419"/>
      <c r="AL30" s="419"/>
      <c r="AM30" s="419"/>
      <c r="AN30" s="419"/>
      <c r="AO30" s="419"/>
      <c r="AP30" s="419"/>
      <c r="AQ30" s="419"/>
    </row>
    <row r="31" spans="2:44" ht="29.4" thickBot="1">
      <c r="O31" s="2563" t="s">
        <v>1158</v>
      </c>
      <c r="P31" s="2563"/>
      <c r="Q31" s="2563"/>
      <c r="R31" s="2563"/>
      <c r="T31" s="27" t="s">
        <v>1139</v>
      </c>
      <c r="U31" s="396" t="s">
        <v>1151</v>
      </c>
      <c r="V31" s="396" t="s">
        <v>262</v>
      </c>
      <c r="W31" s="396" t="s">
        <v>1066</v>
      </c>
      <c r="X31" s="396" t="s">
        <v>1152</v>
      </c>
      <c r="Y31" s="396" t="s">
        <v>778</v>
      </c>
      <c r="Z31" s="396" t="s">
        <v>1153</v>
      </c>
      <c r="AA31" s="396" t="s">
        <v>1154</v>
      </c>
      <c r="AB31" s="396" t="s">
        <v>1155</v>
      </c>
      <c r="AC31" s="396" t="s">
        <v>824</v>
      </c>
    </row>
    <row r="32" spans="2:44" ht="29.4" thickBot="1">
      <c r="O32" s="435" t="s">
        <v>783</v>
      </c>
      <c r="P32" s="436" t="s">
        <v>784</v>
      </c>
      <c r="Q32" s="436" t="s">
        <v>785</v>
      </c>
      <c r="R32" s="437" t="s">
        <v>786</v>
      </c>
      <c r="T32" s="34" t="s">
        <v>563</v>
      </c>
      <c r="U32" s="1540" t="s">
        <v>1159</v>
      </c>
      <c r="V32" s="404" t="s">
        <v>1159</v>
      </c>
      <c r="W32" s="404" t="s">
        <v>1159</v>
      </c>
      <c r="X32" s="404" t="s">
        <v>1159</v>
      </c>
      <c r="Y32" s="404" t="s">
        <v>1159</v>
      </c>
      <c r="Z32" s="404" t="s">
        <v>1159</v>
      </c>
      <c r="AA32" s="404" t="s">
        <v>1159</v>
      </c>
      <c r="AB32" s="404" t="s">
        <v>1159</v>
      </c>
      <c r="AC32" s="406" t="s">
        <v>1159</v>
      </c>
      <c r="AQ32" s="419"/>
      <c r="AR32" s="419"/>
    </row>
    <row r="33" spans="14:29">
      <c r="N33" s="219" t="s">
        <v>563</v>
      </c>
      <c r="O33" s="429">
        <v>0.27174180832717421</v>
      </c>
      <c r="P33" s="430">
        <v>0.70652870165065296</v>
      </c>
      <c r="Q33" s="430">
        <v>0.10452081793545208</v>
      </c>
      <c r="R33" s="431">
        <v>0.27175412663217541</v>
      </c>
      <c r="T33" s="414" t="s">
        <v>515</v>
      </c>
      <c r="U33" s="1541" t="s">
        <v>1159</v>
      </c>
      <c r="V33" s="415" t="s">
        <v>1159</v>
      </c>
      <c r="W33" s="415" t="s">
        <v>1159</v>
      </c>
      <c r="X33" s="415" t="s">
        <v>1159</v>
      </c>
      <c r="Y33" s="415" t="s">
        <v>1159</v>
      </c>
      <c r="Z33" s="415" t="s">
        <v>1159</v>
      </c>
      <c r="AA33" s="415" t="s">
        <v>1159</v>
      </c>
      <c r="AB33" s="415" t="s">
        <v>1159</v>
      </c>
      <c r="AC33" s="417" t="s">
        <v>1159</v>
      </c>
    </row>
    <row r="34" spans="14:29">
      <c r="N34" s="219" t="s">
        <v>515</v>
      </c>
      <c r="O34" s="429">
        <v>0.1928440366972477</v>
      </c>
      <c r="P34" s="430">
        <v>0.50139449541284409</v>
      </c>
      <c r="Q34" s="430">
        <v>0.20440366972477064</v>
      </c>
      <c r="R34" s="431">
        <v>0.53144954128440369</v>
      </c>
      <c r="T34" s="414" t="s">
        <v>796</v>
      </c>
      <c r="U34" s="1541" t="s">
        <v>1159</v>
      </c>
      <c r="V34" s="415" t="s">
        <v>1159</v>
      </c>
      <c r="W34" s="415" t="s">
        <v>1159</v>
      </c>
      <c r="X34" s="415" t="s">
        <v>1159</v>
      </c>
      <c r="Y34" s="415" t="s">
        <v>1159</v>
      </c>
      <c r="Z34" s="415" t="s">
        <v>1159</v>
      </c>
      <c r="AA34" s="415" t="s">
        <v>1159</v>
      </c>
      <c r="AB34" s="415" t="s">
        <v>1159</v>
      </c>
      <c r="AC34" s="417" t="s">
        <v>1159</v>
      </c>
    </row>
    <row r="35" spans="14:29">
      <c r="N35" s="219" t="s">
        <v>796</v>
      </c>
      <c r="O35" s="429">
        <v>0.30564228367528989</v>
      </c>
      <c r="P35" s="430">
        <v>0.79466993755575377</v>
      </c>
      <c r="Q35" s="430">
        <v>0.11106155218554861</v>
      </c>
      <c r="R35" s="431">
        <v>0.28876003568242642</v>
      </c>
      <c r="T35" s="414" t="s">
        <v>592</v>
      </c>
      <c r="U35" s="1541" t="s">
        <v>1159</v>
      </c>
      <c r="V35" s="415" t="s">
        <v>1159</v>
      </c>
      <c r="W35" s="415" t="s">
        <v>1159</v>
      </c>
      <c r="X35" s="415" t="s">
        <v>1159</v>
      </c>
      <c r="Y35" s="415" t="s">
        <v>1159</v>
      </c>
      <c r="Z35" s="415" t="s">
        <v>1159</v>
      </c>
      <c r="AA35" s="415" t="s">
        <v>1159</v>
      </c>
      <c r="AB35" s="415" t="s">
        <v>1159</v>
      </c>
      <c r="AC35" s="417" t="s">
        <v>1159</v>
      </c>
    </row>
    <row r="36" spans="14:29">
      <c r="N36" s="219" t="s">
        <v>592</v>
      </c>
      <c r="O36" s="429">
        <v>0.27481031866464339</v>
      </c>
      <c r="P36" s="430">
        <v>0.7145068285280729</v>
      </c>
      <c r="Q36" s="430">
        <v>1.7298937784522003E-2</v>
      </c>
      <c r="R36" s="431">
        <v>4.497723823975721E-2</v>
      </c>
      <c r="T36" s="414" t="s">
        <v>587</v>
      </c>
      <c r="U36" s="1541" t="s">
        <v>1159</v>
      </c>
      <c r="V36" s="415" t="s">
        <v>1159</v>
      </c>
      <c r="W36" s="415" t="s">
        <v>1159</v>
      </c>
      <c r="X36" s="415" t="s">
        <v>1159</v>
      </c>
      <c r="Y36" s="415" t="s">
        <v>1159</v>
      </c>
      <c r="Z36" s="415" t="s">
        <v>1159</v>
      </c>
      <c r="AA36" s="415" t="s">
        <v>1159</v>
      </c>
      <c r="AB36" s="415" t="s">
        <v>1159</v>
      </c>
      <c r="AC36" s="417" t="s">
        <v>1159</v>
      </c>
    </row>
    <row r="37" spans="14:29">
      <c r="N37" s="219" t="s">
        <v>587</v>
      </c>
      <c r="O37" s="429">
        <v>0.20170674941815361</v>
      </c>
      <c r="P37" s="430">
        <v>0.52443754848719937</v>
      </c>
      <c r="Q37" s="430">
        <v>0.16330488750969743</v>
      </c>
      <c r="R37" s="431">
        <v>0.42459270752521333</v>
      </c>
      <c r="T37" s="414" t="s">
        <v>546</v>
      </c>
      <c r="U37" s="1541" t="s">
        <v>1159</v>
      </c>
      <c r="V37" s="415" t="s">
        <v>1159</v>
      </c>
      <c r="W37" s="415" t="s">
        <v>1159</v>
      </c>
      <c r="X37" s="415" t="s">
        <v>1159</v>
      </c>
      <c r="Y37" s="415" t="s">
        <v>1159</v>
      </c>
      <c r="Z37" s="415" t="s">
        <v>1159</v>
      </c>
      <c r="AA37" s="415" t="s">
        <v>1159</v>
      </c>
      <c r="AB37" s="415" t="s">
        <v>1159</v>
      </c>
      <c r="AC37" s="417" t="s">
        <v>1159</v>
      </c>
    </row>
    <row r="38" spans="14:29">
      <c r="N38" s="219" t="s">
        <v>546</v>
      </c>
      <c r="O38" s="429">
        <v>0.20616669107953714</v>
      </c>
      <c r="P38" s="430">
        <v>0.53603339680679662</v>
      </c>
      <c r="Q38" s="430">
        <v>0.17167130511205508</v>
      </c>
      <c r="R38" s="431">
        <v>0.44634539329134321</v>
      </c>
      <c r="T38" s="414" t="s">
        <v>574</v>
      </c>
      <c r="U38" s="1541" t="s">
        <v>1159</v>
      </c>
      <c r="V38" s="415" t="s">
        <v>1159</v>
      </c>
      <c r="W38" s="415" t="s">
        <v>1159</v>
      </c>
      <c r="X38" s="415" t="s">
        <v>1159</v>
      </c>
      <c r="Y38" s="415" t="s">
        <v>1159</v>
      </c>
      <c r="Z38" s="415" t="s">
        <v>1159</v>
      </c>
      <c r="AA38" s="415" t="s">
        <v>1159</v>
      </c>
      <c r="AB38" s="415" t="s">
        <v>1159</v>
      </c>
      <c r="AC38" s="417" t="s">
        <v>1159</v>
      </c>
    </row>
    <row r="39" spans="14:29">
      <c r="N39" s="219" t="s">
        <v>574</v>
      </c>
      <c r="O39" s="429">
        <v>0.27936606587942819</v>
      </c>
      <c r="P39" s="430">
        <v>0.72635177128651329</v>
      </c>
      <c r="Q39" s="430">
        <v>0.19670602858918582</v>
      </c>
      <c r="R39" s="431">
        <v>0.51143567433188319</v>
      </c>
      <c r="T39" s="414" t="s">
        <v>384</v>
      </c>
      <c r="U39" s="1541" t="s">
        <v>1159</v>
      </c>
      <c r="V39" s="415" t="s">
        <v>1159</v>
      </c>
      <c r="W39" s="415" t="s">
        <v>1159</v>
      </c>
      <c r="X39" s="415" t="s">
        <v>1159</v>
      </c>
      <c r="Y39" s="415" t="s">
        <v>1159</v>
      </c>
      <c r="Z39" s="415" t="s">
        <v>1159</v>
      </c>
      <c r="AA39" s="415" t="s">
        <v>1159</v>
      </c>
      <c r="AB39" s="415" t="s">
        <v>1159</v>
      </c>
      <c r="AC39" s="417" t="s">
        <v>1159</v>
      </c>
    </row>
    <row r="40" spans="14:29">
      <c r="N40" s="219" t="s">
        <v>384</v>
      </c>
      <c r="O40" s="429">
        <v>0.40188679245283021</v>
      </c>
      <c r="P40" s="430">
        <v>1.0449056603773585</v>
      </c>
      <c r="Q40" s="430">
        <v>0.20849056603773586</v>
      </c>
      <c r="R40" s="431">
        <v>0.54207547169811321</v>
      </c>
      <c r="T40" s="414" t="s">
        <v>808</v>
      </c>
      <c r="U40" s="1541" t="s">
        <v>1159</v>
      </c>
      <c r="V40" s="415" t="s">
        <v>1159</v>
      </c>
      <c r="W40" s="415" t="s">
        <v>1159</v>
      </c>
      <c r="X40" s="415" t="s">
        <v>1159</v>
      </c>
      <c r="Y40" s="415" t="s">
        <v>1159</v>
      </c>
      <c r="Z40" s="415" t="s">
        <v>1159</v>
      </c>
      <c r="AA40" s="415" t="s">
        <v>1159</v>
      </c>
      <c r="AB40" s="415" t="s">
        <v>1159</v>
      </c>
      <c r="AC40" s="417" t="s">
        <v>1159</v>
      </c>
    </row>
    <row r="41" spans="14:29">
      <c r="N41" s="219" t="s">
        <v>808</v>
      </c>
      <c r="O41" s="429">
        <v>0.14516129032258066</v>
      </c>
      <c r="P41" s="430">
        <v>0.3774193548387097</v>
      </c>
      <c r="Q41" s="430">
        <v>0.11669829222011385</v>
      </c>
      <c r="R41" s="431">
        <v>0.30341555977229601</v>
      </c>
      <c r="T41" s="20" t="s">
        <v>497</v>
      </c>
      <c r="U41" s="1542" t="s">
        <v>1159</v>
      </c>
      <c r="V41" s="421" t="s">
        <v>1159</v>
      </c>
      <c r="W41" s="421" t="s">
        <v>1159</v>
      </c>
      <c r="X41" s="421" t="s">
        <v>1159</v>
      </c>
      <c r="Y41" s="421" t="s">
        <v>1159</v>
      </c>
      <c r="Z41" s="421" t="s">
        <v>1159</v>
      </c>
      <c r="AA41" s="421" t="s">
        <v>1159</v>
      </c>
      <c r="AB41" s="421" t="s">
        <v>1159</v>
      </c>
      <c r="AC41" s="423" t="s">
        <v>1159</v>
      </c>
    </row>
    <row r="42" spans="14:29" ht="15" thickBot="1">
      <c r="N42" s="219" t="s">
        <v>497</v>
      </c>
      <c r="O42" s="432">
        <v>0.46760443307757887</v>
      </c>
      <c r="P42" s="433">
        <v>1.215771526001705</v>
      </c>
      <c r="Q42" s="433">
        <v>0.20417732310315431</v>
      </c>
      <c r="R42" s="434">
        <v>0.53086104006820123</v>
      </c>
      <c r="T42" s="839" t="s">
        <v>1160</v>
      </c>
      <c r="U42" s="1543" t="s">
        <v>1159</v>
      </c>
      <c r="V42" s="1543" t="s">
        <v>1159</v>
      </c>
      <c r="W42" s="1543" t="s">
        <v>1159</v>
      </c>
      <c r="X42" s="1543" t="s">
        <v>1159</v>
      </c>
      <c r="Y42" s="1543" t="s">
        <v>1159</v>
      </c>
      <c r="Z42" s="1543" t="s">
        <v>1159</v>
      </c>
      <c r="AA42" s="1543" t="s">
        <v>1159</v>
      </c>
      <c r="AB42" s="1543" t="s">
        <v>1159</v>
      </c>
      <c r="AC42" s="1544" t="s">
        <v>1159</v>
      </c>
    </row>
    <row r="43" spans="14:29">
      <c r="O43" s="1209"/>
      <c r="P43" s="1209"/>
      <c r="Q43" s="1209"/>
      <c r="R43" s="1209"/>
    </row>
    <row r="44" spans="14:29" ht="15" thickBot="1">
      <c r="O44" s="2556" t="s">
        <v>1161</v>
      </c>
      <c r="P44" s="2556"/>
      <c r="Q44" s="2556"/>
      <c r="R44" s="2556"/>
    </row>
    <row r="45" spans="14:29" ht="29.4" thickBot="1">
      <c r="O45" s="1851" t="s">
        <v>783</v>
      </c>
      <c r="P45" s="1852" t="s">
        <v>784</v>
      </c>
      <c r="Q45" s="1852" t="s">
        <v>785</v>
      </c>
      <c r="R45" s="1853" t="s">
        <v>786</v>
      </c>
    </row>
    <row r="46" spans="14:29">
      <c r="N46" s="219" t="s">
        <v>563</v>
      </c>
      <c r="O46" s="1854">
        <v>0.28967065868263475</v>
      </c>
      <c r="P46" s="1855">
        <v>0.75314371257485035</v>
      </c>
      <c r="Q46" s="1855">
        <v>9.5434131736526942E-2</v>
      </c>
      <c r="R46" s="1856">
        <v>0.24812874251497005</v>
      </c>
    </row>
    <row r="47" spans="14:29">
      <c r="N47" s="219" t="s">
        <v>515</v>
      </c>
      <c r="O47" s="1854">
        <v>0.30197449059000891</v>
      </c>
      <c r="P47" s="1855">
        <v>0.78513367553402325</v>
      </c>
      <c r="Q47" s="1855">
        <v>0.28949416717767362</v>
      </c>
      <c r="R47" s="1856">
        <v>0.75268483466195146</v>
      </c>
    </row>
    <row r="48" spans="14:29">
      <c r="N48" s="219" t="s">
        <v>796</v>
      </c>
      <c r="O48" s="1854">
        <v>0.2956548240707188</v>
      </c>
      <c r="P48" s="1855">
        <v>0.76870254258386894</v>
      </c>
      <c r="Q48" s="1855">
        <v>0.10381552934495522</v>
      </c>
      <c r="R48" s="1856">
        <v>0.26992037629688359</v>
      </c>
    </row>
    <row r="49" spans="14:18">
      <c r="N49" s="219" t="s">
        <v>592</v>
      </c>
      <c r="O49" s="1854">
        <v>0.29068363464660685</v>
      </c>
      <c r="P49" s="1855">
        <v>0.7557774500811778</v>
      </c>
      <c r="Q49" s="1855">
        <v>0</v>
      </c>
      <c r="R49" s="1856">
        <v>0</v>
      </c>
    </row>
    <row r="50" spans="14:18">
      <c r="N50" s="219" t="s">
        <v>587</v>
      </c>
      <c r="O50" s="1854">
        <v>0.22841591273877804</v>
      </c>
      <c r="P50" s="1855">
        <v>0.5938813731208229</v>
      </c>
      <c r="Q50" s="1855">
        <v>0.14179467667150392</v>
      </c>
      <c r="R50" s="1856">
        <v>0.36866615934591018</v>
      </c>
    </row>
    <row r="51" spans="14:18">
      <c r="N51" s="219" t="s">
        <v>546</v>
      </c>
      <c r="O51" s="1854">
        <v>0.21734689204556829</v>
      </c>
      <c r="P51" s="1855">
        <v>0.56510191931847753</v>
      </c>
      <c r="Q51" s="1855">
        <v>0.13737006668295554</v>
      </c>
      <c r="R51" s="1856">
        <v>0.3571621733756844</v>
      </c>
    </row>
    <row r="52" spans="14:18">
      <c r="N52" s="219" t="s">
        <v>574</v>
      </c>
      <c r="O52" s="1854">
        <v>0.31764705882352939</v>
      </c>
      <c r="P52" s="1855">
        <v>0.8258823529411764</v>
      </c>
      <c r="Q52" s="1855">
        <v>0.21725490196078434</v>
      </c>
      <c r="R52" s="1856">
        <v>0.56486274509803935</v>
      </c>
    </row>
    <row r="53" spans="14:18">
      <c r="N53" s="219" t="s">
        <v>384</v>
      </c>
      <c r="O53" s="1854">
        <v>0.42056893941711032</v>
      </c>
      <c r="P53" s="1855">
        <v>1.0934792424844868</v>
      </c>
      <c r="Q53" s="1855">
        <v>0.15592785145127239</v>
      </c>
      <c r="R53" s="1856">
        <v>0.40541241377330822</v>
      </c>
    </row>
    <row r="54" spans="14:18">
      <c r="N54" s="219" t="s">
        <v>808</v>
      </c>
      <c r="O54" s="1854">
        <v>0.18012940374982903</v>
      </c>
      <c r="P54" s="1855">
        <v>0.46833644974955546</v>
      </c>
      <c r="Q54" s="1855">
        <v>0.12846771713906593</v>
      </c>
      <c r="R54" s="1856">
        <v>0.33401606456157146</v>
      </c>
    </row>
    <row r="55" spans="14:18" ht="15" thickBot="1">
      <c r="N55" s="219" t="s">
        <v>497</v>
      </c>
      <c r="O55" s="1857">
        <v>0.35456620133913774</v>
      </c>
      <c r="P55" s="1858">
        <v>0.92187212348175818</v>
      </c>
      <c r="Q55" s="1858">
        <v>0.15437933477302068</v>
      </c>
      <c r="R55" s="1859">
        <v>0.40138627040985381</v>
      </c>
    </row>
  </sheetData>
  <mergeCells count="5">
    <mergeCell ref="O44:R44"/>
    <mergeCell ref="C2:E2"/>
    <mergeCell ref="U2:AD2"/>
    <mergeCell ref="AH19:AQ19"/>
    <mergeCell ref="O31:R31"/>
  </mergeCells>
  <phoneticPr fontId="67"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A865-6C1A-417C-B35A-3E5D95871976}">
  <sheetPr codeName="Feuil9">
    <tabColor rgb="FFFFC000"/>
  </sheetPr>
  <dimension ref="A1:CB430"/>
  <sheetViews>
    <sheetView zoomScale="80" zoomScaleNormal="80" workbookViewId="0">
      <selection activeCell="C9" sqref="C9"/>
    </sheetView>
  </sheetViews>
  <sheetFormatPr baseColWidth="10" defaultColWidth="11.44140625" defaultRowHeight="14.4"/>
  <cols>
    <col min="2" max="2" width="24.77734375" customWidth="1"/>
    <col min="3" max="3" width="13.109375" customWidth="1"/>
    <col min="4" max="4" width="13.77734375" customWidth="1"/>
    <col min="5" max="5" width="14.33203125" bestFit="1" customWidth="1"/>
    <col min="7" max="7" width="15.77734375" customWidth="1"/>
    <col min="9" max="9" width="20.33203125" customWidth="1"/>
    <col min="10" max="10" width="7.77734375" customWidth="1"/>
    <col min="11" max="11" width="18.77734375" customWidth="1"/>
    <col min="12" max="13" width="7.77734375" customWidth="1"/>
    <col min="14" max="14" width="10.109375" customWidth="1"/>
    <col min="15" max="15" width="14.21875" customWidth="1"/>
    <col min="16" max="17" width="12.44140625" customWidth="1"/>
    <col min="18" max="18" width="13.77734375" customWidth="1"/>
    <col min="19" max="19" width="12.44140625" customWidth="1"/>
    <col min="20" max="24" width="7.77734375" customWidth="1"/>
    <col min="41" max="44" width="8.109375" customWidth="1"/>
    <col min="56" max="56" width="25.109375" customWidth="1"/>
    <col min="57" max="71" width="11.44140625" customWidth="1"/>
    <col min="72" max="73" width="14.33203125" customWidth="1"/>
    <col min="74" max="74" width="11.44140625" customWidth="1"/>
  </cols>
  <sheetData>
    <row r="1" spans="1:80" ht="15" thickBot="1">
      <c r="B1" s="2236" t="s">
        <v>273</v>
      </c>
      <c r="C1" s="2237"/>
      <c r="D1" s="2237"/>
      <c r="E1" s="2237"/>
      <c r="F1" s="2237"/>
      <c r="G1" s="2238"/>
      <c r="I1" s="2236" t="s">
        <v>1162</v>
      </c>
      <c r="J1" s="2237"/>
      <c r="K1" s="2237"/>
      <c r="L1" s="2237"/>
      <c r="M1" s="2237"/>
      <c r="N1" s="2237"/>
      <c r="O1" s="2237"/>
      <c r="P1" s="2237"/>
      <c r="Q1" s="2237"/>
      <c r="R1" s="2237"/>
      <c r="S1" s="2237"/>
      <c r="T1" s="2237"/>
      <c r="U1" s="2237"/>
      <c r="V1" s="2237"/>
      <c r="W1" s="2237"/>
      <c r="X1" s="2237"/>
      <c r="Y1" s="2237"/>
      <c r="Z1" s="2237"/>
      <c r="AA1" s="2237"/>
      <c r="AB1" s="2237"/>
      <c r="AC1" s="2237"/>
      <c r="AD1" s="2237"/>
      <c r="AE1" s="2237"/>
      <c r="AF1" s="2237"/>
      <c r="AG1" s="2237"/>
      <c r="AH1" s="2237"/>
      <c r="AI1" s="2237"/>
      <c r="AJ1" s="2237"/>
      <c r="AK1" s="2237"/>
      <c r="AL1" s="2237"/>
      <c r="AM1" s="2237"/>
    </row>
    <row r="2" spans="1:80">
      <c r="C2">
        <v>1</v>
      </c>
      <c r="D2">
        <v>2</v>
      </c>
      <c r="E2">
        <v>3</v>
      </c>
      <c r="F2">
        <v>4</v>
      </c>
      <c r="G2">
        <v>5</v>
      </c>
      <c r="I2" s="66"/>
      <c r="J2" s="66"/>
      <c r="K2" s="66"/>
      <c r="L2" s="66"/>
      <c r="M2" s="66"/>
      <c r="N2" s="66"/>
      <c r="O2" s="66"/>
      <c r="P2" s="66"/>
      <c r="Q2" s="66"/>
      <c r="R2" s="66"/>
      <c r="S2" s="66"/>
      <c r="T2" s="66"/>
      <c r="U2" s="66"/>
      <c r="V2" s="66"/>
      <c r="W2" s="66"/>
      <c r="X2" s="66"/>
      <c r="Y2" s="66"/>
      <c r="Z2" s="66"/>
      <c r="AA2" s="66"/>
      <c r="AB2" s="66"/>
      <c r="AC2" s="66"/>
      <c r="AD2" s="66"/>
      <c r="AE2" s="66"/>
      <c r="AF2" s="66"/>
      <c r="AG2" s="66"/>
      <c r="AH2" s="66"/>
      <c r="AI2" s="66" t="s">
        <v>1091</v>
      </c>
      <c r="AJ2" s="66"/>
      <c r="AK2" s="66"/>
      <c r="AL2" s="66"/>
      <c r="AM2" s="66" t="s">
        <v>1163</v>
      </c>
      <c r="AN2" s="2394"/>
      <c r="AO2" s="2394"/>
      <c r="AP2" s="2394"/>
      <c r="AQ2" s="2394"/>
      <c r="AR2" s="2394"/>
    </row>
    <row r="3" spans="1:80" ht="15" thickBot="1">
      <c r="B3" s="64"/>
      <c r="C3" s="64" t="s">
        <v>450</v>
      </c>
      <c r="D3" s="64" t="s">
        <v>185</v>
      </c>
      <c r="E3" s="64" t="s">
        <v>876</v>
      </c>
      <c r="F3" s="64" t="s">
        <v>1164</v>
      </c>
      <c r="G3" s="64" t="s">
        <v>1165</v>
      </c>
      <c r="I3" s="66">
        <v>1</v>
      </c>
      <c r="J3" s="66">
        <f>+I3+1</f>
        <v>2</v>
      </c>
      <c r="K3" s="66">
        <f t="shared" ref="K3:Y3" si="0">+J3+1</f>
        <v>3</v>
      </c>
      <c r="L3" s="66">
        <f t="shared" si="0"/>
        <v>4</v>
      </c>
      <c r="M3" s="66">
        <f t="shared" si="0"/>
        <v>5</v>
      </c>
      <c r="N3" s="66">
        <f t="shared" si="0"/>
        <v>6</v>
      </c>
      <c r="O3" s="66">
        <f t="shared" si="0"/>
        <v>7</v>
      </c>
      <c r="P3" s="66">
        <f t="shared" si="0"/>
        <v>8</v>
      </c>
      <c r="Q3" s="66">
        <f t="shared" si="0"/>
        <v>9</v>
      </c>
      <c r="R3" s="66">
        <f t="shared" si="0"/>
        <v>10</v>
      </c>
      <c r="S3" s="66">
        <f t="shared" si="0"/>
        <v>11</v>
      </c>
      <c r="T3" s="66">
        <f t="shared" si="0"/>
        <v>12</v>
      </c>
      <c r="U3" s="66">
        <f t="shared" si="0"/>
        <v>13</v>
      </c>
      <c r="V3" s="66">
        <f t="shared" si="0"/>
        <v>14</v>
      </c>
      <c r="W3" s="66">
        <f t="shared" si="0"/>
        <v>15</v>
      </c>
      <c r="X3" s="66">
        <f t="shared" si="0"/>
        <v>16</v>
      </c>
      <c r="Y3" s="66">
        <f t="shared" si="0"/>
        <v>17</v>
      </c>
      <c r="Z3" s="66">
        <v>18</v>
      </c>
      <c r="AA3" s="66">
        <v>19</v>
      </c>
      <c r="AB3" s="66">
        <v>20</v>
      </c>
      <c r="AC3" s="66">
        <v>21</v>
      </c>
      <c r="AD3" s="66">
        <v>22</v>
      </c>
      <c r="AE3" s="66">
        <v>23</v>
      </c>
      <c r="AF3" s="66">
        <f>+AE3+1</f>
        <v>24</v>
      </c>
      <c r="AG3" s="66">
        <f t="shared" ref="AG3:AS3" si="1">+AF3+1</f>
        <v>25</v>
      </c>
      <c r="AH3" s="66">
        <f t="shared" si="1"/>
        <v>26</v>
      </c>
      <c r="AI3" s="66">
        <f t="shared" si="1"/>
        <v>27</v>
      </c>
      <c r="AJ3" s="66">
        <f t="shared" si="1"/>
        <v>28</v>
      </c>
      <c r="AK3" s="66">
        <f t="shared" si="1"/>
        <v>29</v>
      </c>
      <c r="AL3" s="66">
        <f t="shared" si="1"/>
        <v>30</v>
      </c>
      <c r="AM3" s="66">
        <f t="shared" si="1"/>
        <v>31</v>
      </c>
      <c r="AN3" s="66">
        <f t="shared" si="1"/>
        <v>32</v>
      </c>
      <c r="AO3" s="66">
        <f t="shared" si="1"/>
        <v>33</v>
      </c>
      <c r="AP3" s="66">
        <f t="shared" si="1"/>
        <v>34</v>
      </c>
      <c r="AQ3" s="66">
        <f t="shared" si="1"/>
        <v>35</v>
      </c>
      <c r="AR3" s="66">
        <f t="shared" si="1"/>
        <v>36</v>
      </c>
      <c r="AS3" s="66">
        <f t="shared" si="1"/>
        <v>37</v>
      </c>
      <c r="BD3">
        <v>1</v>
      </c>
      <c r="BE3">
        <v>2</v>
      </c>
      <c r="BF3">
        <f>BE3+1</f>
        <v>3</v>
      </c>
      <c r="BG3">
        <f t="shared" ref="BG3:CB3" si="2">BF3+1</f>
        <v>4</v>
      </c>
      <c r="BH3">
        <f t="shared" si="2"/>
        <v>5</v>
      </c>
      <c r="BI3">
        <f t="shared" si="2"/>
        <v>6</v>
      </c>
      <c r="BJ3">
        <f t="shared" si="2"/>
        <v>7</v>
      </c>
      <c r="BK3">
        <f t="shared" si="2"/>
        <v>8</v>
      </c>
      <c r="BL3">
        <f t="shared" si="2"/>
        <v>9</v>
      </c>
      <c r="BM3">
        <f t="shared" si="2"/>
        <v>10</v>
      </c>
      <c r="BN3">
        <f t="shared" si="2"/>
        <v>11</v>
      </c>
      <c r="BO3">
        <f t="shared" si="2"/>
        <v>12</v>
      </c>
      <c r="BP3">
        <f t="shared" si="2"/>
        <v>13</v>
      </c>
      <c r="BQ3">
        <f t="shared" si="2"/>
        <v>14</v>
      </c>
      <c r="BR3">
        <f t="shared" si="2"/>
        <v>15</v>
      </c>
      <c r="BS3">
        <f t="shared" si="2"/>
        <v>16</v>
      </c>
      <c r="BT3">
        <f t="shared" si="2"/>
        <v>17</v>
      </c>
      <c r="BU3">
        <f t="shared" si="2"/>
        <v>18</v>
      </c>
      <c r="BV3">
        <f t="shared" si="2"/>
        <v>19</v>
      </c>
      <c r="BW3">
        <f t="shared" si="2"/>
        <v>20</v>
      </c>
      <c r="BX3">
        <f t="shared" si="2"/>
        <v>21</v>
      </c>
      <c r="BY3">
        <f t="shared" si="2"/>
        <v>22</v>
      </c>
      <c r="BZ3">
        <f t="shared" si="2"/>
        <v>23</v>
      </c>
      <c r="CA3">
        <f t="shared" si="2"/>
        <v>24</v>
      </c>
      <c r="CB3">
        <f t="shared" si="2"/>
        <v>25</v>
      </c>
    </row>
    <row r="4" spans="1:80" s="76" customFormat="1" ht="58.2" thickBot="1">
      <c r="A4" s="76">
        <v>1</v>
      </c>
      <c r="B4" s="103" t="s">
        <v>450</v>
      </c>
      <c r="C4" s="103">
        <v>1</v>
      </c>
      <c r="D4" s="321">
        <v>7.7789000000000001</v>
      </c>
      <c r="E4" s="321">
        <v>1.0837000000000001</v>
      </c>
      <c r="F4" s="321">
        <v>90.001000000000005</v>
      </c>
      <c r="G4" s="321">
        <v>1444.63</v>
      </c>
      <c r="I4" s="160" t="s">
        <v>1166</v>
      </c>
      <c r="J4" s="308" t="s">
        <v>1167</v>
      </c>
      <c r="K4" s="308" t="s">
        <v>1168</v>
      </c>
      <c r="L4" s="308" t="s">
        <v>26</v>
      </c>
      <c r="M4" s="308" t="s">
        <v>1169</v>
      </c>
      <c r="N4" s="308" t="s">
        <v>1170</v>
      </c>
      <c r="O4" s="308" t="s">
        <v>1171</v>
      </c>
      <c r="P4" s="308" t="s">
        <v>1172</v>
      </c>
      <c r="Q4" s="308" t="s">
        <v>1173</v>
      </c>
      <c r="R4" s="308" t="s">
        <v>1174</v>
      </c>
      <c r="S4" s="308" t="s">
        <v>1175</v>
      </c>
      <c r="T4" s="308" t="s">
        <v>1176</v>
      </c>
      <c r="U4" s="308" t="s">
        <v>1177</v>
      </c>
      <c r="V4" s="309" t="s">
        <v>657</v>
      </c>
      <c r="W4" s="308" t="s">
        <v>1178</v>
      </c>
      <c r="X4" s="308" t="s">
        <v>1179</v>
      </c>
      <c r="Y4" s="308" t="s">
        <v>1180</v>
      </c>
      <c r="Z4" s="308" t="s">
        <v>1181</v>
      </c>
      <c r="AA4" s="308" t="s">
        <v>1182</v>
      </c>
      <c r="AB4" s="308" t="s">
        <v>1183</v>
      </c>
      <c r="AC4" s="308" t="s">
        <v>1184</v>
      </c>
      <c r="AD4" s="308" t="s">
        <v>1185</v>
      </c>
      <c r="AE4" s="308" t="s">
        <v>1186</v>
      </c>
      <c r="AF4" s="308"/>
      <c r="AG4" s="308"/>
      <c r="AH4" s="308"/>
      <c r="AI4" s="308"/>
      <c r="AJ4" s="308"/>
      <c r="AK4" s="308"/>
      <c r="AL4" s="308"/>
      <c r="AM4" s="310" t="s">
        <v>1187</v>
      </c>
      <c r="AN4" s="310" t="s">
        <v>1188</v>
      </c>
      <c r="AO4" s="308" t="s">
        <v>1189</v>
      </c>
      <c r="AP4" s="308" t="s">
        <v>1190</v>
      </c>
      <c r="AQ4" s="308"/>
      <c r="AR4" s="308" t="s">
        <v>1191</v>
      </c>
      <c r="AS4" s="308"/>
      <c r="AT4" s="308"/>
      <c r="AU4" s="309"/>
      <c r="AV4" s="309"/>
      <c r="AW4" s="309"/>
      <c r="AX4" s="309"/>
      <c r="AY4" s="309"/>
      <c r="AZ4" s="311"/>
      <c r="BD4" s="1775"/>
      <c r="BE4" s="1776" t="s">
        <v>1192</v>
      </c>
      <c r="BF4" s="1776" t="s">
        <v>1193</v>
      </c>
      <c r="BG4" s="1776" t="s">
        <v>1194</v>
      </c>
      <c r="BH4" s="1776" t="s">
        <v>1195</v>
      </c>
      <c r="BI4" s="1776" t="s">
        <v>1196</v>
      </c>
      <c r="BJ4" s="1776" t="s">
        <v>1197</v>
      </c>
      <c r="BK4" s="1777"/>
      <c r="BL4" s="1778" t="s">
        <v>1198</v>
      </c>
      <c r="BM4" s="1776" t="s">
        <v>1199</v>
      </c>
      <c r="BN4" s="1776" t="s">
        <v>1200</v>
      </c>
      <c r="BO4" s="1779" t="s">
        <v>1201</v>
      </c>
      <c r="BP4" s="1779" t="s">
        <v>1202</v>
      </c>
      <c r="BQ4" s="1776" t="s">
        <v>1203</v>
      </c>
      <c r="BR4" s="1776" t="s">
        <v>1204</v>
      </c>
      <c r="BS4" s="1776"/>
      <c r="BT4" s="1780" t="s">
        <v>1205</v>
      </c>
      <c r="BU4" s="1781" t="s">
        <v>1206</v>
      </c>
      <c r="BV4" s="1776" t="s">
        <v>1207</v>
      </c>
      <c r="BW4" s="1776" t="s">
        <v>1208</v>
      </c>
      <c r="BX4" s="1782" t="s">
        <v>1209</v>
      </c>
      <c r="BY4" s="1782" t="s">
        <v>1210</v>
      </c>
      <c r="BZ4" s="1782" t="s">
        <v>1211</v>
      </c>
      <c r="CA4" s="1776" t="s">
        <v>1212</v>
      </c>
      <c r="CB4" s="1776" t="s">
        <v>1213</v>
      </c>
    </row>
    <row r="5" spans="1:80">
      <c r="A5">
        <v>2</v>
      </c>
      <c r="B5" s="64" t="s">
        <v>185</v>
      </c>
      <c r="C5" s="64"/>
      <c r="D5" s="64">
        <v>1</v>
      </c>
      <c r="E5" s="64">
        <v>8.64</v>
      </c>
      <c r="F5" s="64">
        <v>576</v>
      </c>
      <c r="G5" s="64">
        <v>10080</v>
      </c>
      <c r="I5" s="304" t="s">
        <v>563</v>
      </c>
      <c r="J5" s="20" t="s">
        <v>450</v>
      </c>
      <c r="K5" s="20" t="s">
        <v>505</v>
      </c>
      <c r="L5" s="20">
        <f t="shared" ref="L5:L14" si="3">+SUMIF($C$18:$H$18,K5,$C$15:$H$15)</f>
        <v>3</v>
      </c>
      <c r="M5" s="20">
        <v>60</v>
      </c>
      <c r="N5" s="20" t="str">
        <f>+I5</f>
        <v>Frankfurt</v>
      </c>
      <c r="O5" s="20">
        <v>1</v>
      </c>
      <c r="P5" s="20">
        <v>4</v>
      </c>
      <c r="Q5" s="20">
        <v>7</v>
      </c>
      <c r="R5" s="20">
        <v>8</v>
      </c>
      <c r="S5" s="20">
        <v>1</v>
      </c>
      <c r="T5" s="305">
        <v>0.3</v>
      </c>
      <c r="U5" s="305">
        <v>0</v>
      </c>
      <c r="V5" s="306">
        <v>5.0000000000000001E-3</v>
      </c>
      <c r="W5" s="20"/>
      <c r="X5" s="20" t="s">
        <v>450</v>
      </c>
      <c r="Y5" s="1718">
        <f t="shared" ref="Y5:Y14" si="4">VLOOKUP(I5,$BD$6:$CB$17,17,FALSE)</f>
        <v>30.849203264671591</v>
      </c>
      <c r="Z5" s="1718">
        <f>VLOOKUP(I5,$BD$6:$CB$17,18,FALSE)</f>
        <v>22.291932707789684</v>
      </c>
      <c r="AA5" s="20">
        <v>3</v>
      </c>
      <c r="AB5" s="20">
        <v>5500</v>
      </c>
      <c r="AC5" s="305">
        <v>0.2</v>
      </c>
      <c r="AD5" s="305">
        <v>0.2</v>
      </c>
      <c r="AE5" s="305">
        <v>0</v>
      </c>
      <c r="AF5" s="20"/>
      <c r="AG5" s="305"/>
      <c r="AH5" s="305"/>
      <c r="AI5" s="305"/>
      <c r="AJ5" s="305"/>
      <c r="AK5" s="305"/>
      <c r="AL5" s="305"/>
      <c r="AM5" s="307">
        <v>0.7</v>
      </c>
      <c r="AN5" s="307">
        <v>0.5</v>
      </c>
      <c r="AO5" s="305">
        <v>0.18</v>
      </c>
      <c r="AP5" s="305">
        <f>+AO5/2</f>
        <v>0.09</v>
      </c>
      <c r="AQ5" s="20"/>
      <c r="AR5" s="305">
        <v>0.18</v>
      </c>
      <c r="AS5" s="20"/>
      <c r="AT5" s="20"/>
      <c r="AU5" s="20"/>
      <c r="AV5" s="20"/>
      <c r="AW5" s="20"/>
      <c r="AX5" s="20"/>
      <c r="AY5" s="20"/>
      <c r="AZ5" s="21"/>
      <c r="BD5" s="1775"/>
      <c r="BE5" s="1776"/>
      <c r="BF5" s="1776"/>
      <c r="BG5" s="1776"/>
      <c r="BH5" s="1776"/>
      <c r="BI5" s="1776"/>
      <c r="BJ5" s="1776"/>
      <c r="BK5" s="1777"/>
      <c r="BL5" s="1783"/>
      <c r="BM5" s="1776"/>
      <c r="BN5" s="1776"/>
      <c r="BO5" s="1779"/>
      <c r="BP5" s="1779"/>
      <c r="BQ5" s="1776"/>
      <c r="BR5" s="1776"/>
      <c r="BS5" s="1776"/>
      <c r="BT5" s="1780"/>
      <c r="BU5" s="1781"/>
      <c r="BV5" s="1776"/>
      <c r="BW5" s="1776"/>
      <c r="BX5" s="1782"/>
      <c r="BY5" s="1782"/>
      <c r="BZ5" s="1782"/>
      <c r="CA5" s="1776"/>
      <c r="CB5" s="1776"/>
    </row>
    <row r="6" spans="1:80">
      <c r="A6">
        <v>3</v>
      </c>
      <c r="B6" s="64" t="s">
        <v>876</v>
      </c>
      <c r="C6" s="64"/>
      <c r="D6" s="64"/>
      <c r="E6" s="64">
        <v>1</v>
      </c>
      <c r="F6" s="64">
        <v>96</v>
      </c>
      <c r="G6" s="64">
        <v>1680</v>
      </c>
      <c r="I6" s="302" t="s">
        <v>587</v>
      </c>
      <c r="J6" s="27" t="s">
        <v>450</v>
      </c>
      <c r="K6" s="27" t="s">
        <v>505</v>
      </c>
      <c r="L6" s="27">
        <f t="shared" si="3"/>
        <v>3</v>
      </c>
      <c r="M6" s="27">
        <v>60</v>
      </c>
      <c r="N6" s="27" t="str">
        <f t="shared" ref="N6:N14" si="5">+I6</f>
        <v>Poitiers</v>
      </c>
      <c r="O6" s="27">
        <v>1</v>
      </c>
      <c r="P6" s="27">
        <v>4</v>
      </c>
      <c r="Q6" s="27">
        <v>7</v>
      </c>
      <c r="R6" s="27">
        <v>8</v>
      </c>
      <c r="S6" s="27">
        <v>1</v>
      </c>
      <c r="T6" s="178">
        <v>0.3</v>
      </c>
      <c r="U6" s="178">
        <v>0</v>
      </c>
      <c r="V6" s="178">
        <v>0</v>
      </c>
      <c r="W6" s="27"/>
      <c r="X6" s="27" t="s">
        <v>450</v>
      </c>
      <c r="Y6" s="260">
        <f t="shared" ref="Y6:Y10" si="6">VLOOKUP(I6,$BD$6:$CB$17,17,FALSE)*1.2</f>
        <v>8.4992395178316045</v>
      </c>
      <c r="Z6" s="260">
        <f t="shared" ref="Z6:Z12" si="7">VLOOKUP(I6,$BD$6:$CB$17,18,FALSE)*1.2</f>
        <v>8.1723456902226967</v>
      </c>
      <c r="AA6" s="27">
        <v>3</v>
      </c>
      <c r="AB6" s="27">
        <v>5500</v>
      </c>
      <c r="AC6" s="178">
        <v>0.2</v>
      </c>
      <c r="AD6" s="178">
        <v>0.1</v>
      </c>
      <c r="AE6" s="178">
        <v>0.1</v>
      </c>
      <c r="AF6" s="27"/>
      <c r="AG6" s="178"/>
      <c r="AH6" s="178"/>
      <c r="AI6" s="178"/>
      <c r="AJ6" s="178"/>
      <c r="AK6" s="178"/>
      <c r="AL6" s="178"/>
      <c r="AM6" s="300">
        <v>0.65</v>
      </c>
      <c r="AN6" s="300">
        <v>0.4</v>
      </c>
      <c r="AO6" s="178">
        <v>0.18</v>
      </c>
      <c r="AP6" s="178">
        <f t="shared" ref="AP6:AP14" si="8">+AO6/2</f>
        <v>0.09</v>
      </c>
      <c r="AQ6" s="27"/>
      <c r="AR6" s="178">
        <v>0.22</v>
      </c>
      <c r="AS6" s="27"/>
      <c r="AT6" s="27"/>
      <c r="AU6" s="27"/>
      <c r="AV6" s="27"/>
      <c r="AW6" s="27"/>
      <c r="AX6" s="27"/>
      <c r="AY6" s="27"/>
      <c r="AZ6" s="28"/>
      <c r="BD6" s="1784" t="s">
        <v>563</v>
      </c>
      <c r="BE6" s="1785">
        <v>22217</v>
      </c>
      <c r="BF6" s="1785">
        <v>248</v>
      </c>
      <c r="BG6" s="1785">
        <f>BF6*7</f>
        <v>1736</v>
      </c>
      <c r="BH6" s="1785">
        <v>83</v>
      </c>
      <c r="BI6" s="1785">
        <f t="shared" ref="BI6:BI15" si="9">BG6*BH6</f>
        <v>144088</v>
      </c>
      <c r="BJ6" s="1785">
        <v>4445</v>
      </c>
      <c r="BK6" s="53" t="s">
        <v>1214</v>
      </c>
      <c r="BL6" s="1786">
        <v>1</v>
      </c>
      <c r="BM6" s="1785">
        <f t="shared" ref="BM6:BM14" si="10">BJ6/BL6</f>
        <v>4445</v>
      </c>
      <c r="BN6" s="1785">
        <v>3673</v>
      </c>
      <c r="BO6" s="1787">
        <f>-3212*BL6</f>
        <v>-3212</v>
      </c>
      <c r="BP6" s="1787">
        <f t="shared" ref="BP6:BP15" si="11">BO6*BL6</f>
        <v>-3212</v>
      </c>
      <c r="BQ6" s="1785">
        <v>6109</v>
      </c>
      <c r="BR6" s="1785">
        <v>480</v>
      </c>
      <c r="BS6" s="1788"/>
      <c r="BT6" s="1789">
        <f t="shared" ref="BT6:BT15" si="12">BJ6/BI6*1000</f>
        <v>30.849203264671591</v>
      </c>
      <c r="BU6" s="1790">
        <f t="shared" ref="BU6:BU15" si="13">-BP6*1000/BI6</f>
        <v>22.291932707789684</v>
      </c>
      <c r="BV6" s="1791">
        <f t="shared" ref="BV6:BV15" si="14">BT6/BL6</f>
        <v>30.849203264671591</v>
      </c>
      <c r="BW6" s="1792">
        <f>(BM6+BN6)*1000/BI6</f>
        <v>56.340569651879406</v>
      </c>
      <c r="BX6" s="1793">
        <f t="shared" ref="BX6:BX15" si="15">(BM6+BN6+BQ6+BR6)*1000/BI6</f>
        <v>102.06956859696852</v>
      </c>
      <c r="BY6" s="1794">
        <v>90.806451612903231</v>
      </c>
      <c r="BZ6" s="1794">
        <f t="shared" ref="BZ6:BZ15" si="16">BX6-BY6</f>
        <v>11.263116984065292</v>
      </c>
      <c r="CA6" s="1795">
        <v>0.15</v>
      </c>
      <c r="CB6" s="1792">
        <f>BX6*(1+CA6)</f>
        <v>117.38000388651379</v>
      </c>
    </row>
    <row r="7" spans="1:80">
      <c r="A7">
        <v>4</v>
      </c>
      <c r="B7" s="64" t="s">
        <v>1164</v>
      </c>
      <c r="C7" s="64"/>
      <c r="D7" s="64"/>
      <c r="E7" s="64"/>
      <c r="F7" s="64">
        <v>1</v>
      </c>
      <c r="G7" s="64">
        <v>112000</v>
      </c>
      <c r="I7" s="302" t="s">
        <v>546</v>
      </c>
      <c r="J7" s="27" t="s">
        <v>450</v>
      </c>
      <c r="K7" s="27" t="s">
        <v>505</v>
      </c>
      <c r="L7" s="27">
        <f t="shared" si="3"/>
        <v>3</v>
      </c>
      <c r="M7" s="27">
        <v>60</v>
      </c>
      <c r="N7" s="27" t="str">
        <f>+I6</f>
        <v>Poitiers</v>
      </c>
      <c r="O7" s="27">
        <v>1</v>
      </c>
      <c r="P7" s="27">
        <v>4</v>
      </c>
      <c r="Q7" s="27">
        <v>7</v>
      </c>
      <c r="R7" s="27">
        <v>8</v>
      </c>
      <c r="S7" s="27">
        <v>1</v>
      </c>
      <c r="T7" s="178">
        <v>0.3</v>
      </c>
      <c r="U7" s="178">
        <v>0.05</v>
      </c>
      <c r="V7" s="299">
        <v>2.5000000000000001E-2</v>
      </c>
      <c r="W7" s="27"/>
      <c r="X7" s="27" t="s">
        <v>450</v>
      </c>
      <c r="Y7" s="260">
        <f t="shared" si="6"/>
        <v>2.1101057872813556</v>
      </c>
      <c r="Z7" s="260">
        <f t="shared" si="7"/>
        <v>1.1021858407792646</v>
      </c>
      <c r="AA7" s="27">
        <v>3</v>
      </c>
      <c r="AB7" s="27">
        <v>5500</v>
      </c>
      <c r="AC7" s="178">
        <v>0.2</v>
      </c>
      <c r="AD7" s="178">
        <v>0.1</v>
      </c>
      <c r="AE7" s="178">
        <v>0.1</v>
      </c>
      <c r="AF7" s="27"/>
      <c r="AG7" s="178"/>
      <c r="AH7" s="178"/>
      <c r="AI7" s="178"/>
      <c r="AJ7" s="178"/>
      <c r="AK7" s="178"/>
      <c r="AL7" s="178"/>
      <c r="AM7" s="300">
        <v>0.6</v>
      </c>
      <c r="AN7" s="300">
        <v>0.4</v>
      </c>
      <c r="AO7" s="178">
        <v>0.4</v>
      </c>
      <c r="AP7" s="178">
        <f t="shared" si="8"/>
        <v>0.2</v>
      </c>
      <c r="AQ7" s="27"/>
      <c r="AR7" s="27"/>
      <c r="AS7" s="27"/>
      <c r="AT7" s="27"/>
      <c r="AU7" s="27"/>
      <c r="AV7" s="27"/>
      <c r="AW7" s="27"/>
      <c r="AX7" s="27"/>
      <c r="AY7" s="27"/>
      <c r="AZ7" s="28"/>
      <c r="BD7" s="27" t="s">
        <v>515</v>
      </c>
      <c r="BE7" s="1785">
        <v>1174164</v>
      </c>
      <c r="BF7" s="1785">
        <v>301</v>
      </c>
      <c r="BG7" s="1785">
        <f>BF7*8</f>
        <v>2408</v>
      </c>
      <c r="BH7" s="1785">
        <f>56+84</f>
        <v>140</v>
      </c>
      <c r="BI7" s="1785">
        <f t="shared" si="9"/>
        <v>337120</v>
      </c>
      <c r="BJ7" s="1785">
        <v>54408</v>
      </c>
      <c r="BK7" s="53" t="s">
        <v>1215</v>
      </c>
      <c r="BL7" s="1786">
        <v>80</v>
      </c>
      <c r="BM7" s="1785">
        <f t="shared" si="10"/>
        <v>680.1</v>
      </c>
      <c r="BN7" s="1785">
        <v>2045</v>
      </c>
      <c r="BO7" s="1787">
        <v>-1554</v>
      </c>
      <c r="BP7" s="1787">
        <f t="shared" si="11"/>
        <v>-124320</v>
      </c>
      <c r="BQ7" s="1785">
        <v>2165</v>
      </c>
      <c r="BR7" s="1785">
        <v>356</v>
      </c>
      <c r="BS7" s="1788"/>
      <c r="BT7" s="1789">
        <f t="shared" si="12"/>
        <v>161.39060275272902</v>
      </c>
      <c r="BU7" s="1790">
        <f t="shared" si="13"/>
        <v>368.77076411960132</v>
      </c>
      <c r="BV7" s="1791">
        <f t="shared" si="14"/>
        <v>2.017382534409113</v>
      </c>
      <c r="BW7" s="1792">
        <f t="shared" ref="BW7:BW15" si="17">(BM7+BN7)*1000/BI7</f>
        <v>8.0834717607973428</v>
      </c>
      <c r="BX7" s="1793">
        <f t="shared" si="15"/>
        <v>15.561521120075938</v>
      </c>
      <c r="BY7" s="1794">
        <v>13.358734063425322</v>
      </c>
      <c r="BZ7" s="1794">
        <f t="shared" si="16"/>
        <v>2.2027870566506156</v>
      </c>
      <c r="CA7" s="1795">
        <v>0.15</v>
      </c>
      <c r="CB7" s="1792">
        <f>BX7*(1+CA7)</f>
        <v>17.895749288087327</v>
      </c>
    </row>
    <row r="8" spans="1:80">
      <c r="A8">
        <v>5</v>
      </c>
      <c r="B8" s="64" t="s">
        <v>1165</v>
      </c>
      <c r="C8" s="64"/>
      <c r="D8" s="64"/>
      <c r="E8" s="64"/>
      <c r="F8" s="64"/>
      <c r="G8" s="64">
        <v>1</v>
      </c>
      <c r="I8" s="302" t="s">
        <v>497</v>
      </c>
      <c r="J8" s="27" t="s">
        <v>450</v>
      </c>
      <c r="K8" s="27" t="s">
        <v>505</v>
      </c>
      <c r="L8" s="27">
        <f t="shared" si="3"/>
        <v>3</v>
      </c>
      <c r="M8" s="27">
        <v>60</v>
      </c>
      <c r="N8" s="27" t="str">
        <f t="shared" si="5"/>
        <v>Amiens</v>
      </c>
      <c r="O8" s="27">
        <v>1</v>
      </c>
      <c r="P8" s="27">
        <v>4</v>
      </c>
      <c r="Q8" s="27">
        <v>7</v>
      </c>
      <c r="R8" s="27">
        <v>8</v>
      </c>
      <c r="S8" s="27">
        <v>1</v>
      </c>
      <c r="T8" s="178">
        <v>0.3</v>
      </c>
      <c r="U8" s="178">
        <v>0</v>
      </c>
      <c r="V8" s="301">
        <v>5.0000000000000001E-3</v>
      </c>
      <c r="W8" s="27"/>
      <c r="X8" s="27" t="s">
        <v>450</v>
      </c>
      <c r="Y8" s="260">
        <f t="shared" si="6"/>
        <v>23.440487306033525</v>
      </c>
      <c r="Z8" s="260">
        <f t="shared" si="7"/>
        <v>12.022586812502778</v>
      </c>
      <c r="AA8" s="27">
        <v>3</v>
      </c>
      <c r="AB8" s="27">
        <v>5500</v>
      </c>
      <c r="AC8" s="178">
        <v>0.2</v>
      </c>
      <c r="AD8" s="178">
        <v>0.1</v>
      </c>
      <c r="AE8" s="178">
        <v>0.1</v>
      </c>
      <c r="AF8" s="27"/>
      <c r="AG8" s="178"/>
      <c r="AH8" s="178"/>
      <c r="AI8" s="178"/>
      <c r="AJ8" s="178"/>
      <c r="AK8" s="178"/>
      <c r="AL8" s="178"/>
      <c r="AM8" s="300">
        <v>0.7</v>
      </c>
      <c r="AN8" s="300">
        <v>0.5</v>
      </c>
      <c r="AO8" s="178">
        <v>0.18</v>
      </c>
      <c r="AP8" s="178">
        <f t="shared" si="8"/>
        <v>0.09</v>
      </c>
      <c r="AQ8" s="27"/>
      <c r="AR8" s="27"/>
      <c r="AS8" s="27"/>
      <c r="AT8" s="27"/>
      <c r="AU8" s="27"/>
      <c r="AV8" s="27"/>
      <c r="AW8" s="27"/>
      <c r="AX8" s="27"/>
      <c r="AY8" s="27"/>
      <c r="AZ8" s="28"/>
      <c r="BD8" s="1784" t="s">
        <v>796</v>
      </c>
      <c r="BE8" s="1796">
        <v>16886844</v>
      </c>
      <c r="BF8" s="1796">
        <v>254</v>
      </c>
      <c r="BG8" s="1796">
        <f>BF8*10</f>
        <v>2540</v>
      </c>
      <c r="BH8" s="1796">
        <v>52</v>
      </c>
      <c r="BI8" s="1785">
        <f t="shared" si="9"/>
        <v>132080</v>
      </c>
      <c r="BJ8" s="1785">
        <v>3830870</v>
      </c>
      <c r="BK8" s="53" t="s">
        <v>1216</v>
      </c>
      <c r="BL8" s="1786">
        <v>1340</v>
      </c>
      <c r="BM8" s="1785">
        <f t="shared" si="10"/>
        <v>2858.8582089552237</v>
      </c>
      <c r="BN8" s="1785">
        <v>1625</v>
      </c>
      <c r="BO8" s="1787">
        <v>-1271</v>
      </c>
      <c r="BP8" s="1787">
        <f t="shared" si="11"/>
        <v>-1703140</v>
      </c>
      <c r="BQ8" s="1785">
        <v>3737</v>
      </c>
      <c r="BR8" s="1785">
        <v>562</v>
      </c>
      <c r="BS8" s="1788"/>
      <c r="BT8" s="1789">
        <f t="shared" si="12"/>
        <v>29004.164142943668</v>
      </c>
      <c r="BU8" s="1790">
        <f t="shared" si="13"/>
        <v>12894.760751059963</v>
      </c>
      <c r="BV8" s="1791">
        <f t="shared" si="14"/>
        <v>21.644898614137066</v>
      </c>
      <c r="BW8" s="1792">
        <f t="shared" si="17"/>
        <v>33.948048220436277</v>
      </c>
      <c r="BX8" s="1793">
        <f t="shared" si="15"/>
        <v>66.496503701962638</v>
      </c>
      <c r="BY8" s="1794">
        <v>62.232403712544986</v>
      </c>
      <c r="BZ8" s="1794">
        <f t="shared" si="16"/>
        <v>4.2640999894176517</v>
      </c>
      <c r="CA8" s="1795">
        <v>0.15</v>
      </c>
      <c r="CB8" s="1792">
        <f>BX8*(1+CA8)</f>
        <v>76.470979257257028</v>
      </c>
    </row>
    <row r="9" spans="1:80">
      <c r="I9" s="303" t="s">
        <v>574</v>
      </c>
      <c r="J9" s="27" t="s">
        <v>876</v>
      </c>
      <c r="K9" s="27" t="s">
        <v>510</v>
      </c>
      <c r="L9" s="27">
        <f t="shared" si="3"/>
        <v>5</v>
      </c>
      <c r="M9" s="27">
        <v>60</v>
      </c>
      <c r="N9" s="27" t="s">
        <v>1217</v>
      </c>
      <c r="O9" s="27">
        <v>1</v>
      </c>
      <c r="P9" s="27">
        <v>4</v>
      </c>
      <c r="Q9" s="27">
        <v>7</v>
      </c>
      <c r="R9" s="27">
        <v>8</v>
      </c>
      <c r="S9" s="27">
        <v>1</v>
      </c>
      <c r="T9" s="178">
        <v>0.3</v>
      </c>
      <c r="U9" s="178">
        <v>0</v>
      </c>
      <c r="V9" s="301">
        <v>5.0000000000000001E-3</v>
      </c>
      <c r="W9" s="27"/>
      <c r="X9" s="27" t="s">
        <v>1218</v>
      </c>
      <c r="Y9" s="260">
        <f t="shared" si="6"/>
        <v>2.260332950631458</v>
      </c>
      <c r="Z9" s="260">
        <f t="shared" si="7"/>
        <v>1.1509758897818598</v>
      </c>
      <c r="AA9" s="27">
        <v>3</v>
      </c>
      <c r="AB9" s="27">
        <v>5500</v>
      </c>
      <c r="AC9" s="178">
        <v>0.2</v>
      </c>
      <c r="AD9" s="178">
        <v>0.1</v>
      </c>
      <c r="AE9" s="178">
        <v>0.1</v>
      </c>
      <c r="AF9" s="27"/>
      <c r="AG9" s="178"/>
      <c r="AH9" s="178"/>
      <c r="AI9" s="178"/>
      <c r="AJ9" s="178"/>
      <c r="AK9" s="178"/>
      <c r="AL9" s="178"/>
      <c r="AM9" s="300">
        <v>0.6</v>
      </c>
      <c r="AN9" s="300">
        <v>0.4</v>
      </c>
      <c r="AO9" s="178">
        <v>0.4</v>
      </c>
      <c r="AP9" s="178">
        <f t="shared" si="8"/>
        <v>0.2</v>
      </c>
      <c r="AQ9" s="27"/>
      <c r="AR9" s="27"/>
      <c r="AS9" s="27"/>
      <c r="AT9" s="27"/>
      <c r="AU9" s="27"/>
      <c r="AV9" s="27"/>
      <c r="AW9" s="27"/>
      <c r="AX9" s="27"/>
      <c r="AY9" s="27"/>
      <c r="AZ9" s="28"/>
      <c r="BD9" s="1784" t="s">
        <v>592</v>
      </c>
      <c r="BE9" s="1796">
        <v>92660</v>
      </c>
      <c r="BF9" s="1796">
        <v>269</v>
      </c>
      <c r="BG9" s="1796">
        <f>BF9*8</f>
        <v>2152</v>
      </c>
      <c r="BH9" s="1796">
        <v>85</v>
      </c>
      <c r="BI9" s="1785">
        <f t="shared" si="9"/>
        <v>182920</v>
      </c>
      <c r="BJ9" s="1785">
        <v>6965</v>
      </c>
      <c r="BK9" s="53" t="s">
        <v>1219</v>
      </c>
      <c r="BL9" s="1786">
        <v>7</v>
      </c>
      <c r="BM9" s="1785">
        <f t="shared" si="10"/>
        <v>995</v>
      </c>
      <c r="BN9" s="1785">
        <v>2300</v>
      </c>
      <c r="BO9" s="1787">
        <v>-1565</v>
      </c>
      <c r="BP9" s="1787">
        <f t="shared" si="11"/>
        <v>-10955</v>
      </c>
      <c r="BQ9" s="1785">
        <v>1925</v>
      </c>
      <c r="BR9" s="1785">
        <v>372</v>
      </c>
      <c r="BS9" s="1788"/>
      <c r="BT9" s="1789">
        <f t="shared" si="12"/>
        <v>38.076754865514978</v>
      </c>
      <c r="BU9" s="1790">
        <f t="shared" si="13"/>
        <v>59.889569210583865</v>
      </c>
      <c r="BV9" s="1791">
        <f t="shared" si="14"/>
        <v>5.4395364093592828</v>
      </c>
      <c r="BW9" s="1792">
        <f t="shared" si="17"/>
        <v>18.013339164662149</v>
      </c>
      <c r="BX9" s="1793">
        <f t="shared" si="15"/>
        <v>30.570741307675487</v>
      </c>
      <c r="BY9" s="1794">
        <v>25.053443347374259</v>
      </c>
      <c r="BZ9" s="1794">
        <f t="shared" si="16"/>
        <v>5.517297960301228</v>
      </c>
      <c r="CA9" s="1795">
        <v>0.1</v>
      </c>
      <c r="CB9" s="1792">
        <f>BX9*(1+CA9)</f>
        <v>33.627815438443037</v>
      </c>
    </row>
    <row r="10" spans="1:80">
      <c r="I10" s="302" t="s">
        <v>515</v>
      </c>
      <c r="J10" s="27" t="s">
        <v>1164</v>
      </c>
      <c r="K10" s="27" t="s">
        <v>498</v>
      </c>
      <c r="L10" s="27">
        <f t="shared" si="3"/>
        <v>4</v>
      </c>
      <c r="M10" s="27">
        <v>60</v>
      </c>
      <c r="N10" s="27" t="str">
        <f t="shared" si="5"/>
        <v>Chennai</v>
      </c>
      <c r="O10" s="27">
        <v>1</v>
      </c>
      <c r="P10" s="27">
        <v>4</v>
      </c>
      <c r="Q10" s="27">
        <v>7</v>
      </c>
      <c r="R10" s="27">
        <v>8</v>
      </c>
      <c r="S10" s="27">
        <v>1</v>
      </c>
      <c r="T10" s="178">
        <v>0.3</v>
      </c>
      <c r="U10" s="178">
        <v>0.2</v>
      </c>
      <c r="V10" s="301">
        <v>0</v>
      </c>
      <c r="W10" s="27"/>
      <c r="X10" s="27" t="s">
        <v>1164</v>
      </c>
      <c r="Y10" s="260">
        <f t="shared" si="6"/>
        <v>193.66872330327482</v>
      </c>
      <c r="Z10" s="260">
        <f t="shared" si="7"/>
        <v>442.52491694352159</v>
      </c>
      <c r="AA10" s="27">
        <v>3</v>
      </c>
      <c r="AB10" s="27">
        <v>5500</v>
      </c>
      <c r="AC10" s="178">
        <v>0.2</v>
      </c>
      <c r="AD10" s="178">
        <v>0.1</v>
      </c>
      <c r="AE10" s="178">
        <v>0.1</v>
      </c>
      <c r="AF10" s="27"/>
      <c r="AG10" s="178"/>
      <c r="AH10" s="178"/>
      <c r="AI10" s="178"/>
      <c r="AJ10" s="178"/>
      <c r="AK10" s="178"/>
      <c r="AL10" s="178"/>
      <c r="AM10" s="300">
        <v>1</v>
      </c>
      <c r="AN10" s="300">
        <v>0.6</v>
      </c>
      <c r="AO10" s="178">
        <v>0.4</v>
      </c>
      <c r="AP10" s="178">
        <f t="shared" si="8"/>
        <v>0.2</v>
      </c>
      <c r="AQ10" s="27"/>
      <c r="AR10" s="178">
        <v>0.35</v>
      </c>
      <c r="AS10" s="27"/>
      <c r="AT10" s="27"/>
      <c r="AU10" s="27"/>
      <c r="AV10" s="27"/>
      <c r="AW10" s="27"/>
      <c r="AX10" s="27"/>
      <c r="AY10" s="27"/>
      <c r="AZ10" s="28"/>
      <c r="BD10" s="27" t="s">
        <v>587</v>
      </c>
      <c r="BE10" s="1785">
        <v>6303</v>
      </c>
      <c r="BF10" s="1785">
        <v>217</v>
      </c>
      <c r="BG10" s="1785">
        <f>BF10*7</f>
        <v>1519</v>
      </c>
      <c r="BH10" s="1785">
        <v>58</v>
      </c>
      <c r="BI10" s="1785">
        <f t="shared" si="9"/>
        <v>88102</v>
      </c>
      <c r="BJ10" s="1785">
        <v>624</v>
      </c>
      <c r="BK10" s="53" t="s">
        <v>1214</v>
      </c>
      <c r="BL10" s="1786">
        <v>1</v>
      </c>
      <c r="BM10" s="1785">
        <f t="shared" si="10"/>
        <v>624</v>
      </c>
      <c r="BN10" s="1785">
        <v>665</v>
      </c>
      <c r="BO10" s="1787">
        <v>-600</v>
      </c>
      <c r="BP10" s="1787">
        <f t="shared" si="11"/>
        <v>-600</v>
      </c>
      <c r="BQ10" s="1785">
        <v>941</v>
      </c>
      <c r="BR10" s="1785">
        <v>95</v>
      </c>
      <c r="BS10" s="1788"/>
      <c r="BT10" s="1789">
        <f t="shared" si="12"/>
        <v>7.0826995981930034</v>
      </c>
      <c r="BU10" s="1790">
        <f t="shared" si="13"/>
        <v>6.8102880751855803</v>
      </c>
      <c r="BV10" s="1791">
        <f t="shared" si="14"/>
        <v>7.0826995981930034</v>
      </c>
      <c r="BW10" s="1792">
        <f t="shared" si="17"/>
        <v>14.630768881523688</v>
      </c>
      <c r="BX10" s="1793">
        <f t="shared" si="15"/>
        <v>26.389866291344124</v>
      </c>
      <c r="BY10" s="1794">
        <v>24.380074610489356</v>
      </c>
      <c r="BZ10" s="1794">
        <f t="shared" si="16"/>
        <v>2.009791680854768</v>
      </c>
      <c r="CA10" s="1795">
        <v>0.1</v>
      </c>
      <c r="CB10" s="1792">
        <f>BX10*(1+CA10)</f>
        <v>29.028852920478538</v>
      </c>
    </row>
    <row r="11" spans="1:80">
      <c r="I11" s="302" t="s">
        <v>384</v>
      </c>
      <c r="J11" s="27" t="s">
        <v>185</v>
      </c>
      <c r="K11" s="27" t="s">
        <v>25</v>
      </c>
      <c r="L11" s="27">
        <f t="shared" si="3"/>
        <v>1</v>
      </c>
      <c r="M11" s="27">
        <v>90</v>
      </c>
      <c r="N11" s="27" t="str">
        <f t="shared" si="5"/>
        <v>Kunshan</v>
      </c>
      <c r="O11" s="27">
        <v>1</v>
      </c>
      <c r="P11" s="27">
        <v>4</v>
      </c>
      <c r="Q11" s="27">
        <v>7</v>
      </c>
      <c r="R11" s="27">
        <v>8</v>
      </c>
      <c r="S11" s="27">
        <v>1</v>
      </c>
      <c r="T11" s="178">
        <v>0.25</v>
      </c>
      <c r="U11" s="178">
        <v>0.15</v>
      </c>
      <c r="V11" s="301">
        <v>5.0000000000000001E-3</v>
      </c>
      <c r="W11" s="27"/>
      <c r="X11" s="27" t="s">
        <v>185</v>
      </c>
      <c r="Y11" s="260">
        <v>34</v>
      </c>
      <c r="Z11" s="260">
        <v>20</v>
      </c>
      <c r="AA11" s="27">
        <v>3</v>
      </c>
      <c r="AB11" s="27">
        <v>5500</v>
      </c>
      <c r="AC11" s="178">
        <v>0.2</v>
      </c>
      <c r="AD11" s="178">
        <v>0.1</v>
      </c>
      <c r="AE11" s="178">
        <v>0.1</v>
      </c>
      <c r="AF11" s="27"/>
      <c r="AG11" s="178"/>
      <c r="AH11" s="178"/>
      <c r="AI11" s="178"/>
      <c r="AJ11" s="178"/>
      <c r="AK11" s="178"/>
      <c r="AL11" s="178"/>
      <c r="AM11" s="300">
        <v>0.6</v>
      </c>
      <c r="AN11" s="300">
        <v>0.4</v>
      </c>
      <c r="AO11" s="178">
        <v>0.4</v>
      </c>
      <c r="AP11" s="178">
        <f t="shared" si="8"/>
        <v>0.2</v>
      </c>
      <c r="AQ11" s="27"/>
      <c r="AR11" s="27"/>
      <c r="AS11" s="27"/>
      <c r="AT11" s="27"/>
      <c r="AU11" s="27"/>
      <c r="AV11" s="27"/>
      <c r="AW11" s="27"/>
      <c r="AX11" s="27"/>
      <c r="AY11" s="27"/>
      <c r="AZ11" s="28"/>
      <c r="BD11" s="27" t="s">
        <v>546</v>
      </c>
      <c r="BE11" s="1785">
        <v>35763</v>
      </c>
      <c r="BF11" s="1785">
        <v>238</v>
      </c>
      <c r="BG11" s="1785">
        <f t="shared" ref="BG11:BG15" si="18">BF11*8</f>
        <v>1904</v>
      </c>
      <c r="BH11" s="1785">
        <v>1043</v>
      </c>
      <c r="BI11" s="1785">
        <f t="shared" si="9"/>
        <v>1985872</v>
      </c>
      <c r="BJ11" s="1785">
        <v>3492</v>
      </c>
      <c r="BK11" s="53" t="s">
        <v>1214</v>
      </c>
      <c r="BL11" s="1786">
        <v>1</v>
      </c>
      <c r="BM11" s="1785">
        <f t="shared" si="10"/>
        <v>3492</v>
      </c>
      <c r="BN11" s="1785">
        <v>3335</v>
      </c>
      <c r="BO11" s="1787">
        <v>-1824</v>
      </c>
      <c r="BP11" s="1787">
        <f t="shared" si="11"/>
        <v>-1824</v>
      </c>
      <c r="BQ11" s="1785">
        <v>5159</v>
      </c>
      <c r="BR11" s="1785">
        <v>208</v>
      </c>
      <c r="BS11" s="1788"/>
      <c r="BT11" s="1789">
        <f t="shared" si="12"/>
        <v>1.7584214894011296</v>
      </c>
      <c r="BU11" s="1790">
        <f t="shared" si="13"/>
        <v>0.9184882006493873</v>
      </c>
      <c r="BV11" s="1791">
        <f t="shared" si="14"/>
        <v>1.7584214894011296</v>
      </c>
      <c r="BW11" s="1792">
        <f t="shared" si="17"/>
        <v>3.4377845097770652</v>
      </c>
      <c r="BX11" s="1793">
        <f t="shared" si="15"/>
        <v>6.1403756133325818</v>
      </c>
      <c r="BY11" s="1794">
        <v>5.8275607540313423</v>
      </c>
      <c r="BZ11" s="1794">
        <f t="shared" si="16"/>
        <v>0.31281485930123942</v>
      </c>
      <c r="CA11" s="1795">
        <v>0.1</v>
      </c>
      <c r="CB11" s="1792">
        <f>BY11*(1+CA11)</f>
        <v>6.4103168294344774</v>
      </c>
    </row>
    <row r="12" spans="1:80" ht="15" thickBot="1">
      <c r="I12" s="302" t="s">
        <v>388</v>
      </c>
      <c r="J12" s="27" t="s">
        <v>185</v>
      </c>
      <c r="K12" s="27" t="s">
        <v>25</v>
      </c>
      <c r="L12" s="27">
        <f t="shared" si="3"/>
        <v>1</v>
      </c>
      <c r="M12" s="27">
        <v>90</v>
      </c>
      <c r="N12" s="27" t="s">
        <v>384</v>
      </c>
      <c r="O12" s="27">
        <v>1</v>
      </c>
      <c r="P12" s="27">
        <v>4</v>
      </c>
      <c r="Q12" s="27">
        <v>7</v>
      </c>
      <c r="R12" s="27">
        <v>8</v>
      </c>
      <c r="S12" s="27">
        <v>1</v>
      </c>
      <c r="T12" s="178">
        <v>0.25</v>
      </c>
      <c r="U12" s="178">
        <v>0.15</v>
      </c>
      <c r="V12" s="301">
        <v>0</v>
      </c>
      <c r="W12" s="27"/>
      <c r="X12" s="27" t="s">
        <v>185</v>
      </c>
      <c r="Y12" s="260">
        <f>VLOOKUP(I12,$BD$6:$CB$17,17,FALSE)</f>
        <v>19.861778846153847</v>
      </c>
      <c r="Z12" s="260">
        <f t="shared" si="7"/>
        <v>7.9458041958041958</v>
      </c>
      <c r="AA12" s="27">
        <v>3</v>
      </c>
      <c r="AB12" s="27">
        <v>5500</v>
      </c>
      <c r="AC12" s="178">
        <v>0.2</v>
      </c>
      <c r="AD12" s="178">
        <v>0.1</v>
      </c>
      <c r="AE12" s="178">
        <v>0.1</v>
      </c>
      <c r="AF12" s="27"/>
      <c r="AG12" s="178"/>
      <c r="AH12" s="178"/>
      <c r="AI12" s="178"/>
      <c r="AJ12" s="178"/>
      <c r="AK12" s="178"/>
      <c r="AL12" s="178"/>
      <c r="AM12" s="300">
        <v>0.6</v>
      </c>
      <c r="AN12" s="300">
        <v>0.4</v>
      </c>
      <c r="AO12" s="178">
        <v>0.4</v>
      </c>
      <c r="AP12" s="178">
        <f t="shared" si="8"/>
        <v>0.2</v>
      </c>
      <c r="AQ12" s="27"/>
      <c r="AR12" s="27"/>
      <c r="AS12" s="27"/>
      <c r="AT12" s="27"/>
      <c r="AU12" s="27"/>
      <c r="AV12" s="27"/>
      <c r="AW12" s="27"/>
      <c r="AX12" s="27"/>
      <c r="AY12" s="27"/>
      <c r="AZ12" s="28"/>
      <c r="BD12" s="27" t="s">
        <v>574</v>
      </c>
      <c r="BE12" s="1785">
        <v>18562</v>
      </c>
      <c r="BF12" s="1785">
        <v>312</v>
      </c>
      <c r="BG12" s="1785">
        <f t="shared" si="18"/>
        <v>2496</v>
      </c>
      <c r="BH12" s="1785">
        <f>262+73</f>
        <v>335</v>
      </c>
      <c r="BI12" s="1785">
        <f t="shared" si="9"/>
        <v>836160</v>
      </c>
      <c r="BJ12" s="1785">
        <v>1575</v>
      </c>
      <c r="BK12" s="53" t="s">
        <v>1220</v>
      </c>
      <c r="BL12" s="1786">
        <v>1</v>
      </c>
      <c r="BM12" s="1785">
        <f t="shared" si="10"/>
        <v>1575</v>
      </c>
      <c r="BN12" s="1785">
        <v>1643</v>
      </c>
      <c r="BO12" s="1787">
        <v>-802</v>
      </c>
      <c r="BP12" s="1787">
        <f t="shared" si="11"/>
        <v>-802</v>
      </c>
      <c r="BQ12" s="1785">
        <v>3064</v>
      </c>
      <c r="BR12" s="1785">
        <v>166</v>
      </c>
      <c r="BS12" s="1797"/>
      <c r="BT12" s="1789">
        <f t="shared" si="12"/>
        <v>1.8836107921928817</v>
      </c>
      <c r="BU12" s="1790">
        <f t="shared" si="13"/>
        <v>0.95914657481821664</v>
      </c>
      <c r="BV12" s="1791">
        <f t="shared" si="14"/>
        <v>1.8836107921928817</v>
      </c>
      <c r="BW12" s="1792">
        <f t="shared" si="17"/>
        <v>3.8485457328740913</v>
      </c>
      <c r="BX12" s="1793">
        <f t="shared" si="15"/>
        <v>7.7114427860696519</v>
      </c>
      <c r="BY12" s="1794">
        <v>6.3799633091730197</v>
      </c>
      <c r="BZ12" s="1794">
        <f t="shared" si="16"/>
        <v>1.3314794768966323</v>
      </c>
      <c r="CA12" s="1795">
        <v>0.1</v>
      </c>
      <c r="CB12" s="1792">
        <f>BX12*(1+CA12)</f>
        <v>8.4825870646766184</v>
      </c>
    </row>
    <row r="13" spans="1:80" ht="15" thickBot="1">
      <c r="B13" s="2236" t="s">
        <v>1221</v>
      </c>
      <c r="C13" s="2237"/>
      <c r="D13" s="2237"/>
      <c r="E13" s="2237"/>
      <c r="F13" s="2237"/>
      <c r="G13" s="2238"/>
      <c r="I13" s="302" t="s">
        <v>592</v>
      </c>
      <c r="J13" s="27" t="s">
        <v>185</v>
      </c>
      <c r="K13" s="27" t="s">
        <v>25</v>
      </c>
      <c r="L13" s="27">
        <f t="shared" si="3"/>
        <v>1</v>
      </c>
      <c r="M13" s="27">
        <v>90</v>
      </c>
      <c r="N13" s="27" t="str">
        <f t="shared" si="5"/>
        <v>Tianjin</v>
      </c>
      <c r="O13" s="27">
        <v>1</v>
      </c>
      <c r="P13" s="27">
        <v>4</v>
      </c>
      <c r="Q13" s="27">
        <v>7</v>
      </c>
      <c r="R13" s="27">
        <v>8</v>
      </c>
      <c r="S13" s="27">
        <v>1</v>
      </c>
      <c r="T13" s="178">
        <v>0.25</v>
      </c>
      <c r="U13" s="178">
        <v>0.3</v>
      </c>
      <c r="V13" s="301">
        <v>5.0000000000000001E-3</v>
      </c>
      <c r="W13" s="27"/>
      <c r="X13" s="27" t="s">
        <v>185</v>
      </c>
      <c r="Y13" s="260">
        <f>VLOOKUP(I13,$BD$6:$CB$17,17,FALSE)*1.2</f>
        <v>45.692105838617969</v>
      </c>
      <c r="Z13" s="260">
        <f t="shared" ref="Z13:Z14" si="19">VLOOKUP(I13,$BD$6:$CB$17,18,FALSE)</f>
        <v>59.889569210583865</v>
      </c>
      <c r="AA13" s="27">
        <v>3</v>
      </c>
      <c r="AB13" s="27">
        <v>5500</v>
      </c>
      <c r="AC13" s="178">
        <v>0.2</v>
      </c>
      <c r="AD13" s="178">
        <v>0.2</v>
      </c>
      <c r="AE13" s="178">
        <v>0</v>
      </c>
      <c r="AF13" s="27"/>
      <c r="AG13" s="178"/>
      <c r="AH13" s="178"/>
      <c r="AI13" s="178"/>
      <c r="AJ13" s="178"/>
      <c r="AK13" s="178"/>
      <c r="AL13" s="178"/>
      <c r="AM13" s="300">
        <v>0.9</v>
      </c>
      <c r="AN13" s="300">
        <v>0.4</v>
      </c>
      <c r="AO13" s="178">
        <v>0.4</v>
      </c>
      <c r="AP13" s="178">
        <f t="shared" si="8"/>
        <v>0.2</v>
      </c>
      <c r="AQ13" s="27"/>
      <c r="AR13" s="178">
        <v>0.3</v>
      </c>
      <c r="AS13" s="27"/>
      <c r="AT13" s="27"/>
      <c r="AU13" s="27"/>
      <c r="AV13" s="27"/>
      <c r="AW13" s="27"/>
      <c r="AX13" s="27"/>
      <c r="AY13" s="27"/>
      <c r="AZ13" s="28"/>
      <c r="BD13" s="1784" t="s">
        <v>384</v>
      </c>
      <c r="BE13" s="1798">
        <v>34356</v>
      </c>
      <c r="BF13" s="1798">
        <f>11*22</f>
        <v>242</v>
      </c>
      <c r="BG13" s="1798">
        <f t="shared" si="18"/>
        <v>1936</v>
      </c>
      <c r="BH13" s="1798">
        <v>31</v>
      </c>
      <c r="BI13" s="1785">
        <f t="shared" si="9"/>
        <v>60016</v>
      </c>
      <c r="BJ13" s="1785">
        <v>4351</v>
      </c>
      <c r="BK13" s="53" t="s">
        <v>1219</v>
      </c>
      <c r="BL13" s="1786">
        <v>7</v>
      </c>
      <c r="BM13" s="1798">
        <f t="shared" si="10"/>
        <v>621.57142857142856</v>
      </c>
      <c r="BN13" s="1798">
        <f>(420+1451)/7</f>
        <v>267.28571428571428</v>
      </c>
      <c r="BO13" s="1799">
        <v>-207.28571428571428</v>
      </c>
      <c r="BP13" s="1799">
        <f t="shared" si="11"/>
        <v>-1451</v>
      </c>
      <c r="BQ13" s="1798">
        <f>596+309</f>
        <v>905</v>
      </c>
      <c r="BR13" s="1798">
        <v>80</v>
      </c>
      <c r="BS13" s="1788"/>
      <c r="BT13" s="1789">
        <v>35</v>
      </c>
      <c r="BU13" s="1790">
        <f t="shared" si="13"/>
        <v>24.176886163689684</v>
      </c>
      <c r="BV13" s="1791">
        <f t="shared" si="14"/>
        <v>5</v>
      </c>
      <c r="BW13" s="1792">
        <f t="shared" si="17"/>
        <v>14.810336291274707</v>
      </c>
      <c r="BX13" s="1793">
        <f t="shared" si="15"/>
        <v>31.22262634725978</v>
      </c>
      <c r="BY13" s="1794"/>
      <c r="BZ13" s="1794">
        <f t="shared" si="16"/>
        <v>31.22262634725978</v>
      </c>
      <c r="CA13" s="1795">
        <v>1.1000000000000001</v>
      </c>
      <c r="CB13" s="1792">
        <f t="shared" ref="CB13:CB14" si="20">BX13*(1+CA13)</f>
        <v>65.567515329245538</v>
      </c>
    </row>
    <row r="14" spans="1:80">
      <c r="I14" s="302" t="s">
        <v>796</v>
      </c>
      <c r="J14" s="27" t="s">
        <v>1165</v>
      </c>
      <c r="K14" s="27" t="s">
        <v>1222</v>
      </c>
      <c r="L14" s="27">
        <f t="shared" si="3"/>
        <v>2</v>
      </c>
      <c r="M14" s="27">
        <v>60</v>
      </c>
      <c r="N14" s="27" t="str">
        <f t="shared" si="5"/>
        <v xml:space="preserve">Daegu </v>
      </c>
      <c r="O14" s="27">
        <v>1</v>
      </c>
      <c r="P14" s="27">
        <v>4</v>
      </c>
      <c r="Q14" s="27">
        <v>7</v>
      </c>
      <c r="R14" s="27">
        <v>8</v>
      </c>
      <c r="S14" s="27">
        <v>1</v>
      </c>
      <c r="T14" s="178">
        <v>0.3</v>
      </c>
      <c r="U14" s="178">
        <v>0.15</v>
      </c>
      <c r="V14" s="301">
        <v>5.0000000000000001E-3</v>
      </c>
      <c r="W14" s="27"/>
      <c r="X14" s="27" t="s">
        <v>1165</v>
      </c>
      <c r="Y14" s="26">
        <f t="shared" si="4"/>
        <v>29004.164142943668</v>
      </c>
      <c r="Z14" s="26">
        <f t="shared" si="19"/>
        <v>12894.760751059963</v>
      </c>
      <c r="AA14" s="27">
        <v>3</v>
      </c>
      <c r="AB14" s="27">
        <v>5500</v>
      </c>
      <c r="AC14" s="178">
        <v>0.2</v>
      </c>
      <c r="AD14" s="178">
        <v>0.2</v>
      </c>
      <c r="AE14" s="178">
        <v>0</v>
      </c>
      <c r="AF14" s="27"/>
      <c r="AG14" s="178"/>
      <c r="AH14" s="178"/>
      <c r="AI14" s="178"/>
      <c r="AJ14" s="178"/>
      <c r="AK14" s="178"/>
      <c r="AL14" s="178"/>
      <c r="AM14" s="300">
        <v>0.7</v>
      </c>
      <c r="AN14" s="300">
        <v>0.5</v>
      </c>
      <c r="AO14" s="178">
        <v>0.18</v>
      </c>
      <c r="AP14" s="178">
        <f t="shared" si="8"/>
        <v>0.09</v>
      </c>
      <c r="AQ14" s="27"/>
      <c r="AR14" s="178">
        <v>0.25</v>
      </c>
      <c r="AS14" s="27"/>
      <c r="AT14" s="27"/>
      <c r="AU14" s="27"/>
      <c r="AV14" s="27"/>
      <c r="AW14" s="27"/>
      <c r="AX14" s="27"/>
      <c r="AY14" s="27"/>
      <c r="AZ14" s="28"/>
      <c r="BD14" s="27" t="s">
        <v>1223</v>
      </c>
      <c r="BE14" s="1798">
        <v>6380</v>
      </c>
      <c r="BF14" s="1798">
        <f>11*22</f>
        <v>242</v>
      </c>
      <c r="BG14" s="1798">
        <f t="shared" si="18"/>
        <v>1936</v>
      </c>
      <c r="BH14" s="1798">
        <v>19</v>
      </c>
      <c r="BI14" s="1785">
        <f t="shared" si="9"/>
        <v>36784</v>
      </c>
      <c r="BJ14" s="1785">
        <v>808</v>
      </c>
      <c r="BK14" s="53" t="s">
        <v>1219</v>
      </c>
      <c r="BL14" s="1786">
        <v>7</v>
      </c>
      <c r="BM14" s="1798">
        <f t="shared" si="10"/>
        <v>115.42857142857143</v>
      </c>
      <c r="BN14" s="1798">
        <f>(78+269)/7</f>
        <v>49.571428571428569</v>
      </c>
      <c r="BO14" s="1799">
        <v>-38.428571428571431</v>
      </c>
      <c r="BP14" s="1799">
        <f t="shared" si="11"/>
        <v>-269</v>
      </c>
      <c r="BQ14" s="1798">
        <f>111+57</f>
        <v>168</v>
      </c>
      <c r="BR14" s="1798">
        <v>15</v>
      </c>
      <c r="BS14" s="1788"/>
      <c r="BT14" s="1789">
        <f t="shared" si="12"/>
        <v>21.966072205306656</v>
      </c>
      <c r="BU14" s="1790">
        <f t="shared" si="13"/>
        <v>7.312962157459765</v>
      </c>
      <c r="BV14" s="1791">
        <f t="shared" si="14"/>
        <v>3.1380103150438079</v>
      </c>
      <c r="BW14" s="1792">
        <f t="shared" si="17"/>
        <v>4.4856459330143537</v>
      </c>
      <c r="BX14" s="1793">
        <f t="shared" si="15"/>
        <v>9.4606350587211825</v>
      </c>
      <c r="BY14" s="1794"/>
      <c r="BZ14" s="1794">
        <f t="shared" si="16"/>
        <v>9.4606350587211825</v>
      </c>
      <c r="CA14" s="1795">
        <v>2.1</v>
      </c>
      <c r="CB14" s="1792">
        <f t="shared" si="20"/>
        <v>29.327968682035667</v>
      </c>
    </row>
    <row r="15" spans="1:80">
      <c r="C15">
        <v>1</v>
      </c>
      <c r="D15">
        <v>2</v>
      </c>
      <c r="E15">
        <v>3</v>
      </c>
      <c r="F15">
        <v>4</v>
      </c>
      <c r="G15">
        <v>5</v>
      </c>
      <c r="H15">
        <v>6</v>
      </c>
      <c r="I15" s="25" t="s">
        <v>945</v>
      </c>
      <c r="J15" s="27" t="s">
        <v>450</v>
      </c>
      <c r="K15" s="27" t="s">
        <v>505</v>
      </c>
      <c r="L15" s="27">
        <v>3</v>
      </c>
      <c r="M15" s="27">
        <v>60</v>
      </c>
      <c r="N15" s="27" t="s">
        <v>587</v>
      </c>
      <c r="O15" s="27">
        <v>1</v>
      </c>
      <c r="P15" s="27">
        <v>4</v>
      </c>
      <c r="Q15" s="27">
        <v>7</v>
      </c>
      <c r="R15" s="27">
        <v>8</v>
      </c>
      <c r="S15" s="27">
        <v>1</v>
      </c>
      <c r="T15" s="178">
        <v>0.3</v>
      </c>
      <c r="U15" s="178">
        <v>0.05</v>
      </c>
      <c r="V15" s="301">
        <v>2.5000000000000001E-2</v>
      </c>
      <c r="W15" s="27"/>
      <c r="X15" s="27" t="s">
        <v>450</v>
      </c>
      <c r="Y15" s="260">
        <f>VLOOKUP(I15,$BD$6:$CB$17,17,FALSE)*1.2</f>
        <v>2.7152139925737737</v>
      </c>
      <c r="Z15" s="260">
        <f>VLOOKUP(I15,$BD$6:$CB$17,18,FALSE)*1.2</f>
        <v>2.0446550713308578</v>
      </c>
      <c r="AA15" s="27">
        <v>3</v>
      </c>
      <c r="AB15" s="27">
        <v>5500</v>
      </c>
      <c r="AC15" s="178">
        <v>0.2</v>
      </c>
      <c r="AD15" s="178">
        <v>0.1</v>
      </c>
      <c r="AE15" s="178">
        <v>0.1</v>
      </c>
      <c r="AF15" s="27"/>
      <c r="AG15" s="27"/>
      <c r="AH15" s="27"/>
      <c r="AI15" s="27"/>
      <c r="AJ15" s="27"/>
      <c r="AK15" s="27"/>
      <c r="AL15" s="27"/>
      <c r="AM15" s="300">
        <v>0.6</v>
      </c>
      <c r="AN15" s="300">
        <v>0.4</v>
      </c>
      <c r="AO15" s="178">
        <v>0.4</v>
      </c>
      <c r="AP15" s="178">
        <v>0.2</v>
      </c>
      <c r="AQ15" s="27"/>
      <c r="AR15" s="27"/>
      <c r="AS15" s="27"/>
      <c r="AT15" s="27"/>
      <c r="AU15" s="27"/>
      <c r="AV15" s="27"/>
      <c r="AW15" s="27"/>
      <c r="AX15" s="27"/>
      <c r="AY15" s="27"/>
      <c r="AZ15" s="28"/>
      <c r="BD15" s="1784" t="s">
        <v>388</v>
      </c>
      <c r="BE15" s="1798">
        <v>57423</v>
      </c>
      <c r="BF15" s="1798">
        <f>11*26</f>
        <v>286</v>
      </c>
      <c r="BG15" s="1798">
        <f t="shared" si="18"/>
        <v>2288</v>
      </c>
      <c r="BH15" s="1798">
        <f>130+30</f>
        <v>160</v>
      </c>
      <c r="BI15" s="1785">
        <f t="shared" si="9"/>
        <v>366080</v>
      </c>
      <c r="BJ15" s="1785">
        <v>7271</v>
      </c>
      <c r="BK15" s="53" t="s">
        <v>1219</v>
      </c>
      <c r="BL15" s="1786">
        <v>7</v>
      </c>
      <c r="BM15" s="1798">
        <f>BJ15/BL15</f>
        <v>1038.7142857142858</v>
      </c>
      <c r="BN15" s="1798">
        <f>(703+2424)/7</f>
        <v>446.71428571428572</v>
      </c>
      <c r="BO15" s="1799">
        <v>-346.28571428571428</v>
      </c>
      <c r="BP15" s="1799">
        <f t="shared" si="11"/>
        <v>-2424</v>
      </c>
      <c r="BQ15" s="1798">
        <f>997+517</f>
        <v>1514</v>
      </c>
      <c r="BR15" s="1798">
        <v>133</v>
      </c>
      <c r="BS15" s="1788"/>
      <c r="BT15" s="1789">
        <f t="shared" si="12"/>
        <v>19.861778846153847</v>
      </c>
      <c r="BU15" s="1790">
        <f t="shared" si="13"/>
        <v>6.6215034965034967</v>
      </c>
      <c r="BV15" s="1791">
        <f t="shared" si="14"/>
        <v>2.8373969780219781</v>
      </c>
      <c r="BW15" s="1792">
        <f t="shared" si="17"/>
        <v>4.0576610889110896</v>
      </c>
      <c r="BX15" s="1793">
        <f t="shared" si="15"/>
        <v>8.5566776973026979</v>
      </c>
      <c r="BY15" s="1794"/>
      <c r="BZ15" s="1794">
        <f t="shared" si="16"/>
        <v>8.5566776973026979</v>
      </c>
      <c r="CA15" s="1795">
        <v>3.1</v>
      </c>
      <c r="CB15" s="1792">
        <f>BX15*(1+CA15)</f>
        <v>35.082378558941059</v>
      </c>
    </row>
    <row r="16" spans="1:80" ht="15" thickBot="1">
      <c r="C16" t="s">
        <v>185</v>
      </c>
      <c r="D16" t="s">
        <v>1165</v>
      </c>
      <c r="E16" t="s">
        <v>450</v>
      </c>
      <c r="F16" t="s">
        <v>1164</v>
      </c>
      <c r="G16" t="s">
        <v>876</v>
      </c>
      <c r="H16" t="s">
        <v>876</v>
      </c>
      <c r="I16" s="36"/>
      <c r="J16" s="39"/>
      <c r="K16" s="39"/>
      <c r="L16" s="39"/>
      <c r="M16" s="39"/>
      <c r="N16" s="39"/>
      <c r="O16" s="39"/>
      <c r="P16" s="39"/>
      <c r="Q16" s="39"/>
      <c r="R16" s="39"/>
      <c r="S16" s="39"/>
      <c r="T16" s="39"/>
      <c r="U16" s="39"/>
      <c r="V16" s="39"/>
      <c r="W16" s="39"/>
      <c r="X16" s="39"/>
      <c r="Y16" s="54"/>
      <c r="Z16" s="54"/>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43"/>
      <c r="BD16" s="27" t="s">
        <v>945</v>
      </c>
      <c r="BE16" s="1785">
        <v>5947</v>
      </c>
      <c r="BF16" s="1785">
        <v>238</v>
      </c>
      <c r="BG16" s="1785">
        <f>BF16*8</f>
        <v>1904</v>
      </c>
      <c r="BH16" s="1785">
        <v>172</v>
      </c>
      <c r="BI16" s="1785">
        <f>BG16*BH16</f>
        <v>327488</v>
      </c>
      <c r="BJ16" s="1785">
        <v>741</v>
      </c>
      <c r="BK16" s="53" t="s">
        <v>1214</v>
      </c>
      <c r="BL16" s="1786">
        <v>1</v>
      </c>
      <c r="BM16" s="1785">
        <f t="shared" ref="BM16" si="21">BJ16/BL16</f>
        <v>741</v>
      </c>
      <c r="BN16" s="1785">
        <v>840</v>
      </c>
      <c r="BO16" s="1787">
        <v>-558</v>
      </c>
      <c r="BP16" s="1787">
        <f>BO16*BL16</f>
        <v>-558</v>
      </c>
      <c r="BQ16" s="1785">
        <v>828</v>
      </c>
      <c r="BR16" s="1785">
        <v>294</v>
      </c>
      <c r="BS16" s="1788"/>
      <c r="BT16" s="1789">
        <f>BJ16/BI16*1000</f>
        <v>2.2626783271448114</v>
      </c>
      <c r="BU16" s="1790">
        <f>-BP16*1000/BI16</f>
        <v>1.7038792261090483</v>
      </c>
      <c r="BV16" s="1791">
        <f>BT16/BL16</f>
        <v>2.2626783271448114</v>
      </c>
      <c r="BW16" s="1792">
        <f>(BM16+BN16)*1000/BI16</f>
        <v>4.8276578073089702</v>
      </c>
      <c r="BX16" s="1793">
        <f>(BM16+BN16+BQ16+BR16)*1000/BI16</f>
        <v>8.2537375415282384</v>
      </c>
      <c r="BY16" s="1794">
        <v>5.4709383753501397</v>
      </c>
      <c r="BZ16" s="1800" t="s">
        <v>1224</v>
      </c>
      <c r="CA16" s="1795">
        <v>0.1</v>
      </c>
      <c r="CB16" s="1792">
        <f t="shared" ref="CB16:CB17" si="22">BX16*(1+CA16)</f>
        <v>9.0791112956810629</v>
      </c>
    </row>
    <row r="17" spans="2:80" ht="15" thickBot="1">
      <c r="B17" t="s">
        <v>26</v>
      </c>
      <c r="BD17" s="302" t="s">
        <v>497</v>
      </c>
      <c r="BE17" s="1785">
        <v>5037</v>
      </c>
      <c r="BF17" s="1785">
        <v>229.5</v>
      </c>
      <c r="BG17" s="1785">
        <f>BF17*7</f>
        <v>1606.5</v>
      </c>
      <c r="BH17" s="1785">
        <v>21</v>
      </c>
      <c r="BI17" s="1785">
        <f>BG17*BH17</f>
        <v>33736.5</v>
      </c>
      <c r="BJ17" s="1785">
        <v>659</v>
      </c>
      <c r="BK17" s="53" t="s">
        <v>1214</v>
      </c>
      <c r="BL17" s="1786">
        <v>1</v>
      </c>
      <c r="BM17" s="1785">
        <f>BJ17/BL17</f>
        <v>659</v>
      </c>
      <c r="BN17" s="1785">
        <v>514</v>
      </c>
      <c r="BO17" s="1787">
        <v>-338</v>
      </c>
      <c r="BP17" s="1787">
        <f>BO17*BL17</f>
        <v>-338</v>
      </c>
      <c r="BQ17" s="1785">
        <v>1576</v>
      </c>
      <c r="BR17" s="1785">
        <v>186</v>
      </c>
      <c r="BS17" s="1788"/>
      <c r="BT17" s="1789">
        <f>BJ17/BI17*1000</f>
        <v>19.533739421694605</v>
      </c>
      <c r="BU17" s="1790">
        <f>-BP17*1000/BI17</f>
        <v>10.018822343752316</v>
      </c>
      <c r="BV17" s="1791">
        <f>BT17/BL17</f>
        <v>19.533739421694605</v>
      </c>
      <c r="BW17" s="1792">
        <f>(BM17+BN17)*1000/BI17</f>
        <v>34.76946334089191</v>
      </c>
      <c r="BX17" s="1793">
        <f>(BM17+BN17+BQ17+BR17)*1000/BI17</f>
        <v>86.997762067790077</v>
      </c>
      <c r="BY17" s="1794">
        <v>92.748210395269226</v>
      </c>
      <c r="BZ17" s="1794">
        <f t="shared" ref="BZ17" si="23">BX17-BY17</f>
        <v>-5.7504483274791482</v>
      </c>
      <c r="CA17" s="1795">
        <v>0.1</v>
      </c>
      <c r="CB17" s="1792">
        <f t="shared" si="22"/>
        <v>95.697538274569098</v>
      </c>
    </row>
    <row r="18" spans="2:80" ht="29.4" thickBot="1">
      <c r="B18" t="s">
        <v>1225</v>
      </c>
      <c r="C18" s="48" t="str">
        <f>'PL Parameters'!E3</f>
        <v>China + South pacific</v>
      </c>
      <c r="D18" s="48" t="str">
        <f>'PL Parameters'!F3</f>
        <v>Korea / Japan</v>
      </c>
      <c r="E18" s="48" t="str">
        <f>'PL Parameters'!G3</f>
        <v>Europe</v>
      </c>
      <c r="F18" s="48" t="str">
        <f>'PL Parameters'!H3</f>
        <v>India</v>
      </c>
      <c r="G18" s="48" t="str">
        <f>'PL Parameters'!I3</f>
        <v xml:space="preserve">North America </v>
      </c>
      <c r="H18" s="49" t="str">
        <f>'PL Parameters'!J3</f>
        <v xml:space="preserve">South America </v>
      </c>
      <c r="J18" s="217" t="s">
        <v>161</v>
      </c>
      <c r="L18" s="185" t="s">
        <v>1226</v>
      </c>
      <c r="Z18" t="s">
        <v>563</v>
      </c>
      <c r="AA18">
        <v>50</v>
      </c>
      <c r="AB18">
        <v>25</v>
      </c>
    </row>
    <row r="19" spans="2:80">
      <c r="B19" t="s">
        <v>1227</v>
      </c>
      <c r="C19" s="20" t="s">
        <v>592</v>
      </c>
      <c r="D19" s="20" t="s">
        <v>796</v>
      </c>
      <c r="E19" s="20" t="s">
        <v>563</v>
      </c>
      <c r="F19" s="20" t="s">
        <v>515</v>
      </c>
      <c r="G19" s="20" t="s">
        <v>563</v>
      </c>
      <c r="H19" s="20" t="s">
        <v>563</v>
      </c>
      <c r="J19" s="186" t="s">
        <v>450</v>
      </c>
      <c r="L19" s="186" t="s">
        <v>1228</v>
      </c>
      <c r="O19" t="s">
        <v>1229</v>
      </c>
      <c r="Q19" s="1">
        <v>0.02</v>
      </c>
      <c r="Z19" t="s">
        <v>587</v>
      </c>
      <c r="AA19">
        <v>7</v>
      </c>
      <c r="AB19">
        <v>3.5</v>
      </c>
    </row>
    <row r="20" spans="2:80">
      <c r="B20" t="s">
        <v>1230</v>
      </c>
      <c r="C20" s="20" t="s">
        <v>592</v>
      </c>
      <c r="D20" s="20" t="s">
        <v>592</v>
      </c>
      <c r="E20" s="20" t="s">
        <v>592</v>
      </c>
      <c r="F20" s="20" t="s">
        <v>515</v>
      </c>
      <c r="G20" s="20" t="s">
        <v>515</v>
      </c>
      <c r="H20" s="20" t="s">
        <v>515</v>
      </c>
      <c r="J20" s="186" t="s">
        <v>876</v>
      </c>
      <c r="L20" s="186" t="s">
        <v>1231</v>
      </c>
      <c r="O20" t="s">
        <v>1232</v>
      </c>
      <c r="Q20" s="1">
        <v>0.1</v>
      </c>
      <c r="Z20" t="s">
        <v>546</v>
      </c>
      <c r="AA20">
        <v>2</v>
      </c>
      <c r="AB20">
        <v>1.7</v>
      </c>
    </row>
    <row r="21" spans="2:80">
      <c r="B21" t="s">
        <v>1233</v>
      </c>
      <c r="C21" s="20" t="s">
        <v>592</v>
      </c>
      <c r="D21" s="20" t="s">
        <v>796</v>
      </c>
      <c r="E21" s="20" t="s">
        <v>563</v>
      </c>
      <c r="F21" s="20" t="s">
        <v>515</v>
      </c>
      <c r="G21" s="20" t="s">
        <v>563</v>
      </c>
      <c r="H21" s="20" t="s">
        <v>563</v>
      </c>
      <c r="J21" s="186" t="s">
        <v>1164</v>
      </c>
      <c r="L21" s="186" t="s">
        <v>1234</v>
      </c>
      <c r="O21" t="s">
        <v>1235</v>
      </c>
      <c r="Q21" s="1">
        <v>0.1</v>
      </c>
      <c r="Z21" t="s">
        <v>497</v>
      </c>
      <c r="AA21">
        <v>21</v>
      </c>
      <c r="AB21">
        <v>10.5</v>
      </c>
    </row>
    <row r="22" spans="2:80">
      <c r="B22" t="s">
        <v>1236</v>
      </c>
      <c r="C22" s="20" t="s">
        <v>592</v>
      </c>
      <c r="D22" s="20" t="s">
        <v>592</v>
      </c>
      <c r="E22" s="20" t="s">
        <v>563</v>
      </c>
      <c r="F22" s="20" t="s">
        <v>515</v>
      </c>
      <c r="G22" s="20" t="s">
        <v>563</v>
      </c>
      <c r="H22" s="20" t="s">
        <v>563</v>
      </c>
      <c r="J22" s="186" t="s">
        <v>185</v>
      </c>
      <c r="L22" s="186" t="s">
        <v>1237</v>
      </c>
      <c r="O22" t="s">
        <v>1238</v>
      </c>
      <c r="Q22" s="1">
        <v>0.1</v>
      </c>
      <c r="Z22" t="s">
        <v>574</v>
      </c>
      <c r="AA22">
        <v>3</v>
      </c>
      <c r="AB22">
        <v>1.5</v>
      </c>
    </row>
    <row r="23" spans="2:80" ht="15" thickBot="1">
      <c r="B23" t="s">
        <v>1239</v>
      </c>
      <c r="C23" s="20" t="s">
        <v>592</v>
      </c>
      <c r="D23" s="20" t="s">
        <v>796</v>
      </c>
      <c r="E23" s="20" t="s">
        <v>563</v>
      </c>
      <c r="F23" s="20" t="s">
        <v>515</v>
      </c>
      <c r="G23" s="20" t="s">
        <v>563</v>
      </c>
      <c r="H23" s="20" t="s">
        <v>563</v>
      </c>
      <c r="J23" s="187" t="s">
        <v>1165</v>
      </c>
      <c r="L23" s="187" t="s">
        <v>1240</v>
      </c>
      <c r="O23" t="s">
        <v>1241</v>
      </c>
      <c r="Q23" s="1">
        <v>0.1</v>
      </c>
      <c r="Z23" t="s">
        <v>515</v>
      </c>
      <c r="AA23">
        <v>100</v>
      </c>
      <c r="AB23">
        <v>50</v>
      </c>
    </row>
    <row r="24" spans="2:80">
      <c r="B24" t="s">
        <v>1242</v>
      </c>
      <c r="C24" s="20" t="s">
        <v>592</v>
      </c>
      <c r="D24" s="20" t="s">
        <v>592</v>
      </c>
      <c r="E24" s="20" t="s">
        <v>563</v>
      </c>
      <c r="F24" s="20" t="s">
        <v>515</v>
      </c>
      <c r="G24" s="20" t="s">
        <v>574</v>
      </c>
      <c r="H24" s="20" t="s">
        <v>574</v>
      </c>
      <c r="O24" t="s">
        <v>1243</v>
      </c>
      <c r="Q24" s="1">
        <v>0.02</v>
      </c>
      <c r="Z24" t="s">
        <v>384</v>
      </c>
      <c r="AA24">
        <v>21.6</v>
      </c>
      <c r="AB24">
        <v>10.8</v>
      </c>
    </row>
    <row r="25" spans="2:80">
      <c r="C25" s="27"/>
      <c r="D25" s="27"/>
      <c r="E25" s="27"/>
      <c r="F25" s="27"/>
      <c r="G25" s="27"/>
      <c r="H25" s="27"/>
      <c r="O25" t="s">
        <v>1244</v>
      </c>
      <c r="Q25" s="1">
        <v>0.05</v>
      </c>
      <c r="Z25" t="s">
        <v>388</v>
      </c>
      <c r="AA25">
        <v>14.4</v>
      </c>
      <c r="AB25">
        <v>7.2</v>
      </c>
    </row>
    <row r="26" spans="2:80" ht="15" thickBot="1">
      <c r="Z26" t="s">
        <v>592</v>
      </c>
      <c r="AA26">
        <v>21.6</v>
      </c>
      <c r="AB26">
        <v>10.8</v>
      </c>
    </row>
    <row r="27" spans="2:80" ht="15" customHeight="1">
      <c r="N27" s="2292"/>
      <c r="O27" s="2573" t="s">
        <v>1245</v>
      </c>
      <c r="P27" s="2574"/>
      <c r="Q27" s="2574"/>
      <c r="R27" s="2574"/>
      <c r="S27" s="2575"/>
      <c r="T27" s="2569" t="s">
        <v>1246</v>
      </c>
      <c r="U27" s="2569"/>
      <c r="V27" s="2569"/>
      <c r="W27" s="2569"/>
      <c r="X27" s="2569"/>
      <c r="Y27" s="2570"/>
      <c r="Z27" t="s">
        <v>796</v>
      </c>
      <c r="AA27">
        <v>35000</v>
      </c>
      <c r="AB27">
        <v>17500</v>
      </c>
    </row>
    <row r="28" spans="2:80" ht="15" thickBot="1">
      <c r="B28" s="2564" t="s">
        <v>304</v>
      </c>
      <c r="C28" s="2564"/>
      <c r="D28" s="2564"/>
      <c r="E28" s="2564"/>
      <c r="N28" s="2567"/>
      <c r="O28" s="2565">
        <v>1</v>
      </c>
      <c r="P28" s="2566"/>
      <c r="Q28" s="2566">
        <v>4</v>
      </c>
      <c r="R28" s="2566"/>
      <c r="S28" s="1120"/>
      <c r="T28" s="2571"/>
      <c r="U28" s="2571"/>
      <c r="V28" s="2571"/>
      <c r="W28" s="2571"/>
      <c r="X28" s="2571"/>
      <c r="Y28" s="2572"/>
      <c r="Z28" t="s">
        <v>1247</v>
      </c>
      <c r="AA28">
        <v>2</v>
      </c>
      <c r="AB28">
        <v>1.2</v>
      </c>
    </row>
    <row r="29" spans="2:80" ht="15" thickBot="1">
      <c r="B29" s="41" t="s">
        <v>450</v>
      </c>
      <c r="C29" s="22" t="s">
        <v>450</v>
      </c>
      <c r="D29" s="22" t="str">
        <f t="shared" ref="D29:D53" si="24">+B29&amp;C29</f>
        <v>EUREUR</v>
      </c>
      <c r="E29" s="848">
        <f>C4</f>
        <v>1</v>
      </c>
      <c r="G29" t="s">
        <v>1248</v>
      </c>
      <c r="H29" t="s">
        <v>1249</v>
      </c>
      <c r="N29" s="2568"/>
      <c r="O29" s="1136" t="s">
        <v>1250</v>
      </c>
      <c r="P29" s="1137" t="s">
        <v>1251</v>
      </c>
      <c r="Q29" s="1137" t="s">
        <v>1250</v>
      </c>
      <c r="R29" s="1137" t="s">
        <v>1252</v>
      </c>
      <c r="S29" s="1138" t="s">
        <v>873</v>
      </c>
      <c r="T29" s="94" t="s">
        <v>25</v>
      </c>
      <c r="U29" s="95" t="s">
        <v>1222</v>
      </c>
      <c r="V29" s="95" t="s">
        <v>505</v>
      </c>
      <c r="W29" s="95" t="s">
        <v>498</v>
      </c>
      <c r="X29" s="95" t="s">
        <v>510</v>
      </c>
      <c r="Y29" s="93" t="s">
        <v>1253</v>
      </c>
    </row>
    <row r="30" spans="2:80">
      <c r="B30" s="25" t="s">
        <v>450</v>
      </c>
      <c r="C30" s="27" t="str">
        <f>+C16</f>
        <v>RMB</v>
      </c>
      <c r="D30" s="27" t="str">
        <f t="shared" si="24"/>
        <v>EURRMB</v>
      </c>
      <c r="E30" s="849">
        <f>D4</f>
        <v>7.7789000000000001</v>
      </c>
      <c r="G30" t="s">
        <v>1254</v>
      </c>
      <c r="H30" t="s">
        <v>1255</v>
      </c>
      <c r="N30" s="1133" t="s">
        <v>25</v>
      </c>
      <c r="O30" s="1142" t="s">
        <v>1256</v>
      </c>
      <c r="P30" s="1148">
        <v>5</v>
      </c>
      <c r="Q30" s="992" t="s">
        <v>1257</v>
      </c>
      <c r="R30" s="1151">
        <f>P30-0.01</f>
        <v>4.99</v>
      </c>
      <c r="S30" s="1154">
        <v>60</v>
      </c>
      <c r="T30" s="1139">
        <v>1</v>
      </c>
      <c r="U30" s="1124">
        <f>T31</f>
        <v>2</v>
      </c>
      <c r="V30" s="1124">
        <f>T32</f>
        <v>8</v>
      </c>
      <c r="W30" s="1124">
        <f>T33</f>
        <v>3</v>
      </c>
      <c r="X30" s="1124">
        <f>T34</f>
        <v>2</v>
      </c>
      <c r="Y30" s="1125">
        <f>T35</f>
        <v>2</v>
      </c>
    </row>
    <row r="31" spans="2:80">
      <c r="B31" s="25" t="s">
        <v>450</v>
      </c>
      <c r="C31" s="27" t="str">
        <f>+D16</f>
        <v>KWON</v>
      </c>
      <c r="D31" s="27" t="str">
        <f t="shared" si="24"/>
        <v>EURKWON</v>
      </c>
      <c r="E31" s="849">
        <f>G4</f>
        <v>1444.63</v>
      </c>
      <c r="G31" t="s">
        <v>1258</v>
      </c>
      <c r="H31" t="s">
        <v>1259</v>
      </c>
      <c r="N31" s="1134" t="s">
        <v>1222</v>
      </c>
      <c r="O31" s="1054" t="s">
        <v>1256</v>
      </c>
      <c r="P31" s="1149">
        <v>5</v>
      </c>
      <c r="Q31" s="489" t="s">
        <v>1257</v>
      </c>
      <c r="R31" s="1152">
        <f t="shared" ref="R31:R35" si="25">P31-0.01</f>
        <v>4.99</v>
      </c>
      <c r="S31" s="1155">
        <v>60</v>
      </c>
      <c r="T31" s="1140">
        <v>2</v>
      </c>
      <c r="U31" s="1117">
        <v>1</v>
      </c>
      <c r="V31" s="489">
        <f>U32</f>
        <v>8</v>
      </c>
      <c r="W31" s="489">
        <f>U33</f>
        <v>3</v>
      </c>
      <c r="X31" s="489">
        <f>U34</f>
        <v>2</v>
      </c>
      <c r="Y31" s="1120">
        <f>U35</f>
        <v>2</v>
      </c>
    </row>
    <row r="32" spans="2:80">
      <c r="B32" s="25" t="s">
        <v>450</v>
      </c>
      <c r="C32" s="27" t="str">
        <f>+F16</f>
        <v>INR</v>
      </c>
      <c r="D32" s="27" t="str">
        <f t="shared" si="24"/>
        <v>EURINR</v>
      </c>
      <c r="E32" s="849">
        <f>F4</f>
        <v>90.001000000000005</v>
      </c>
      <c r="G32" t="s">
        <v>1260</v>
      </c>
      <c r="H32" t="s">
        <v>1261</v>
      </c>
      <c r="N32" s="1134" t="s">
        <v>505</v>
      </c>
      <c r="O32" s="1054" t="s">
        <v>1256</v>
      </c>
      <c r="P32" s="1149">
        <v>5</v>
      </c>
      <c r="Q32" s="489" t="s">
        <v>1257</v>
      </c>
      <c r="R32" s="1152">
        <f t="shared" si="25"/>
        <v>4.99</v>
      </c>
      <c r="S32" s="1155">
        <v>60</v>
      </c>
      <c r="T32" s="1140">
        <v>8</v>
      </c>
      <c r="U32" s="1117">
        <v>8</v>
      </c>
      <c r="V32" s="1117">
        <v>1</v>
      </c>
      <c r="W32" s="489">
        <f>V33</f>
        <v>6</v>
      </c>
      <c r="X32" s="489">
        <f>V34</f>
        <v>6</v>
      </c>
      <c r="Y32" s="1120">
        <f>V35</f>
        <v>6</v>
      </c>
    </row>
    <row r="33" spans="2:28">
      <c r="B33" s="25" t="s">
        <v>450</v>
      </c>
      <c r="C33" s="27" t="str">
        <f>+H16</f>
        <v>USD</v>
      </c>
      <c r="D33" s="27" t="str">
        <f t="shared" si="24"/>
        <v>EURUSD</v>
      </c>
      <c r="E33" s="849">
        <f>E4</f>
        <v>1.0837000000000001</v>
      </c>
      <c r="G33" t="s">
        <v>216</v>
      </c>
      <c r="H33" t="s">
        <v>1249</v>
      </c>
      <c r="N33" s="1134" t="s">
        <v>498</v>
      </c>
      <c r="O33" s="1054" t="s">
        <v>1256</v>
      </c>
      <c r="P33" s="1149">
        <v>5</v>
      </c>
      <c r="Q33" s="489" t="s">
        <v>1257</v>
      </c>
      <c r="R33" s="1152">
        <f t="shared" si="25"/>
        <v>4.99</v>
      </c>
      <c r="S33" s="1155">
        <v>60</v>
      </c>
      <c r="T33" s="1140">
        <v>3</v>
      </c>
      <c r="U33" s="1117">
        <v>3</v>
      </c>
      <c r="V33" s="1117">
        <v>6</v>
      </c>
      <c r="W33" s="1117">
        <v>1</v>
      </c>
      <c r="X33" s="489">
        <f>W34</f>
        <v>6</v>
      </c>
      <c r="Y33" s="1120">
        <f>W35</f>
        <v>6</v>
      </c>
      <c r="AB33">
        <f>24*7*48</f>
        <v>8064</v>
      </c>
    </row>
    <row r="34" spans="2:28">
      <c r="B34" s="25" t="s">
        <v>185</v>
      </c>
      <c r="C34" s="27" t="str">
        <f t="shared" ref="C34:C53" si="26">+C29</f>
        <v>EUR</v>
      </c>
      <c r="D34" s="27" t="str">
        <f t="shared" si="24"/>
        <v>RMBEUR</v>
      </c>
      <c r="E34" s="132">
        <f>+$E$29/$E$30*E29</f>
        <v>0.12855288022728148</v>
      </c>
      <c r="G34" t="s">
        <v>1262</v>
      </c>
      <c r="H34" t="s">
        <v>1263</v>
      </c>
      <c r="N34" s="1134" t="s">
        <v>510</v>
      </c>
      <c r="O34" s="1054" t="s">
        <v>1256</v>
      </c>
      <c r="P34" s="1149">
        <v>5</v>
      </c>
      <c r="Q34" s="489" t="s">
        <v>1257</v>
      </c>
      <c r="R34" s="1152">
        <f t="shared" si="25"/>
        <v>4.99</v>
      </c>
      <c r="S34" s="1155">
        <v>60</v>
      </c>
      <c r="T34" s="1140">
        <v>2</v>
      </c>
      <c r="U34" s="1117">
        <v>2</v>
      </c>
      <c r="V34" s="1117">
        <v>6</v>
      </c>
      <c r="W34" s="1117">
        <v>6</v>
      </c>
      <c r="X34" s="1117">
        <v>1</v>
      </c>
      <c r="Y34" s="1120">
        <f>X35</f>
        <v>1</v>
      </c>
    </row>
    <row r="35" spans="2:28" ht="15" thickBot="1">
      <c r="B35" s="25" t="s">
        <v>185</v>
      </c>
      <c r="C35" s="27" t="str">
        <f t="shared" si="26"/>
        <v>RMB</v>
      </c>
      <c r="D35" s="27" t="str">
        <f t="shared" si="24"/>
        <v>RMBRMB</v>
      </c>
      <c r="E35" s="132">
        <f>+$E$29/$E$30*E30</f>
        <v>0.99999999999999989</v>
      </c>
      <c r="G35" t="s">
        <v>1159</v>
      </c>
      <c r="H35" t="s">
        <v>1264</v>
      </c>
      <c r="N35" s="1135" t="s">
        <v>1253</v>
      </c>
      <c r="O35" s="1055" t="s">
        <v>1256</v>
      </c>
      <c r="P35" s="1150">
        <v>5</v>
      </c>
      <c r="Q35" s="1122" t="s">
        <v>1257</v>
      </c>
      <c r="R35" s="1153">
        <f t="shared" si="25"/>
        <v>4.99</v>
      </c>
      <c r="S35" s="1156">
        <v>60</v>
      </c>
      <c r="T35" s="1141">
        <v>2</v>
      </c>
      <c r="U35" s="1123">
        <v>2</v>
      </c>
      <c r="V35" s="1123">
        <v>6</v>
      </c>
      <c r="W35" s="1123">
        <v>6</v>
      </c>
      <c r="X35" s="1123">
        <v>1</v>
      </c>
      <c r="Y35" s="1126">
        <v>1</v>
      </c>
    </row>
    <row r="36" spans="2:28">
      <c r="B36" s="25" t="s">
        <v>185</v>
      </c>
      <c r="C36" s="27" t="str">
        <f t="shared" si="26"/>
        <v>KWON</v>
      </c>
      <c r="D36" s="27" t="str">
        <f t="shared" si="24"/>
        <v>RMBKWON</v>
      </c>
      <c r="E36" s="132">
        <f>+$E$29/$E$30*E31</f>
        <v>185.71134736273765</v>
      </c>
      <c r="G36" t="s">
        <v>1159</v>
      </c>
      <c r="H36" t="s">
        <v>1265</v>
      </c>
    </row>
    <row r="37" spans="2:28" ht="15" thickBot="1">
      <c r="B37" s="25" t="s">
        <v>185</v>
      </c>
      <c r="C37" s="27" t="str">
        <f t="shared" si="26"/>
        <v>INR</v>
      </c>
      <c r="D37" s="27" t="str">
        <f t="shared" si="24"/>
        <v>RMBINR</v>
      </c>
      <c r="E37" s="132">
        <f>+$E$29/$E$30*E32</f>
        <v>11.569887773335561</v>
      </c>
    </row>
    <row r="38" spans="2:28">
      <c r="B38" s="25" t="s">
        <v>185</v>
      </c>
      <c r="C38" s="27" t="str">
        <f t="shared" si="26"/>
        <v>USD</v>
      </c>
      <c r="D38" s="27" t="str">
        <f t="shared" si="24"/>
        <v>RMBUSD</v>
      </c>
      <c r="E38" s="132">
        <f>+$E$29/$E$30*E33</f>
        <v>0.13931275630230494</v>
      </c>
      <c r="P38" s="1118" t="s">
        <v>25</v>
      </c>
      <c r="Q38" s="1119" t="s">
        <v>25</v>
      </c>
      <c r="R38" s="4" t="str">
        <f>P38&amp;Q38</f>
        <v>China + South pacificChina + South pacific</v>
      </c>
      <c r="S38" s="1127">
        <f>T30</f>
        <v>1</v>
      </c>
    </row>
    <row r="39" spans="2:28">
      <c r="B39" s="25" t="s">
        <v>1165</v>
      </c>
      <c r="C39" s="27" t="str">
        <f t="shared" si="26"/>
        <v>EUR</v>
      </c>
      <c r="D39" s="27" t="str">
        <f t="shared" si="24"/>
        <v>KWONEUR</v>
      </c>
      <c r="E39" s="132">
        <f>+$E$29/$E$31*E29</f>
        <v>6.9221876881969777E-4</v>
      </c>
      <c r="P39" s="25" t="str">
        <f>P38</f>
        <v>China + South pacific</v>
      </c>
      <c r="Q39" s="1116" t="s">
        <v>1222</v>
      </c>
      <c r="R39" t="str">
        <f t="shared" ref="R39:R73" si="27">P39&amp;Q39</f>
        <v>China + South pacificKorea / Japan</v>
      </c>
      <c r="S39" s="1128">
        <f ca="1">OFFSET($T$30,0,1)</f>
        <v>2</v>
      </c>
    </row>
    <row r="40" spans="2:28">
      <c r="B40" s="25" t="s">
        <v>1165</v>
      </c>
      <c r="C40" s="27" t="str">
        <f t="shared" si="26"/>
        <v>RMB</v>
      </c>
      <c r="D40" s="27" t="str">
        <f t="shared" si="24"/>
        <v>KWONRMB</v>
      </c>
      <c r="E40" s="132">
        <f>+$E$29/$E$31*E30</f>
        <v>5.3847005807715473E-3</v>
      </c>
      <c r="P40" s="25" t="str">
        <f t="shared" ref="P40:P43" si="28">P39</f>
        <v>China + South pacific</v>
      </c>
      <c r="Q40" s="1116" t="s">
        <v>505</v>
      </c>
      <c r="R40" t="str">
        <f t="shared" si="27"/>
        <v>China + South pacificEurope</v>
      </c>
      <c r="S40" s="1128">
        <f ca="1">OFFSET($T$30,0,2)</f>
        <v>8</v>
      </c>
    </row>
    <row r="41" spans="2:28">
      <c r="B41" s="25" t="s">
        <v>1165</v>
      </c>
      <c r="C41" s="27" t="str">
        <f t="shared" si="26"/>
        <v>KWON</v>
      </c>
      <c r="D41" s="27" t="str">
        <f t="shared" si="24"/>
        <v>KWONKWON</v>
      </c>
      <c r="E41" s="132">
        <f>+$E$29/$E$31*E31</f>
        <v>1</v>
      </c>
      <c r="G41" t="s">
        <v>1266</v>
      </c>
      <c r="I41">
        <v>2.5</v>
      </c>
      <c r="J41" t="s">
        <v>450</v>
      </c>
      <c r="K41" s="218" t="s">
        <v>1267</v>
      </c>
      <c r="P41" s="25" t="str">
        <f t="shared" si="28"/>
        <v>China + South pacific</v>
      </c>
      <c r="Q41" s="1116" t="s">
        <v>498</v>
      </c>
      <c r="R41" t="str">
        <f t="shared" si="27"/>
        <v>China + South pacificIndia</v>
      </c>
      <c r="S41" s="1128">
        <f ca="1">OFFSET($T$30,0,3)</f>
        <v>3</v>
      </c>
    </row>
    <row r="42" spans="2:28">
      <c r="B42" s="25" t="s">
        <v>1165</v>
      </c>
      <c r="C42" s="27" t="str">
        <f t="shared" si="26"/>
        <v>INR</v>
      </c>
      <c r="D42" s="27" t="str">
        <f t="shared" si="24"/>
        <v>KWONINR</v>
      </c>
      <c r="E42" s="132">
        <f>+$E$29/$E$31*E32</f>
        <v>6.2300381412541621E-2</v>
      </c>
      <c r="G42" t="s">
        <v>1268</v>
      </c>
      <c r="I42">
        <v>12</v>
      </c>
      <c r="J42" t="s">
        <v>450</v>
      </c>
      <c r="K42" s="218" t="s">
        <v>1267</v>
      </c>
      <c r="P42" s="25" t="str">
        <f t="shared" si="28"/>
        <v>China + South pacific</v>
      </c>
      <c r="Q42" s="1116" t="s">
        <v>510</v>
      </c>
      <c r="R42" t="str">
        <f t="shared" si="27"/>
        <v xml:space="preserve">China + South pacificNorth America </v>
      </c>
      <c r="S42" s="1128">
        <f ca="1">OFFSET($T$30,0,4)</f>
        <v>2</v>
      </c>
    </row>
    <row r="43" spans="2:28">
      <c r="B43" s="25" t="s">
        <v>1165</v>
      </c>
      <c r="C43" s="27" t="str">
        <f t="shared" si="26"/>
        <v>USD</v>
      </c>
      <c r="D43" s="27" t="str">
        <f t="shared" si="24"/>
        <v>KWONUSD</v>
      </c>
      <c r="E43" s="132">
        <f>+$E$29/$E$31*E33</f>
        <v>7.5015747976990652E-4</v>
      </c>
      <c r="G43" t="s">
        <v>1269</v>
      </c>
      <c r="I43">
        <v>2</v>
      </c>
      <c r="J43" t="s">
        <v>450</v>
      </c>
      <c r="K43" s="218" t="s">
        <v>1267</v>
      </c>
      <c r="P43" s="25" t="str">
        <f t="shared" si="28"/>
        <v>China + South pacific</v>
      </c>
      <c r="Q43" s="1116" t="s">
        <v>1253</v>
      </c>
      <c r="R43" t="str">
        <f t="shared" si="27"/>
        <v xml:space="preserve">China + South pacificSouth America </v>
      </c>
      <c r="S43" s="1128">
        <f ca="1">OFFSET($T$30,0,5)</f>
        <v>2</v>
      </c>
    </row>
    <row r="44" spans="2:28">
      <c r="B44" s="25" t="s">
        <v>1164</v>
      </c>
      <c r="C44" s="27" t="str">
        <f t="shared" si="26"/>
        <v>EUR</v>
      </c>
      <c r="D44" s="27" t="str">
        <f t="shared" si="24"/>
        <v>INREUR</v>
      </c>
      <c r="E44" s="132">
        <f>+$E$29/$E$32*E29</f>
        <v>1.1110987655692715E-2</v>
      </c>
      <c r="P44" s="1121" t="s">
        <v>1222</v>
      </c>
      <c r="Q44" s="1116" t="s">
        <v>25</v>
      </c>
      <c r="R44" t="str">
        <f t="shared" si="27"/>
        <v>Korea / JapanChina + South pacific</v>
      </c>
      <c r="S44" s="1129">
        <f>T31</f>
        <v>2</v>
      </c>
      <c r="T44" s="1131"/>
      <c r="U44" s="1131"/>
      <c r="V44" s="1131"/>
      <c r="W44" s="1131"/>
    </row>
    <row r="45" spans="2:28">
      <c r="B45" s="25" t="s">
        <v>1164</v>
      </c>
      <c r="C45" s="27" t="str">
        <f t="shared" si="26"/>
        <v>RMB</v>
      </c>
      <c r="D45" s="27" t="str">
        <f t="shared" si="24"/>
        <v>INRRMB</v>
      </c>
      <c r="E45" s="132">
        <f>+$E$29/$E$32*E30</f>
        <v>8.6431261874868062E-2</v>
      </c>
      <c r="P45" s="25" t="s">
        <v>1222</v>
      </c>
      <c r="Q45" s="1116" t="s">
        <v>1222</v>
      </c>
      <c r="R45" t="str">
        <f t="shared" si="27"/>
        <v>Korea / JapanKorea / Japan</v>
      </c>
      <c r="S45" s="1128">
        <f ca="1">OFFSET($T$31,0,1)</f>
        <v>1</v>
      </c>
      <c r="T45" s="1132"/>
      <c r="U45" s="1132"/>
      <c r="V45" s="1132"/>
      <c r="W45" s="1132"/>
    </row>
    <row r="46" spans="2:28">
      <c r="B46" s="25" t="s">
        <v>1164</v>
      </c>
      <c r="C46" s="27" t="str">
        <f t="shared" si="26"/>
        <v>KWON</v>
      </c>
      <c r="D46" s="27" t="str">
        <f t="shared" si="24"/>
        <v>INRKWON</v>
      </c>
      <c r="E46" s="132">
        <f>+$E$29/$E$32*E31</f>
        <v>16.051266097043367</v>
      </c>
      <c r="P46" s="25" t="s">
        <v>1222</v>
      </c>
      <c r="Q46" s="1116" t="s">
        <v>505</v>
      </c>
      <c r="R46" t="str">
        <f t="shared" si="27"/>
        <v>Korea / JapanEurope</v>
      </c>
      <c r="S46" s="1128">
        <f ca="1">OFFSET($T$31,0,2)</f>
        <v>8</v>
      </c>
    </row>
    <row r="47" spans="2:28">
      <c r="B47" s="25" t="s">
        <v>1164</v>
      </c>
      <c r="C47" s="27" t="str">
        <f t="shared" si="26"/>
        <v>INR</v>
      </c>
      <c r="D47" s="27" t="str">
        <f t="shared" si="24"/>
        <v>INRINR</v>
      </c>
      <c r="E47" s="132">
        <f>+$E$29/$E$32*E32</f>
        <v>1</v>
      </c>
      <c r="P47" s="25" t="s">
        <v>1222</v>
      </c>
      <c r="Q47" s="1116" t="s">
        <v>498</v>
      </c>
      <c r="R47" t="str">
        <f t="shared" si="27"/>
        <v>Korea / JapanIndia</v>
      </c>
      <c r="S47" s="1128">
        <f ca="1">OFFSET($T$31,0,3)</f>
        <v>3</v>
      </c>
    </row>
    <row r="48" spans="2:28">
      <c r="B48" s="25" t="s">
        <v>1164</v>
      </c>
      <c r="C48" s="27" t="str">
        <f t="shared" si="26"/>
        <v>USD</v>
      </c>
      <c r="D48" s="27" t="str">
        <f t="shared" si="24"/>
        <v>INRUSD</v>
      </c>
      <c r="E48" s="132">
        <f>+$E$29/$E$32*E33</f>
        <v>1.2040977322474196E-2</v>
      </c>
      <c r="P48" s="25" t="s">
        <v>1222</v>
      </c>
      <c r="Q48" s="1116" t="s">
        <v>510</v>
      </c>
      <c r="R48" t="str">
        <f t="shared" si="27"/>
        <v xml:space="preserve">Korea / JapanNorth America </v>
      </c>
      <c r="S48" s="1128">
        <f ca="1">OFFSET($T$31,0,4)</f>
        <v>2</v>
      </c>
    </row>
    <row r="49" spans="2:19">
      <c r="B49" s="25" t="s">
        <v>876</v>
      </c>
      <c r="C49" s="27" t="str">
        <f t="shared" si="26"/>
        <v>EUR</v>
      </c>
      <c r="D49" s="27" t="str">
        <f t="shared" si="24"/>
        <v>USDEUR</v>
      </c>
      <c r="E49" s="132">
        <f>+$E$29/$E$33*E29</f>
        <v>0.9227646027498384</v>
      </c>
      <c r="P49" s="25" t="s">
        <v>1222</v>
      </c>
      <c r="Q49" s="1116" t="s">
        <v>1253</v>
      </c>
      <c r="R49" t="str">
        <f t="shared" si="27"/>
        <v xml:space="preserve">Korea / JapanSouth America </v>
      </c>
      <c r="S49" s="1128">
        <f ca="1">OFFSET($T$31,0,5)</f>
        <v>2</v>
      </c>
    </row>
    <row r="50" spans="2:19">
      <c r="B50" s="25" t="s">
        <v>876</v>
      </c>
      <c r="C50" s="27" t="str">
        <f t="shared" si="26"/>
        <v>RMB</v>
      </c>
      <c r="D50" s="27" t="str">
        <f t="shared" si="24"/>
        <v>USDRMB</v>
      </c>
      <c r="E50" s="132">
        <f>+$E$29/$E$33*E30</f>
        <v>7.1780935683307181</v>
      </c>
      <c r="P50" s="1121" t="s">
        <v>505</v>
      </c>
      <c r="Q50" s="27" t="s">
        <v>25</v>
      </c>
      <c r="R50" t="str">
        <f t="shared" si="27"/>
        <v>EuropeChina + South pacific</v>
      </c>
      <c r="S50" s="1129">
        <f>T32</f>
        <v>8</v>
      </c>
    </row>
    <row r="51" spans="2:19">
      <c r="B51" s="25" t="s">
        <v>876</v>
      </c>
      <c r="C51" s="27" t="str">
        <f t="shared" si="26"/>
        <v>KWON</v>
      </c>
      <c r="D51" s="27" t="str">
        <f t="shared" si="24"/>
        <v>USDKWON</v>
      </c>
      <c r="E51" s="132">
        <f>+$E$29/$E$33*E31</f>
        <v>1333.0534280704992</v>
      </c>
      <c r="P51" s="25" t="s">
        <v>505</v>
      </c>
      <c r="Q51" s="27" t="s">
        <v>1222</v>
      </c>
      <c r="R51" t="str">
        <f t="shared" si="27"/>
        <v>EuropeKorea / Japan</v>
      </c>
      <c r="S51" s="1128">
        <f ca="1">OFFSET($T$32,0,1)</f>
        <v>8</v>
      </c>
    </row>
    <row r="52" spans="2:19">
      <c r="B52" s="25" t="s">
        <v>876</v>
      </c>
      <c r="C52" s="27" t="str">
        <f t="shared" si="26"/>
        <v>INR</v>
      </c>
      <c r="D52" s="27" t="str">
        <f t="shared" si="24"/>
        <v>USDINR</v>
      </c>
      <c r="E52" s="132">
        <f>+$E$29/$E$33*E32</f>
        <v>83.049737012088215</v>
      </c>
      <c r="P52" s="25" t="s">
        <v>505</v>
      </c>
      <c r="Q52" s="27" t="s">
        <v>505</v>
      </c>
      <c r="R52" t="str">
        <f t="shared" si="27"/>
        <v>EuropeEurope</v>
      </c>
      <c r="S52" s="1128">
        <f ca="1">OFFSET($T$32,0,2)</f>
        <v>1</v>
      </c>
    </row>
    <row r="53" spans="2:19" ht="15" thickBot="1">
      <c r="B53" s="36" t="s">
        <v>876</v>
      </c>
      <c r="C53" s="39" t="str">
        <f t="shared" si="26"/>
        <v>USD</v>
      </c>
      <c r="D53" s="39" t="str">
        <f t="shared" si="24"/>
        <v>USDUSD</v>
      </c>
      <c r="E53" s="133">
        <f>+$E$29/$E$33*E33</f>
        <v>1</v>
      </c>
      <c r="P53" s="25" t="s">
        <v>505</v>
      </c>
      <c r="Q53" s="27" t="s">
        <v>498</v>
      </c>
      <c r="R53" t="str">
        <f t="shared" si="27"/>
        <v>EuropeIndia</v>
      </c>
      <c r="S53" s="1128">
        <f ca="1">OFFSET($T$32,0,3)</f>
        <v>6</v>
      </c>
    </row>
    <row r="54" spans="2:19">
      <c r="P54" s="25" t="s">
        <v>505</v>
      </c>
      <c r="Q54" s="27" t="s">
        <v>510</v>
      </c>
      <c r="R54" t="str">
        <f t="shared" si="27"/>
        <v xml:space="preserve">EuropeNorth America </v>
      </c>
      <c r="S54" s="1128">
        <f ca="1">OFFSET($T$32,0,4)</f>
        <v>6</v>
      </c>
    </row>
    <row r="55" spans="2:19">
      <c r="P55" s="25" t="s">
        <v>505</v>
      </c>
      <c r="Q55" s="27" t="s">
        <v>1253</v>
      </c>
      <c r="R55" t="str">
        <f t="shared" si="27"/>
        <v xml:space="preserve">EuropeSouth America </v>
      </c>
      <c r="S55" s="1128">
        <f ca="1">OFFSET($T$32,0,5)</f>
        <v>6</v>
      </c>
    </row>
    <row r="56" spans="2:19">
      <c r="P56" s="1121" t="s">
        <v>498</v>
      </c>
      <c r="Q56" s="27" t="s">
        <v>25</v>
      </c>
      <c r="R56" t="str">
        <f t="shared" si="27"/>
        <v>IndiaChina + South pacific</v>
      </c>
      <c r="S56" s="1129">
        <f>T$33</f>
        <v>3</v>
      </c>
    </row>
    <row r="57" spans="2:19" ht="15" thickBot="1">
      <c r="D57" t="s">
        <v>1270</v>
      </c>
      <c r="E57" t="s">
        <v>1271</v>
      </c>
      <c r="F57" t="s">
        <v>1187</v>
      </c>
      <c r="G57" t="s">
        <v>1272</v>
      </c>
      <c r="H57" t="s">
        <v>1273</v>
      </c>
      <c r="I57" t="s">
        <v>1274</v>
      </c>
      <c r="P57" s="25" t="s">
        <v>498</v>
      </c>
      <c r="Q57" s="27" t="s">
        <v>1222</v>
      </c>
      <c r="R57" t="str">
        <f t="shared" si="27"/>
        <v>IndiaKorea / Japan</v>
      </c>
      <c r="S57" s="1128">
        <f ca="1">OFFSET($T$33,0,1)</f>
        <v>3</v>
      </c>
    </row>
    <row r="58" spans="2:19">
      <c r="B58" s="185" t="str">
        <f>+I5</f>
        <v>Frankfurt</v>
      </c>
      <c r="C58" s="185" t="s">
        <v>1258</v>
      </c>
      <c r="D58">
        <v>100</v>
      </c>
      <c r="E58">
        <v>500</v>
      </c>
      <c r="P58" s="25" t="s">
        <v>498</v>
      </c>
      <c r="Q58" s="27" t="s">
        <v>505</v>
      </c>
      <c r="R58" t="str">
        <f t="shared" si="27"/>
        <v>IndiaEurope</v>
      </c>
      <c r="S58" s="1128">
        <f ca="1">OFFSET($T$33,0,2)</f>
        <v>6</v>
      </c>
    </row>
    <row r="59" spans="2:19">
      <c r="B59" s="186" t="str">
        <f>+B58</f>
        <v>Frankfurt</v>
      </c>
      <c r="C59" s="186" t="s">
        <v>1275</v>
      </c>
      <c r="D59">
        <v>100</v>
      </c>
      <c r="E59">
        <v>1000</v>
      </c>
      <c r="P59" s="25" t="s">
        <v>498</v>
      </c>
      <c r="Q59" s="27" t="s">
        <v>498</v>
      </c>
      <c r="R59" t="str">
        <f t="shared" si="27"/>
        <v>IndiaIndia</v>
      </c>
      <c r="S59" s="1128">
        <f ca="1">OFFSET($T$33,0,3)</f>
        <v>1</v>
      </c>
    </row>
    <row r="60" spans="2:19">
      <c r="B60" s="186" t="str">
        <f t="shared" ref="B60:B63" si="29">+B59</f>
        <v>Frankfurt</v>
      </c>
      <c r="C60" s="186" t="s">
        <v>1234</v>
      </c>
      <c r="D60">
        <v>200</v>
      </c>
      <c r="E60">
        <v>1000</v>
      </c>
      <c r="P60" s="25" t="s">
        <v>498</v>
      </c>
      <c r="Q60" s="27" t="s">
        <v>510</v>
      </c>
      <c r="R60" t="str">
        <f t="shared" si="27"/>
        <v xml:space="preserve">IndiaNorth America </v>
      </c>
      <c r="S60" s="1128">
        <f ca="1">OFFSET($T$33,0,4)</f>
        <v>6</v>
      </c>
    </row>
    <row r="61" spans="2:19">
      <c r="B61" s="186" t="str">
        <f t="shared" si="29"/>
        <v>Frankfurt</v>
      </c>
      <c r="C61" s="186" t="s">
        <v>1091</v>
      </c>
      <c r="D61">
        <v>2000</v>
      </c>
      <c r="E61">
        <v>5000</v>
      </c>
      <c r="P61" s="25" t="s">
        <v>498</v>
      </c>
      <c r="Q61" s="27" t="s">
        <v>1253</v>
      </c>
      <c r="R61" t="str">
        <f t="shared" si="27"/>
        <v xml:space="preserve">IndiaSouth America </v>
      </c>
      <c r="S61" s="1128">
        <f ca="1">OFFSET($T$33,0,5)</f>
        <v>6</v>
      </c>
    </row>
    <row r="62" spans="2:19">
      <c r="B62" s="186" t="str">
        <f t="shared" si="29"/>
        <v>Frankfurt</v>
      </c>
      <c r="C62" s="186" t="s">
        <v>1237</v>
      </c>
      <c r="D62">
        <v>200</v>
      </c>
      <c r="E62">
        <v>3000</v>
      </c>
      <c r="P62" s="1121" t="s">
        <v>510</v>
      </c>
      <c r="Q62" s="27" t="s">
        <v>25</v>
      </c>
      <c r="R62" t="str">
        <f t="shared" si="27"/>
        <v>North America China + South pacific</v>
      </c>
      <c r="S62" s="1128">
        <f>T$34</f>
        <v>2</v>
      </c>
    </row>
    <row r="63" spans="2:19" ht="15" thickBot="1">
      <c r="B63" s="187" t="str">
        <f t="shared" si="29"/>
        <v>Frankfurt</v>
      </c>
      <c r="C63" s="187" t="s">
        <v>1240</v>
      </c>
      <c r="P63" s="25" t="s">
        <v>510</v>
      </c>
      <c r="Q63" s="27" t="s">
        <v>1222</v>
      </c>
      <c r="R63" t="str">
        <f t="shared" si="27"/>
        <v>North America Korea / Japan</v>
      </c>
      <c r="S63" s="1128">
        <f ca="1">OFFSET($T$34,0,1)</f>
        <v>2</v>
      </c>
    </row>
    <row r="64" spans="2:19">
      <c r="B64" t="str">
        <f>+I8</f>
        <v>Amiens</v>
      </c>
      <c r="C64" s="185" t="str">
        <f>+C58</f>
        <v xml:space="preserve">Raw material </v>
      </c>
      <c r="P64" s="25" t="s">
        <v>510</v>
      </c>
      <c r="Q64" s="27" t="s">
        <v>505</v>
      </c>
      <c r="R64" t="str">
        <f t="shared" si="27"/>
        <v>North America Europe</v>
      </c>
      <c r="S64" s="1128">
        <f ca="1">OFFSET($T$34,0,2)</f>
        <v>6</v>
      </c>
    </row>
    <row r="65" spans="2:19">
      <c r="B65" t="str">
        <f t="shared" ref="B65:B69" si="30">+I9</f>
        <v>Monterrey</v>
      </c>
      <c r="C65" s="186" t="str">
        <f t="shared" ref="C65:C90" si="31">+C59</f>
        <v xml:space="preserve">Brushes </v>
      </c>
      <c r="P65" s="25" t="s">
        <v>510</v>
      </c>
      <c r="Q65" s="27" t="s">
        <v>498</v>
      </c>
      <c r="R65" t="str">
        <f t="shared" si="27"/>
        <v>North America India</v>
      </c>
      <c r="S65" s="1128">
        <f ca="1">OFFSET($T$34,0,3)</f>
        <v>6</v>
      </c>
    </row>
    <row r="66" spans="2:19">
      <c r="B66" t="str">
        <f t="shared" si="30"/>
        <v>Chennai</v>
      </c>
      <c r="C66" s="186" t="str">
        <f t="shared" si="31"/>
        <v>Seals</v>
      </c>
      <c r="P66" s="25" t="s">
        <v>510</v>
      </c>
      <c r="Q66" s="27" t="s">
        <v>510</v>
      </c>
      <c r="R66" t="str">
        <f t="shared" si="27"/>
        <v xml:space="preserve">North America North America </v>
      </c>
      <c r="S66" s="1128">
        <f ca="1">OFFSET($T$34,0,4)</f>
        <v>1</v>
      </c>
    </row>
    <row r="67" spans="2:19">
      <c r="B67" t="str">
        <f t="shared" si="30"/>
        <v>Kunshan</v>
      </c>
      <c r="C67" s="186" t="str">
        <f t="shared" si="31"/>
        <v>Assembly</v>
      </c>
      <c r="P67" s="25" t="s">
        <v>510</v>
      </c>
      <c r="Q67" s="27" t="s">
        <v>1253</v>
      </c>
      <c r="R67" t="str">
        <f t="shared" si="27"/>
        <v xml:space="preserve">North America South America </v>
      </c>
      <c r="S67" s="1128">
        <f ca="1">OFFSET($T$34,0,5)</f>
        <v>1</v>
      </c>
    </row>
    <row r="68" spans="2:19">
      <c r="B68" t="str">
        <f t="shared" si="30"/>
        <v>Kunshan-ASSY</v>
      </c>
      <c r="C68" s="186" t="str">
        <f t="shared" si="31"/>
        <v>Friction</v>
      </c>
      <c r="P68" s="1121" t="s">
        <v>1253</v>
      </c>
      <c r="Q68" s="27" t="s">
        <v>25</v>
      </c>
      <c r="R68" t="str">
        <f t="shared" si="27"/>
        <v>South America China + South pacific</v>
      </c>
      <c r="S68" s="1128">
        <f>T$35</f>
        <v>2</v>
      </c>
    </row>
    <row r="69" spans="2:19" ht="15" thickBot="1">
      <c r="B69" t="str">
        <f t="shared" si="30"/>
        <v>Tianjin</v>
      </c>
      <c r="C69" s="187" t="str">
        <f t="shared" si="31"/>
        <v>Chokes</v>
      </c>
      <c r="P69" s="25" t="s">
        <v>1253</v>
      </c>
      <c r="Q69" s="27" t="s">
        <v>1222</v>
      </c>
      <c r="R69" t="str">
        <f t="shared" si="27"/>
        <v>South America Korea / Japan</v>
      </c>
      <c r="S69" s="1128">
        <f ca="1">OFFSET($T$35,0,1)</f>
        <v>2</v>
      </c>
    </row>
    <row r="70" spans="2:19">
      <c r="B70" t="str">
        <f>+I7</f>
        <v>ElFahs</v>
      </c>
      <c r="C70" s="185" t="str">
        <f t="shared" si="31"/>
        <v xml:space="preserve">Raw material </v>
      </c>
      <c r="P70" s="25" t="s">
        <v>1253</v>
      </c>
      <c r="Q70" s="27" t="s">
        <v>505</v>
      </c>
      <c r="R70" t="str">
        <f t="shared" si="27"/>
        <v>South America Europe</v>
      </c>
      <c r="S70" s="1128">
        <f ca="1">OFFSET($T$35,0,2)</f>
        <v>6</v>
      </c>
    </row>
    <row r="71" spans="2:19">
      <c r="C71" s="186" t="str">
        <f t="shared" si="31"/>
        <v xml:space="preserve">Brushes </v>
      </c>
      <c r="P71" s="25" t="s">
        <v>1253</v>
      </c>
      <c r="Q71" s="27" t="s">
        <v>498</v>
      </c>
      <c r="R71" t="str">
        <f t="shared" si="27"/>
        <v>South America India</v>
      </c>
      <c r="S71" s="1128">
        <f ca="1">OFFSET($T$35,0,3)</f>
        <v>6</v>
      </c>
    </row>
    <row r="72" spans="2:19">
      <c r="B72" t="str">
        <f>+I7</f>
        <v>ElFahs</v>
      </c>
      <c r="C72" s="186" t="str">
        <f t="shared" si="31"/>
        <v>Seals</v>
      </c>
      <c r="P72" s="25" t="s">
        <v>1253</v>
      </c>
      <c r="Q72" s="27" t="s">
        <v>510</v>
      </c>
      <c r="R72" t="str">
        <f t="shared" si="27"/>
        <v xml:space="preserve">South America North America </v>
      </c>
      <c r="S72" s="1128">
        <f ca="1">OFFSET($T$35,0,4)</f>
        <v>1</v>
      </c>
    </row>
    <row r="73" spans="2:19" ht="15" thickBot="1">
      <c r="C73" s="186" t="str">
        <f t="shared" si="31"/>
        <v>Assembly</v>
      </c>
      <c r="P73" s="36" t="s">
        <v>1253</v>
      </c>
      <c r="Q73" s="39" t="s">
        <v>1253</v>
      </c>
      <c r="R73" s="11" t="str">
        <f t="shared" si="27"/>
        <v xml:space="preserve">South America South America </v>
      </c>
      <c r="S73" s="1130">
        <f ca="1">OFFSET($T$35,0,5)</f>
        <v>1</v>
      </c>
    </row>
    <row r="74" spans="2:19">
      <c r="B74" t="str">
        <f t="shared" ref="B74:B79" si="32">+I9</f>
        <v>Monterrey</v>
      </c>
      <c r="C74" s="186" t="str">
        <f t="shared" si="31"/>
        <v>Friction</v>
      </c>
    </row>
    <row r="75" spans="2:19" ht="15" thickBot="1">
      <c r="B75" t="str">
        <f t="shared" si="32"/>
        <v>Chennai</v>
      </c>
      <c r="C75" s="187" t="str">
        <f t="shared" si="31"/>
        <v>Chokes</v>
      </c>
    </row>
    <row r="76" spans="2:19">
      <c r="B76" t="str">
        <f t="shared" si="32"/>
        <v>Kunshan</v>
      </c>
      <c r="C76" s="185" t="str">
        <f t="shared" si="31"/>
        <v xml:space="preserve">Raw material </v>
      </c>
    </row>
    <row r="77" spans="2:19">
      <c r="B77" t="str">
        <f t="shared" si="32"/>
        <v>Kunshan-ASSY</v>
      </c>
      <c r="C77" s="186" t="str">
        <f t="shared" si="31"/>
        <v xml:space="preserve">Brushes </v>
      </c>
    </row>
    <row r="78" spans="2:19">
      <c r="B78" t="str">
        <f t="shared" si="32"/>
        <v>Tianjin</v>
      </c>
      <c r="C78" s="186" t="str">
        <f t="shared" si="31"/>
        <v>Seals</v>
      </c>
    </row>
    <row r="79" spans="2:19">
      <c r="B79" t="str">
        <f t="shared" si="32"/>
        <v xml:space="preserve">Daegu </v>
      </c>
      <c r="C79" s="186" t="str">
        <f t="shared" si="31"/>
        <v>Assembly</v>
      </c>
    </row>
    <row r="80" spans="2:19">
      <c r="B80" t="str">
        <f>+I8</f>
        <v>Amiens</v>
      </c>
      <c r="C80" s="186" t="str">
        <f t="shared" si="31"/>
        <v>Friction</v>
      </c>
    </row>
    <row r="81" spans="2:3" ht="15" thickBot="1">
      <c r="B81" t="str">
        <f>+I9</f>
        <v>Monterrey</v>
      </c>
      <c r="C81" s="187" t="str">
        <f t="shared" si="31"/>
        <v>Chokes</v>
      </c>
    </row>
    <row r="82" spans="2:3">
      <c r="B82" t="str">
        <f>+I10</f>
        <v>Chennai</v>
      </c>
      <c r="C82" t="str">
        <f t="shared" si="31"/>
        <v xml:space="preserve">Raw material </v>
      </c>
    </row>
    <row r="83" spans="2:3">
      <c r="B83" t="str">
        <f>+I6</f>
        <v>Poitiers</v>
      </c>
      <c r="C83" t="str">
        <f t="shared" si="31"/>
        <v xml:space="preserve">Brushes </v>
      </c>
    </row>
    <row r="84" spans="2:3">
      <c r="B84">
        <f t="shared" ref="B84:B123" si="33">+I19</f>
        <v>0</v>
      </c>
      <c r="C84" t="str">
        <f t="shared" si="31"/>
        <v>Seals</v>
      </c>
    </row>
    <row r="85" spans="2:3">
      <c r="B85">
        <f t="shared" si="33"/>
        <v>0</v>
      </c>
      <c r="C85" t="str">
        <f t="shared" si="31"/>
        <v>Assembly</v>
      </c>
    </row>
    <row r="86" spans="2:3">
      <c r="B86">
        <f t="shared" si="33"/>
        <v>0</v>
      </c>
      <c r="C86" t="str">
        <f t="shared" si="31"/>
        <v>Friction</v>
      </c>
    </row>
    <row r="87" spans="2:3">
      <c r="B87">
        <f t="shared" si="33"/>
        <v>0</v>
      </c>
      <c r="C87" t="str">
        <f t="shared" si="31"/>
        <v>Chokes</v>
      </c>
    </row>
    <row r="88" spans="2:3">
      <c r="B88">
        <f t="shared" si="33"/>
        <v>0</v>
      </c>
      <c r="C88" t="str">
        <f t="shared" si="31"/>
        <v xml:space="preserve">Raw material </v>
      </c>
    </row>
    <row r="89" spans="2:3">
      <c r="B89">
        <f t="shared" si="33"/>
        <v>0</v>
      </c>
      <c r="C89" t="str">
        <f t="shared" si="31"/>
        <v xml:space="preserve">Brushes </v>
      </c>
    </row>
    <row r="90" spans="2:3">
      <c r="B90">
        <f t="shared" si="33"/>
        <v>0</v>
      </c>
      <c r="C90" t="str">
        <f t="shared" si="31"/>
        <v>Seals</v>
      </c>
    </row>
    <row r="91" spans="2:3">
      <c r="B91">
        <f t="shared" si="33"/>
        <v>0</v>
      </c>
    </row>
    <row r="92" spans="2:3">
      <c r="B92">
        <f t="shared" si="33"/>
        <v>0</v>
      </c>
    </row>
    <row r="93" spans="2:3">
      <c r="B93">
        <f t="shared" si="33"/>
        <v>0</v>
      </c>
    </row>
    <row r="94" spans="2:3">
      <c r="B94">
        <f t="shared" si="33"/>
        <v>0</v>
      </c>
    </row>
    <row r="95" spans="2:3">
      <c r="B95">
        <f t="shared" si="33"/>
        <v>0</v>
      </c>
    </row>
    <row r="96" spans="2:3">
      <c r="B96">
        <f t="shared" si="33"/>
        <v>0</v>
      </c>
    </row>
    <row r="97" spans="2:2">
      <c r="B97">
        <f t="shared" si="33"/>
        <v>0</v>
      </c>
    </row>
    <row r="98" spans="2:2">
      <c r="B98">
        <f t="shared" si="33"/>
        <v>0</v>
      </c>
    </row>
    <row r="99" spans="2:2">
      <c r="B99">
        <f t="shared" si="33"/>
        <v>0</v>
      </c>
    </row>
    <row r="100" spans="2:2">
      <c r="B100">
        <f t="shared" si="33"/>
        <v>0</v>
      </c>
    </row>
    <row r="101" spans="2:2">
      <c r="B101">
        <f t="shared" si="33"/>
        <v>0</v>
      </c>
    </row>
    <row r="102" spans="2:2">
      <c r="B102">
        <f t="shared" si="33"/>
        <v>0</v>
      </c>
    </row>
    <row r="103" spans="2:2">
      <c r="B103">
        <f t="shared" si="33"/>
        <v>0</v>
      </c>
    </row>
    <row r="104" spans="2:2">
      <c r="B104">
        <f t="shared" si="33"/>
        <v>0</v>
      </c>
    </row>
    <row r="105" spans="2:2">
      <c r="B105">
        <f t="shared" si="33"/>
        <v>0</v>
      </c>
    </row>
    <row r="106" spans="2:2">
      <c r="B106">
        <f t="shared" si="33"/>
        <v>2.5</v>
      </c>
    </row>
    <row r="107" spans="2:2">
      <c r="B107">
        <f t="shared" si="33"/>
        <v>12</v>
      </c>
    </row>
    <row r="108" spans="2:2">
      <c r="B108">
        <f t="shared" si="33"/>
        <v>2</v>
      </c>
    </row>
    <row r="109" spans="2:2">
      <c r="B109">
        <f t="shared" si="33"/>
        <v>0</v>
      </c>
    </row>
    <row r="110" spans="2:2">
      <c r="B110">
        <f t="shared" si="33"/>
        <v>0</v>
      </c>
    </row>
    <row r="111" spans="2:2">
      <c r="B111">
        <f t="shared" si="33"/>
        <v>0</v>
      </c>
    </row>
    <row r="112" spans="2:2">
      <c r="B112">
        <f t="shared" si="33"/>
        <v>0</v>
      </c>
    </row>
    <row r="113" spans="2:2">
      <c r="B113">
        <f t="shared" si="33"/>
        <v>0</v>
      </c>
    </row>
    <row r="114" spans="2:2">
      <c r="B114">
        <f t="shared" si="33"/>
        <v>0</v>
      </c>
    </row>
    <row r="115" spans="2:2">
      <c r="B115">
        <f t="shared" si="33"/>
        <v>0</v>
      </c>
    </row>
    <row r="116" spans="2:2">
      <c r="B116">
        <f t="shared" si="33"/>
        <v>0</v>
      </c>
    </row>
    <row r="117" spans="2:2">
      <c r="B117">
        <f t="shared" si="33"/>
        <v>0</v>
      </c>
    </row>
    <row r="118" spans="2:2">
      <c r="B118">
        <f t="shared" si="33"/>
        <v>0</v>
      </c>
    </row>
    <row r="119" spans="2:2">
      <c r="B119">
        <f t="shared" si="33"/>
        <v>0</v>
      </c>
    </row>
    <row r="120" spans="2:2">
      <c r="B120">
        <f t="shared" si="33"/>
        <v>0</v>
      </c>
    </row>
    <row r="121" spans="2:2">
      <c r="B121">
        <f t="shared" si="33"/>
        <v>0</v>
      </c>
    </row>
    <row r="122" spans="2:2">
      <c r="B122" t="str">
        <f t="shared" si="33"/>
        <v>Min Fees/DC</v>
      </c>
    </row>
    <row r="123" spans="2:2">
      <c r="B123">
        <f t="shared" si="33"/>
        <v>0</v>
      </c>
    </row>
    <row r="124" spans="2:2">
      <c r="B124">
        <f t="shared" ref="B124:B134" si="34">+I71</f>
        <v>0</v>
      </c>
    </row>
    <row r="125" spans="2:2">
      <c r="B125">
        <f t="shared" si="34"/>
        <v>0</v>
      </c>
    </row>
    <row r="126" spans="2:2">
      <c r="B126">
        <f t="shared" si="34"/>
        <v>0</v>
      </c>
    </row>
    <row r="127" spans="2:2">
      <c r="B127">
        <f t="shared" si="34"/>
        <v>0</v>
      </c>
    </row>
    <row r="128" spans="2:2">
      <c r="B128">
        <f t="shared" si="34"/>
        <v>0</v>
      </c>
    </row>
    <row r="129" spans="2:2">
      <c r="B129">
        <f t="shared" si="34"/>
        <v>0</v>
      </c>
    </row>
    <row r="130" spans="2:2">
      <c r="B130">
        <f t="shared" si="34"/>
        <v>0</v>
      </c>
    </row>
    <row r="131" spans="2:2">
      <c r="B131">
        <f t="shared" si="34"/>
        <v>0</v>
      </c>
    </row>
    <row r="132" spans="2:2">
      <c r="B132">
        <f t="shared" si="34"/>
        <v>0</v>
      </c>
    </row>
    <row r="133" spans="2:2">
      <c r="B133">
        <f t="shared" si="34"/>
        <v>0</v>
      </c>
    </row>
    <row r="134" spans="2:2">
      <c r="B134">
        <f t="shared" si="34"/>
        <v>0</v>
      </c>
    </row>
    <row r="135" spans="2:2">
      <c r="B135">
        <f t="shared" ref="B135:B198" si="35">+I82</f>
        <v>0</v>
      </c>
    </row>
    <row r="136" spans="2:2">
      <c r="B136">
        <f t="shared" si="35"/>
        <v>0</v>
      </c>
    </row>
    <row r="137" spans="2:2">
      <c r="B137">
        <f t="shared" si="35"/>
        <v>0</v>
      </c>
    </row>
    <row r="138" spans="2:2">
      <c r="B138">
        <f t="shared" si="35"/>
        <v>0</v>
      </c>
    </row>
    <row r="139" spans="2:2">
      <c r="B139">
        <f t="shared" si="35"/>
        <v>0</v>
      </c>
    </row>
    <row r="140" spans="2:2">
      <c r="B140">
        <f t="shared" si="35"/>
        <v>0</v>
      </c>
    </row>
    <row r="141" spans="2:2">
      <c r="B141">
        <f t="shared" si="35"/>
        <v>0</v>
      </c>
    </row>
    <row r="142" spans="2:2">
      <c r="B142">
        <f t="shared" si="35"/>
        <v>0</v>
      </c>
    </row>
    <row r="143" spans="2:2">
      <c r="B143">
        <f t="shared" si="35"/>
        <v>0</v>
      </c>
    </row>
    <row r="144" spans="2:2">
      <c r="B144">
        <f t="shared" si="35"/>
        <v>0</v>
      </c>
    </row>
    <row r="145" spans="2:2">
      <c r="B145">
        <f t="shared" si="35"/>
        <v>0</v>
      </c>
    </row>
    <row r="146" spans="2:2">
      <c r="B146">
        <f t="shared" si="35"/>
        <v>0</v>
      </c>
    </row>
    <row r="147" spans="2:2">
      <c r="B147">
        <f t="shared" si="35"/>
        <v>0</v>
      </c>
    </row>
    <row r="148" spans="2:2">
      <c r="B148">
        <f t="shared" si="35"/>
        <v>0</v>
      </c>
    </row>
    <row r="149" spans="2:2">
      <c r="B149">
        <f t="shared" si="35"/>
        <v>0</v>
      </c>
    </row>
    <row r="150" spans="2:2">
      <c r="B150">
        <f t="shared" si="35"/>
        <v>0</v>
      </c>
    </row>
    <row r="151" spans="2:2">
      <c r="B151">
        <f t="shared" si="35"/>
        <v>0</v>
      </c>
    </row>
    <row r="152" spans="2:2">
      <c r="B152">
        <f t="shared" si="35"/>
        <v>0</v>
      </c>
    </row>
    <row r="153" spans="2:2">
      <c r="B153">
        <f t="shared" si="35"/>
        <v>0</v>
      </c>
    </row>
    <row r="154" spans="2:2">
      <c r="B154">
        <f t="shared" si="35"/>
        <v>0</v>
      </c>
    </row>
    <row r="155" spans="2:2">
      <c r="B155">
        <f t="shared" si="35"/>
        <v>0</v>
      </c>
    </row>
    <row r="156" spans="2:2">
      <c r="B156">
        <f t="shared" si="35"/>
        <v>0</v>
      </c>
    </row>
    <row r="157" spans="2:2">
      <c r="B157">
        <f t="shared" si="35"/>
        <v>0</v>
      </c>
    </row>
    <row r="158" spans="2:2">
      <c r="B158">
        <f t="shared" si="35"/>
        <v>0</v>
      </c>
    </row>
    <row r="159" spans="2:2">
      <c r="B159">
        <f t="shared" si="35"/>
        <v>0</v>
      </c>
    </row>
    <row r="160" spans="2:2">
      <c r="B160">
        <f t="shared" si="35"/>
        <v>0</v>
      </c>
    </row>
    <row r="161" spans="2:2">
      <c r="B161">
        <f t="shared" si="35"/>
        <v>0</v>
      </c>
    </row>
    <row r="162" spans="2:2">
      <c r="B162">
        <f t="shared" si="35"/>
        <v>0</v>
      </c>
    </row>
    <row r="163" spans="2:2">
      <c r="B163">
        <f t="shared" si="35"/>
        <v>0</v>
      </c>
    </row>
    <row r="164" spans="2:2">
      <c r="B164">
        <f t="shared" si="35"/>
        <v>0</v>
      </c>
    </row>
    <row r="165" spans="2:2">
      <c r="B165">
        <f t="shared" si="35"/>
        <v>0</v>
      </c>
    </row>
    <row r="166" spans="2:2">
      <c r="B166">
        <f t="shared" si="35"/>
        <v>0</v>
      </c>
    </row>
    <row r="167" spans="2:2">
      <c r="B167">
        <f t="shared" si="35"/>
        <v>0</v>
      </c>
    </row>
    <row r="168" spans="2:2">
      <c r="B168">
        <f t="shared" si="35"/>
        <v>0</v>
      </c>
    </row>
    <row r="169" spans="2:2">
      <c r="B169">
        <f t="shared" si="35"/>
        <v>0</v>
      </c>
    </row>
    <row r="170" spans="2:2">
      <c r="B170">
        <f t="shared" si="35"/>
        <v>0</v>
      </c>
    </row>
    <row r="171" spans="2:2">
      <c r="B171">
        <f t="shared" si="35"/>
        <v>0</v>
      </c>
    </row>
    <row r="172" spans="2:2">
      <c r="B172">
        <f t="shared" si="35"/>
        <v>0</v>
      </c>
    </row>
    <row r="173" spans="2:2">
      <c r="B173">
        <f t="shared" si="35"/>
        <v>0</v>
      </c>
    </row>
    <row r="174" spans="2:2">
      <c r="B174">
        <f t="shared" si="35"/>
        <v>0</v>
      </c>
    </row>
    <row r="175" spans="2:2">
      <c r="B175">
        <f t="shared" si="35"/>
        <v>0</v>
      </c>
    </row>
    <row r="176" spans="2:2">
      <c r="B176">
        <f t="shared" si="35"/>
        <v>0</v>
      </c>
    </row>
    <row r="177" spans="2:2">
      <c r="B177">
        <f t="shared" si="35"/>
        <v>0</v>
      </c>
    </row>
    <row r="178" spans="2:2">
      <c r="B178">
        <f t="shared" si="35"/>
        <v>0</v>
      </c>
    </row>
    <row r="179" spans="2:2">
      <c r="B179">
        <f t="shared" si="35"/>
        <v>0</v>
      </c>
    </row>
    <row r="180" spans="2:2">
      <c r="B180">
        <f t="shared" si="35"/>
        <v>0</v>
      </c>
    </row>
    <row r="181" spans="2:2">
      <c r="B181">
        <f t="shared" si="35"/>
        <v>0</v>
      </c>
    </row>
    <row r="182" spans="2:2">
      <c r="B182">
        <f t="shared" si="35"/>
        <v>0</v>
      </c>
    </row>
    <row r="183" spans="2:2">
      <c r="B183">
        <f t="shared" si="35"/>
        <v>0</v>
      </c>
    </row>
    <row r="184" spans="2:2">
      <c r="B184">
        <f t="shared" si="35"/>
        <v>0</v>
      </c>
    </row>
    <row r="185" spans="2:2">
      <c r="B185">
        <f t="shared" si="35"/>
        <v>0</v>
      </c>
    </row>
    <row r="186" spans="2:2">
      <c r="B186">
        <f t="shared" si="35"/>
        <v>0</v>
      </c>
    </row>
    <row r="187" spans="2:2">
      <c r="B187">
        <f t="shared" si="35"/>
        <v>0</v>
      </c>
    </row>
    <row r="188" spans="2:2">
      <c r="B188">
        <f t="shared" si="35"/>
        <v>0</v>
      </c>
    </row>
    <row r="189" spans="2:2">
      <c r="B189">
        <f t="shared" si="35"/>
        <v>0</v>
      </c>
    </row>
    <row r="190" spans="2:2">
      <c r="B190">
        <f t="shared" si="35"/>
        <v>0</v>
      </c>
    </row>
    <row r="191" spans="2:2">
      <c r="B191">
        <f t="shared" si="35"/>
        <v>0</v>
      </c>
    </row>
    <row r="192" spans="2:2">
      <c r="B192">
        <f t="shared" si="35"/>
        <v>0</v>
      </c>
    </row>
    <row r="193" spans="2:2">
      <c r="B193">
        <f t="shared" si="35"/>
        <v>0</v>
      </c>
    </row>
    <row r="194" spans="2:2">
      <c r="B194">
        <f t="shared" si="35"/>
        <v>0</v>
      </c>
    </row>
    <row r="195" spans="2:2">
      <c r="B195">
        <f t="shared" si="35"/>
        <v>0</v>
      </c>
    </row>
    <row r="196" spans="2:2">
      <c r="B196">
        <f t="shared" si="35"/>
        <v>0</v>
      </c>
    </row>
    <row r="197" spans="2:2">
      <c r="B197">
        <f t="shared" si="35"/>
        <v>0</v>
      </c>
    </row>
    <row r="198" spans="2:2">
      <c r="B198">
        <f t="shared" si="35"/>
        <v>0</v>
      </c>
    </row>
    <row r="199" spans="2:2">
      <c r="B199">
        <f t="shared" ref="B199:B202" si="36">+I146</f>
        <v>0</v>
      </c>
    </row>
    <row r="200" spans="2:2">
      <c r="B200">
        <f t="shared" si="36"/>
        <v>0</v>
      </c>
    </row>
    <row r="201" spans="2:2">
      <c r="B201">
        <f t="shared" si="36"/>
        <v>0</v>
      </c>
    </row>
    <row r="202" spans="2:2">
      <c r="B202">
        <f t="shared" si="36"/>
        <v>0</v>
      </c>
    </row>
    <row r="426" spans="10:24">
      <c r="J426" s="68" t="s">
        <v>1276</v>
      </c>
      <c r="K426" s="68"/>
      <c r="L426" s="68"/>
      <c r="M426" s="68"/>
      <c r="N426" s="68"/>
      <c r="O426" s="68"/>
      <c r="P426" s="68"/>
      <c r="Q426" s="68"/>
      <c r="R426" s="68"/>
      <c r="S426" s="68"/>
      <c r="T426" s="68"/>
      <c r="U426" s="68"/>
      <c r="V426" s="68"/>
      <c r="W426" s="68"/>
      <c r="X426" s="68"/>
    </row>
    <row r="427" spans="10:24" ht="72">
      <c r="J427" s="67" t="s">
        <v>1277</v>
      </c>
      <c r="K427" s="67"/>
      <c r="L427" s="67"/>
      <c r="M427" s="67"/>
      <c r="N427" s="67"/>
      <c r="O427" s="67"/>
      <c r="P427" s="67"/>
      <c r="Q427" s="67"/>
      <c r="R427" s="67"/>
      <c r="S427" s="67"/>
      <c r="T427" s="67"/>
      <c r="U427" s="67"/>
      <c r="V427" s="67"/>
      <c r="W427" s="67"/>
      <c r="X427" s="67"/>
    </row>
    <row r="428" spans="10:24" ht="72">
      <c r="J428" s="67" t="s">
        <v>1278</v>
      </c>
      <c r="K428" s="67"/>
      <c r="L428" s="67"/>
      <c r="M428" s="67"/>
      <c r="N428" s="67"/>
      <c r="O428" s="67"/>
      <c r="P428" s="67"/>
      <c r="Q428" s="67"/>
      <c r="R428" s="67"/>
      <c r="S428" s="67"/>
      <c r="T428" s="67"/>
      <c r="U428" s="67"/>
      <c r="V428" s="67"/>
      <c r="W428" s="67"/>
      <c r="X428" s="67"/>
    </row>
    <row r="429" spans="10:24" ht="72">
      <c r="J429" s="67" t="s">
        <v>1279</v>
      </c>
      <c r="K429" s="67"/>
      <c r="L429" s="67"/>
      <c r="M429" s="67"/>
      <c r="N429" s="67"/>
      <c r="O429" s="67"/>
      <c r="P429" s="67"/>
      <c r="Q429" s="67"/>
      <c r="R429" s="67"/>
      <c r="S429" s="67"/>
      <c r="T429" s="67"/>
      <c r="U429" s="67"/>
      <c r="V429" s="67"/>
      <c r="W429" s="67"/>
      <c r="X429" s="67"/>
    </row>
    <row r="430" spans="10:24" ht="72">
      <c r="J430" s="67" t="s">
        <v>1280</v>
      </c>
      <c r="K430" s="67"/>
      <c r="L430" s="67"/>
      <c r="M430" s="67"/>
      <c r="N430" s="67"/>
      <c r="O430" s="67"/>
      <c r="P430" s="67"/>
      <c r="Q430" s="67"/>
      <c r="R430" s="67"/>
      <c r="S430" s="67"/>
      <c r="T430" s="67"/>
      <c r="U430" s="67"/>
      <c r="V430" s="67"/>
      <c r="W430" s="67"/>
      <c r="X430" s="67"/>
    </row>
  </sheetData>
  <dataConsolidate/>
  <mergeCells count="10">
    <mergeCell ref="B1:G1"/>
    <mergeCell ref="I1:AM1"/>
    <mergeCell ref="AN2:AR2"/>
    <mergeCell ref="B13:G13"/>
    <mergeCell ref="B28:E28"/>
    <mergeCell ref="O28:P28"/>
    <mergeCell ref="Q28:R28"/>
    <mergeCell ref="N27:N29"/>
    <mergeCell ref="T27:Y28"/>
    <mergeCell ref="O27:S27"/>
  </mergeCells>
  <phoneticPr fontId="12" type="noConversion"/>
  <dataValidations count="3">
    <dataValidation type="list" allowBlank="1" showInputMessage="1" showErrorMessage="1" sqref="C25:H25" xr:uid="{971DCECF-0329-47D9-A230-CB363854A268}">
      <formula1>"Frankfurt,Chennai,Tianjin,Daegu"</formula1>
    </dataValidation>
    <dataValidation type="list" allowBlank="1" showInputMessage="1" showErrorMessage="1" sqref="C19:H24" xr:uid="{A9BFC9E2-AF71-4D30-8A76-4621D4DF43D8}">
      <formula1>$I$5:$I$14</formula1>
    </dataValidation>
    <dataValidation type="list" allowBlank="1" showInputMessage="1" showErrorMessage="1" sqref="K5:K15" xr:uid="{F9C6455B-217A-4AF4-A7C3-1BEBEA78C416}">
      <formula1>$C$18:$H$18</formula1>
    </dataValidation>
  </dataValidations>
  <hyperlinks>
    <hyperlink ref="J427" r:id="rId1" display="https://www.exchangerates.org.uk/EUR-USD-23_11_2021-exchange-rate-history.html" xr:uid="{8FAD971F-0FC2-4C18-962C-3A94649D4993}"/>
    <hyperlink ref="J428" r:id="rId2" display="https://www.exchangerates.org.uk/EUR-USD-22_11_2021-exchange-rate-history.html" xr:uid="{9D3C2613-C55C-4D2E-A8AE-91E4D9EB8855}"/>
    <hyperlink ref="J429" r:id="rId3" display="https://www.exchangerates.org.uk/EUR-USD-21_11_2021-exchange-rate-history.html" xr:uid="{8339F852-5863-403F-91F3-E0FF164401A4}"/>
    <hyperlink ref="J430" r:id="rId4" display="https://www.exchangerates.org.uk/EUR-USD-20_11_2021-exchange-rate-history.html" xr:uid="{B1FBA68C-6D31-4088-BF6B-F9927CC252CF}"/>
  </hyperlinks>
  <pageMargins left="0.7" right="0.7" top="0.75" bottom="0.75" header="0.3" footer="0.3"/>
  <pageSetup orientation="portrait" r:id="rId5"/>
  <legacy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D3235-A05F-4F6E-8DED-0A300C1ABB44}">
  <sheetPr codeName="Feuil17">
    <tabColor rgb="FFFFC000"/>
  </sheetPr>
  <dimension ref="A1:CE53"/>
  <sheetViews>
    <sheetView zoomScale="70" zoomScaleNormal="70" workbookViewId="0">
      <pane xSplit="4" ySplit="3" topLeftCell="E4" activePane="bottomRight" state="frozen"/>
      <selection pane="topRight" activeCell="E1" sqref="E1"/>
      <selection pane="bottomLeft" activeCell="A4" sqref="A4"/>
      <selection pane="bottomRight" activeCell="E1" sqref="E1"/>
    </sheetView>
  </sheetViews>
  <sheetFormatPr baseColWidth="10" defaultColWidth="11.44140625" defaultRowHeight="14.4"/>
  <cols>
    <col min="1" max="1" width="15.21875" bestFit="1" customWidth="1"/>
    <col min="2" max="2" width="17.77734375" bestFit="1" customWidth="1"/>
    <col min="3" max="3" width="33.44140625" bestFit="1" customWidth="1"/>
    <col min="4" max="4" width="42.109375" bestFit="1" customWidth="1"/>
    <col min="5" max="5" width="25" bestFit="1" customWidth="1"/>
    <col min="6" max="6" width="19.109375" bestFit="1" customWidth="1"/>
    <col min="7" max="7" width="13.44140625" bestFit="1" customWidth="1"/>
    <col min="8" max="8" width="11.6640625" bestFit="1" customWidth="1"/>
    <col min="9" max="9" width="20.6640625" bestFit="1" customWidth="1"/>
    <col min="10" max="10" width="20.44140625" bestFit="1" customWidth="1"/>
    <col min="11" max="11" width="8.6640625" bestFit="1" customWidth="1"/>
    <col min="12" max="12" width="19" bestFit="1" customWidth="1"/>
    <col min="13" max="13" width="33.44140625" bestFit="1" customWidth="1"/>
    <col min="14" max="14" width="19.77734375" bestFit="1" customWidth="1"/>
    <col min="15" max="15" width="18" bestFit="1" customWidth="1"/>
    <col min="16" max="16" width="30.21875" bestFit="1" customWidth="1"/>
    <col min="17" max="17" width="18" bestFit="1" customWidth="1"/>
    <col min="18" max="18" width="21.21875" bestFit="1" customWidth="1"/>
    <col min="19" max="19" width="15.77734375" bestFit="1" customWidth="1"/>
    <col min="20" max="20" width="16.6640625" bestFit="1" customWidth="1"/>
    <col min="21" max="21" width="14.77734375" bestFit="1" customWidth="1"/>
    <col min="22" max="22" width="15.77734375" bestFit="1" customWidth="1"/>
    <col min="23" max="24" width="20.109375" bestFit="1" customWidth="1"/>
    <col min="25" max="26" width="22.77734375" bestFit="1" customWidth="1"/>
    <col min="27" max="27" width="15.77734375" bestFit="1" customWidth="1"/>
    <col min="28" max="29" width="20.109375" bestFit="1" customWidth="1"/>
    <col min="30" max="30" width="16.6640625" bestFit="1" customWidth="1"/>
    <col min="31" max="32" width="20.109375" bestFit="1" customWidth="1"/>
    <col min="33" max="35" width="16.6640625" bestFit="1" customWidth="1"/>
    <col min="36" max="36" width="20.6640625" bestFit="1" customWidth="1"/>
    <col min="37" max="37" width="16.6640625" bestFit="1" customWidth="1"/>
    <col min="38" max="41" width="20.6640625" bestFit="1" customWidth="1"/>
    <col min="42" max="47" width="16.6640625" bestFit="1" customWidth="1"/>
    <col min="48" max="48" width="18.88671875" bestFit="1" customWidth="1"/>
    <col min="49" max="49" width="23.77734375" bestFit="1" customWidth="1"/>
    <col min="50" max="50" width="16.6640625" bestFit="1" customWidth="1"/>
    <col min="51" max="51" width="14.77734375" style="76" bestFit="1" customWidth="1"/>
    <col min="52" max="52" width="22.77734375" style="76" bestFit="1" customWidth="1"/>
    <col min="53" max="53" width="16.6640625" style="76" bestFit="1" customWidth="1"/>
    <col min="54" max="54" width="15.21875" style="76" bestFit="1" customWidth="1"/>
    <col min="55" max="55" width="14.77734375" style="76" bestFit="1" customWidth="1"/>
    <col min="56" max="56" width="16.77734375" style="76" bestFit="1" customWidth="1"/>
    <col min="57" max="57" width="25.21875" style="76" bestFit="1" customWidth="1"/>
    <col min="58" max="58" width="19" style="76" bestFit="1" customWidth="1"/>
    <col min="59" max="59" width="17.33203125" style="76" bestFit="1" customWidth="1"/>
    <col min="60" max="60" width="15.77734375" bestFit="1" customWidth="1"/>
    <col min="61" max="62" width="16.6640625" bestFit="1" customWidth="1"/>
    <col min="63" max="63" width="16.109375" bestFit="1" customWidth="1"/>
    <col min="64" max="64" width="30.44140625" bestFit="1" customWidth="1"/>
    <col min="70" max="70" width="23" customWidth="1"/>
    <col min="71" max="71" width="19.21875" customWidth="1"/>
  </cols>
  <sheetData>
    <row r="1" spans="1:83" ht="15" thickBot="1">
      <c r="E1">
        <f>+'Financials Parameters'!C15</f>
        <v>1</v>
      </c>
      <c r="F1">
        <f>+'Financials Parameters'!D15</f>
        <v>2</v>
      </c>
      <c r="G1">
        <f>+'Financials Parameters'!E15</f>
        <v>3</v>
      </c>
      <c r="H1">
        <f>+'Financials Parameters'!F15</f>
        <v>4</v>
      </c>
      <c r="I1">
        <f>+'Financials Parameters'!G15</f>
        <v>5</v>
      </c>
      <c r="J1">
        <f>+'Financials Parameters'!H15</f>
        <v>6</v>
      </c>
      <c r="K1">
        <f>+J1+1</f>
        <v>7</v>
      </c>
      <c r="L1">
        <f>+K1+1</f>
        <v>8</v>
      </c>
      <c r="M1">
        <f t="shared" ref="M1:Q1" si="0">+L1+1</f>
        <v>9</v>
      </c>
      <c r="N1">
        <f t="shared" si="0"/>
        <v>10</v>
      </c>
      <c r="O1">
        <f t="shared" si="0"/>
        <v>11</v>
      </c>
      <c r="P1">
        <f t="shared" si="0"/>
        <v>12</v>
      </c>
      <c r="Q1">
        <f t="shared" si="0"/>
        <v>13</v>
      </c>
      <c r="R1">
        <v>14</v>
      </c>
      <c r="S1">
        <v>15</v>
      </c>
      <c r="T1">
        <v>16</v>
      </c>
      <c r="U1">
        <v>17</v>
      </c>
      <c r="V1">
        <f>+U1+1</f>
        <v>18</v>
      </c>
      <c r="W1">
        <f t="shared" ref="W1:AA1" si="1">+V1+1</f>
        <v>19</v>
      </c>
      <c r="X1">
        <f t="shared" si="1"/>
        <v>20</v>
      </c>
      <c r="Y1">
        <f t="shared" si="1"/>
        <v>21</v>
      </c>
      <c r="Z1">
        <f t="shared" si="1"/>
        <v>22</v>
      </c>
      <c r="AA1">
        <f t="shared" si="1"/>
        <v>23</v>
      </c>
    </row>
    <row r="2" spans="1:83" ht="15" customHeight="1" thickBot="1">
      <c r="A2" s="1964"/>
      <c r="B2" s="1459"/>
      <c r="C2" s="2030"/>
      <c r="D2" s="2031"/>
      <c r="E2" s="2236" t="s">
        <v>1281</v>
      </c>
      <c r="F2" s="2237"/>
      <c r="G2" s="2237"/>
      <c r="H2" s="2237"/>
      <c r="I2" s="2237"/>
      <c r="J2" s="2238"/>
      <c r="AA2" s="2292" t="s">
        <v>1282</v>
      </c>
      <c r="AB2" s="2293"/>
      <c r="AC2" s="2294"/>
      <c r="AD2" s="2292" t="s">
        <v>1283</v>
      </c>
      <c r="AE2" s="2293"/>
      <c r="AF2" s="2294"/>
      <c r="AY2" s="2576" t="s">
        <v>1284</v>
      </c>
      <c r="AZ2" s="2577"/>
      <c r="BA2" s="2577"/>
      <c r="BB2" s="2577"/>
      <c r="BC2" s="2578"/>
      <c r="BD2" s="2579" t="s">
        <v>1285</v>
      </c>
      <c r="BE2" s="2580"/>
      <c r="BF2" s="2580"/>
      <c r="BG2" s="2580"/>
      <c r="BH2" s="2580"/>
    </row>
    <row r="3" spans="1:83" s="66" customFormat="1" ht="15" thickBot="1">
      <c r="A3" s="2013" t="s">
        <v>1286</v>
      </c>
      <c r="B3" s="1056" t="s">
        <v>1287</v>
      </c>
      <c r="C3" s="2014" t="s">
        <v>1288</v>
      </c>
      <c r="D3" s="2043" t="s">
        <v>1289</v>
      </c>
      <c r="E3" s="2044" t="s">
        <v>25</v>
      </c>
      <c r="F3" s="2044" t="s">
        <v>1222</v>
      </c>
      <c r="G3" s="2044" t="s">
        <v>505</v>
      </c>
      <c r="H3" s="2044" t="s">
        <v>498</v>
      </c>
      <c r="I3" s="2044" t="s">
        <v>510</v>
      </c>
      <c r="J3" s="2045" t="s">
        <v>1253</v>
      </c>
      <c r="K3" s="66" t="s">
        <v>1077</v>
      </c>
      <c r="L3" s="2018" t="s">
        <v>1290</v>
      </c>
      <c r="M3" s="1450" t="s">
        <v>1291</v>
      </c>
      <c r="N3" s="1450" t="s">
        <v>1292</v>
      </c>
      <c r="O3" s="2019" t="s">
        <v>1293</v>
      </c>
      <c r="P3" s="2044" t="s">
        <v>1294</v>
      </c>
      <c r="Q3" s="2042" t="s">
        <v>1295</v>
      </c>
      <c r="R3" s="2042" t="s">
        <v>1296</v>
      </c>
      <c r="S3" s="2042" t="s">
        <v>689</v>
      </c>
      <c r="T3" s="2042" t="s">
        <v>1297</v>
      </c>
      <c r="U3" s="2042" t="s">
        <v>1298</v>
      </c>
      <c r="V3" s="2042" t="s">
        <v>1299</v>
      </c>
      <c r="W3" s="2042" t="s">
        <v>1300</v>
      </c>
      <c r="X3" s="2042" t="s">
        <v>1301</v>
      </c>
      <c r="Y3" s="2042" t="s">
        <v>1302</v>
      </c>
      <c r="Z3" s="2042" t="s">
        <v>1303</v>
      </c>
      <c r="AA3" s="2042" t="s">
        <v>1304</v>
      </c>
      <c r="AB3" s="2042" t="s">
        <v>1305</v>
      </c>
      <c r="AC3" s="2042" t="s">
        <v>1306</v>
      </c>
      <c r="AD3" s="2042" t="s">
        <v>1307</v>
      </c>
      <c r="AE3" s="2042" t="s">
        <v>1308</v>
      </c>
      <c r="AF3" s="2042" t="s">
        <v>1309</v>
      </c>
      <c r="AG3" s="2042" t="s">
        <v>1310</v>
      </c>
      <c r="AH3" s="2042" t="s">
        <v>1311</v>
      </c>
      <c r="AI3" s="2042" t="s">
        <v>1312</v>
      </c>
      <c r="AJ3" s="2042" t="s">
        <v>1313</v>
      </c>
      <c r="AK3" s="2042" t="s">
        <v>1314</v>
      </c>
      <c r="AL3" s="2042" t="s">
        <v>1315</v>
      </c>
      <c r="AM3" s="2042" t="s">
        <v>1316</v>
      </c>
      <c r="AN3" s="2042" t="s">
        <v>1317</v>
      </c>
      <c r="AO3" s="2042" t="s">
        <v>1318</v>
      </c>
      <c r="AP3" s="2042" t="s">
        <v>1319</v>
      </c>
      <c r="AQ3" s="2042" t="s">
        <v>1320</v>
      </c>
      <c r="AR3" s="2042" t="s">
        <v>1321</v>
      </c>
      <c r="AS3" s="2042" t="s">
        <v>1322</v>
      </c>
      <c r="AT3" s="2042" t="s">
        <v>1323</v>
      </c>
      <c r="AU3" s="2042" t="s">
        <v>1324</v>
      </c>
      <c r="AV3" s="2042" t="s">
        <v>1325</v>
      </c>
      <c r="AW3" s="2042" t="s">
        <v>1326</v>
      </c>
      <c r="AX3" s="2015" t="s">
        <v>1327</v>
      </c>
      <c r="AY3" s="2041" t="s">
        <v>1328</v>
      </c>
      <c r="AZ3" s="308" t="s">
        <v>1329</v>
      </c>
      <c r="BA3" s="308" t="s">
        <v>1330</v>
      </c>
      <c r="BB3" s="308" t="s">
        <v>1331</v>
      </c>
      <c r="BC3" s="2046" t="s">
        <v>1332</v>
      </c>
      <c r="BD3" s="2041" t="s">
        <v>1333</v>
      </c>
      <c r="BE3" s="308" t="s">
        <v>1334</v>
      </c>
      <c r="BF3" s="308" t="s">
        <v>1335</v>
      </c>
      <c r="BG3" s="308" t="s">
        <v>1336</v>
      </c>
      <c r="BH3" s="2016" t="s">
        <v>1337</v>
      </c>
      <c r="BI3" s="2042" t="s">
        <v>1338</v>
      </c>
      <c r="BJ3" s="2042" t="s">
        <v>1339</v>
      </c>
      <c r="BK3" s="2042" t="s">
        <v>1340</v>
      </c>
      <c r="BL3" s="2042" t="s">
        <v>1341</v>
      </c>
    </row>
    <row r="4" spans="1:83" ht="18.600000000000001" thickBot="1">
      <c r="A4" s="2033" t="s">
        <v>1258</v>
      </c>
      <c r="B4" s="2034"/>
      <c r="C4" s="2032"/>
      <c r="D4" s="2032"/>
      <c r="E4" s="2032"/>
      <c r="F4" s="2032"/>
      <c r="G4" s="2032"/>
      <c r="H4" s="2032"/>
      <c r="I4" s="2032"/>
      <c r="J4" s="2032"/>
      <c r="L4" s="1446"/>
      <c r="M4" s="65"/>
      <c r="N4" s="1451"/>
      <c r="O4" s="1452"/>
      <c r="P4" s="1"/>
      <c r="Q4" s="1"/>
      <c r="AV4" s="1"/>
      <c r="AW4" s="1"/>
      <c r="BK4" t="s">
        <v>1342</v>
      </c>
      <c r="BL4" t="s">
        <v>1343</v>
      </c>
    </row>
    <row r="5" spans="1:83">
      <c r="A5" s="217" t="s">
        <v>1258</v>
      </c>
      <c r="B5" s="238" t="s">
        <v>1344</v>
      </c>
      <c r="C5" s="1523" t="s">
        <v>1345</v>
      </c>
      <c r="D5" s="1523" t="s">
        <v>1346</v>
      </c>
      <c r="E5" s="90" t="s">
        <v>527</v>
      </c>
      <c r="F5" s="1523" t="s">
        <v>563</v>
      </c>
      <c r="G5" s="1523" t="s">
        <v>527</v>
      </c>
      <c r="H5" s="1523" t="s">
        <v>563</v>
      </c>
      <c r="I5" s="1523" t="s">
        <v>1224</v>
      </c>
      <c r="J5" s="79" t="s">
        <v>1224</v>
      </c>
      <c r="L5" s="2028" t="s">
        <v>1258</v>
      </c>
      <c r="M5" s="96" t="s">
        <v>1345</v>
      </c>
      <c r="N5" s="255"/>
      <c r="O5" s="1469">
        <v>0.4</v>
      </c>
      <c r="P5" s="1472">
        <v>0</v>
      </c>
      <c r="Q5" s="1467">
        <v>0.15</v>
      </c>
      <c r="R5" s="22">
        <v>7</v>
      </c>
      <c r="S5" s="22"/>
      <c r="T5" s="22">
        <v>100</v>
      </c>
      <c r="U5" s="22" t="s">
        <v>1347</v>
      </c>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1467">
        <v>0.1</v>
      </c>
      <c r="AW5" s="1467">
        <v>0.2</v>
      </c>
      <c r="AX5" s="22"/>
      <c r="AY5" s="2047"/>
      <c r="AZ5" s="2047"/>
      <c r="BA5" s="2047"/>
      <c r="BB5" s="2047"/>
      <c r="BC5" s="2047" t="s">
        <v>1348</v>
      </c>
      <c r="BD5" s="2047"/>
      <c r="BE5" s="2047"/>
      <c r="BF5" s="2047"/>
      <c r="BG5" s="2047"/>
      <c r="BH5" s="22" t="s">
        <v>1349</v>
      </c>
      <c r="BI5" s="22"/>
      <c r="BJ5" s="23"/>
      <c r="BK5" t="s">
        <v>1342</v>
      </c>
      <c r="BL5" t="s">
        <v>1343</v>
      </c>
      <c r="BT5" t="str" cm="1">
        <f t="array" ref="BT5:CE5">+TRANSPOSE(PLANTS
)</f>
        <v>Frankfurt</v>
      </c>
      <c r="BU5" t="str">
        <v>Poitiers</v>
      </c>
      <c r="BV5" t="str">
        <v>ElFahs</v>
      </c>
      <c r="BW5" t="str">
        <v>Amiens</v>
      </c>
      <c r="BX5" t="str">
        <v>Monterrey</v>
      </c>
      <c r="BY5" t="str">
        <v>Chennai</v>
      </c>
      <c r="BZ5" t="str">
        <v>Kunshan</v>
      </c>
      <c r="CA5" t="str">
        <v>Kunshan-ASSY</v>
      </c>
      <c r="CB5" t="str">
        <v>Tianjin</v>
      </c>
      <c r="CC5" t="str">
        <v xml:space="preserve">Daegu </v>
      </c>
      <c r="CD5" t="str">
        <v>ElFahs-SAME</v>
      </c>
      <c r="CE5">
        <v>0</v>
      </c>
    </row>
    <row r="6" spans="1:83">
      <c r="A6" s="2036"/>
      <c r="B6" s="1755" t="s">
        <v>1344</v>
      </c>
      <c r="C6" s="70" t="s">
        <v>1350</v>
      </c>
      <c r="D6" s="70" t="s">
        <v>1351</v>
      </c>
      <c r="E6" s="92" t="s">
        <v>527</v>
      </c>
      <c r="F6" s="70" t="s">
        <v>563</v>
      </c>
      <c r="G6" s="70" t="s">
        <v>527</v>
      </c>
      <c r="H6" s="70" t="s">
        <v>563</v>
      </c>
      <c r="I6" s="70" t="s">
        <v>1224</v>
      </c>
      <c r="J6" s="91" t="s">
        <v>1224</v>
      </c>
      <c r="L6" s="1755" t="s">
        <v>1077</v>
      </c>
      <c r="M6" s="70" t="s">
        <v>1350</v>
      </c>
      <c r="N6" s="253"/>
      <c r="O6" s="1470">
        <v>0.4</v>
      </c>
      <c r="P6" s="1473">
        <v>0</v>
      </c>
      <c r="Q6" s="178">
        <v>0.15</v>
      </c>
      <c r="R6" s="27">
        <v>7</v>
      </c>
      <c r="S6" s="27"/>
      <c r="T6" s="27">
        <v>100</v>
      </c>
      <c r="U6" s="27" t="s">
        <v>1347</v>
      </c>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178">
        <v>0.1</v>
      </c>
      <c r="AW6" s="178">
        <v>0.2</v>
      </c>
      <c r="AX6" s="27"/>
      <c r="AY6" s="2048"/>
      <c r="AZ6" s="2048"/>
      <c r="BA6" s="2048"/>
      <c r="BB6" s="2048"/>
      <c r="BC6" s="2048" t="s">
        <v>1348</v>
      </c>
      <c r="BD6" s="2048"/>
      <c r="BE6" s="2048"/>
      <c r="BF6" s="2048"/>
      <c r="BG6" s="2048"/>
      <c r="BH6" s="27" t="s">
        <v>1349</v>
      </c>
      <c r="BI6" s="27"/>
      <c r="BJ6" s="28"/>
      <c r="BK6" t="s">
        <v>1342</v>
      </c>
      <c r="BL6" t="s">
        <v>1343</v>
      </c>
      <c r="BR6" t="str">
        <f>+D5</f>
        <v>Raw Material  - Premolded brush mix</v>
      </c>
      <c r="BS6" t="str">
        <f>+C5</f>
        <v>Premolded brush mix</v>
      </c>
      <c r="BT6" s="1">
        <v>0.7</v>
      </c>
      <c r="CC6" s="1">
        <v>0.7</v>
      </c>
    </row>
    <row r="7" spans="1:83">
      <c r="A7" s="2036"/>
      <c r="B7" s="1755" t="s">
        <v>1344</v>
      </c>
      <c r="C7" s="70" t="s">
        <v>1352</v>
      </c>
      <c r="D7" s="70" t="s">
        <v>1353</v>
      </c>
      <c r="E7" s="92" t="s">
        <v>497</v>
      </c>
      <c r="F7" s="70" t="s">
        <v>497</v>
      </c>
      <c r="G7" s="70" t="s">
        <v>497</v>
      </c>
      <c r="H7" s="70" t="s">
        <v>497</v>
      </c>
      <c r="I7" s="70" t="s">
        <v>497</v>
      </c>
      <c r="J7" s="91" t="s">
        <v>497</v>
      </c>
      <c r="L7" s="1755" t="s">
        <v>1077</v>
      </c>
      <c r="M7" s="70" t="s">
        <v>1352</v>
      </c>
      <c r="N7" s="253"/>
      <c r="O7" s="1470">
        <v>0.4</v>
      </c>
      <c r="P7" s="1473">
        <v>0</v>
      </c>
      <c r="Q7" s="178">
        <v>0.15</v>
      </c>
      <c r="R7" s="27">
        <v>7</v>
      </c>
      <c r="S7" s="27"/>
      <c r="T7" s="27">
        <v>100</v>
      </c>
      <c r="U7" s="27" t="s">
        <v>1347</v>
      </c>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178">
        <v>0.1</v>
      </c>
      <c r="AW7" s="178">
        <v>0.2</v>
      </c>
      <c r="AX7" s="27"/>
      <c r="AY7" s="2048"/>
      <c r="AZ7" s="2048"/>
      <c r="BA7" s="2048"/>
      <c r="BB7" s="2048"/>
      <c r="BC7" s="2048" t="s">
        <v>1348</v>
      </c>
      <c r="BD7" s="2048"/>
      <c r="BE7" s="2048"/>
      <c r="BF7" s="2048"/>
      <c r="BG7" s="2048"/>
      <c r="BH7" s="27" t="s">
        <v>1349</v>
      </c>
      <c r="BI7" s="27"/>
      <c r="BJ7" s="28"/>
      <c r="BK7" t="s">
        <v>1342</v>
      </c>
      <c r="BL7" t="s">
        <v>1343</v>
      </c>
    </row>
    <row r="8" spans="1:83" ht="15" thickBot="1">
      <c r="A8" s="2037"/>
      <c r="B8" s="1433" t="s">
        <v>1344</v>
      </c>
      <c r="C8" s="95" t="s">
        <v>1354</v>
      </c>
      <c r="D8" s="95" t="s">
        <v>1355</v>
      </c>
      <c r="E8" s="94" t="s">
        <v>497</v>
      </c>
      <c r="F8" s="95" t="s">
        <v>497</v>
      </c>
      <c r="G8" s="95" t="s">
        <v>497</v>
      </c>
      <c r="H8" s="95" t="s">
        <v>497</v>
      </c>
      <c r="I8" s="95" t="s">
        <v>497</v>
      </c>
      <c r="J8" s="93" t="s">
        <v>497</v>
      </c>
      <c r="L8" s="2029" t="s">
        <v>1077</v>
      </c>
      <c r="M8" s="223" t="s">
        <v>1354</v>
      </c>
      <c r="N8" s="298"/>
      <c r="O8" s="1471">
        <v>0.4</v>
      </c>
      <c r="P8" s="1474">
        <v>0</v>
      </c>
      <c r="Q8" s="1468">
        <v>0.15</v>
      </c>
      <c r="R8" s="39">
        <v>7</v>
      </c>
      <c r="S8" s="39"/>
      <c r="T8" s="39">
        <v>100</v>
      </c>
      <c r="U8" s="39" t="s">
        <v>1347</v>
      </c>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1468">
        <v>0.1</v>
      </c>
      <c r="AW8" s="1468">
        <v>0.2</v>
      </c>
      <c r="AX8" s="39"/>
      <c r="AY8" s="2049"/>
      <c r="AZ8" s="2049"/>
      <c r="BA8" s="2049"/>
      <c r="BB8" s="2049"/>
      <c r="BC8" s="2049" t="s">
        <v>1348</v>
      </c>
      <c r="BD8" s="2049"/>
      <c r="BE8" s="2049"/>
      <c r="BF8" s="2049"/>
      <c r="BG8" s="2049"/>
      <c r="BH8" s="39" t="s">
        <v>1349</v>
      </c>
      <c r="BI8" s="39"/>
      <c r="BJ8" s="43"/>
      <c r="BK8" t="s">
        <v>1342</v>
      </c>
      <c r="BL8" t="s">
        <v>1343</v>
      </c>
    </row>
    <row r="9" spans="1:83" ht="18.600000000000001" thickBot="1">
      <c r="A9" s="2033" t="s">
        <v>1356</v>
      </c>
      <c r="B9" s="2020"/>
      <c r="C9" s="2017"/>
      <c r="D9" s="2032"/>
      <c r="E9" s="2017"/>
      <c r="F9" s="2017"/>
      <c r="G9" s="2017"/>
      <c r="H9" s="2017"/>
      <c r="I9" s="2017"/>
      <c r="J9" s="2017"/>
      <c r="L9" s="1459"/>
      <c r="M9" s="4"/>
      <c r="N9" s="1460"/>
      <c r="O9" s="1461"/>
      <c r="P9" s="1"/>
      <c r="Q9" s="1"/>
      <c r="U9" t="s">
        <v>1357</v>
      </c>
      <c r="V9" t="s">
        <v>1358</v>
      </c>
      <c r="W9" t="s">
        <v>1359</v>
      </c>
      <c r="X9" t="s">
        <v>360</v>
      </c>
      <c r="Y9" t="s">
        <v>1360</v>
      </c>
      <c r="Z9" t="s">
        <v>1361</v>
      </c>
      <c r="AA9" t="s">
        <v>778</v>
      </c>
      <c r="AB9" t="s">
        <v>1362</v>
      </c>
      <c r="AC9" t="s">
        <v>1361</v>
      </c>
      <c r="AD9" t="s">
        <v>778</v>
      </c>
      <c r="AE9" t="s">
        <v>1362</v>
      </c>
      <c r="AG9" t="s">
        <v>1363</v>
      </c>
      <c r="AH9" t="s">
        <v>1364</v>
      </c>
      <c r="AJ9" t="s">
        <v>1365</v>
      </c>
      <c r="AL9" t="s">
        <v>1366</v>
      </c>
      <c r="AM9" t="s">
        <v>1367</v>
      </c>
      <c r="AN9" t="s">
        <v>1368</v>
      </c>
      <c r="AO9" t="s">
        <v>1369</v>
      </c>
      <c r="AV9" s="1"/>
      <c r="AW9" s="1"/>
      <c r="BK9" t="s">
        <v>1342</v>
      </c>
      <c r="BL9" t="s">
        <v>1343</v>
      </c>
    </row>
    <row r="10" spans="1:83">
      <c r="A10" s="217" t="s">
        <v>1356</v>
      </c>
      <c r="B10" s="1760" t="s">
        <v>1370</v>
      </c>
      <c r="C10" s="1772" t="s">
        <v>1371</v>
      </c>
      <c r="D10" s="1523" t="s">
        <v>1372</v>
      </c>
      <c r="E10" s="1774" t="s">
        <v>384</v>
      </c>
      <c r="F10" s="1761" t="s">
        <v>384</v>
      </c>
      <c r="G10" s="1761" t="s">
        <v>384</v>
      </c>
      <c r="H10" s="1761" t="s">
        <v>384</v>
      </c>
      <c r="I10" s="1761" t="s">
        <v>384</v>
      </c>
      <c r="J10" s="1127" t="s">
        <v>384</v>
      </c>
      <c r="K10" s="1456"/>
      <c r="L10" s="78" t="s">
        <v>1356</v>
      </c>
      <c r="M10" s="1466"/>
      <c r="N10" s="1467"/>
      <c r="O10" s="1475">
        <v>0.4</v>
      </c>
      <c r="P10" s="1472">
        <v>0.03</v>
      </c>
      <c r="Q10" s="1478">
        <v>7.0000000000000007E-2</v>
      </c>
      <c r="R10" s="22"/>
      <c r="S10" s="22">
        <v>7.5</v>
      </c>
      <c r="T10" s="22">
        <v>30</v>
      </c>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1467"/>
      <c r="AV10" s="1467"/>
      <c r="AW10" s="22"/>
      <c r="AX10" s="22"/>
      <c r="AY10" s="2047"/>
      <c r="AZ10" s="2047"/>
      <c r="BA10" s="2047"/>
      <c r="BB10" s="2047"/>
      <c r="BC10" s="2047" t="s">
        <v>1348</v>
      </c>
      <c r="BD10" s="2047"/>
      <c r="BE10" s="2047"/>
      <c r="BF10" s="2047"/>
      <c r="BG10" s="2047"/>
      <c r="BH10" s="22" t="s">
        <v>1349</v>
      </c>
      <c r="BI10" s="22"/>
      <c r="BJ10" s="23"/>
      <c r="BK10" t="s">
        <v>1342</v>
      </c>
      <c r="BL10" t="s">
        <v>1343</v>
      </c>
    </row>
    <row r="11" spans="1:83">
      <c r="A11" s="2036"/>
      <c r="B11" s="1457" t="s">
        <v>1373</v>
      </c>
      <c r="C11" s="1773" t="s">
        <v>1374</v>
      </c>
      <c r="D11" s="70" t="s">
        <v>1375</v>
      </c>
      <c r="E11" s="92"/>
      <c r="F11" s="70"/>
      <c r="G11" s="70"/>
      <c r="H11" s="70"/>
      <c r="I11" s="70"/>
      <c r="J11" s="28"/>
      <c r="K11" s="1456"/>
      <c r="L11" s="1054"/>
      <c r="M11" s="253"/>
      <c r="N11" s="178"/>
      <c r="O11" s="1470"/>
      <c r="P11" s="1473"/>
      <c r="Q11" s="147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178"/>
      <c r="AV11" s="178"/>
      <c r="AW11" s="27"/>
      <c r="AX11" s="27"/>
      <c r="AY11" s="2048"/>
      <c r="AZ11" s="2048"/>
      <c r="BA11" s="2048"/>
      <c r="BB11" s="2048"/>
      <c r="BC11" s="2048" t="s">
        <v>1348</v>
      </c>
      <c r="BD11" s="2048"/>
      <c r="BE11" s="2048"/>
      <c r="BF11" s="2048"/>
      <c r="BG11" s="2048"/>
      <c r="BH11" s="27" t="s">
        <v>1349</v>
      </c>
      <c r="BI11" s="27"/>
      <c r="BJ11" s="28"/>
      <c r="BK11" t="s">
        <v>1342</v>
      </c>
      <c r="BL11" t="s">
        <v>1343</v>
      </c>
    </row>
    <row r="12" spans="1:83">
      <c r="A12" s="2036"/>
      <c r="B12" s="1457"/>
      <c r="C12" s="1434"/>
      <c r="D12" s="70"/>
      <c r="E12" s="92"/>
      <c r="F12" s="70"/>
      <c r="G12" s="70"/>
      <c r="H12" s="70"/>
      <c r="I12" s="70"/>
      <c r="J12" s="28"/>
      <c r="K12" s="1456"/>
      <c r="L12" s="1054"/>
      <c r="M12" s="253"/>
      <c r="N12" s="178"/>
      <c r="O12" s="1470"/>
      <c r="P12" s="1473"/>
      <c r="Q12" s="147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178"/>
      <c r="AV12" s="178"/>
      <c r="AW12" s="27"/>
      <c r="AX12" s="27"/>
      <c r="AY12" s="2048"/>
      <c r="AZ12" s="2048"/>
      <c r="BA12" s="2048"/>
      <c r="BB12" s="2048"/>
      <c r="BC12" s="2048" t="s">
        <v>1348</v>
      </c>
      <c r="BD12" s="2048"/>
      <c r="BE12" s="2048"/>
      <c r="BF12" s="2048"/>
      <c r="BG12" s="2048"/>
      <c r="BH12" s="27" t="s">
        <v>1349</v>
      </c>
      <c r="BI12" s="27"/>
      <c r="BJ12" s="28"/>
      <c r="BK12" t="s">
        <v>1342</v>
      </c>
      <c r="BL12" t="s">
        <v>1343</v>
      </c>
    </row>
    <row r="13" spans="1:83">
      <c r="A13" s="2036"/>
      <c r="B13" s="1457"/>
      <c r="C13" s="1434"/>
      <c r="D13" s="70"/>
      <c r="E13" s="92"/>
      <c r="F13" s="70"/>
      <c r="G13" s="70"/>
      <c r="H13" s="70"/>
      <c r="I13" s="70"/>
      <c r="J13" s="28"/>
      <c r="K13" s="1456"/>
      <c r="L13" s="1054"/>
      <c r="M13" s="253"/>
      <c r="N13" s="178"/>
      <c r="O13" s="1470"/>
      <c r="P13" s="1473"/>
      <c r="Q13" s="147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178"/>
      <c r="AV13" s="178"/>
      <c r="AW13" s="27"/>
      <c r="AX13" s="27"/>
      <c r="AY13" s="2048"/>
      <c r="AZ13" s="2048"/>
      <c r="BA13" s="2048"/>
      <c r="BB13" s="2048"/>
      <c r="BC13" s="2048" t="s">
        <v>1348</v>
      </c>
      <c r="BD13" s="2048"/>
      <c r="BE13" s="2048"/>
      <c r="BF13" s="2048"/>
      <c r="BG13" s="2048"/>
      <c r="BH13" s="27" t="s">
        <v>1349</v>
      </c>
      <c r="BI13" s="27"/>
      <c r="BJ13" s="28"/>
      <c r="BK13" t="s">
        <v>1342</v>
      </c>
      <c r="BL13" t="s">
        <v>1343</v>
      </c>
    </row>
    <row r="14" spans="1:83">
      <c r="A14" s="2036"/>
      <c r="B14" s="1457"/>
      <c r="C14" s="1434"/>
      <c r="D14" s="70"/>
      <c r="E14" s="92"/>
      <c r="F14" s="70"/>
      <c r="G14" s="70"/>
      <c r="H14" s="70"/>
      <c r="I14" s="70"/>
      <c r="J14" s="28"/>
      <c r="K14" s="1456"/>
      <c r="L14" s="1054"/>
      <c r="M14" s="253"/>
      <c r="N14" s="178"/>
      <c r="O14" s="1470"/>
      <c r="P14" s="1473"/>
      <c r="Q14" s="147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178"/>
      <c r="AV14" s="178"/>
      <c r="AW14" s="27"/>
      <c r="AX14" s="27"/>
      <c r="AY14" s="2048"/>
      <c r="AZ14" s="2048"/>
      <c r="BA14" s="2048"/>
      <c r="BB14" s="2048"/>
      <c r="BC14" s="2048" t="s">
        <v>1348</v>
      </c>
      <c r="BD14" s="2048"/>
      <c r="BE14" s="2048"/>
      <c r="BF14" s="2048"/>
      <c r="BG14" s="2048"/>
      <c r="BH14" s="27" t="s">
        <v>1349</v>
      </c>
      <c r="BI14" s="27"/>
      <c r="BJ14" s="28"/>
      <c r="BK14" t="s">
        <v>1342</v>
      </c>
      <c r="BL14" t="s">
        <v>1343</v>
      </c>
    </row>
    <row r="15" spans="1:83">
      <c r="A15" s="2036"/>
      <c r="B15" s="1457"/>
      <c r="C15" s="1434"/>
      <c r="D15" s="70"/>
      <c r="E15" s="92"/>
      <c r="F15" s="70"/>
      <c r="G15" s="70"/>
      <c r="H15" s="70"/>
      <c r="I15" s="70"/>
      <c r="J15" s="28"/>
      <c r="K15" s="1456"/>
      <c r="L15" s="1054"/>
      <c r="M15" s="253"/>
      <c r="N15" s="178"/>
      <c r="O15" s="1470"/>
      <c r="P15" s="1473"/>
      <c r="Q15" s="147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c r="AT15" s="27"/>
      <c r="AU15" s="178"/>
      <c r="AV15" s="178"/>
      <c r="AW15" s="27"/>
      <c r="AX15" s="27"/>
      <c r="AY15" s="2048"/>
      <c r="AZ15" s="2048"/>
      <c r="BA15" s="2048"/>
      <c r="BB15" s="2048"/>
      <c r="BC15" s="2048" t="s">
        <v>1348</v>
      </c>
      <c r="BD15" s="2048"/>
      <c r="BE15" s="2048"/>
      <c r="BF15" s="2048"/>
      <c r="BG15" s="2048"/>
      <c r="BH15" s="27" t="s">
        <v>1349</v>
      </c>
      <c r="BI15" s="27"/>
      <c r="BJ15" s="28"/>
      <c r="BK15" t="s">
        <v>1342</v>
      </c>
      <c r="BL15" t="s">
        <v>1343</v>
      </c>
    </row>
    <row r="16" spans="1:83">
      <c r="A16" s="2036"/>
      <c r="B16" s="1457"/>
      <c r="C16" s="1434"/>
      <c r="D16" s="70"/>
      <c r="E16" s="92"/>
      <c r="F16" s="70"/>
      <c r="G16" s="70"/>
      <c r="H16" s="70"/>
      <c r="I16" s="70"/>
      <c r="J16" s="28"/>
      <c r="K16" s="1456"/>
      <c r="L16" s="1054"/>
      <c r="M16" s="253"/>
      <c r="N16" s="178"/>
      <c r="O16" s="1470"/>
      <c r="P16" s="1473"/>
      <c r="Q16" s="147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178"/>
      <c r="AV16" s="178"/>
      <c r="AW16" s="27"/>
      <c r="AX16" s="27"/>
      <c r="AY16" s="2048"/>
      <c r="AZ16" s="2048"/>
      <c r="BA16" s="2048"/>
      <c r="BB16" s="2048"/>
      <c r="BC16" s="2048" t="s">
        <v>1348</v>
      </c>
      <c r="BD16" s="2048"/>
      <c r="BE16" s="2048"/>
      <c r="BF16" s="2048"/>
      <c r="BG16" s="2048"/>
      <c r="BH16" s="27" t="s">
        <v>1349</v>
      </c>
      <c r="BI16" s="27"/>
      <c r="BJ16" s="28"/>
      <c r="BK16" t="s">
        <v>1342</v>
      </c>
      <c r="BL16" t="s">
        <v>1343</v>
      </c>
    </row>
    <row r="17" spans="1:64">
      <c r="A17" s="2036"/>
      <c r="B17" s="1457"/>
      <c r="C17" s="1434"/>
      <c r="D17" s="70"/>
      <c r="E17" s="92"/>
      <c r="F17" s="70"/>
      <c r="G17" s="70"/>
      <c r="H17" s="70"/>
      <c r="I17" s="70"/>
      <c r="J17" s="28"/>
      <c r="K17" s="1456"/>
      <c r="L17" s="1054"/>
      <c r="M17" s="253"/>
      <c r="N17" s="178"/>
      <c r="O17" s="1470"/>
      <c r="P17" s="1473"/>
      <c r="Q17" s="147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c r="AR17" s="27"/>
      <c r="AS17" s="27"/>
      <c r="AT17" s="27"/>
      <c r="AU17" s="178"/>
      <c r="AV17" s="178"/>
      <c r="AW17" s="27"/>
      <c r="AX17" s="27"/>
      <c r="AY17" s="2048"/>
      <c r="AZ17" s="2048"/>
      <c r="BA17" s="2048"/>
      <c r="BB17" s="2048"/>
      <c r="BC17" s="2048" t="s">
        <v>1348</v>
      </c>
      <c r="BD17" s="2048"/>
      <c r="BE17" s="2048"/>
      <c r="BF17" s="2048"/>
      <c r="BG17" s="2048"/>
      <c r="BH17" s="27" t="s">
        <v>1349</v>
      </c>
      <c r="BI17" s="27"/>
      <c r="BJ17" s="28"/>
      <c r="BK17" t="s">
        <v>1342</v>
      </c>
      <c r="BL17" t="s">
        <v>1343</v>
      </c>
    </row>
    <row r="18" spans="1:64" ht="15" thickBot="1">
      <c r="A18" s="2037"/>
      <c r="B18" s="1458"/>
      <c r="C18" s="1435"/>
      <c r="D18" s="95"/>
      <c r="E18" s="94"/>
      <c r="F18" s="95"/>
      <c r="G18" s="95"/>
      <c r="H18" s="95"/>
      <c r="I18" s="95"/>
      <c r="J18" s="43"/>
      <c r="K18" s="1456"/>
      <c r="L18" s="1055"/>
      <c r="M18" s="254"/>
      <c r="N18" s="1468"/>
      <c r="O18" s="1476"/>
      <c r="P18" s="1474"/>
      <c r="Q18" s="147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1468"/>
      <c r="AV18" s="1468"/>
      <c r="AW18" s="39"/>
      <c r="AX18" s="39"/>
      <c r="AY18" s="2049"/>
      <c r="AZ18" s="2049"/>
      <c r="BA18" s="2049"/>
      <c r="BB18" s="2049"/>
      <c r="BC18" s="2049" t="s">
        <v>1348</v>
      </c>
      <c r="BD18" s="2049"/>
      <c r="BE18" s="2049"/>
      <c r="BF18" s="2049"/>
      <c r="BG18" s="2049"/>
      <c r="BH18" s="39" t="s">
        <v>1349</v>
      </c>
      <c r="BI18" s="39"/>
      <c r="BJ18" s="43"/>
      <c r="BK18" t="s">
        <v>1342</v>
      </c>
      <c r="BL18" t="s">
        <v>1343</v>
      </c>
    </row>
    <row r="19" spans="1:64" s="4" customFormat="1" ht="18.600000000000001" thickBot="1">
      <c r="A19" s="2033" t="s">
        <v>1275</v>
      </c>
      <c r="B19" s="1462"/>
      <c r="C19" s="1463"/>
      <c r="D19" s="2032"/>
      <c r="E19" s="1463"/>
      <c r="F19" s="1463"/>
      <c r="G19" s="1463"/>
      <c r="H19" s="1463"/>
      <c r="I19" s="1463"/>
      <c r="J19" s="1463"/>
      <c r="K19"/>
      <c r="L19" s="1462"/>
      <c r="M19" s="1463"/>
      <c r="N19" s="1464"/>
      <c r="O19" s="1465"/>
      <c r="P19" s="1"/>
      <c r="Q19" s="1"/>
      <c r="R19"/>
      <c r="S19"/>
      <c r="T19"/>
      <c r="U19"/>
      <c r="V19" t="s">
        <v>1357</v>
      </c>
      <c r="W19" t="s">
        <v>1358</v>
      </c>
      <c r="X19" t="s">
        <v>1359</v>
      </c>
      <c r="Y19" t="s">
        <v>360</v>
      </c>
      <c r="Z19" t="s">
        <v>1360</v>
      </c>
      <c r="AA19" t="s">
        <v>1361</v>
      </c>
      <c r="AB19" t="s">
        <v>778</v>
      </c>
      <c r="AC19" t="s">
        <v>1362</v>
      </c>
      <c r="AD19" t="s">
        <v>1361</v>
      </c>
      <c r="AE19" t="s">
        <v>778</v>
      </c>
      <c r="AF19" t="s">
        <v>1362</v>
      </c>
      <c r="AG19"/>
      <c r="AH19" t="s">
        <v>1363</v>
      </c>
      <c r="AI19" t="s">
        <v>1364</v>
      </c>
      <c r="AJ19"/>
      <c r="AK19"/>
      <c r="AL19"/>
      <c r="AM19"/>
      <c r="AN19"/>
      <c r="AO19"/>
      <c r="AP19"/>
      <c r="AQ19"/>
      <c r="AR19"/>
      <c r="AS19"/>
      <c r="AT19"/>
      <c r="AU19"/>
      <c r="AV19" s="1"/>
      <c r="AW19" s="1"/>
      <c r="AX19"/>
      <c r="AY19" s="76"/>
      <c r="AZ19" s="76"/>
      <c r="BA19" s="76"/>
      <c r="BB19" s="76"/>
      <c r="BC19" s="76"/>
      <c r="BD19" s="76"/>
      <c r="BE19" s="76"/>
      <c r="BF19" s="76"/>
      <c r="BG19" s="76"/>
      <c r="BH19"/>
      <c r="BI19"/>
      <c r="BJ19"/>
      <c r="BK19" t="s">
        <v>1342</v>
      </c>
      <c r="BL19" t="s">
        <v>1343</v>
      </c>
    </row>
    <row r="20" spans="1:64">
      <c r="A20" s="2038" t="s">
        <v>1275</v>
      </c>
      <c r="B20" s="1447" t="s">
        <v>1231</v>
      </c>
      <c r="C20" s="1448" t="s">
        <v>1376</v>
      </c>
      <c r="D20" s="1447" t="s">
        <v>1377</v>
      </c>
      <c r="E20" s="1447" t="s">
        <v>592</v>
      </c>
      <c r="F20" s="1447" t="s">
        <v>796</v>
      </c>
      <c r="G20" s="1447" t="s">
        <v>563</v>
      </c>
      <c r="H20" s="1447" t="s">
        <v>515</v>
      </c>
      <c r="I20" s="1447" t="s">
        <v>563</v>
      </c>
      <c r="J20" s="1449" t="s">
        <v>563</v>
      </c>
      <c r="K20" s="186"/>
      <c r="L20" s="2026" t="s">
        <v>1275</v>
      </c>
      <c r="M20" s="1436" t="s">
        <v>1376</v>
      </c>
      <c r="N20" s="1453"/>
      <c r="O20" s="1480">
        <v>0.3</v>
      </c>
      <c r="P20" s="1484">
        <v>0</v>
      </c>
      <c r="Q20" s="1485">
        <v>0.05</v>
      </c>
      <c r="R20" s="1448">
        <v>7</v>
      </c>
      <c r="S20" s="1448"/>
      <c r="T20" s="1448">
        <v>100</v>
      </c>
      <c r="U20" s="1448" t="s">
        <v>1378</v>
      </c>
      <c r="V20" s="1448" t="s">
        <v>1379</v>
      </c>
      <c r="W20" s="1485" t="s">
        <v>1380</v>
      </c>
      <c r="X20" s="1448" t="s">
        <v>1381</v>
      </c>
      <c r="Y20" s="1448" t="s">
        <v>1382</v>
      </c>
      <c r="Z20" s="1448" t="s">
        <v>1383</v>
      </c>
      <c r="AA20" s="1448" t="s">
        <v>1384</v>
      </c>
      <c r="AB20" s="1448" t="s">
        <v>1384</v>
      </c>
      <c r="AC20" s="1448" t="s">
        <v>1385</v>
      </c>
      <c r="AD20" s="1448" t="s">
        <v>1384</v>
      </c>
      <c r="AE20" s="1448" t="s">
        <v>1384</v>
      </c>
      <c r="AF20" s="1448" t="s">
        <v>1385</v>
      </c>
      <c r="AG20" s="1448"/>
      <c r="AH20" s="1448" t="s">
        <v>1386</v>
      </c>
      <c r="AI20" s="1448" t="s">
        <v>1387</v>
      </c>
      <c r="AJ20" s="1448"/>
      <c r="AK20" s="1448"/>
      <c r="AL20" s="1448"/>
      <c r="AM20" s="1448"/>
      <c r="AN20" s="1448"/>
      <c r="AO20" s="1448"/>
      <c r="AP20" s="1448"/>
      <c r="AQ20" s="1448"/>
      <c r="AR20" s="1448"/>
      <c r="AS20" s="1448"/>
      <c r="AT20" s="1448"/>
      <c r="AU20" s="1448"/>
      <c r="AV20" s="1485">
        <v>0.25</v>
      </c>
      <c r="AW20" s="1485">
        <v>0.2</v>
      </c>
      <c r="AX20" s="1448"/>
      <c r="AY20" s="2050"/>
      <c r="AZ20" s="2050"/>
      <c r="BA20" s="2050"/>
      <c r="BB20" s="2050"/>
      <c r="BC20" s="2050" t="s">
        <v>1348</v>
      </c>
      <c r="BD20" s="2050"/>
      <c r="BE20" s="2050"/>
      <c r="BF20" s="2050"/>
      <c r="BG20" s="2050"/>
      <c r="BH20" s="1448" t="s">
        <v>1349</v>
      </c>
      <c r="BI20" s="1448"/>
      <c r="BJ20" s="1486"/>
      <c r="BK20" s="2054" t="s">
        <v>1342</v>
      </c>
      <c r="BL20" s="2054" t="s">
        <v>1343</v>
      </c>
    </row>
    <row r="21" spans="1:64">
      <c r="A21" s="2039"/>
      <c r="B21" s="1437" t="s">
        <v>1231</v>
      </c>
      <c r="C21" s="1438" t="s">
        <v>1230</v>
      </c>
      <c r="D21" s="1437" t="s">
        <v>1388</v>
      </c>
      <c r="E21" s="1437" t="s">
        <v>592</v>
      </c>
      <c r="F21" s="1437" t="s">
        <v>592</v>
      </c>
      <c r="G21" s="1437" t="s">
        <v>592</v>
      </c>
      <c r="H21" s="1437" t="s">
        <v>515</v>
      </c>
      <c r="I21" s="1437" t="s">
        <v>592</v>
      </c>
      <c r="J21" s="1439" t="s">
        <v>592</v>
      </c>
      <c r="K21" s="186"/>
      <c r="L21" s="2025" t="s">
        <v>1077</v>
      </c>
      <c r="M21" s="1438" t="s">
        <v>1230</v>
      </c>
      <c r="N21" s="1454"/>
      <c r="O21" s="1481">
        <v>0.3</v>
      </c>
      <c r="P21" s="1487">
        <v>0</v>
      </c>
      <c r="Q21" s="1483">
        <v>0.05</v>
      </c>
      <c r="R21" s="1438">
        <v>7</v>
      </c>
      <c r="S21" s="1438"/>
      <c r="T21" s="1438">
        <v>10</v>
      </c>
      <c r="U21" s="1438" t="s">
        <v>1389</v>
      </c>
      <c r="V21" s="1438" t="s">
        <v>1390</v>
      </c>
      <c r="W21" s="1483" t="s">
        <v>1391</v>
      </c>
      <c r="X21" s="1438" t="s">
        <v>1392</v>
      </c>
      <c r="Y21" s="1438" t="s">
        <v>1393</v>
      </c>
      <c r="Z21" s="1438" t="s">
        <v>1394</v>
      </c>
      <c r="AA21" s="1438" t="s">
        <v>1384</v>
      </c>
      <c r="AB21" s="1438" t="s">
        <v>1384</v>
      </c>
      <c r="AC21" s="1438" t="s">
        <v>1383</v>
      </c>
      <c r="AD21" s="1438" t="s">
        <v>1384</v>
      </c>
      <c r="AE21" s="1438" t="s">
        <v>1384</v>
      </c>
      <c r="AF21" s="1438" t="s">
        <v>1383</v>
      </c>
      <c r="AG21" s="1438"/>
      <c r="AH21" s="1438" t="s">
        <v>1386</v>
      </c>
      <c r="AI21" s="1438" t="s">
        <v>1387</v>
      </c>
      <c r="AJ21" s="1438"/>
      <c r="AK21" s="1438"/>
      <c r="AL21" s="1438"/>
      <c r="AM21" s="1438"/>
      <c r="AN21" s="1438"/>
      <c r="AO21" s="1438"/>
      <c r="AP21" s="1438"/>
      <c r="AQ21" s="1438"/>
      <c r="AR21" s="1438"/>
      <c r="AS21" s="1438"/>
      <c r="AT21" s="1438"/>
      <c r="AU21" s="1438"/>
      <c r="AV21" s="1483">
        <v>0.15</v>
      </c>
      <c r="AW21" s="1483">
        <v>0.2</v>
      </c>
      <c r="AX21" s="1438"/>
      <c r="AY21" s="2051"/>
      <c r="AZ21" s="2051"/>
      <c r="BA21" s="2051"/>
      <c r="BB21" s="2051"/>
      <c r="BC21" s="2051" t="s">
        <v>1348</v>
      </c>
      <c r="BD21" s="2051"/>
      <c r="BE21" s="2051"/>
      <c r="BF21" s="2051"/>
      <c r="BG21" s="2051"/>
      <c r="BH21" s="1438" t="s">
        <v>1349</v>
      </c>
      <c r="BI21" s="1438"/>
      <c r="BJ21" s="1488"/>
      <c r="BK21" s="2054" t="s">
        <v>1342</v>
      </c>
      <c r="BL21" s="2054" t="s">
        <v>1343</v>
      </c>
    </row>
    <row r="22" spans="1:64">
      <c r="A22" s="2039"/>
      <c r="B22" s="1437" t="s">
        <v>1231</v>
      </c>
      <c r="C22" s="1438" t="s">
        <v>1395</v>
      </c>
      <c r="D22" s="1437" t="s">
        <v>1396</v>
      </c>
      <c r="E22" s="1437" t="s">
        <v>592</v>
      </c>
      <c r="F22" s="1437" t="s">
        <v>796</v>
      </c>
      <c r="G22" s="1437" t="s">
        <v>563</v>
      </c>
      <c r="H22" s="1437" t="s">
        <v>515</v>
      </c>
      <c r="I22" s="1437" t="s">
        <v>563</v>
      </c>
      <c r="J22" s="1439" t="s">
        <v>563</v>
      </c>
      <c r="K22" s="186"/>
      <c r="L22" s="2025" t="s">
        <v>1077</v>
      </c>
      <c r="M22" s="1438" t="s">
        <v>1395</v>
      </c>
      <c r="N22" s="1454"/>
      <c r="O22" s="1481">
        <v>0.3</v>
      </c>
      <c r="P22" s="1487">
        <v>0</v>
      </c>
      <c r="Q22" s="1483">
        <v>0.05</v>
      </c>
      <c r="R22" s="1438">
        <v>7</v>
      </c>
      <c r="S22" s="1438"/>
      <c r="T22" s="1438">
        <v>100</v>
      </c>
      <c r="U22" s="1438" t="s">
        <v>1378</v>
      </c>
      <c r="V22" s="1438" t="s">
        <v>1379</v>
      </c>
      <c r="W22" s="1483" t="s">
        <v>1397</v>
      </c>
      <c r="X22" s="1438" t="s">
        <v>1398</v>
      </c>
      <c r="Y22" s="1438" t="s">
        <v>1399</v>
      </c>
      <c r="Z22" s="1438" t="s">
        <v>1400</v>
      </c>
      <c r="AA22" s="1438" t="s">
        <v>1384</v>
      </c>
      <c r="AB22" s="1438" t="s">
        <v>1384</v>
      </c>
      <c r="AC22" s="1438" t="s">
        <v>1383</v>
      </c>
      <c r="AD22" s="1438" t="s">
        <v>1384</v>
      </c>
      <c r="AE22" s="1438" t="s">
        <v>1384</v>
      </c>
      <c r="AF22" s="1438" t="s">
        <v>1383</v>
      </c>
      <c r="AG22" s="1438"/>
      <c r="AH22" s="1438" t="s">
        <v>1386</v>
      </c>
      <c r="AI22" s="1438" t="s">
        <v>1387</v>
      </c>
      <c r="AJ22" s="1438"/>
      <c r="AK22" s="1438"/>
      <c r="AL22" s="1438"/>
      <c r="AM22" s="1438"/>
      <c r="AN22" s="1438"/>
      <c r="AO22" s="1438"/>
      <c r="AP22" s="1438"/>
      <c r="AQ22" s="1438"/>
      <c r="AR22" s="1438"/>
      <c r="AS22" s="1438"/>
      <c r="AT22" s="1438"/>
      <c r="AU22" s="1438"/>
      <c r="AV22" s="1483">
        <v>0.3</v>
      </c>
      <c r="AW22" s="1483">
        <v>0.2</v>
      </c>
      <c r="AX22" s="1438"/>
      <c r="AY22" s="2051"/>
      <c r="AZ22" s="2051"/>
      <c r="BA22" s="2051"/>
      <c r="BB22" s="2051"/>
      <c r="BC22" s="2051" t="s">
        <v>1348</v>
      </c>
      <c r="BD22" s="2051"/>
      <c r="BE22" s="2051"/>
      <c r="BF22" s="2051"/>
      <c r="BG22" s="2051"/>
      <c r="BH22" s="1438" t="s">
        <v>1349</v>
      </c>
      <c r="BI22" s="1438"/>
      <c r="BJ22" s="1488"/>
      <c r="BK22" s="2054" t="s">
        <v>1342</v>
      </c>
      <c r="BL22" s="2054" t="s">
        <v>1343</v>
      </c>
    </row>
    <row r="23" spans="1:64">
      <c r="A23" s="2039"/>
      <c r="B23" s="1437" t="s">
        <v>1231</v>
      </c>
      <c r="C23" s="1438" t="s">
        <v>1401</v>
      </c>
      <c r="D23" s="1437" t="s">
        <v>1402</v>
      </c>
      <c r="E23" s="1437" t="s">
        <v>796</v>
      </c>
      <c r="F23" s="1437" t="s">
        <v>796</v>
      </c>
      <c r="G23" s="1437" t="s">
        <v>563</v>
      </c>
      <c r="H23" s="1437" t="s">
        <v>515</v>
      </c>
      <c r="I23" s="1437" t="s">
        <v>563</v>
      </c>
      <c r="J23" s="1439" t="s">
        <v>563</v>
      </c>
      <c r="K23" s="186"/>
      <c r="L23" s="2025" t="s">
        <v>1077</v>
      </c>
      <c r="M23" s="1438" t="s">
        <v>1401</v>
      </c>
      <c r="N23" s="1454"/>
      <c r="O23" s="1481">
        <v>0.3</v>
      </c>
      <c r="P23" s="1487">
        <v>0</v>
      </c>
      <c r="Q23" s="1483">
        <v>0.05</v>
      </c>
      <c r="R23" s="1438">
        <v>7</v>
      </c>
      <c r="S23" s="1438"/>
      <c r="T23" s="1438">
        <v>150</v>
      </c>
      <c r="U23" s="1438" t="s">
        <v>1403</v>
      </c>
      <c r="V23" s="1438" t="s">
        <v>1379</v>
      </c>
      <c r="W23" s="1483" t="s">
        <v>1397</v>
      </c>
      <c r="X23" s="1438" t="s">
        <v>1404</v>
      </c>
      <c r="Y23" s="1438" t="s">
        <v>1405</v>
      </c>
      <c r="Z23" s="1438" t="s">
        <v>1406</v>
      </c>
      <c r="AA23" s="1438" t="s">
        <v>1384</v>
      </c>
      <c r="AB23" s="1438" t="s">
        <v>1384</v>
      </c>
      <c r="AC23" s="1438" t="s">
        <v>1383</v>
      </c>
      <c r="AD23" s="1438" t="s">
        <v>1384</v>
      </c>
      <c r="AE23" s="1438" t="s">
        <v>1384</v>
      </c>
      <c r="AF23" s="1438" t="s">
        <v>1383</v>
      </c>
      <c r="AG23" s="1438"/>
      <c r="AH23" s="1438" t="s">
        <v>1386</v>
      </c>
      <c r="AI23" s="1438" t="s">
        <v>1387</v>
      </c>
      <c r="AJ23" s="1438"/>
      <c r="AK23" s="1438"/>
      <c r="AL23" s="1438"/>
      <c r="AM23" s="1438"/>
      <c r="AN23" s="1438"/>
      <c r="AO23" s="1438"/>
      <c r="AP23" s="1438"/>
      <c r="AQ23" s="1438"/>
      <c r="AR23" s="1438"/>
      <c r="AS23" s="1438"/>
      <c r="AT23" s="1438"/>
      <c r="AU23" s="1438"/>
      <c r="AV23" s="1483">
        <v>0.3</v>
      </c>
      <c r="AW23" s="1483">
        <v>0.2</v>
      </c>
      <c r="AX23" s="1438"/>
      <c r="AY23" s="2051"/>
      <c r="AZ23" s="2051"/>
      <c r="BA23" s="2051"/>
      <c r="BB23" s="2051"/>
      <c r="BC23" s="2051" t="s">
        <v>1348</v>
      </c>
      <c r="BD23" s="2051"/>
      <c r="BE23" s="2051"/>
      <c r="BF23" s="2051"/>
      <c r="BG23" s="2051"/>
      <c r="BH23" s="1438" t="s">
        <v>1349</v>
      </c>
      <c r="BI23" s="1438"/>
      <c r="BJ23" s="1488"/>
      <c r="BK23" s="2054" t="s">
        <v>1342</v>
      </c>
      <c r="BL23" s="2054" t="s">
        <v>1343</v>
      </c>
    </row>
    <row r="24" spans="1:64">
      <c r="A24" s="2039"/>
      <c r="B24" s="1437" t="s">
        <v>1231</v>
      </c>
      <c r="C24" s="1438" t="s">
        <v>1407</v>
      </c>
      <c r="D24" s="1437" t="s">
        <v>1408</v>
      </c>
      <c r="E24" s="1437" t="s">
        <v>592</v>
      </c>
      <c r="F24" s="1437" t="s">
        <v>796</v>
      </c>
      <c r="G24" s="1437" t="s">
        <v>574</v>
      </c>
      <c r="H24" s="1437" t="s">
        <v>515</v>
      </c>
      <c r="I24" s="1437" t="s">
        <v>574</v>
      </c>
      <c r="J24" s="1439" t="s">
        <v>574</v>
      </c>
      <c r="K24" s="186"/>
      <c r="L24" s="2025" t="s">
        <v>1077</v>
      </c>
      <c r="M24" s="1438" t="s">
        <v>1407</v>
      </c>
      <c r="N24" s="1454"/>
      <c r="O24" s="1481">
        <v>0.3</v>
      </c>
      <c r="P24" s="1487">
        <v>0</v>
      </c>
      <c r="Q24" s="1483">
        <v>0.05</v>
      </c>
      <c r="R24" s="1438">
        <v>7</v>
      </c>
      <c r="S24" s="1438"/>
      <c r="T24" s="1438">
        <v>100</v>
      </c>
      <c r="U24" s="1438" t="s">
        <v>1409</v>
      </c>
      <c r="V24" s="1438" t="s">
        <v>1379</v>
      </c>
      <c r="W24" s="1483" t="s">
        <v>1410</v>
      </c>
      <c r="X24" s="1438" t="s">
        <v>1411</v>
      </c>
      <c r="Y24" s="1438" t="s">
        <v>1412</v>
      </c>
      <c r="Z24" s="1438" t="s">
        <v>1413</v>
      </c>
      <c r="AA24" s="1438" t="s">
        <v>1384</v>
      </c>
      <c r="AB24" s="1438" t="s">
        <v>1384</v>
      </c>
      <c r="AC24" s="1438" t="s">
        <v>1383</v>
      </c>
      <c r="AD24" s="1438" t="s">
        <v>1384</v>
      </c>
      <c r="AE24" s="1438" t="s">
        <v>1384</v>
      </c>
      <c r="AF24" s="1438" t="s">
        <v>1383</v>
      </c>
      <c r="AG24" s="1438"/>
      <c r="AH24" s="1438" t="s">
        <v>1386</v>
      </c>
      <c r="AI24" s="1438" t="s">
        <v>1387</v>
      </c>
      <c r="AJ24" s="1438"/>
      <c r="AK24" s="1438"/>
      <c r="AL24" s="1438"/>
      <c r="AM24" s="1438"/>
      <c r="AN24" s="1438"/>
      <c r="AO24" s="1438"/>
      <c r="AP24" s="1438"/>
      <c r="AQ24" s="1438"/>
      <c r="AR24" s="1438"/>
      <c r="AS24" s="1438"/>
      <c r="AT24" s="1438"/>
      <c r="AU24" s="1438"/>
      <c r="AV24" s="1483">
        <v>0.2</v>
      </c>
      <c r="AW24" s="1483">
        <v>0.2</v>
      </c>
      <c r="AX24" s="1438"/>
      <c r="AY24" s="2051"/>
      <c r="AZ24" s="2051"/>
      <c r="BA24" s="2051"/>
      <c r="BB24" s="2051"/>
      <c r="BC24" s="2051" t="s">
        <v>1348</v>
      </c>
      <c r="BD24" s="2051"/>
      <c r="BE24" s="2051"/>
      <c r="BF24" s="2051"/>
      <c r="BG24" s="2051"/>
      <c r="BH24" s="1438" t="s">
        <v>1349</v>
      </c>
      <c r="BI24" s="1438"/>
      <c r="BJ24" s="1488"/>
      <c r="BK24" s="2054" t="s">
        <v>1342</v>
      </c>
      <c r="BL24" s="2054" t="s">
        <v>1343</v>
      </c>
    </row>
    <row r="25" spans="1:64">
      <c r="A25" s="2039"/>
      <c r="B25" s="1437" t="s">
        <v>1231</v>
      </c>
      <c r="C25" s="1438" t="s">
        <v>1414</v>
      </c>
      <c r="D25" s="1437" t="s">
        <v>1415</v>
      </c>
      <c r="E25" s="1437" t="s">
        <v>563</v>
      </c>
      <c r="F25" s="1437" t="s">
        <v>563</v>
      </c>
      <c r="G25" s="1437" t="s">
        <v>563</v>
      </c>
      <c r="H25" s="1437" t="s">
        <v>563</v>
      </c>
      <c r="I25" s="1437" t="s">
        <v>563</v>
      </c>
      <c r="J25" s="1439" t="s">
        <v>563</v>
      </c>
      <c r="K25" s="186"/>
      <c r="L25" s="2025" t="s">
        <v>1077</v>
      </c>
      <c r="M25" s="1438" t="s">
        <v>1414</v>
      </c>
      <c r="N25" s="1454"/>
      <c r="O25" s="1481">
        <v>0.3</v>
      </c>
      <c r="P25" s="1487">
        <v>0</v>
      </c>
      <c r="Q25" s="1483">
        <v>0.05</v>
      </c>
      <c r="R25" s="1438">
        <v>7</v>
      </c>
      <c r="S25" s="1438"/>
      <c r="T25" s="1438">
        <v>100</v>
      </c>
      <c r="U25" s="1438" t="s">
        <v>1378</v>
      </c>
      <c r="V25" s="1438" t="s">
        <v>1379</v>
      </c>
      <c r="W25" s="1483" t="s">
        <v>1410</v>
      </c>
      <c r="X25" s="1438" t="s">
        <v>1416</v>
      </c>
      <c r="Y25" s="1438" t="s">
        <v>1417</v>
      </c>
      <c r="Z25" s="1438" t="s">
        <v>1418</v>
      </c>
      <c r="AA25" s="1438" t="s">
        <v>1384</v>
      </c>
      <c r="AB25" s="1438" t="s">
        <v>1384</v>
      </c>
      <c r="AC25" s="1438" t="s">
        <v>1383</v>
      </c>
      <c r="AD25" s="1438" t="s">
        <v>1384</v>
      </c>
      <c r="AE25" s="1438" t="s">
        <v>1384</v>
      </c>
      <c r="AF25" s="1438" t="s">
        <v>1383</v>
      </c>
      <c r="AG25" s="1438"/>
      <c r="AH25" s="1438" t="s">
        <v>1386</v>
      </c>
      <c r="AI25" s="1438" t="s">
        <v>1387</v>
      </c>
      <c r="AJ25" s="1438"/>
      <c r="AK25" s="1438"/>
      <c r="AL25" s="1438"/>
      <c r="AM25" s="1438"/>
      <c r="AN25" s="1438"/>
      <c r="AO25" s="1438"/>
      <c r="AP25" s="1438"/>
      <c r="AQ25" s="1438"/>
      <c r="AR25" s="1438"/>
      <c r="AS25" s="1438"/>
      <c r="AT25" s="1438"/>
      <c r="AU25" s="1438"/>
      <c r="AV25" s="1483">
        <v>0.2</v>
      </c>
      <c r="AW25" s="1483">
        <v>0.2</v>
      </c>
      <c r="AX25" s="1438"/>
      <c r="AY25" s="2051"/>
      <c r="AZ25" s="2051"/>
      <c r="BA25" s="2051"/>
      <c r="BB25" s="2051"/>
      <c r="BC25" s="2051" t="s">
        <v>1348</v>
      </c>
      <c r="BD25" s="2051"/>
      <c r="BE25" s="2051"/>
      <c r="BF25" s="2051"/>
      <c r="BG25" s="2051"/>
      <c r="BH25" s="1438" t="s">
        <v>1349</v>
      </c>
      <c r="BI25" s="1438"/>
      <c r="BJ25" s="1488"/>
      <c r="BK25" s="2054" t="s">
        <v>1342</v>
      </c>
      <c r="BL25" s="2054" t="s">
        <v>1343</v>
      </c>
    </row>
    <row r="26" spans="1:64">
      <c r="A26" s="2039"/>
      <c r="B26" s="1437" t="s">
        <v>1231</v>
      </c>
      <c r="C26" s="1438" t="s">
        <v>1419</v>
      </c>
      <c r="D26" s="1437" t="s">
        <v>1420</v>
      </c>
      <c r="E26" s="320" t="s">
        <v>592</v>
      </c>
      <c r="F26" s="320" t="s">
        <v>796</v>
      </c>
      <c r="G26" s="320" t="s">
        <v>563</v>
      </c>
      <c r="H26" s="320" t="s">
        <v>515</v>
      </c>
      <c r="I26" s="320" t="s">
        <v>563</v>
      </c>
      <c r="J26" s="1444" t="s">
        <v>563</v>
      </c>
      <c r="K26" s="186"/>
      <c r="L26" s="2025" t="s">
        <v>1077</v>
      </c>
      <c r="M26" s="1438" t="s">
        <v>1419</v>
      </c>
      <c r="N26" s="1454"/>
      <c r="O26" s="1481">
        <v>0.3</v>
      </c>
      <c r="P26" s="1487">
        <v>0</v>
      </c>
      <c r="Q26" s="1483">
        <v>0.05</v>
      </c>
      <c r="R26" s="1438">
        <v>7</v>
      </c>
      <c r="S26" s="1438"/>
      <c r="T26" s="1438">
        <v>100</v>
      </c>
      <c r="U26" s="1438" t="s">
        <v>1378</v>
      </c>
      <c r="V26" s="1438" t="s">
        <v>1379</v>
      </c>
      <c r="W26" s="1483" t="s">
        <v>1410</v>
      </c>
      <c r="X26" s="1438" t="s">
        <v>1421</v>
      </c>
      <c r="Y26" s="1438" t="s">
        <v>1422</v>
      </c>
      <c r="Z26" s="1438" t="s">
        <v>1423</v>
      </c>
      <c r="AA26" s="1438" t="s">
        <v>1384</v>
      </c>
      <c r="AB26" s="1438" t="s">
        <v>1384</v>
      </c>
      <c r="AC26" s="1438" t="s">
        <v>1383</v>
      </c>
      <c r="AD26" s="1438" t="s">
        <v>1384</v>
      </c>
      <c r="AE26" s="1438" t="s">
        <v>1384</v>
      </c>
      <c r="AF26" s="1438" t="s">
        <v>1383</v>
      </c>
      <c r="AG26" s="1438"/>
      <c r="AH26" s="1438" t="s">
        <v>1386</v>
      </c>
      <c r="AI26" s="1438" t="s">
        <v>1387</v>
      </c>
      <c r="AJ26" s="1438"/>
      <c r="AK26" s="1438"/>
      <c r="AL26" s="1438"/>
      <c r="AM26" s="1438"/>
      <c r="AN26" s="1438"/>
      <c r="AO26" s="1438"/>
      <c r="AP26" s="1438"/>
      <c r="AQ26" s="1438"/>
      <c r="AR26" s="1438"/>
      <c r="AS26" s="1438"/>
      <c r="AT26" s="1438"/>
      <c r="AU26" s="1438"/>
      <c r="AV26" s="1483">
        <v>0.2</v>
      </c>
      <c r="AW26" s="1483">
        <v>0.2</v>
      </c>
      <c r="AX26" s="1438"/>
      <c r="AY26" s="2051"/>
      <c r="AZ26" s="2051"/>
      <c r="BA26" s="2051"/>
      <c r="BB26" s="2051"/>
      <c r="BC26" s="2051" t="s">
        <v>1348</v>
      </c>
      <c r="BD26" s="2051"/>
      <c r="BE26" s="2051"/>
      <c r="BF26" s="2051"/>
      <c r="BG26" s="2051"/>
      <c r="BH26" s="1438" t="s">
        <v>1349</v>
      </c>
      <c r="BI26" s="1438"/>
      <c r="BJ26" s="1488"/>
      <c r="BK26" s="2054" t="s">
        <v>1342</v>
      </c>
      <c r="BL26" s="2054" t="s">
        <v>1343</v>
      </c>
    </row>
    <row r="27" spans="1:64">
      <c r="A27" s="2039"/>
      <c r="B27" s="1437" t="s">
        <v>1231</v>
      </c>
      <c r="C27" s="1438" t="s">
        <v>1424</v>
      </c>
      <c r="D27" s="1437" t="s">
        <v>1425</v>
      </c>
      <c r="E27" s="320" t="s">
        <v>592</v>
      </c>
      <c r="F27" s="320" t="s">
        <v>796</v>
      </c>
      <c r="G27" s="320" t="s">
        <v>563</v>
      </c>
      <c r="H27" s="320" t="s">
        <v>515</v>
      </c>
      <c r="I27" s="320" t="s">
        <v>574</v>
      </c>
      <c r="J27" s="1444" t="s">
        <v>574</v>
      </c>
      <c r="K27" s="186"/>
      <c r="L27" s="2025" t="s">
        <v>1077</v>
      </c>
      <c r="M27" s="1438" t="s">
        <v>1424</v>
      </c>
      <c r="N27" s="1454"/>
      <c r="O27" s="1481">
        <v>0.3</v>
      </c>
      <c r="P27" s="1487">
        <v>0</v>
      </c>
      <c r="Q27" s="1483">
        <v>0.05</v>
      </c>
      <c r="R27" s="1438">
        <v>7</v>
      </c>
      <c r="S27" s="1438"/>
      <c r="T27" s="1438">
        <v>100</v>
      </c>
      <c r="U27" s="1438" t="s">
        <v>1378</v>
      </c>
      <c r="V27" s="1438" t="s">
        <v>1379</v>
      </c>
      <c r="W27" s="1483" t="s">
        <v>1410</v>
      </c>
      <c r="X27" s="1438" t="s">
        <v>1426</v>
      </c>
      <c r="Y27" s="1438" t="s">
        <v>1427</v>
      </c>
      <c r="Z27" s="1438" t="s">
        <v>1428</v>
      </c>
      <c r="AA27" s="1438" t="s">
        <v>1384</v>
      </c>
      <c r="AB27" s="1438" t="s">
        <v>1384</v>
      </c>
      <c r="AC27" s="1438" t="s">
        <v>1383</v>
      </c>
      <c r="AD27" s="1438" t="s">
        <v>1384</v>
      </c>
      <c r="AE27" s="1438" t="s">
        <v>1384</v>
      </c>
      <c r="AF27" s="1438" t="s">
        <v>1383</v>
      </c>
      <c r="AG27" s="1438"/>
      <c r="AH27" s="1438" t="s">
        <v>1386</v>
      </c>
      <c r="AI27" s="1438" t="s">
        <v>1387</v>
      </c>
      <c r="AJ27" s="1438"/>
      <c r="AK27" s="1438"/>
      <c r="AL27" s="1438"/>
      <c r="AM27" s="1438"/>
      <c r="AN27" s="1438"/>
      <c r="AO27" s="1438"/>
      <c r="AP27" s="1438"/>
      <c r="AQ27" s="1438"/>
      <c r="AR27" s="1438"/>
      <c r="AS27" s="1438"/>
      <c r="AT27" s="1438"/>
      <c r="AU27" s="1438"/>
      <c r="AV27" s="1483">
        <v>0.2</v>
      </c>
      <c r="AW27" s="1483">
        <v>0.2</v>
      </c>
      <c r="AX27" s="1438"/>
      <c r="AY27" s="2051"/>
      <c r="AZ27" s="2051"/>
      <c r="BA27" s="2051"/>
      <c r="BB27" s="2051"/>
      <c r="BC27" s="2051" t="s">
        <v>1348</v>
      </c>
      <c r="BD27" s="2051"/>
      <c r="BE27" s="2051"/>
      <c r="BF27" s="2051"/>
      <c r="BG27" s="2051"/>
      <c r="BH27" s="1438" t="s">
        <v>1349</v>
      </c>
      <c r="BI27" s="1438"/>
      <c r="BJ27" s="1488"/>
      <c r="BK27" s="2054" t="s">
        <v>1342</v>
      </c>
      <c r="BL27" s="2054" t="s">
        <v>1343</v>
      </c>
    </row>
    <row r="28" spans="1:64" s="11" customFormat="1" ht="15" thickBot="1">
      <c r="A28" s="2040"/>
      <c r="B28" s="1440" t="s">
        <v>1231</v>
      </c>
      <c r="C28" s="1441"/>
      <c r="D28" s="1440" t="s">
        <v>1429</v>
      </c>
      <c r="E28" s="1440"/>
      <c r="F28" s="1440"/>
      <c r="G28" s="1440"/>
      <c r="H28" s="1440"/>
      <c r="I28" s="1440"/>
      <c r="J28" s="1442"/>
      <c r="K28" s="186"/>
      <c r="L28" s="2027" t="s">
        <v>1077</v>
      </c>
      <c r="M28" s="1443" t="s">
        <v>1077</v>
      </c>
      <c r="N28" s="1455"/>
      <c r="O28" s="1482">
        <v>0.3</v>
      </c>
      <c r="P28" s="1489">
        <v>0</v>
      </c>
      <c r="Q28" s="1490">
        <v>0.05</v>
      </c>
      <c r="R28" s="1441">
        <v>7</v>
      </c>
      <c r="S28" s="1441"/>
      <c r="T28" s="1441">
        <v>100</v>
      </c>
      <c r="U28" s="1441" t="s">
        <v>1378</v>
      </c>
      <c r="V28" s="1441"/>
      <c r="W28" s="1441"/>
      <c r="X28" s="1441"/>
      <c r="Y28" s="1441"/>
      <c r="Z28" s="1441"/>
      <c r="AA28" s="1441"/>
      <c r="AB28" s="1441"/>
      <c r="AC28" s="1441"/>
      <c r="AD28" s="1441"/>
      <c r="AE28" s="1441"/>
      <c r="AF28" s="1441"/>
      <c r="AG28" s="1441"/>
      <c r="AH28" s="1441"/>
      <c r="AI28" s="1441"/>
      <c r="AJ28" s="1441"/>
      <c r="AK28" s="1441"/>
      <c r="AL28" s="1441"/>
      <c r="AM28" s="1441"/>
      <c r="AN28" s="1441"/>
      <c r="AO28" s="1441"/>
      <c r="AP28" s="1441"/>
      <c r="AQ28" s="1441"/>
      <c r="AR28" s="1441"/>
      <c r="AS28" s="1441"/>
      <c r="AT28" s="1441"/>
      <c r="AU28" s="1441"/>
      <c r="AV28" s="1490">
        <v>0.2</v>
      </c>
      <c r="AW28" s="1490">
        <v>0.2</v>
      </c>
      <c r="AX28" s="1441"/>
      <c r="AY28" s="2052"/>
      <c r="AZ28" s="2052"/>
      <c r="BA28" s="2052"/>
      <c r="BB28" s="2052"/>
      <c r="BC28" s="2052" t="s">
        <v>1348</v>
      </c>
      <c r="BD28" s="2052"/>
      <c r="BE28" s="2052"/>
      <c r="BF28" s="2052"/>
      <c r="BG28" s="2052"/>
      <c r="BH28" s="1441" t="s">
        <v>1349</v>
      </c>
      <c r="BI28" s="1441"/>
      <c r="BJ28" s="1491"/>
      <c r="BK28" s="2055" t="s">
        <v>1342</v>
      </c>
      <c r="BL28" s="2055" t="s">
        <v>1343</v>
      </c>
    </row>
    <row r="29" spans="1:64" ht="18.600000000000001" thickBot="1">
      <c r="A29" s="2033" t="s">
        <v>1234</v>
      </c>
      <c r="B29" s="2034"/>
      <c r="C29" s="2032"/>
      <c r="D29" s="2032"/>
      <c r="E29" s="2032"/>
      <c r="F29" s="2032"/>
      <c r="G29" s="2032"/>
      <c r="H29" s="2032"/>
      <c r="I29" s="2032"/>
      <c r="J29" s="2032"/>
      <c r="L29" s="1446"/>
      <c r="M29" s="65"/>
      <c r="N29" s="1451"/>
      <c r="O29" s="1452"/>
      <c r="P29" s="1"/>
      <c r="Q29" s="1"/>
      <c r="AV29" s="1"/>
      <c r="AW29" s="1"/>
      <c r="BK29" t="s">
        <v>1342</v>
      </c>
      <c r="BL29" t="s">
        <v>1343</v>
      </c>
    </row>
    <row r="30" spans="1:64">
      <c r="A30" s="1538" t="s">
        <v>1234</v>
      </c>
      <c r="B30" s="78" t="s">
        <v>1234</v>
      </c>
      <c r="C30" s="22" t="s">
        <v>1430</v>
      </c>
      <c r="D30" s="1523" t="s">
        <v>1431</v>
      </c>
      <c r="E30" s="1523" t="s">
        <v>497</v>
      </c>
      <c r="F30" s="1523" t="s">
        <v>515</v>
      </c>
      <c r="G30" s="1523" t="s">
        <v>497</v>
      </c>
      <c r="H30" s="1523" t="s">
        <v>515</v>
      </c>
      <c r="I30" s="1523" t="s">
        <v>574</v>
      </c>
      <c r="J30" s="79" t="s">
        <v>574</v>
      </c>
      <c r="L30" s="2021" t="s">
        <v>1234</v>
      </c>
      <c r="M30" s="20" t="s">
        <v>1430</v>
      </c>
      <c r="N30" s="255">
        <v>0.1</v>
      </c>
      <c r="O30" s="1469">
        <v>0.2</v>
      </c>
      <c r="P30" s="1472">
        <v>0.2</v>
      </c>
      <c r="Q30" s="1467">
        <v>1.4999999999999999E-2</v>
      </c>
      <c r="R30" s="22">
        <v>7</v>
      </c>
      <c r="S30" s="22"/>
      <c r="T30" s="22">
        <v>500</v>
      </c>
      <c r="U30" s="22" t="s">
        <v>1403</v>
      </c>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1467">
        <v>0.5</v>
      </c>
      <c r="AW30" s="1467">
        <v>0.2</v>
      </c>
      <c r="AX30" s="22"/>
      <c r="AY30" s="2047"/>
      <c r="AZ30" s="2047"/>
      <c r="BA30" s="2047"/>
      <c r="BB30" s="2047"/>
      <c r="BC30" s="2047"/>
      <c r="BD30" s="2047"/>
      <c r="BE30" s="2047"/>
      <c r="BF30" s="2047"/>
      <c r="BG30" s="2047"/>
      <c r="BH30" s="22" t="s">
        <v>1349</v>
      </c>
      <c r="BI30" s="22"/>
      <c r="BJ30" s="23"/>
      <c r="BK30" t="s">
        <v>1342</v>
      </c>
      <c r="BL30" t="s">
        <v>1343</v>
      </c>
    </row>
    <row r="31" spans="1:64">
      <c r="A31" s="2022"/>
      <c r="B31" s="1054" t="s">
        <v>1234</v>
      </c>
      <c r="C31" s="27" t="s">
        <v>1432</v>
      </c>
      <c r="D31" s="70" t="s">
        <v>1433</v>
      </c>
      <c r="E31" s="70" t="s">
        <v>497</v>
      </c>
      <c r="F31" s="70" t="s">
        <v>497</v>
      </c>
      <c r="G31" s="70" t="s">
        <v>497</v>
      </c>
      <c r="H31" s="70" t="s">
        <v>497</v>
      </c>
      <c r="I31" s="70" t="s">
        <v>574</v>
      </c>
      <c r="J31" s="91" t="s">
        <v>574</v>
      </c>
      <c r="L31" s="1054" t="s">
        <v>1077</v>
      </c>
      <c r="M31" s="27" t="s">
        <v>1432</v>
      </c>
      <c r="N31" s="253">
        <v>0.2</v>
      </c>
      <c r="O31" s="1470">
        <v>0.3</v>
      </c>
      <c r="P31" s="1473">
        <v>0</v>
      </c>
      <c r="Q31" s="178">
        <v>1.4999999999999999E-2</v>
      </c>
      <c r="R31" s="27">
        <v>7</v>
      </c>
      <c r="S31" s="27"/>
      <c r="T31" s="27">
        <v>100</v>
      </c>
      <c r="U31" s="27" t="s">
        <v>1409</v>
      </c>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178">
        <v>0.35</v>
      </c>
      <c r="AW31" s="178">
        <v>0.2</v>
      </c>
      <c r="AX31" s="27"/>
      <c r="AY31" s="2048"/>
      <c r="AZ31" s="2048"/>
      <c r="BA31" s="2048"/>
      <c r="BB31" s="2048"/>
      <c r="BC31" s="2048"/>
      <c r="BD31" s="2048"/>
      <c r="BE31" s="2048"/>
      <c r="BF31" s="2048"/>
      <c r="BG31" s="2048"/>
      <c r="BH31" s="27" t="s">
        <v>1349</v>
      </c>
      <c r="BI31" s="27"/>
      <c r="BJ31" s="28"/>
      <c r="BK31" t="s">
        <v>1342</v>
      </c>
      <c r="BL31" t="s">
        <v>1343</v>
      </c>
    </row>
    <row r="32" spans="1:64" ht="15" thickBot="1">
      <c r="A32" s="1539"/>
      <c r="B32" s="1055" t="s">
        <v>1234</v>
      </c>
      <c r="C32" s="39"/>
      <c r="D32" s="95" t="s">
        <v>1434</v>
      </c>
      <c r="E32" s="95"/>
      <c r="F32" s="95"/>
      <c r="G32" s="95"/>
      <c r="H32" s="95"/>
      <c r="I32" s="95"/>
      <c r="J32" s="93"/>
      <c r="L32" s="2023" t="s">
        <v>1077</v>
      </c>
      <c r="M32" s="34" t="s">
        <v>1077</v>
      </c>
      <c r="N32" s="298"/>
      <c r="O32" s="97"/>
      <c r="P32" s="1474">
        <v>0</v>
      </c>
      <c r="Q32" s="39"/>
      <c r="R32" s="39">
        <v>7</v>
      </c>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1468">
        <v>0.2</v>
      </c>
      <c r="AX32" s="39"/>
      <c r="AY32" s="2049"/>
      <c r="AZ32" s="2049"/>
      <c r="BA32" s="2049"/>
      <c r="BB32" s="2049"/>
      <c r="BC32" s="2049"/>
      <c r="BD32" s="2049"/>
      <c r="BE32" s="2049"/>
      <c r="BF32" s="2049"/>
      <c r="BG32" s="2049"/>
      <c r="BH32" s="39" t="s">
        <v>1349</v>
      </c>
      <c r="BI32" s="39"/>
      <c r="BJ32" s="43"/>
      <c r="BK32" t="s">
        <v>1342</v>
      </c>
      <c r="BL32" t="s">
        <v>1343</v>
      </c>
    </row>
    <row r="33" spans="1:64" ht="18.600000000000001" thickBot="1">
      <c r="A33" s="2033" t="s">
        <v>1091</v>
      </c>
      <c r="B33" s="2034"/>
      <c r="C33" s="2032"/>
      <c r="D33" s="2032"/>
      <c r="E33" s="2032"/>
      <c r="F33" s="2032"/>
      <c r="G33" s="2032"/>
      <c r="H33" s="2032"/>
      <c r="I33" s="2032"/>
      <c r="J33" s="2032"/>
      <c r="L33" s="1446"/>
      <c r="M33" s="65"/>
      <c r="N33" s="1451"/>
      <c r="O33" s="1452"/>
      <c r="P33" s="1"/>
      <c r="Q33" s="1"/>
      <c r="AV33" s="1"/>
      <c r="AW33" s="1"/>
      <c r="BK33" t="s">
        <v>1342</v>
      </c>
      <c r="BL33" t="s">
        <v>1343</v>
      </c>
    </row>
    <row r="34" spans="1:64">
      <c r="A34" s="1538" t="s">
        <v>1091</v>
      </c>
      <c r="B34" s="78" t="s">
        <v>1228</v>
      </c>
      <c r="C34" s="22" t="s">
        <v>1228</v>
      </c>
      <c r="D34" s="1523" t="s">
        <v>1435</v>
      </c>
      <c r="E34" s="1523" t="s">
        <v>388</v>
      </c>
      <c r="F34" s="1523" t="s">
        <v>388</v>
      </c>
      <c r="G34" s="1523" t="s">
        <v>546</v>
      </c>
      <c r="H34" s="1523" t="s">
        <v>515</v>
      </c>
      <c r="I34" s="1523" t="s">
        <v>574</v>
      </c>
      <c r="J34" s="79" t="s">
        <v>574</v>
      </c>
      <c r="L34" s="2021" t="s">
        <v>1091</v>
      </c>
      <c r="M34" s="20" t="s">
        <v>1228</v>
      </c>
      <c r="N34" s="255">
        <v>0.1</v>
      </c>
      <c r="O34" s="1469">
        <v>0.2</v>
      </c>
      <c r="P34" s="1472">
        <v>0.1</v>
      </c>
      <c r="Q34" s="1492">
        <v>1.4999999999999999E-2</v>
      </c>
      <c r="R34" s="22">
        <v>7</v>
      </c>
      <c r="S34" s="22"/>
      <c r="T34" s="22">
        <v>1000</v>
      </c>
      <c r="U34" s="22" t="s">
        <v>1436</v>
      </c>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1467">
        <v>0.56999999999999995</v>
      </c>
      <c r="AW34" s="1467">
        <v>0.2</v>
      </c>
      <c r="AX34" s="22"/>
      <c r="AY34" s="2047">
        <v>1000</v>
      </c>
      <c r="AZ34" s="2047">
        <v>0</v>
      </c>
      <c r="BA34" s="2047">
        <v>250</v>
      </c>
      <c r="BB34" s="2047">
        <v>165</v>
      </c>
      <c r="BC34" s="2047" t="s">
        <v>1348</v>
      </c>
      <c r="BD34" s="2047">
        <v>2000</v>
      </c>
      <c r="BE34" s="2047">
        <v>200</v>
      </c>
      <c r="BF34" s="2047">
        <v>500</v>
      </c>
      <c r="BG34" s="2047">
        <v>330</v>
      </c>
      <c r="BH34" s="22" t="s">
        <v>1349</v>
      </c>
      <c r="BI34" s="22"/>
      <c r="BJ34" s="23"/>
      <c r="BK34" t="s">
        <v>1342</v>
      </c>
      <c r="BL34" t="s">
        <v>1343</v>
      </c>
    </row>
    <row r="35" spans="1:64">
      <c r="A35" s="2022"/>
      <c r="B35" s="1054" t="s">
        <v>1228</v>
      </c>
      <c r="C35" s="27" t="s">
        <v>1437</v>
      </c>
      <c r="D35" s="70" t="s">
        <v>1438</v>
      </c>
      <c r="E35" s="70" t="s">
        <v>388</v>
      </c>
      <c r="F35" s="70" t="s">
        <v>388</v>
      </c>
      <c r="G35" s="70" t="s">
        <v>546</v>
      </c>
      <c r="H35" s="70" t="s">
        <v>546</v>
      </c>
      <c r="I35" s="320" t="s">
        <v>546</v>
      </c>
      <c r="J35" s="1444" t="s">
        <v>546</v>
      </c>
      <c r="L35" s="1054" t="s">
        <v>1077</v>
      </c>
      <c r="M35" s="27" t="s">
        <v>1437</v>
      </c>
      <c r="N35" s="253">
        <v>0.1</v>
      </c>
      <c r="O35" s="1470">
        <v>0.2</v>
      </c>
      <c r="P35" s="1473">
        <v>0.1</v>
      </c>
      <c r="Q35" s="301">
        <v>1.4999999999999999E-2</v>
      </c>
      <c r="R35" s="27">
        <v>7</v>
      </c>
      <c r="S35" s="27"/>
      <c r="T35" s="27">
        <v>500</v>
      </c>
      <c r="U35" s="27" t="s">
        <v>1378</v>
      </c>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c r="AT35" s="27"/>
      <c r="AU35" s="27"/>
      <c r="AV35" s="178">
        <v>0.56999999999999995</v>
      </c>
      <c r="AW35" s="178">
        <v>0.2</v>
      </c>
      <c r="AX35" s="27"/>
      <c r="AY35" s="2048">
        <v>1000</v>
      </c>
      <c r="AZ35" s="2048">
        <v>0</v>
      </c>
      <c r="BA35" s="2048">
        <v>250</v>
      </c>
      <c r="BB35" s="2048">
        <v>165</v>
      </c>
      <c r="BC35" s="2048" t="s">
        <v>1348</v>
      </c>
      <c r="BD35" s="2048">
        <v>2000</v>
      </c>
      <c r="BE35" s="2048">
        <v>200</v>
      </c>
      <c r="BF35" s="2048">
        <v>500</v>
      </c>
      <c r="BG35" s="2048">
        <v>330</v>
      </c>
      <c r="BH35" s="27" t="s">
        <v>1349</v>
      </c>
      <c r="BI35" s="27"/>
      <c r="BJ35" s="28"/>
      <c r="BK35" t="s">
        <v>1342</v>
      </c>
      <c r="BL35" t="s">
        <v>1343</v>
      </c>
    </row>
    <row r="36" spans="1:64">
      <c r="A36" s="2022"/>
      <c r="B36" s="1054" t="s">
        <v>1228</v>
      </c>
      <c r="C36" s="27" t="s">
        <v>1439</v>
      </c>
      <c r="D36" s="70" t="s">
        <v>1440</v>
      </c>
      <c r="E36" s="70" t="s">
        <v>388</v>
      </c>
      <c r="F36" s="70" t="s">
        <v>388</v>
      </c>
      <c r="G36" s="70" t="s">
        <v>546</v>
      </c>
      <c r="H36" s="70" t="s">
        <v>546</v>
      </c>
      <c r="I36" s="70" t="s">
        <v>574</v>
      </c>
      <c r="J36" s="91" t="s">
        <v>574</v>
      </c>
      <c r="L36" s="1054" t="s">
        <v>1077</v>
      </c>
      <c r="M36" s="27" t="s">
        <v>1439</v>
      </c>
      <c r="N36" s="253">
        <v>0.1</v>
      </c>
      <c r="O36" s="1470">
        <v>0.25</v>
      </c>
      <c r="P36" s="1473">
        <v>0.1</v>
      </c>
      <c r="Q36" s="301">
        <v>1.4999999999999999E-2</v>
      </c>
      <c r="R36" s="27">
        <v>7</v>
      </c>
      <c r="S36" s="27"/>
      <c r="T36" s="27">
        <v>1000</v>
      </c>
      <c r="U36" s="27" t="s">
        <v>1436</v>
      </c>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c r="AT36" s="27"/>
      <c r="AU36" s="27"/>
      <c r="AV36" s="178">
        <v>0.56999999999999995</v>
      </c>
      <c r="AW36" s="178">
        <v>0.2</v>
      </c>
      <c r="AX36" s="27"/>
      <c r="AY36" s="2048">
        <v>1000</v>
      </c>
      <c r="AZ36" s="2048">
        <v>0</v>
      </c>
      <c r="BA36" s="2048">
        <v>250</v>
      </c>
      <c r="BB36" s="2048">
        <v>165</v>
      </c>
      <c r="BC36" s="2048" t="s">
        <v>1348</v>
      </c>
      <c r="BD36" s="2048">
        <v>2000</v>
      </c>
      <c r="BE36" s="2048">
        <v>200</v>
      </c>
      <c r="BF36" s="2048">
        <v>500</v>
      </c>
      <c r="BG36" s="2048">
        <v>330</v>
      </c>
      <c r="BH36" s="27" t="s">
        <v>1349</v>
      </c>
      <c r="BI36" s="27"/>
      <c r="BJ36" s="28"/>
      <c r="BK36" t="s">
        <v>1342</v>
      </c>
      <c r="BL36" t="s">
        <v>1343</v>
      </c>
    </row>
    <row r="37" spans="1:64">
      <c r="A37" s="2022"/>
      <c r="B37" s="1054" t="s">
        <v>1228</v>
      </c>
      <c r="C37" s="27" t="s">
        <v>1441</v>
      </c>
      <c r="D37" s="70" t="s">
        <v>1442</v>
      </c>
      <c r="E37" s="70" t="s">
        <v>574</v>
      </c>
      <c r="F37" s="70" t="s">
        <v>574</v>
      </c>
      <c r="G37" s="70" t="s">
        <v>546</v>
      </c>
      <c r="H37" s="70" t="s">
        <v>574</v>
      </c>
      <c r="I37" s="70" t="s">
        <v>574</v>
      </c>
      <c r="J37" s="91" t="s">
        <v>574</v>
      </c>
      <c r="L37" s="2023"/>
      <c r="M37" s="34" t="s">
        <v>1441</v>
      </c>
      <c r="N37" s="298">
        <v>0.1</v>
      </c>
      <c r="O37" s="1471">
        <v>0.2</v>
      </c>
      <c r="P37" s="1473">
        <v>0.1</v>
      </c>
      <c r="Q37" s="301">
        <v>1.4999999999999999E-2</v>
      </c>
      <c r="R37" s="27">
        <v>7</v>
      </c>
      <c r="S37" s="27"/>
      <c r="T37" s="27">
        <v>300</v>
      </c>
      <c r="U37" s="27" t="s">
        <v>1409</v>
      </c>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178">
        <v>0.56999999999999995</v>
      </c>
      <c r="AW37" s="178">
        <v>0.2</v>
      </c>
      <c r="AX37" s="34"/>
      <c r="AY37" s="2053">
        <v>1000</v>
      </c>
      <c r="AZ37" s="2053">
        <v>0</v>
      </c>
      <c r="BA37" s="2053">
        <v>250</v>
      </c>
      <c r="BB37" s="2053">
        <v>165</v>
      </c>
      <c r="BC37" s="2053" t="s">
        <v>1348</v>
      </c>
      <c r="BD37" s="2053">
        <v>2000</v>
      </c>
      <c r="BE37" s="2053">
        <v>200</v>
      </c>
      <c r="BF37" s="2053">
        <v>500</v>
      </c>
      <c r="BG37" s="2053">
        <v>330</v>
      </c>
      <c r="BH37" s="34" t="s">
        <v>1349</v>
      </c>
      <c r="BI37" s="34"/>
      <c r="BJ37" s="35"/>
      <c r="BK37" t="s">
        <v>1342</v>
      </c>
      <c r="BL37" t="s">
        <v>1343</v>
      </c>
    </row>
    <row r="38" spans="1:64" ht="15" thickBot="1">
      <c r="A38" s="1539"/>
      <c r="B38" s="1055" t="s">
        <v>1228</v>
      </c>
      <c r="C38" s="39" t="s">
        <v>1443</v>
      </c>
      <c r="D38" s="95" t="s">
        <v>1444</v>
      </c>
      <c r="E38" s="1762" t="s">
        <v>384</v>
      </c>
      <c r="F38" s="1762" t="s">
        <v>384</v>
      </c>
      <c r="G38" s="1763" t="s">
        <v>546</v>
      </c>
      <c r="H38" s="1445" t="s">
        <v>574</v>
      </c>
      <c r="I38" s="1445" t="s">
        <v>574</v>
      </c>
      <c r="J38" s="1130" t="s">
        <v>574</v>
      </c>
      <c r="L38" s="2023" t="s">
        <v>1077</v>
      </c>
      <c r="M38" s="34" t="s">
        <v>1443</v>
      </c>
      <c r="N38" s="298">
        <v>0.1</v>
      </c>
      <c r="O38" s="1471">
        <v>0.2</v>
      </c>
      <c r="P38" s="1474">
        <v>0.1</v>
      </c>
      <c r="Q38" s="1493">
        <v>1.4999999999999999E-2</v>
      </c>
      <c r="R38" s="39">
        <v>7</v>
      </c>
      <c r="S38" s="39"/>
      <c r="T38" s="39">
        <v>300</v>
      </c>
      <c r="U38" s="39" t="s">
        <v>1409</v>
      </c>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1468">
        <v>0.56999999999999995</v>
      </c>
      <c r="AW38" s="1468">
        <v>0.2</v>
      </c>
      <c r="AX38" s="39"/>
      <c r="AY38" s="2049">
        <v>1000</v>
      </c>
      <c r="AZ38" s="2049">
        <v>0</v>
      </c>
      <c r="BA38" s="2049">
        <v>250</v>
      </c>
      <c r="BB38" s="2049">
        <v>165</v>
      </c>
      <c r="BC38" s="2049" t="s">
        <v>1348</v>
      </c>
      <c r="BD38" s="2049">
        <v>2000</v>
      </c>
      <c r="BE38" s="2049">
        <v>200</v>
      </c>
      <c r="BF38" s="2049">
        <v>500</v>
      </c>
      <c r="BG38" s="2049">
        <v>330</v>
      </c>
      <c r="BH38" s="39" t="s">
        <v>1349</v>
      </c>
      <c r="BI38" s="39"/>
      <c r="BJ38" s="43"/>
      <c r="BK38" t="s">
        <v>1342</v>
      </c>
      <c r="BL38" t="s">
        <v>1343</v>
      </c>
    </row>
    <row r="39" spans="1:64" ht="18.600000000000001" thickBot="1">
      <c r="A39" s="2035" t="s">
        <v>1237</v>
      </c>
      <c r="B39" s="2034"/>
      <c r="C39" s="2032"/>
      <c r="D39" s="2032"/>
      <c r="E39" s="2032"/>
      <c r="F39" s="2032"/>
      <c r="G39" s="2032"/>
      <c r="H39" s="2032"/>
      <c r="I39" s="2032"/>
      <c r="J39" s="2032"/>
      <c r="L39" s="1446"/>
      <c r="M39" s="65"/>
      <c r="N39" s="1451"/>
      <c r="O39" s="1452"/>
      <c r="P39" s="1"/>
      <c r="Q39" s="1"/>
      <c r="AV39" s="1"/>
      <c r="AW39" s="1"/>
      <c r="BK39" t="s">
        <v>1342</v>
      </c>
      <c r="BL39" t="s">
        <v>1343</v>
      </c>
    </row>
    <row r="40" spans="1:64">
      <c r="A40" s="1538" t="s">
        <v>1237</v>
      </c>
      <c r="B40" s="1764" t="s">
        <v>1237</v>
      </c>
      <c r="C40" s="1765" t="s">
        <v>1445</v>
      </c>
      <c r="D40" s="1766"/>
      <c r="E40" s="1767" t="s">
        <v>592</v>
      </c>
      <c r="F40" s="1768" t="s">
        <v>592</v>
      </c>
      <c r="G40" s="1768" t="s">
        <v>592</v>
      </c>
      <c r="H40" s="1768" t="s">
        <v>592</v>
      </c>
      <c r="I40" s="1768" t="s">
        <v>592</v>
      </c>
      <c r="J40" s="1766" t="s">
        <v>592</v>
      </c>
      <c r="L40" s="2024" t="s">
        <v>1237</v>
      </c>
      <c r="M40" s="20" t="s">
        <v>1445</v>
      </c>
      <c r="N40" s="255">
        <v>0.15</v>
      </c>
      <c r="O40" s="1469">
        <v>0.3</v>
      </c>
      <c r="P40" s="1472">
        <v>0</v>
      </c>
      <c r="Q40" s="1467">
        <v>0.04</v>
      </c>
      <c r="R40" s="22">
        <v>7</v>
      </c>
      <c r="S40" s="22"/>
      <c r="T40" s="22">
        <v>100</v>
      </c>
      <c r="U40" s="22" t="s">
        <v>1347</v>
      </c>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1467">
        <v>0.2</v>
      </c>
      <c r="AW40" s="1467">
        <v>0.2</v>
      </c>
      <c r="AX40" s="22"/>
      <c r="AY40" s="2047"/>
      <c r="AZ40" s="2047"/>
      <c r="BA40" s="2047"/>
      <c r="BB40" s="2047"/>
      <c r="BC40" s="2047" t="s">
        <v>1348</v>
      </c>
      <c r="BD40" s="2047"/>
      <c r="BE40" s="2047"/>
      <c r="BF40" s="2047"/>
      <c r="BG40" s="2047"/>
      <c r="BH40" s="22" t="s">
        <v>1349</v>
      </c>
      <c r="BI40" s="22"/>
      <c r="BJ40" s="23"/>
      <c r="BK40" t="s">
        <v>1342</v>
      </c>
      <c r="BL40" t="s">
        <v>1343</v>
      </c>
    </row>
    <row r="41" spans="1:64">
      <c r="A41" s="2022"/>
      <c r="B41" s="1054" t="s">
        <v>1237</v>
      </c>
      <c r="C41" s="1769" t="s">
        <v>1446</v>
      </c>
      <c r="D41" s="91" t="s">
        <v>1447</v>
      </c>
      <c r="E41" s="70" t="s">
        <v>497</v>
      </c>
      <c r="F41" s="70" t="s">
        <v>497</v>
      </c>
      <c r="G41" s="70" t="s">
        <v>497</v>
      </c>
      <c r="H41" s="70" t="s">
        <v>497</v>
      </c>
      <c r="I41" s="70" t="s">
        <v>497</v>
      </c>
      <c r="J41" s="91" t="s">
        <v>497</v>
      </c>
      <c r="L41" s="2024"/>
      <c r="M41" s="27" t="s">
        <v>1446</v>
      </c>
      <c r="N41" s="253">
        <v>0.15</v>
      </c>
      <c r="O41" s="1470">
        <v>0.3</v>
      </c>
      <c r="P41" s="1473">
        <v>0</v>
      </c>
      <c r="Q41" s="178">
        <v>0.04</v>
      </c>
      <c r="R41" s="27">
        <v>7</v>
      </c>
      <c r="S41" s="27"/>
      <c r="T41" s="27">
        <v>100</v>
      </c>
      <c r="U41" s="27" t="s">
        <v>1409</v>
      </c>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178">
        <v>0.2</v>
      </c>
      <c r="AW41" s="178">
        <v>0.2</v>
      </c>
      <c r="AX41" s="27"/>
      <c r="AY41" s="2048"/>
      <c r="AZ41" s="2048"/>
      <c r="BA41" s="2048"/>
      <c r="BB41" s="2048"/>
      <c r="BC41" s="2048" t="s">
        <v>1348</v>
      </c>
      <c r="BD41" s="2048"/>
      <c r="BE41" s="2048"/>
      <c r="BF41" s="2048"/>
      <c r="BG41" s="2048"/>
      <c r="BH41" s="27" t="s">
        <v>1349</v>
      </c>
      <c r="BI41" s="27"/>
      <c r="BJ41" s="28"/>
      <c r="BK41" t="s">
        <v>1342</v>
      </c>
      <c r="BL41" t="s">
        <v>1343</v>
      </c>
    </row>
    <row r="42" spans="1:64">
      <c r="A42" s="2022"/>
      <c r="B42" s="1054" t="s">
        <v>1237</v>
      </c>
      <c r="C42" s="27" t="s">
        <v>1448</v>
      </c>
      <c r="D42" s="91" t="s">
        <v>1449</v>
      </c>
      <c r="E42" s="1770" t="s">
        <v>384</v>
      </c>
      <c r="F42" s="320" t="s">
        <v>384</v>
      </c>
      <c r="G42" s="1771" t="s">
        <v>546</v>
      </c>
      <c r="H42" s="1771" t="s">
        <v>546</v>
      </c>
      <c r="I42" s="70" t="s">
        <v>574</v>
      </c>
      <c r="J42" s="91" t="s">
        <v>574</v>
      </c>
      <c r="L42" s="2024"/>
      <c r="M42" s="27" t="s">
        <v>1448</v>
      </c>
      <c r="N42" s="253">
        <v>0.15</v>
      </c>
      <c r="O42" s="1470">
        <v>0.3</v>
      </c>
      <c r="P42" s="1473">
        <v>0</v>
      </c>
      <c r="Q42" s="178">
        <v>0.04</v>
      </c>
      <c r="R42" s="27">
        <v>7</v>
      </c>
      <c r="S42" s="27"/>
      <c r="T42" s="27">
        <v>100</v>
      </c>
      <c r="U42" s="27" t="s">
        <v>1409</v>
      </c>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c r="AT42" s="27"/>
      <c r="AU42" s="27"/>
      <c r="AV42" s="178">
        <v>0.2</v>
      </c>
      <c r="AW42" s="178">
        <v>0.2</v>
      </c>
      <c r="AX42" s="27"/>
      <c r="AY42" s="2048"/>
      <c r="AZ42" s="2048"/>
      <c r="BA42" s="2048"/>
      <c r="BB42" s="2048"/>
      <c r="BC42" s="2048" t="s">
        <v>1348</v>
      </c>
      <c r="BD42" s="2048"/>
      <c r="BE42" s="2048"/>
      <c r="BF42" s="2048"/>
      <c r="BG42" s="2048"/>
      <c r="BH42" s="27" t="s">
        <v>1349</v>
      </c>
      <c r="BI42" s="27"/>
      <c r="BJ42" s="28"/>
      <c r="BK42" t="s">
        <v>1342</v>
      </c>
      <c r="BL42" t="s">
        <v>1343</v>
      </c>
    </row>
    <row r="43" spans="1:64">
      <c r="A43" s="2022"/>
      <c r="B43" s="1054" t="s">
        <v>1237</v>
      </c>
      <c r="C43" s="27" t="s">
        <v>1450</v>
      </c>
      <c r="D43" s="91" t="s">
        <v>1451</v>
      </c>
      <c r="E43" s="1770" t="s">
        <v>384</v>
      </c>
      <c r="F43" s="320" t="s">
        <v>384</v>
      </c>
      <c r="G43" s="1771" t="s">
        <v>546</v>
      </c>
      <c r="H43" s="1771" t="s">
        <v>546</v>
      </c>
      <c r="I43" s="70" t="s">
        <v>574</v>
      </c>
      <c r="J43" s="91" t="s">
        <v>574</v>
      </c>
      <c r="L43" s="2024"/>
      <c r="M43" s="27" t="s">
        <v>1450</v>
      </c>
      <c r="N43" s="253">
        <v>0.15</v>
      </c>
      <c r="O43" s="1470">
        <v>0.3</v>
      </c>
      <c r="P43" s="1473">
        <v>0</v>
      </c>
      <c r="Q43" s="178">
        <v>0.04</v>
      </c>
      <c r="R43" s="27">
        <v>7</v>
      </c>
      <c r="S43" s="27"/>
      <c r="T43" s="27">
        <v>100</v>
      </c>
      <c r="U43" s="27" t="s">
        <v>1347</v>
      </c>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c r="AT43" s="27"/>
      <c r="AU43" s="27"/>
      <c r="AV43" s="178">
        <v>0.2</v>
      </c>
      <c r="AW43" s="178">
        <v>0.2</v>
      </c>
      <c r="AX43" s="27"/>
      <c r="AY43" s="2048"/>
      <c r="AZ43" s="2048"/>
      <c r="BA43" s="2048"/>
      <c r="BB43" s="2048"/>
      <c r="BC43" s="2048" t="s">
        <v>1348</v>
      </c>
      <c r="BD43" s="2048"/>
      <c r="BE43" s="2048"/>
      <c r="BF43" s="2048"/>
      <c r="BG43" s="2048"/>
      <c r="BH43" s="27" t="s">
        <v>1349</v>
      </c>
      <c r="BI43" s="27"/>
      <c r="BJ43" s="28"/>
      <c r="BK43" t="s">
        <v>1342</v>
      </c>
      <c r="BL43" t="s">
        <v>1343</v>
      </c>
    </row>
    <row r="44" spans="1:64">
      <c r="A44" s="2022"/>
      <c r="B44" s="1054" t="s">
        <v>1237</v>
      </c>
      <c r="C44" s="27" t="s">
        <v>1452</v>
      </c>
      <c r="D44" s="91" t="s">
        <v>1453</v>
      </c>
      <c r="E44" s="1770" t="s">
        <v>384</v>
      </c>
      <c r="F44" s="320" t="s">
        <v>384</v>
      </c>
      <c r="G44" s="1771" t="s">
        <v>546</v>
      </c>
      <c r="H44" s="1771" t="s">
        <v>546</v>
      </c>
      <c r="I44" s="70" t="s">
        <v>574</v>
      </c>
      <c r="J44" s="91" t="s">
        <v>574</v>
      </c>
      <c r="L44" s="2024"/>
      <c r="M44" s="27" t="s">
        <v>1452</v>
      </c>
      <c r="N44" s="253">
        <v>0.15</v>
      </c>
      <c r="O44" s="1470">
        <v>0.3</v>
      </c>
      <c r="P44" s="1473">
        <v>0</v>
      </c>
      <c r="Q44" s="178">
        <v>0.04</v>
      </c>
      <c r="R44" s="27">
        <v>7</v>
      </c>
      <c r="S44" s="27"/>
      <c r="T44" s="27">
        <v>500</v>
      </c>
      <c r="U44" s="27" t="s">
        <v>1403</v>
      </c>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178">
        <v>0.2</v>
      </c>
      <c r="AW44" s="178">
        <v>0.2</v>
      </c>
      <c r="AX44" s="27"/>
      <c r="AY44" s="2048"/>
      <c r="AZ44" s="2048"/>
      <c r="BA44" s="2048"/>
      <c r="BB44" s="2048"/>
      <c r="BC44" s="2048" t="s">
        <v>1348</v>
      </c>
      <c r="BD44" s="2048"/>
      <c r="BE44" s="2048"/>
      <c r="BF44" s="2048"/>
      <c r="BG44" s="2048"/>
      <c r="BH44" s="27" t="s">
        <v>1349</v>
      </c>
      <c r="BI44" s="27"/>
      <c r="BJ44" s="28"/>
      <c r="BK44" t="s">
        <v>1342</v>
      </c>
      <c r="BL44" t="s">
        <v>1343</v>
      </c>
    </row>
    <row r="45" spans="1:64">
      <c r="A45" s="2022"/>
      <c r="B45" s="1054" t="s">
        <v>1237</v>
      </c>
      <c r="C45" s="34" t="s">
        <v>1454</v>
      </c>
      <c r="D45" s="1756" t="s">
        <v>1455</v>
      </c>
      <c r="E45" s="1759" t="s">
        <v>497</v>
      </c>
      <c r="F45" s="223" t="s">
        <v>497</v>
      </c>
      <c r="G45" s="223" t="s">
        <v>497</v>
      </c>
      <c r="H45" s="223" t="s">
        <v>497</v>
      </c>
      <c r="I45" s="223" t="s">
        <v>497</v>
      </c>
      <c r="J45" s="1756" t="s">
        <v>497</v>
      </c>
      <c r="L45" s="2024"/>
      <c r="M45" s="34" t="s">
        <v>1454</v>
      </c>
      <c r="N45" s="298">
        <v>0.15</v>
      </c>
      <c r="O45" s="1471">
        <v>0.3</v>
      </c>
      <c r="P45" s="1757">
        <v>0</v>
      </c>
      <c r="Q45" s="1758">
        <v>0.04</v>
      </c>
      <c r="R45" s="34">
        <v>7</v>
      </c>
      <c r="S45" s="34"/>
      <c r="T45" s="34">
        <v>500</v>
      </c>
      <c r="U45" s="34" t="s">
        <v>1403</v>
      </c>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1758">
        <v>0.2</v>
      </c>
      <c r="AW45" s="1758">
        <v>0.2</v>
      </c>
      <c r="AX45" s="34"/>
      <c r="AY45" s="2053"/>
      <c r="AZ45" s="2053"/>
      <c r="BA45" s="2053"/>
      <c r="BB45" s="2053"/>
      <c r="BC45" s="2053" t="s">
        <v>1348</v>
      </c>
      <c r="BD45" s="2053"/>
      <c r="BE45" s="2053"/>
      <c r="BF45" s="2053"/>
      <c r="BG45" s="2053"/>
      <c r="BH45" s="34" t="s">
        <v>1349</v>
      </c>
      <c r="BI45" s="34"/>
      <c r="BJ45" s="35"/>
      <c r="BK45" t="s">
        <v>1342</v>
      </c>
      <c r="BL45" t="s">
        <v>1343</v>
      </c>
    </row>
    <row r="46" spans="1:64" ht="15" thickBot="1">
      <c r="A46" s="1539"/>
      <c r="B46" s="1055" t="s">
        <v>1237</v>
      </c>
      <c r="C46" s="39" t="s">
        <v>1456</v>
      </c>
      <c r="D46" s="93" t="s">
        <v>1457</v>
      </c>
      <c r="E46" s="94" t="s">
        <v>497</v>
      </c>
      <c r="F46" s="95" t="s">
        <v>497</v>
      </c>
      <c r="G46" s="95" t="s">
        <v>497</v>
      </c>
      <c r="H46" s="95" t="s">
        <v>497</v>
      </c>
      <c r="I46" s="95" t="s">
        <v>497</v>
      </c>
      <c r="J46" s="93" t="s">
        <v>497</v>
      </c>
      <c r="L46" s="2024"/>
      <c r="M46" s="34" t="s">
        <v>1456</v>
      </c>
      <c r="N46" s="298">
        <v>0.15</v>
      </c>
      <c r="O46" s="1471">
        <v>0.3</v>
      </c>
      <c r="P46" s="1474">
        <v>0</v>
      </c>
      <c r="Q46" s="1468">
        <v>0.04</v>
      </c>
      <c r="R46" s="39">
        <v>7</v>
      </c>
      <c r="S46" s="39"/>
      <c r="T46" s="39">
        <v>100</v>
      </c>
      <c r="U46" s="39" t="s">
        <v>1347</v>
      </c>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1468">
        <v>0.2</v>
      </c>
      <c r="AW46" s="1468">
        <v>0.2</v>
      </c>
      <c r="AX46" s="39"/>
      <c r="AY46" s="2049"/>
      <c r="AZ46" s="2049"/>
      <c r="BA46" s="2049"/>
      <c r="BB46" s="2049"/>
      <c r="BC46" s="2049" t="s">
        <v>1348</v>
      </c>
      <c r="BD46" s="2049"/>
      <c r="BE46" s="2049"/>
      <c r="BF46" s="2049"/>
      <c r="BG46" s="2049"/>
      <c r="BH46" s="39" t="s">
        <v>1349</v>
      </c>
      <c r="BI46" s="39"/>
      <c r="BJ46" s="43"/>
      <c r="BK46" t="s">
        <v>1342</v>
      </c>
      <c r="BL46" t="s">
        <v>1343</v>
      </c>
    </row>
    <row r="47" spans="1:64" ht="18.600000000000001" thickBot="1">
      <c r="A47" s="2033" t="s">
        <v>1240</v>
      </c>
      <c r="B47" s="2034"/>
      <c r="C47" s="2032"/>
      <c r="D47" s="2032"/>
      <c r="E47" s="2032"/>
      <c r="F47" s="2032"/>
      <c r="G47" s="2032"/>
      <c r="H47" s="2032"/>
      <c r="I47" s="2032"/>
      <c r="J47" s="2032"/>
      <c r="L47" s="1446"/>
      <c r="M47" s="65"/>
      <c r="N47" s="1451"/>
      <c r="O47" s="1452"/>
      <c r="P47" s="1"/>
      <c r="Q47" s="1"/>
      <c r="AV47" s="1">
        <v>0.2</v>
      </c>
      <c r="AW47" s="1">
        <v>0.2</v>
      </c>
      <c r="BK47" t="s">
        <v>1342</v>
      </c>
      <c r="BL47" t="s">
        <v>1343</v>
      </c>
    </row>
    <row r="48" spans="1:64">
      <c r="A48" s="1538" t="s">
        <v>1240</v>
      </c>
      <c r="B48" s="78" t="s">
        <v>1240</v>
      </c>
      <c r="C48" s="22" t="s">
        <v>1458</v>
      </c>
      <c r="D48" s="79" t="s">
        <v>943</v>
      </c>
      <c r="E48" s="90" t="s">
        <v>384</v>
      </c>
      <c r="F48" s="1523" t="s">
        <v>384</v>
      </c>
      <c r="G48" s="1523" t="s">
        <v>945</v>
      </c>
      <c r="H48" s="1523" t="s">
        <v>515</v>
      </c>
      <c r="I48" s="1523" t="s">
        <v>574</v>
      </c>
      <c r="J48" s="79" t="s">
        <v>574</v>
      </c>
      <c r="L48" s="2021" t="s">
        <v>1240</v>
      </c>
      <c r="M48" s="20" t="s">
        <v>1458</v>
      </c>
      <c r="N48" s="255">
        <v>0.15</v>
      </c>
      <c r="O48" s="1469">
        <v>0.5</v>
      </c>
      <c r="P48" s="1472">
        <v>0.1</v>
      </c>
      <c r="Q48" s="1492">
        <v>1.2E-2</v>
      </c>
      <c r="R48" s="22">
        <v>7</v>
      </c>
      <c r="S48" s="22"/>
      <c r="T48" s="22">
        <v>100</v>
      </c>
      <c r="U48" s="22" t="s">
        <v>1409</v>
      </c>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1467">
        <v>0.4</v>
      </c>
      <c r="AW48" s="1467">
        <v>0.2</v>
      </c>
      <c r="AX48" s="22"/>
      <c r="AY48" s="2047"/>
      <c r="AZ48" s="2047"/>
      <c r="BA48" s="2047"/>
      <c r="BB48" s="2047"/>
      <c r="BC48" s="2047" t="s">
        <v>1348</v>
      </c>
      <c r="BD48" s="2047"/>
      <c r="BE48" s="2047"/>
      <c r="BF48" s="2047"/>
      <c r="BG48" s="2047"/>
      <c r="BH48" s="22" t="s">
        <v>1349</v>
      </c>
      <c r="BI48" s="22"/>
      <c r="BJ48" s="23"/>
      <c r="BK48" t="s">
        <v>1342</v>
      </c>
      <c r="BL48" t="s">
        <v>1343</v>
      </c>
    </row>
    <row r="49" spans="1:64">
      <c r="A49" s="2022"/>
      <c r="B49" s="1054" t="s">
        <v>1240</v>
      </c>
      <c r="C49" s="27" t="s">
        <v>1459</v>
      </c>
      <c r="D49" s="91" t="s">
        <v>28</v>
      </c>
      <c r="E49" s="92" t="s">
        <v>384</v>
      </c>
      <c r="F49" s="70" t="s">
        <v>384</v>
      </c>
      <c r="G49" s="70" t="s">
        <v>384</v>
      </c>
      <c r="H49" s="70" t="s">
        <v>384</v>
      </c>
      <c r="I49" s="70" t="s">
        <v>384</v>
      </c>
      <c r="J49" s="91" t="s">
        <v>384</v>
      </c>
      <c r="L49" s="1054" t="s">
        <v>1077</v>
      </c>
      <c r="M49" s="27" t="s">
        <v>1459</v>
      </c>
      <c r="N49" s="253">
        <v>0.15</v>
      </c>
      <c r="O49" s="1470">
        <v>0.5</v>
      </c>
      <c r="P49" s="1473">
        <v>0.1</v>
      </c>
      <c r="Q49" s="301">
        <v>1.2E-2</v>
      </c>
      <c r="R49" s="27">
        <v>7</v>
      </c>
      <c r="S49" s="27"/>
      <c r="T49" s="27">
        <v>100</v>
      </c>
      <c r="U49" s="27" t="s">
        <v>1347</v>
      </c>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178">
        <v>0.25</v>
      </c>
      <c r="AW49" s="178">
        <v>0.2</v>
      </c>
      <c r="AX49" s="27"/>
      <c r="AY49" s="2048"/>
      <c r="AZ49" s="2048"/>
      <c r="BA49" s="2048"/>
      <c r="BB49" s="2048"/>
      <c r="BC49" s="2048" t="s">
        <v>1348</v>
      </c>
      <c r="BD49" s="2048"/>
      <c r="BE49" s="2048"/>
      <c r="BF49" s="2048"/>
      <c r="BG49" s="2048"/>
      <c r="BH49" s="27" t="s">
        <v>1349</v>
      </c>
      <c r="BI49" s="27"/>
      <c r="BJ49" s="28"/>
      <c r="BK49" t="s">
        <v>1342</v>
      </c>
      <c r="BL49" t="s">
        <v>1343</v>
      </c>
    </row>
    <row r="50" spans="1:64">
      <c r="A50" s="2022"/>
      <c r="B50" s="1054" t="s">
        <v>1240</v>
      </c>
      <c r="C50" s="27" t="s">
        <v>1460</v>
      </c>
      <c r="D50" s="91" t="s">
        <v>1461</v>
      </c>
      <c r="E50" s="92" t="s">
        <v>384</v>
      </c>
      <c r="F50" s="70" t="s">
        <v>384</v>
      </c>
      <c r="G50" s="70" t="s">
        <v>945</v>
      </c>
      <c r="H50" s="70" t="s">
        <v>515</v>
      </c>
      <c r="I50" s="70" t="s">
        <v>574</v>
      </c>
      <c r="J50" s="91" t="s">
        <v>574</v>
      </c>
      <c r="L50" s="1054" t="s">
        <v>1077</v>
      </c>
      <c r="M50" s="27" t="s">
        <v>1460</v>
      </c>
      <c r="N50" s="253">
        <v>0.15</v>
      </c>
      <c r="O50" s="1470">
        <v>0.5</v>
      </c>
      <c r="P50" s="1473">
        <v>0.1</v>
      </c>
      <c r="Q50" s="301">
        <v>1.2E-2</v>
      </c>
      <c r="R50" s="27">
        <v>7</v>
      </c>
      <c r="S50" s="27"/>
      <c r="T50" s="27">
        <v>100</v>
      </c>
      <c r="U50" s="27" t="s">
        <v>1347</v>
      </c>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178">
        <v>0.45</v>
      </c>
      <c r="AW50" s="178">
        <v>0.2</v>
      </c>
      <c r="AX50" s="27"/>
      <c r="AY50" s="2048"/>
      <c r="AZ50" s="2048"/>
      <c r="BA50" s="2048"/>
      <c r="BB50" s="2048"/>
      <c r="BC50" s="2048" t="s">
        <v>1348</v>
      </c>
      <c r="BD50" s="2048"/>
      <c r="BE50" s="2048"/>
      <c r="BF50" s="2048"/>
      <c r="BG50" s="2048"/>
      <c r="BH50" s="27" t="s">
        <v>1349</v>
      </c>
      <c r="BI50" s="27"/>
      <c r="BJ50" s="28"/>
      <c r="BK50" t="s">
        <v>1342</v>
      </c>
      <c r="BL50" t="s">
        <v>1343</v>
      </c>
    </row>
    <row r="51" spans="1:64">
      <c r="A51" s="2022"/>
      <c r="B51" s="1054" t="s">
        <v>1240</v>
      </c>
      <c r="C51" s="27" t="s">
        <v>1462</v>
      </c>
      <c r="D51" s="91" t="s">
        <v>1463</v>
      </c>
      <c r="E51" s="92" t="s">
        <v>384</v>
      </c>
      <c r="F51" s="70" t="s">
        <v>384</v>
      </c>
      <c r="G51" s="70" t="s">
        <v>945</v>
      </c>
      <c r="H51" s="70" t="s">
        <v>515</v>
      </c>
      <c r="I51" s="70" t="s">
        <v>574</v>
      </c>
      <c r="J51" s="91" t="s">
        <v>574</v>
      </c>
      <c r="L51" s="1054" t="s">
        <v>1077</v>
      </c>
      <c r="M51" s="27" t="s">
        <v>1462</v>
      </c>
      <c r="N51" s="253">
        <v>0.15</v>
      </c>
      <c r="O51" s="1470">
        <v>0.5</v>
      </c>
      <c r="P51" s="1473">
        <v>0.1</v>
      </c>
      <c r="Q51" s="301">
        <v>1.2E-2</v>
      </c>
      <c r="R51" s="27">
        <v>7</v>
      </c>
      <c r="S51" s="27"/>
      <c r="T51" s="27">
        <v>500</v>
      </c>
      <c r="U51" s="27" t="s">
        <v>1403</v>
      </c>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178">
        <v>0.5</v>
      </c>
      <c r="AW51" s="178">
        <v>0.2</v>
      </c>
      <c r="AX51" s="27"/>
      <c r="AY51" s="2048"/>
      <c r="AZ51" s="2048"/>
      <c r="BA51" s="2048"/>
      <c r="BB51" s="2048"/>
      <c r="BC51" s="2048" t="s">
        <v>1348</v>
      </c>
      <c r="BD51" s="2048"/>
      <c r="BE51" s="2048"/>
      <c r="BF51" s="2048"/>
      <c r="BG51" s="2048"/>
      <c r="BH51" s="27" t="s">
        <v>1349</v>
      </c>
      <c r="BI51" s="27"/>
      <c r="BJ51" s="28"/>
      <c r="BK51" t="s">
        <v>1342</v>
      </c>
      <c r="BL51" t="s">
        <v>1343</v>
      </c>
    </row>
    <row r="52" spans="1:64">
      <c r="A52" s="2022"/>
      <c r="B52" s="1054" t="s">
        <v>1240</v>
      </c>
      <c r="C52" s="27" t="s">
        <v>1464</v>
      </c>
      <c r="D52" s="91" t="s">
        <v>1465</v>
      </c>
      <c r="E52" s="92" t="s">
        <v>206</v>
      </c>
      <c r="F52" s="70" t="s">
        <v>206</v>
      </c>
      <c r="G52" s="70" t="s">
        <v>206</v>
      </c>
      <c r="H52" s="70" t="s">
        <v>206</v>
      </c>
      <c r="I52" s="70" t="s">
        <v>206</v>
      </c>
      <c r="J52" s="91" t="s">
        <v>206</v>
      </c>
      <c r="L52" s="1054" t="s">
        <v>1077</v>
      </c>
      <c r="M52" s="27" t="s">
        <v>1464</v>
      </c>
      <c r="N52" s="253">
        <v>0.15</v>
      </c>
      <c r="O52" s="1470">
        <v>0.5</v>
      </c>
      <c r="P52" s="1473">
        <v>0.1</v>
      </c>
      <c r="Q52" s="301">
        <v>1.2E-2</v>
      </c>
      <c r="R52" s="27">
        <v>7</v>
      </c>
      <c r="S52" s="27"/>
      <c r="T52" s="27">
        <v>100</v>
      </c>
      <c r="U52" s="27" t="s">
        <v>1347</v>
      </c>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178">
        <v>0.4</v>
      </c>
      <c r="AW52" s="178">
        <v>0.2</v>
      </c>
      <c r="AX52" s="27"/>
      <c r="AY52" s="2048"/>
      <c r="AZ52" s="2048"/>
      <c r="BA52" s="2048"/>
      <c r="BB52" s="2048"/>
      <c r="BC52" s="2048" t="s">
        <v>1348</v>
      </c>
      <c r="BD52" s="2048"/>
      <c r="BE52" s="2048"/>
      <c r="BF52" s="2048"/>
      <c r="BG52" s="2048"/>
      <c r="BH52" s="27" t="s">
        <v>1349</v>
      </c>
      <c r="BI52" s="27"/>
      <c r="BJ52" s="28"/>
      <c r="BK52" t="s">
        <v>1342</v>
      </c>
      <c r="BL52" t="s">
        <v>1343</v>
      </c>
    </row>
    <row r="53" spans="1:64" ht="15" thickBot="1">
      <c r="A53" s="1539"/>
      <c r="B53" s="1055"/>
      <c r="C53" s="39"/>
      <c r="D53" s="93" t="s">
        <v>1466</v>
      </c>
      <c r="E53" s="94"/>
      <c r="F53" s="95"/>
      <c r="G53" s="95"/>
      <c r="H53" s="95"/>
      <c r="I53" s="95"/>
      <c r="J53" s="93"/>
      <c r="L53" s="1055" t="s">
        <v>1077</v>
      </c>
      <c r="M53" s="39"/>
      <c r="N53" s="254"/>
      <c r="O53" s="56"/>
      <c r="P53" s="1474"/>
      <c r="Q53" s="1493"/>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1468"/>
      <c r="AX53" s="39"/>
      <c r="AY53" s="2049"/>
      <c r="AZ53" s="2049"/>
      <c r="BA53" s="2049"/>
      <c r="BB53" s="2049"/>
      <c r="BC53" s="2049" t="s">
        <v>1348</v>
      </c>
      <c r="BD53" s="2049"/>
      <c r="BE53" s="2049"/>
      <c r="BF53" s="2049"/>
      <c r="BG53" s="2049"/>
      <c r="BH53" s="39" t="s">
        <v>1349</v>
      </c>
      <c r="BI53" s="39"/>
      <c r="BJ53" s="43"/>
      <c r="BK53" t="s">
        <v>1342</v>
      </c>
      <c r="BL53" t="s">
        <v>1343</v>
      </c>
    </row>
  </sheetData>
  <mergeCells count="5">
    <mergeCell ref="AY2:BC2"/>
    <mergeCell ref="BD2:BH2"/>
    <mergeCell ref="AA2:AC2"/>
    <mergeCell ref="AD2:AF2"/>
    <mergeCell ref="E2:J2"/>
  </mergeCells>
  <phoneticPr fontId="12" type="noConversion"/>
  <pageMargins left="0.7" right="0.7" top="0.75" bottom="0.75" header="0.3" footer="0.3"/>
  <pageSetup paperSize="9"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CA30FB2032EE4190228FB6587B40E1" ma:contentTypeVersion="22" ma:contentTypeDescription="Create a new document." ma:contentTypeScope="" ma:versionID="32e668015a6d80c159e8d14e7a02104e">
  <xsd:schema xmlns:xsd="http://www.w3.org/2001/XMLSchema" xmlns:xs="http://www.w3.org/2001/XMLSchema" xmlns:p="http://schemas.microsoft.com/office/2006/metadata/properties" xmlns:ns2="17b7c3bd-a36b-4c7a-8e51-c04be63ab312" xmlns:ns3="188f5a11-2bf4-418b-b008-ffcae9c66463" targetNamespace="http://schemas.microsoft.com/office/2006/metadata/properties" ma:root="true" ma:fieldsID="f136dec07781b1879fdb06fc24d9b1df" ns2:_="" ns3:_="">
    <xsd:import namespace="17b7c3bd-a36b-4c7a-8e51-c04be63ab312"/>
    <xsd:import namespace="188f5a11-2bf4-418b-b008-ffcae9c66463"/>
    <xsd:element name="properties">
      <xsd:complexType>
        <xsd:sequence>
          <xsd:element name="documentManagement">
            <xsd:complexType>
              <xsd:all>
                <xsd:element ref="ns2:QuoteID" minOccurs="0"/>
                <xsd:element ref="ns2:DocType" minOccurs="0"/>
                <xsd:element ref="ns2:RFQReport" minOccurs="0"/>
                <xsd:element ref="ns2:MasterQuoteID" minOccurs="0"/>
                <xsd:element ref="ns2:VersionNo" minOccurs="0"/>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SearchProperties" minOccurs="0"/>
                <xsd:element ref="ns3:SharedWithUsers" minOccurs="0"/>
                <xsd:element ref="ns3:SharedWithDetails" minOccurs="0"/>
                <xsd:element ref="ns2:Input_x002f_Output" minOccurs="0"/>
                <xsd:element ref="ns2:MediaServiceLocation"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b7c3bd-a36b-4c7a-8e51-c04be63ab312" elementFormDefault="qualified">
    <xsd:import namespace="http://schemas.microsoft.com/office/2006/documentManagement/types"/>
    <xsd:import namespace="http://schemas.microsoft.com/office/infopath/2007/PartnerControls"/>
    <xsd:element name="QuoteID" ma:index="8" nillable="true" ma:displayName="QuoteID" ma:format="Dropdown" ma:internalName="QuoteID">
      <xsd:simpleType>
        <xsd:restriction base="dms:Text">
          <xsd:maxLength value="255"/>
        </xsd:restriction>
      </xsd:simpleType>
    </xsd:element>
    <xsd:element name="DocType" ma:index="9" nillable="true" ma:displayName="DocType" ma:format="Dropdown" ma:internalName="DocType">
      <xsd:simpleType>
        <xsd:restriction base="dms:Text">
          <xsd:maxLength value="255"/>
        </xsd:restriction>
      </xsd:simpleType>
    </xsd:element>
    <xsd:element name="RFQReport" ma:index="10" nillable="true" ma:displayName="RFQReport" ma:default="0" ma:format="Dropdown" ma:internalName="RFQReport">
      <xsd:simpleType>
        <xsd:restriction base="dms:Boolean"/>
      </xsd:simpleType>
    </xsd:element>
    <xsd:element name="MasterQuoteID" ma:index="11" nillable="true" ma:displayName="MasterQuoteID" ma:format="Dropdown" ma:internalName="MasterQuoteID">
      <xsd:simpleType>
        <xsd:restriction base="dms:Text">
          <xsd:maxLength value="255"/>
        </xsd:restriction>
      </xsd:simpleType>
    </xsd:element>
    <xsd:element name="VersionNo" ma:index="12" nillable="true" ma:displayName="VersionNo" ma:format="Dropdown" ma:internalName="VersionNo">
      <xsd:simpleType>
        <xsd:restriction base="dms:Text">
          <xsd:maxLength value="255"/>
        </xsd:restriction>
      </xsd:simpleType>
    </xsd:element>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59498ac7-68cc-48ea-a29a-cd5022356a57"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Input_x002f_Output" ma:index="26" nillable="true" ma:displayName="Input/Output" ma:format="Dropdown" ma:internalName="Input_x002f_Output">
      <xsd:simpleType>
        <xsd:restriction base="dms:Text">
          <xsd:maxLength value="255"/>
        </xsd:restriction>
      </xsd:simpleType>
    </xsd:element>
    <xsd:element name="MediaServiceLocation" ma:index="27" nillable="true" ma:displayName="Location" ma:indexed="true" ma:internalName="MediaServiceLocation" ma:readOnly="true">
      <xsd:simpleType>
        <xsd:restriction base="dms:Text"/>
      </xsd:simpleType>
    </xsd:element>
    <xsd:element name="MediaLengthInSeconds" ma:index="28" nillable="true" ma:displayName="MediaLengthInSeconds" ma:hidden="true" ma:internalName="MediaLengthInSeconds" ma:readOnly="true">
      <xsd:simpleType>
        <xsd:restriction base="dms:Unknown"/>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88f5a11-2bf4-418b-b008-ffcae9c66463"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c700ff6-167d-4d58-a8bc-474f6f25fc2f}" ma:internalName="TaxCatchAll" ma:showField="CatchAllData" ma:web="188f5a11-2bf4-418b-b008-ffcae9c66463">
      <xsd:complexType>
        <xsd:complexContent>
          <xsd:extension base="dms:MultiChoiceLookup">
            <xsd:sequence>
              <xsd:element name="Value" type="dms:Lookup" maxOccurs="unbounded" minOccurs="0" nillable="true"/>
            </xsd:sequence>
          </xsd:extension>
        </xsd:complexContent>
      </xsd:complexType>
    </xsd:element>
    <xsd:element name="SharedWithUsers" ma:index="2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188f5a11-2bf4-418b-b008-ffcae9c66463">
      <UserInfo>
        <DisplayName>Lionel CLODONG</DisplayName>
        <AccountId>18</AccountId>
        <AccountType/>
      </UserInfo>
      <UserInfo>
        <DisplayName>Yann FREMONT</DisplayName>
        <AccountId>25</AccountId>
        <AccountType/>
      </UserInfo>
      <UserInfo>
        <DisplayName>Céline Boutin</DisplayName>
        <AccountId>136</AccountId>
        <AccountType/>
      </UserInfo>
      <UserInfo>
        <DisplayName>Cassandra SABOUREAU</DisplayName>
        <AccountId>16</AccountId>
        <AccountType/>
      </UserInfo>
    </SharedWithUsers>
    <lcf76f155ced4ddcb4097134ff3c332f xmlns="17b7c3bd-a36b-4c7a-8e51-c04be63ab312">
      <Terms xmlns="http://schemas.microsoft.com/office/infopath/2007/PartnerControls"/>
    </lcf76f155ced4ddcb4097134ff3c332f>
    <TaxCatchAll xmlns="188f5a11-2bf4-418b-b008-ffcae9c66463" xsi:nil="true"/>
    <Input_x002f_Output xmlns="17b7c3bd-a36b-4c7a-8e51-c04be63ab312">Output</Input_x002f_Output>
    <MasterQuoteID xmlns="17b7c3bd-a36b-4c7a-8e51-c04be63ab312">24003-CHO</MasterQuoteID>
    <VersionNo xmlns="17b7c3bd-a36b-4c7a-8e51-c04be63ab312" xsi:nil="true"/>
    <RFQReport xmlns="17b7c3bd-a36b-4c7a-8e51-c04be63ab312">false</RFQReport>
    <DocType xmlns="17b7c3bd-a36b-4c7a-8e51-c04be63ab312">CostingOutput</DocType>
    <QuoteID xmlns="17b7c3bd-a36b-4c7a-8e51-c04be63ab312">24003-CHO-00</QuoteID>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F01435F-6D2C-46E1-A68C-F275BEA1A0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b7c3bd-a36b-4c7a-8e51-c04be63ab312"/>
    <ds:schemaRef ds:uri="188f5a11-2bf4-418b-b008-ffcae9c664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24128E3-0D60-4552-A4FC-78030789C9B4}">
  <ds:schemaRefs>
    <ds:schemaRef ds:uri="http://purl.org/dc/terms/"/>
    <ds:schemaRef ds:uri="http://schemas.microsoft.com/office/2006/documentManagement/types"/>
    <ds:schemaRef ds:uri="http://www.w3.org/XML/1998/namespace"/>
    <ds:schemaRef ds:uri="http://purl.org/dc/dcmitype/"/>
    <ds:schemaRef ds:uri="http://schemas.microsoft.com/office/2006/metadata/properties"/>
    <ds:schemaRef ds:uri="http://schemas.microsoft.com/office/infopath/2007/PartnerControls"/>
    <ds:schemaRef ds:uri="http://purl.org/dc/elements/1.1/"/>
    <ds:schemaRef ds:uri="http://schemas.openxmlformats.org/package/2006/metadata/core-properties"/>
    <ds:schemaRef ds:uri="188f5a11-2bf4-418b-b008-ffcae9c66463"/>
    <ds:schemaRef ds:uri="17b7c3bd-a36b-4c7a-8e51-c04be63ab312"/>
  </ds:schemaRefs>
</ds:datastoreItem>
</file>

<file path=customXml/itemProps3.xml><?xml version="1.0" encoding="utf-8"?>
<ds:datastoreItem xmlns:ds="http://schemas.openxmlformats.org/officeDocument/2006/customXml" ds:itemID="{9B6CB157-D17F-4C76-B775-7E5B135E8B7F}">
  <ds:schemaRefs>
    <ds:schemaRef ds:uri="http://schemas.microsoft.com/DataMashup"/>
  </ds:schemaRefs>
</ds:datastoreItem>
</file>

<file path=customXml/itemProps4.xml><?xml version="1.0" encoding="utf-8"?>
<ds:datastoreItem xmlns:ds="http://schemas.openxmlformats.org/officeDocument/2006/customXml" ds:itemID="{7CE3EC0D-F8CE-41E1-9007-D06DC3F4856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21</vt:i4>
      </vt:variant>
      <vt:variant>
        <vt:lpstr>Plages nommées</vt:lpstr>
      </vt:variant>
      <vt:variant>
        <vt:i4>8</vt:i4>
      </vt:variant>
    </vt:vector>
  </HeadingPairs>
  <TitlesOfParts>
    <vt:vector size="29" baseType="lpstr">
      <vt:lpstr>RFQ Data</vt:lpstr>
      <vt:lpstr>Purchasing</vt:lpstr>
      <vt:lpstr>Material Cost </vt:lpstr>
      <vt:lpstr>Material analysis </vt:lpstr>
      <vt:lpstr>Product Added value</vt:lpstr>
      <vt:lpstr>VOH cost per h</vt:lpstr>
      <vt:lpstr>Transp-Packaging-AMS</vt:lpstr>
      <vt:lpstr>Buffersheet</vt:lpstr>
      <vt:lpstr>Capex </vt:lpstr>
      <vt:lpstr>PriceCalAVO</vt:lpstr>
      <vt:lpstr>Output for sales-PM</vt:lpstr>
      <vt:lpstr>Category_output</vt:lpstr>
      <vt:lpstr>Customer offer</vt:lpstr>
      <vt:lpstr>Output for sales</vt:lpstr>
      <vt:lpstr>CompilData</vt:lpstr>
      <vt:lpstr>ExportData</vt:lpstr>
      <vt:lpstr>INPUTCOSTING</vt:lpstr>
      <vt:lpstr>Layout Maker</vt:lpstr>
      <vt:lpstr>H1 2022 - in KEUR</vt:lpstr>
      <vt:lpstr>Financials Parameters</vt:lpstr>
      <vt:lpstr>PL Parameters</vt:lpstr>
      <vt:lpstr>FP</vt:lpstr>
      <vt:lpstr>PLANTS</vt:lpstr>
      <vt:lpstr>QuotingCUR</vt:lpstr>
      <vt:lpstr>'Financials Parameters'!search?q_euro_usd_cvid_20db6747e0064a5cb6cb26c851bf6169_aqs_edge.0.0l9.2890j0j1_pglt_43_FORM_ANNAB1_PC_DCTS</vt:lpstr>
      <vt:lpstr>'Customer offer'!Zone_d_impression</vt:lpstr>
      <vt:lpstr>'Material Cost '!Zone_d_impression</vt:lpstr>
      <vt:lpstr>'RFQ Data'!Zone_d_impression</vt:lpstr>
      <vt:lpstr>'Transp-Packaging-AMS'!Zone_d_impression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SPICKER Olivier</dc:creator>
  <cp:keywords/>
  <dc:description/>
  <cp:lastModifiedBy>Youssef BEN AMOR CHERIF</cp:lastModifiedBy>
  <cp:revision/>
  <dcterms:created xsi:type="dcterms:W3CDTF">2021-10-01T10:07:21Z</dcterms:created>
  <dcterms:modified xsi:type="dcterms:W3CDTF">2026-07-17T16:21:06Z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0x01010038CA30FB2032EE4190228FB6587B40E1</vt:lpwstr>
  </property>
  <property fmtid="{D5CDD505-2E9C-101B-9397-08002B2CF9AE}" pid="3" name="MediaServiceImageTags">
    <vt:lpwstr/>
  </property>
</Properties>
</file>