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4415" yWindow="0" windowWidth="14355" windowHeight="14460"/>
  </bookViews>
  <sheets>
    <sheet name="Sheet1" sheetId="1" r:id="rId1"/>
  </sheets>
  <externalReferences>
    <externalReference r:id="rId2"/>
  </externalReferences>
  <definedNames>
    <definedName name="_xlnm.Print_Area" localSheetId="0">Sheet1!$A$1:$Q$389</definedName>
  </definedNames>
  <calcPr calcId="125725"/>
</workbook>
</file>

<file path=xl/calcChain.xml><?xml version="1.0" encoding="utf-8"?>
<calcChain xmlns="http://schemas.openxmlformats.org/spreadsheetml/2006/main">
  <c r="D210" i="1"/>
  <c r="D182"/>
  <c r="H106"/>
  <c r="H66"/>
  <c r="H62"/>
  <c r="J273" l="1"/>
  <c r="H152" l="1"/>
  <c r="H148"/>
  <c r="J153"/>
  <c r="D286" l="1"/>
  <c r="H210"/>
  <c r="P257" l="1"/>
  <c r="N257"/>
  <c r="N263" s="1"/>
  <c r="L257"/>
  <c r="J257"/>
  <c r="J263" s="1"/>
  <c r="H257"/>
  <c r="H263" s="1"/>
  <c r="F257"/>
  <c r="F263" s="1"/>
  <c r="D257"/>
  <c r="D263" s="1"/>
  <c r="P245"/>
  <c r="P244"/>
  <c r="P243"/>
  <c r="P242"/>
  <c r="P241"/>
  <c r="P240"/>
  <c r="D125"/>
  <c r="J71" l="1"/>
  <c r="H271" l="1"/>
  <c r="P272" l="1"/>
  <c r="P271" l="1"/>
  <c r="D289" l="1"/>
  <c r="D288"/>
  <c r="D287"/>
  <c r="D285"/>
  <c r="H104" l="1"/>
  <c r="H69" l="1"/>
  <c r="H70"/>
  <c r="H65"/>
  <c r="H49"/>
  <c r="D346"/>
  <c r="D345"/>
  <c r="D344"/>
  <c r="D343"/>
  <c r="F346"/>
  <c r="F345"/>
  <c r="F333"/>
  <c r="F330"/>
  <c r="F329"/>
  <c r="F328"/>
  <c r="J302"/>
  <c r="J301"/>
  <c r="J300"/>
  <c r="H302"/>
  <c r="H301"/>
  <c r="F302"/>
  <c r="F301"/>
  <c r="F300"/>
  <c r="D228" l="1"/>
  <c r="D227"/>
  <c r="D223"/>
  <c r="D222"/>
  <c r="F228"/>
  <c r="F227"/>
  <c r="F223"/>
  <c r="F222"/>
  <c r="D211"/>
  <c r="F211"/>
  <c r="F210"/>
  <c r="F194"/>
  <c r="D194"/>
  <c r="D165"/>
  <c r="D163"/>
  <c r="D162"/>
  <c r="F166"/>
  <c r="F165"/>
  <c r="F163"/>
  <c r="F162"/>
  <c r="D152"/>
  <c r="D149"/>
  <c r="D148"/>
  <c r="F152"/>
  <c r="F151"/>
  <c r="F149"/>
  <c r="F150"/>
  <c r="F148"/>
  <c r="D137"/>
  <c r="D195" s="1"/>
  <c r="D136"/>
  <c r="F138"/>
  <c r="F137"/>
  <c r="F136"/>
  <c r="F124"/>
  <c r="D124"/>
  <c r="D106"/>
  <c r="D104"/>
  <c r="D105"/>
  <c r="D196" s="1"/>
  <c r="F106"/>
  <c r="F105"/>
  <c r="F104"/>
  <c r="D94" l="1"/>
  <c r="D93"/>
  <c r="F94"/>
  <c r="F93"/>
  <c r="F75"/>
  <c r="F73"/>
  <c r="F70"/>
  <c r="F69"/>
  <c r="F66"/>
  <c r="F65"/>
  <c r="F64"/>
  <c r="F62"/>
  <c r="F74"/>
  <c r="D75"/>
  <c r="D74"/>
  <c r="D73"/>
  <c r="D70"/>
  <c r="D69"/>
  <c r="D66"/>
  <c r="D65"/>
  <c r="D64"/>
  <c r="D80" s="1"/>
  <c r="D62"/>
  <c r="D82" l="1"/>
  <c r="D197" s="1"/>
  <c r="D81"/>
  <c r="D78"/>
  <c r="D52"/>
  <c r="D50"/>
  <c r="D49"/>
  <c r="D48"/>
  <c r="D193" s="1"/>
  <c r="D47"/>
  <c r="D192" s="1"/>
  <c r="D46"/>
  <c r="P274" l="1"/>
  <c r="P273"/>
  <c r="D166" l="1"/>
  <c r="H82" l="1"/>
  <c r="J196" l="1"/>
  <c r="F196" s="1"/>
  <c r="J195"/>
  <c r="F195" s="1"/>
  <c r="J193"/>
  <c r="F193" s="1"/>
  <c r="J192"/>
  <c r="F192" s="1"/>
  <c r="H196"/>
  <c r="H192"/>
  <c r="I192"/>
  <c r="H193"/>
  <c r="I193"/>
  <c r="H195"/>
  <c r="I195"/>
  <c r="H80" l="1"/>
  <c r="J266" l="1"/>
  <c r="H267"/>
  <c r="H167" l="1"/>
  <c r="J82" l="1"/>
  <c r="J80" l="1"/>
  <c r="F344" l="1"/>
  <c r="F343"/>
  <c r="D333"/>
  <c r="D330"/>
  <c r="D329"/>
  <c r="D328"/>
  <c r="L259"/>
  <c r="L263" s="1"/>
  <c r="P267"/>
  <c r="P266"/>
  <c r="D151"/>
  <c r="D138"/>
  <c r="F82"/>
  <c r="F80"/>
  <c r="D331" l="1"/>
  <c r="D332" s="1"/>
  <c r="D334" s="1"/>
  <c r="H317" l="1"/>
  <c r="P261" l="1"/>
  <c r="N268"/>
  <c r="J331" l="1"/>
  <c r="J332" s="1"/>
  <c r="J334" s="1"/>
  <c r="J342" s="1"/>
  <c r="J347" s="1"/>
  <c r="H331"/>
  <c r="H332" s="1"/>
  <c r="H334" s="1"/>
  <c r="H342" s="1"/>
  <c r="H347" s="1"/>
  <c r="F317"/>
  <c r="J317"/>
  <c r="D305"/>
  <c r="J229"/>
  <c r="J224"/>
  <c r="H224"/>
  <c r="J212"/>
  <c r="H212"/>
  <c r="D167"/>
  <c r="D150"/>
  <c r="H153"/>
  <c r="D139"/>
  <c r="J139"/>
  <c r="H139"/>
  <c r="J127"/>
  <c r="H126"/>
  <c r="J107"/>
  <c r="H107"/>
  <c r="J95"/>
  <c r="H95"/>
  <c r="J197"/>
  <c r="F197" s="1"/>
  <c r="J81"/>
  <c r="J79"/>
  <c r="H79"/>
  <c r="J78"/>
  <c r="J76"/>
  <c r="H76"/>
  <c r="H78"/>
  <c r="J67"/>
  <c r="H197"/>
  <c r="H81"/>
  <c r="J51"/>
  <c r="J53" s="1"/>
  <c r="H127" l="1"/>
  <c r="H83"/>
  <c r="F303"/>
  <c r="J303"/>
  <c r="J309" s="1"/>
  <c r="H229"/>
  <c r="F78"/>
  <c r="J83"/>
  <c r="H67"/>
  <c r="H71"/>
  <c r="H51"/>
  <c r="H53" s="1"/>
  <c r="L372"/>
  <c r="L371"/>
  <c r="L370"/>
  <c r="L367"/>
  <c r="J384"/>
  <c r="H384"/>
  <c r="J382"/>
  <c r="H382"/>
  <c r="J377"/>
  <c r="I375"/>
  <c r="H374"/>
  <c r="H375" s="1"/>
  <c r="H381" s="1"/>
  <c r="J369"/>
  <c r="J374" s="1"/>
  <c r="J375" s="1"/>
  <c r="J312" l="1"/>
  <c r="J306"/>
  <c r="J313" s="1"/>
  <c r="H383"/>
  <c r="H385" s="1"/>
  <c r="H388" s="1"/>
  <c r="J381"/>
  <c r="J383" s="1"/>
  <c r="J385" s="1"/>
  <c r="J388" s="1"/>
  <c r="L369"/>
  <c r="J310" l="1"/>
  <c r="P262"/>
  <c r="P260"/>
  <c r="F359" l="1"/>
  <c r="F356"/>
  <c r="F71" l="1"/>
  <c r="F382" l="1"/>
  <c r="F384"/>
  <c r="D384"/>
  <c r="D382"/>
  <c r="L384" l="1"/>
  <c r="F373" l="1"/>
  <c r="L373" s="1"/>
  <c r="D374"/>
  <c r="D375" s="1"/>
  <c r="D381" s="1"/>
  <c r="D383" s="1"/>
  <c r="D385" s="1"/>
  <c r="D388" s="1"/>
  <c r="F374" l="1"/>
  <c r="F375" s="1"/>
  <c r="F381" s="1"/>
  <c r="F383" s="1"/>
  <c r="F385" s="1"/>
  <c r="F388" s="1"/>
  <c r="L387"/>
  <c r="L380"/>
  <c r="L379"/>
  <c r="L378"/>
  <c r="L377"/>
  <c r="L376"/>
  <c r="L382" l="1"/>
  <c r="L374"/>
  <c r="L375" s="1"/>
  <c r="L381" s="1"/>
  <c r="L383" l="1"/>
  <c r="L385" s="1"/>
  <c r="L388" s="1"/>
  <c r="D291" l="1"/>
  <c r="H268"/>
  <c r="H275" s="1"/>
  <c r="F268"/>
  <c r="F275" s="1"/>
  <c r="D268"/>
  <c r="D275" s="1"/>
  <c r="D181"/>
  <c r="D183" s="1"/>
  <c r="D359"/>
  <c r="D356"/>
  <c r="F331"/>
  <c r="F332" s="1"/>
  <c r="F181"/>
  <c r="F183" s="1"/>
  <c r="F79"/>
  <c r="F229"/>
  <c r="D79"/>
  <c r="F76"/>
  <c r="D95"/>
  <c r="F127"/>
  <c r="F51"/>
  <c r="F53" s="1"/>
  <c r="F67"/>
  <c r="D212"/>
  <c r="D342" l="1"/>
  <c r="D347" s="1"/>
  <c r="D51"/>
  <c r="D53" s="1"/>
  <c r="D127"/>
  <c r="D224"/>
  <c r="F291"/>
  <c r="D76"/>
  <c r="F334"/>
  <c r="F107"/>
  <c r="D153"/>
  <c r="F153"/>
  <c r="F224"/>
  <c r="F81"/>
  <c r="F83" s="1"/>
  <c r="F212"/>
  <c r="F95"/>
  <c r="F139"/>
  <c r="D107"/>
  <c r="D71"/>
  <c r="D229"/>
  <c r="F342" l="1"/>
  <c r="F347" s="1"/>
  <c r="D83"/>
  <c r="D67"/>
  <c r="F312" l="1"/>
  <c r="F306"/>
  <c r="F309"/>
  <c r="F313" l="1"/>
  <c r="F310"/>
  <c r="P259" l="1"/>
  <c r="P263" s="1"/>
  <c r="D317" l="1"/>
  <c r="L268" l="1"/>
  <c r="P265" l="1"/>
  <c r="P268" s="1"/>
  <c r="J268"/>
  <c r="J167"/>
  <c r="F167"/>
  <c r="L270" l="1"/>
  <c r="L275" s="1"/>
  <c r="D301" l="1"/>
  <c r="N270" l="1"/>
  <c r="N275" s="1"/>
  <c r="D302"/>
  <c r="H300" l="1"/>
  <c r="H303" s="1"/>
  <c r="H312" l="1"/>
  <c r="H309"/>
  <c r="H306"/>
  <c r="H313" l="1"/>
  <c r="H310"/>
  <c r="D300" l="1"/>
  <c r="D303" s="1"/>
  <c r="D306" l="1"/>
  <c r="D309"/>
  <c r="D312"/>
  <c r="D310" l="1"/>
  <c r="D313"/>
  <c r="J270"/>
  <c r="P270" l="1"/>
  <c r="P275" s="1"/>
  <c r="P276" s="1"/>
  <c r="J275"/>
</calcChain>
</file>

<file path=xl/sharedStrings.xml><?xml version="1.0" encoding="utf-8"?>
<sst xmlns="http://schemas.openxmlformats.org/spreadsheetml/2006/main" count="416" uniqueCount="265">
  <si>
    <t xml:space="preserve">     Total</t>
  </si>
  <si>
    <t xml:space="preserve">     - Contract seismic</t>
  </si>
  <si>
    <t xml:space="preserve">     - Other</t>
  </si>
  <si>
    <t>(b)</t>
  </si>
  <si>
    <t>(a)</t>
  </si>
  <si>
    <t>(In thousands of dollars)</t>
  </si>
  <si>
    <t>December 31,</t>
  </si>
  <si>
    <t xml:space="preserve"> </t>
  </si>
  <si>
    <t>Quarter ended</t>
  </si>
  <si>
    <t xml:space="preserve">Gross depreciation </t>
  </si>
  <si>
    <t>Additional</t>
  </si>
  <si>
    <t>Shareholders'</t>
  </si>
  <si>
    <t>capital</t>
  </si>
  <si>
    <t>equity</t>
  </si>
  <si>
    <t>(c)</t>
  </si>
  <si>
    <t>Depreciation and amortization consists of the following for the periods presented:</t>
  </si>
  <si>
    <t>Interest expense consists of the following for the periods presented:</t>
  </si>
  <si>
    <t>Interest expense, gross</t>
  </si>
  <si>
    <t>Accumulated</t>
  </si>
  <si>
    <t>(deficit)</t>
  </si>
  <si>
    <t>paid-in</t>
  </si>
  <si>
    <t>Cash and cash equivalents</t>
  </si>
  <si>
    <t>Reconciliation of net interest bearing debt:</t>
  </si>
  <si>
    <t>Short-term debt and current portion of long-term debt</t>
  </si>
  <si>
    <t>Capital lease obligations (current and long-term)</t>
  </si>
  <si>
    <t>Restricted cash (current and long-term)</t>
  </si>
  <si>
    <t xml:space="preserve">     Completed surveys</t>
  </si>
  <si>
    <t>Completed during 2006</t>
  </si>
  <si>
    <t>Surveys in progress</t>
  </si>
  <si>
    <t xml:space="preserve">Other  </t>
  </si>
  <si>
    <t>Capitalized interest, construction in progress</t>
  </si>
  <si>
    <t>Marine:</t>
  </si>
  <si>
    <t>Marine</t>
  </si>
  <si>
    <t>earnings</t>
  </si>
  <si>
    <t>Year ended</t>
  </si>
  <si>
    <t>Completed during 2007</t>
  </si>
  <si>
    <t>shares</t>
  </si>
  <si>
    <t>Cumulative</t>
  </si>
  <si>
    <t>translation</t>
  </si>
  <si>
    <t>other reserves</t>
  </si>
  <si>
    <t>adjustm. and</t>
  </si>
  <si>
    <t>Minority</t>
  </si>
  <si>
    <t>Employee share options</t>
  </si>
  <si>
    <t>Common</t>
  </si>
  <si>
    <t>stock</t>
  </si>
  <si>
    <t>par value</t>
  </si>
  <si>
    <t>See Depreciation and amortization above.</t>
  </si>
  <si>
    <t>Capital expenditures (cash) were as follows for the periods presented:</t>
  </si>
  <si>
    <t xml:space="preserve">Long-term debt </t>
  </si>
  <si>
    <t>Adjust for deferred loan costs (offset in long-term debt)</t>
  </si>
  <si>
    <t>Marine revenues by service type:</t>
  </si>
  <si>
    <t>Other:</t>
  </si>
  <si>
    <t>Research and development costs, gross</t>
  </si>
  <si>
    <t>Capitalized development costs</t>
  </si>
  <si>
    <t>Completed during 2008</t>
  </si>
  <si>
    <t>Other</t>
  </si>
  <si>
    <t>Dividends to minority interests</t>
  </si>
  <si>
    <t>interests</t>
  </si>
  <si>
    <t>Other operating income</t>
  </si>
  <si>
    <t>Note 1 - General</t>
  </si>
  <si>
    <t xml:space="preserve">The Company is a Norwegian limited liability company and has prepared its consolidated financial statements in accordance with International Financial Reporting </t>
  </si>
  <si>
    <t>Standards ("IFRS") as adopted by the EU. The consolidated interim financial statements have been prepared in accordance with International Accounting Standards</t>
  </si>
  <si>
    <r>
      <t>("IAS") No. 34 "</t>
    </r>
    <r>
      <rPr>
        <i/>
        <sz val="10"/>
        <rFont val="Times New Roman"/>
        <family val="1"/>
      </rPr>
      <t xml:space="preserve">Interim Financial Reporting". </t>
    </r>
  </si>
  <si>
    <t>Note 2 - Basis of presentation</t>
  </si>
  <si>
    <t>Note 4 - Segment information</t>
  </si>
  <si>
    <t>Revenues by operating segment and service type for the periods presented:</t>
  </si>
  <si>
    <t xml:space="preserve">December 31, </t>
  </si>
  <si>
    <t xml:space="preserve">     - MultiClient pre-funding</t>
  </si>
  <si>
    <t xml:space="preserve">     - MultiClient late sales</t>
  </si>
  <si>
    <t xml:space="preserve">     - Data Processing</t>
  </si>
  <si>
    <t xml:space="preserve">     Marine revenues</t>
  </si>
  <si>
    <t>Operating profit (loss)/EBIT by operating segment for the periods presented:</t>
  </si>
  <si>
    <t>Impairments of long-lived assets</t>
  </si>
  <si>
    <t>Depreciation and amortization (a)</t>
  </si>
  <si>
    <t>Amortization of MultiClient library (a)</t>
  </si>
  <si>
    <t xml:space="preserve">     Operating profit/EBIT, Marine</t>
  </si>
  <si>
    <t xml:space="preserve">    Operating profit (loss)/EBIT, Other</t>
  </si>
  <si>
    <t>Inter-segment eliminations:</t>
  </si>
  <si>
    <t>Total Operating profit:</t>
  </si>
  <si>
    <t>Presented separately in the Consolidated Statements of Operations.</t>
  </si>
  <si>
    <t>Gain on repurchase of convertible notes</t>
  </si>
  <si>
    <t>The net book-value of the MultiClient library by year of completion is as follows:</t>
  </si>
  <si>
    <t>Completed during 2009</t>
  </si>
  <si>
    <t xml:space="preserve">     MultiClient library, net</t>
  </si>
  <si>
    <t>Amortization of MultiClient library</t>
  </si>
  <si>
    <t>See Consolidated statements of cash flows.</t>
  </si>
  <si>
    <t>See Interest expense above.</t>
  </si>
  <si>
    <t>Total comprehensive income</t>
  </si>
  <si>
    <t xml:space="preserve">Transferred shares, deferred consideration </t>
  </si>
  <si>
    <t>Repurchase convertible notes</t>
  </si>
  <si>
    <t>Balance at December 31, 2008</t>
  </si>
  <si>
    <t>Note 5 - Research and development costs</t>
  </si>
  <si>
    <t>Note 6 - Depreciation and amortization</t>
  </si>
  <si>
    <t>Note 8 - Interest expense</t>
  </si>
  <si>
    <t>Note 7 - Impairments of long-lived assets</t>
  </si>
  <si>
    <t>Impairments of long-lived assets consists of the following for the periods presented:</t>
  </si>
  <si>
    <t>Property and equipment</t>
  </si>
  <si>
    <t>Oil and gas assets (other long-lived assets)</t>
  </si>
  <si>
    <t>A reconciliation of reclassification adjustments included in the Consolidated Statements of Operations ("CSO") for all periods presented follows:</t>
  </si>
  <si>
    <t>Cash flow hedges:</t>
  </si>
  <si>
    <t>Gains (losses) arising during the period</t>
  </si>
  <si>
    <t>Cash flow hedges, net</t>
  </si>
  <si>
    <t>Impairment of shares available-for-sale</t>
  </si>
  <si>
    <t>Note 11 - MultiClient library</t>
  </si>
  <si>
    <t>Note 13 - Components of other comprehensive income</t>
  </si>
  <si>
    <t>Note 14 - Shareholders' equity</t>
  </si>
  <si>
    <t>Note 9 - Other financial income</t>
  </si>
  <si>
    <t>Gain from sale of shares</t>
  </si>
  <si>
    <t>Other financial income consists of the following for the periods presented:</t>
  </si>
  <si>
    <t>Interest income</t>
  </si>
  <si>
    <t>Treasury</t>
  </si>
  <si>
    <t>Other financial expense consists of the following for the periods presented:</t>
  </si>
  <si>
    <t>Note 10 - Other financial expense</t>
  </si>
  <si>
    <t>Transaction costs amounting to $0.7 million are recognized against "Accumulated earnings (deficit)".</t>
  </si>
  <si>
    <t xml:space="preserve">Petroleum Geo-Services ASA  </t>
  </si>
  <si>
    <t>Revaluation of shares available-for-sale:</t>
  </si>
  <si>
    <t>Revaluation of shares available-for-sale, net</t>
  </si>
  <si>
    <t>Note 15 - Net interest bearing debt</t>
  </si>
  <si>
    <t>Note 12 - Capital expenditures (cash)</t>
  </si>
  <si>
    <t>Earnings per share, to ordinary equity holders of PGS ASA, were calculated as follows:</t>
  </si>
  <si>
    <t>Net income from continuing operations</t>
  </si>
  <si>
    <t>Net income from discontinued operations</t>
  </si>
  <si>
    <t>Minority interest</t>
  </si>
  <si>
    <t>Net income to equity holders of PGS ASA</t>
  </si>
  <si>
    <t>Effect of interest on convertible notes, net of tax</t>
  </si>
  <si>
    <t>Net income for the purpose of diluted earnings per share</t>
  </si>
  <si>
    <t>- Basic</t>
  </si>
  <si>
    <t>Earnings per share from continuing operations,</t>
  </si>
  <si>
    <t xml:space="preserve"> Weighted average basic shares outstanding</t>
  </si>
  <si>
    <t xml:space="preserve"> Weighted average diluted shares outstanding</t>
  </si>
  <si>
    <t>Earnings per share:</t>
  </si>
  <si>
    <t>Balance at September 30, 2009</t>
  </si>
  <si>
    <t xml:space="preserve"> Dilutive potential shares (1)</t>
  </si>
  <si>
    <t>- Diluted</t>
  </si>
  <si>
    <t xml:space="preserve">- Diluted </t>
  </si>
  <si>
    <t>Note 16 - Earnings per share</t>
  </si>
  <si>
    <t>Reconciliation Q4 2009:</t>
  </si>
  <si>
    <t>Balance at December 31, 2009</t>
  </si>
  <si>
    <t>Total revenues (continuing operation)</t>
  </si>
  <si>
    <t>Income from discontinued operations, net of tax consist of the following for the periods presented:</t>
  </si>
  <si>
    <t>Income tax (expense) benefit</t>
  </si>
  <si>
    <t>Revenues</t>
  </si>
  <si>
    <t>Depreciation and amortization</t>
  </si>
  <si>
    <t>Operating profit</t>
  </si>
  <si>
    <t>Total operating expenses</t>
  </si>
  <si>
    <t>Operating costs (a)</t>
  </si>
  <si>
    <t>Financial items, net</t>
  </si>
  <si>
    <t>periods presented. Operating results for the quarter period is not necessary indicative of the results that may be expected for any subsequent interim period or year. The interim</t>
  </si>
  <si>
    <t>The accounting policies adopted in the preparation of the interim consolidated financial statements are consistent with those followed in the preparation of the Company’s</t>
  </si>
  <si>
    <t>surveys are categorized into four amortization categories with amortization rates of 90%, 75%, 60% or 45% of sales amounts. Each category includes surveys where the remaining</t>
  </si>
  <si>
    <t>unamortized cost as a percentage of remaining forecasted sales is less than or equal to the amortization rate applicable to each category.</t>
  </si>
  <si>
    <t>The Company also applies minimum amortization criteria for the library projects based generally on a five-year life. The Company calculates and records minimum amortization</t>
  </si>
  <si>
    <t>Total current liabilities Onshore</t>
  </si>
  <si>
    <t xml:space="preserve">Polar Pearl </t>
  </si>
  <si>
    <t>Total current assets Onshore</t>
  </si>
  <si>
    <t xml:space="preserve">     Total liabilities held-for-sale</t>
  </si>
  <si>
    <t xml:space="preserve">     Total asset held-for-sale</t>
  </si>
  <si>
    <t>Total long-term assets Onshore (a)</t>
  </si>
  <si>
    <t>Revenues by continued operations:</t>
  </si>
  <si>
    <t>The results of operations for the Onshore segment are summarized as follows:</t>
  </si>
  <si>
    <t>individual MultiClient surveys. The Company classifies these impairment charges as amortization expense in its consolidated statement of operations since this additional, non-sales</t>
  </si>
  <si>
    <t xml:space="preserve">related amortization expense, is expected to occur regularly. </t>
  </si>
  <si>
    <t>Operating profit (loss)/ EBIT from continuing operations:</t>
  </si>
  <si>
    <t xml:space="preserve">    Total Operating profit (loss)/EBIT</t>
  </si>
  <si>
    <t>Depreciation capitalized to MultiClient library</t>
  </si>
  <si>
    <t>The Company amortizes its MultiClient library primarily based on the ratio between the cost of surveys and the total forecasted sales for such surveys. In applying this method,</t>
  </si>
  <si>
    <t>individually for each MultiClient survey or pool of surveys at quarterly basis. At year-end, or when specific impairment indicators exists, the Company carry out an impairment test of</t>
  </si>
  <si>
    <t xml:space="preserve">   Total</t>
  </si>
  <si>
    <t>Note 17 - Income from discontinued operations, net of tax and assets/ liabilities held-for-sale</t>
  </si>
  <si>
    <t>Transaction costs sale of Onshore</t>
  </si>
  <si>
    <t>Asset/ liabilities held-for-sale</t>
  </si>
  <si>
    <t>Liabilities held-for-sale</t>
  </si>
  <si>
    <t>Assets held-for-sale</t>
  </si>
  <si>
    <t>Note 18 - Consolidated statements of operations by quarter 2009, Onshore presented as discontinued operation.</t>
  </si>
  <si>
    <t xml:space="preserve">Revenues </t>
  </si>
  <si>
    <t xml:space="preserve">      </t>
  </si>
  <si>
    <t xml:space="preserve">Cost of sales </t>
  </si>
  <si>
    <t xml:space="preserve">Research and development costs </t>
  </si>
  <si>
    <t xml:space="preserve">Selling, general and administrative costs </t>
  </si>
  <si>
    <t xml:space="preserve">Depreciation and amortization </t>
  </si>
  <si>
    <t>Impairment of long-lived assets</t>
  </si>
  <si>
    <t>Operating profit (loss)/EBIT</t>
  </si>
  <si>
    <t>Income/(loss) from associated companies</t>
  </si>
  <si>
    <t>Interest expense</t>
  </si>
  <si>
    <t>Other financial income</t>
  </si>
  <si>
    <t>Other financial expense</t>
  </si>
  <si>
    <t>Currency exchange gain (loss)</t>
  </si>
  <si>
    <t>Income before income tax expense (benefit)</t>
  </si>
  <si>
    <t>Income from continuing operations</t>
  </si>
  <si>
    <t>Income (loss) from discontinued operations, net of tax</t>
  </si>
  <si>
    <t xml:space="preserve">Net income </t>
  </si>
  <si>
    <t xml:space="preserve">Net income attributable to minority interests </t>
  </si>
  <si>
    <t>Q1</t>
  </si>
  <si>
    <t>Q2</t>
  </si>
  <si>
    <t>Q3</t>
  </si>
  <si>
    <t>Q4</t>
  </si>
  <si>
    <t>Consolidated statements of operations by quarter 2009, Onshore presented as discontinued operation:</t>
  </si>
  <si>
    <t>useful information regarding PGS' ability to service debt and to fund capital expenditures and provides investors with a helpful measure for comparing its operating performance with</t>
  </si>
  <si>
    <t xml:space="preserve">that of other companies. </t>
  </si>
  <si>
    <t>Gain on investment in shares available for sale</t>
  </si>
  <si>
    <t>results for Onshore are included in discontinued operations in the consolidated statements of operations and was classified as asset held-for-sale in the consolidated statement of</t>
  </si>
  <si>
    <t xml:space="preserve">financial positions as of December 31, 2009 (see Note 17 and 18). The Notes are restated for all periods presented. </t>
  </si>
  <si>
    <t xml:space="preserve">consolidated financial statements should be read in conjunction with the audited consolidated  financial statements for the year ended December 31, 2009. </t>
  </si>
  <si>
    <t xml:space="preserve">Company's significant accounting policies. </t>
  </si>
  <si>
    <t xml:space="preserve">Note 3 - New policies and standards adopted in 2010  </t>
  </si>
  <si>
    <t>Balance at March 31, 2010</t>
  </si>
  <si>
    <t>Reconciliation Q1 2010:</t>
  </si>
  <si>
    <t>(a) Includes $60.5 million in MultiClient library and allocated goodwill of $35.0 million as of December 31, 2009.</t>
  </si>
  <si>
    <t>Gain on sale of Onshore</t>
  </si>
  <si>
    <t>consolidated financial statements for the year ended December 31, 2009. See Note 2 to the Consolidated Financial Statements in the 2009 Annual Report for information of the</t>
  </si>
  <si>
    <t>(1)  Certain reclassifications have been made to prior period amounts to conform to the current presentation, including restatement of Onshore to discontinued operations (see above).</t>
  </si>
  <si>
    <t xml:space="preserve">Financial information for the full year 2009 is derived from the audited financial statements as presented in the 2009 Annual Report. </t>
  </si>
  <si>
    <t>Completed during 2010</t>
  </si>
  <si>
    <t xml:space="preserve">Additional proceeds </t>
  </si>
  <si>
    <t>Less: Reclassification adjustments for losses included in the Consolidated Statement of Operations</t>
  </si>
  <si>
    <t>Less: Reclassification adjustments for (gains) included in the Consolidated Statement of Operations</t>
  </si>
  <si>
    <t>Instruction fee convertible note (includes costs)</t>
  </si>
  <si>
    <t>Share issue (17,999,999 shares) (a)</t>
  </si>
  <si>
    <t>Sale of treasury shares (b)</t>
  </si>
  <si>
    <t>Reconciliation Q2 2010:</t>
  </si>
  <si>
    <t>Amendment fees USD 950 million Credit Facilities</t>
  </si>
  <si>
    <t>Exercise, employee share options</t>
  </si>
  <si>
    <t>(1) For all the periods 8.8 million shares related to convertible notes were excluded from the calculation of dilutive earnings per share as they were</t>
  </si>
  <si>
    <t>anti-dilutive.</t>
  </si>
  <si>
    <t>segment performance. Onshore is presented as discontinued operation and is not included in the tables below.</t>
  </si>
  <si>
    <t>Fee in connection with redemption of 8.28% Notes</t>
  </si>
  <si>
    <t>Balance at June 30, 2010</t>
  </si>
  <si>
    <t>Acquired treasury shares</t>
  </si>
  <si>
    <t>Income  (loss) from discontinued operations, pretax</t>
  </si>
  <si>
    <t>Income (loss) from discontinued operations, pretax</t>
  </si>
  <si>
    <t>In December 2009 the Company entered into an agreement to sell PGS Onshore business ("Onshore") to the US-based Geokinetics. The transaction was closed February 12, 2010. The</t>
  </si>
  <si>
    <t>income, interest expense,  income (loss) from associated companies, impairments of long-lived assets and depreciation and amortization. EBITDA may not be</t>
  </si>
  <si>
    <t>Reconciliation Q3 2010:</t>
  </si>
  <si>
    <t>Balance at September 30, 2010</t>
  </si>
  <si>
    <t>"Other" includes Corporate administration costs and unallocated Global Shared Resources costs (net). Financial items and income tax expense are not included in the measure of</t>
  </si>
  <si>
    <t xml:space="preserve">     - Other, non Marine</t>
  </si>
  <si>
    <t>MultiClient pre-funding</t>
  </si>
  <si>
    <t>MultiClient late sales</t>
  </si>
  <si>
    <t>Cash investment in MultiClient library (a)</t>
  </si>
  <si>
    <t>Capitalized interest in MultiClient library (b)</t>
  </si>
  <si>
    <t>Amortization of MultiClient library (c)</t>
  </si>
  <si>
    <t>Capitalized depreciation (non-cash) (c)</t>
  </si>
  <si>
    <t>Key figures MultiClient library for the periods presented:</t>
  </si>
  <si>
    <t>"Operating Segments", these are presented combined as Marine.</t>
  </si>
  <si>
    <t>The chief operating decision maker reviews Contract and MultiClient as separate operation segments, however, as the two operating segments meets the aggregation criteria in IFRS 8</t>
  </si>
  <si>
    <t>(2)  EBITDA, when used by the Company, means income before income tax expense (benefit) less, currency exchange gain (loss), other financial expense, other financial</t>
  </si>
  <si>
    <t>comparable to other similar titled measures from other companies. PGS has included EBITDA as a supplemental disclosure because management believes that it provides</t>
  </si>
  <si>
    <t>EBITDA</t>
  </si>
  <si>
    <t>Reconciliation Q4 2010:</t>
  </si>
  <si>
    <t>Balance at December 31, 2010</t>
  </si>
  <si>
    <t>Notes to the Interim Consolidated Financial Statements - Fourth Quarter 2010</t>
  </si>
  <si>
    <t>The consolidated interim financial statements reflects all adjustments, in the opinion of PGS' management, that are necessary for a fair presentation of the results of operations for all</t>
  </si>
  <si>
    <t>None of the new accounting standards that came into effect on January 1, 2010 had a significant impact in 2010.</t>
  </si>
  <si>
    <t>Share issue (19,799,998 shares) (c)</t>
  </si>
  <si>
    <t>Completed during 2005 and prior years</t>
  </si>
  <si>
    <t>Reconciliation Q1 through Q3 2009:</t>
  </si>
  <si>
    <t>Capitalized interest, MultiClient library</t>
  </si>
  <si>
    <t>Key figures MultiClient library continuing operation:</t>
  </si>
  <si>
    <t>As of December 31, 2009, MultiClient library related to Onshore surveys are presented as held for sale.</t>
  </si>
  <si>
    <t>Reversed impairments</t>
  </si>
  <si>
    <t>Transaction costs amounting to $3.4 million are recognized against "Additional paid-in capital" net of related income tax benefits of $0.9 million.</t>
  </si>
  <si>
    <t>Transaction costs amounting to $4.0 million are recognized against "Additional paid-in capital" net of related income tax benefits of $1.5 million.</t>
  </si>
  <si>
    <t>(a) Operating costs include cost of sales, research and development costs, and selling, general and administrative costs.</t>
  </si>
  <si>
    <t>Income tax expense (benefit)</t>
  </si>
  <si>
    <t xml:space="preserve">Research and development costs, net of capitalized portion were as follows for the periods presented: </t>
  </si>
</sst>
</file>

<file path=xl/styles.xml><?xml version="1.0" encoding="utf-8"?>
<styleSheet xmlns="http://schemas.openxmlformats.org/spreadsheetml/2006/main">
  <numFmts count="14">
    <numFmt numFmtId="41" formatCode="_ * #,##0_ ;_ * \-#,##0_ ;_ * &quot;-&quot;_ ;_ @_ "/>
    <numFmt numFmtId="44" formatCode="_ &quot;kr&quot;\ * #,##0.00_ ;_ &quot;kr&quot;\ * \-#,##0.00_ ;_ &quot;kr&quot;\ * &quot;-&quot;??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_-;\-* #,##0.00_-;_-* &quot;-&quot;??_-;_-@_-"/>
    <numFmt numFmtId="169" formatCode="_(&quot;$&quot;\ * #,##0_);_(&quot;$&quot;\ * \(#,##0\);_(&quot;$&quot;\ * &quot;-&quot;_);_(@_)"/>
    <numFmt numFmtId="170" formatCode="_(&quot;$&quot;\ * #,##0.00_);_(&quot;$&quot;\ * \(#,##0.00\);_(&quot;$&quot;\ * &quot;-&quot;??_);_(@_)"/>
    <numFmt numFmtId="171" formatCode="_(* #,##0_);_(* \(#,##0\);_(* &quot;-&quot;??_);_(@_)"/>
    <numFmt numFmtId="172" formatCode="_ * #,##0_ ;_ * \(#,##0\)_ ;_ * &quot;-&quot;_ ;_ @_ "/>
    <numFmt numFmtId="173" formatCode="_(&quot;$&quot;* #,##0_);_(&quot;$&quot;* \(#,##0\);_(&quot;$&quot;* &quot;-&quot;??_);_(@_)"/>
    <numFmt numFmtId="174" formatCode="_(* #,##0_);_*\ \(#,##0\);_(* &quot;-&quot;??_);_(@_)"/>
  </numFmts>
  <fonts count="39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16"/>
      <name val="Arial"/>
      <family val="2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  <font>
      <sz val="14"/>
      <color indexed="12"/>
      <name val="Times New Roman"/>
      <family val="1"/>
    </font>
    <font>
      <sz val="10"/>
      <color indexed="10"/>
      <name val="Arial"/>
      <family val="2"/>
    </font>
    <font>
      <sz val="9"/>
      <color indexed="10"/>
      <name val="Times New Roman"/>
      <family val="1"/>
    </font>
    <font>
      <sz val="10"/>
      <name val="Arial"/>
      <family val="2"/>
    </font>
    <font>
      <sz val="14"/>
      <color indexed="10"/>
      <name val="Times New Roman"/>
      <family val="1"/>
    </font>
    <font>
      <sz val="8"/>
      <color indexed="10"/>
      <name val="Times New Roman"/>
      <family val="1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10"/>
      <name val="Times New Roman"/>
      <family val="1"/>
    </font>
    <font>
      <sz val="10"/>
      <color indexed="1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8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/>
    <xf numFmtId="41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41" fontId="2" fillId="0" borderId="2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3" xfId="0" applyFont="1" applyBorder="1"/>
    <xf numFmtId="0" fontId="3" fillId="0" borderId="3" xfId="0" applyFont="1" applyBorder="1"/>
    <xf numFmtId="169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9" fontId="2" fillId="0" borderId="0" xfId="0" applyNumberFormat="1" applyFont="1" applyBorder="1"/>
    <xf numFmtId="165" fontId="2" fillId="0" borderId="0" xfId="0" applyNumberFormat="1" applyFont="1" applyBorder="1"/>
    <xf numFmtId="0" fontId="8" fillId="0" borderId="0" xfId="0" applyFont="1"/>
    <xf numFmtId="165" fontId="2" fillId="0" borderId="2" xfId="0" applyNumberFormat="1" applyFont="1" applyBorder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Fill="1"/>
    <xf numFmtId="169" fontId="2" fillId="0" borderId="0" xfId="0" applyNumberFormat="1" applyFont="1" applyFill="1" applyBorder="1"/>
    <xf numFmtId="169" fontId="2" fillId="0" borderId="0" xfId="0" applyNumberFormat="1" applyFont="1" applyFill="1"/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/>
    </xf>
    <xf numFmtId="165" fontId="2" fillId="0" borderId="3" xfId="0" applyNumberFormat="1" applyFont="1" applyFill="1" applyBorder="1"/>
    <xf numFmtId="165" fontId="2" fillId="0" borderId="0" xfId="0" applyNumberFormat="1" applyFont="1" applyFill="1" applyBorder="1"/>
    <xf numFmtId="169" fontId="9" fillId="0" borderId="1" xfId="0" applyNumberFormat="1" applyFont="1" applyFill="1" applyBorder="1"/>
    <xf numFmtId="169" fontId="9" fillId="0" borderId="0" xfId="0" applyNumberFormat="1" applyFont="1" applyFill="1" applyBorder="1"/>
    <xf numFmtId="169" fontId="9" fillId="0" borderId="0" xfId="0" applyNumberFormat="1" applyFont="1" applyBorder="1"/>
    <xf numFmtId="0" fontId="2" fillId="0" borderId="0" xfId="0" applyFont="1" applyFill="1" applyBorder="1"/>
    <xf numFmtId="169" fontId="9" fillId="0" borderId="0" xfId="0" applyNumberFormat="1" applyFont="1" applyFill="1"/>
    <xf numFmtId="0" fontId="5" fillId="0" borderId="0" xfId="0" applyFont="1" applyAlignment="1">
      <alignment horizontal="left"/>
    </xf>
    <xf numFmtId="0" fontId="8" fillId="0" borderId="0" xfId="0" applyFont="1" applyFill="1" applyBorder="1"/>
    <xf numFmtId="0" fontId="4" fillId="0" borderId="0" xfId="0" applyFont="1" applyFill="1" applyAlignment="1">
      <alignment horizontal="left"/>
    </xf>
    <xf numFmtId="0" fontId="2" fillId="0" borderId="2" xfId="0" applyFont="1" applyFill="1" applyBorder="1"/>
    <xf numFmtId="0" fontId="4" fillId="0" borderId="0" xfId="0" applyFont="1" applyFill="1" applyBorder="1" applyAlignment="1">
      <alignment horizontal="left"/>
    </xf>
    <xf numFmtId="172" fontId="2" fillId="0" borderId="0" xfId="0" applyNumberFormat="1" applyFont="1"/>
    <xf numFmtId="0" fontId="8" fillId="0" borderId="0" xfId="0" quotePrefix="1" applyFont="1" applyFill="1" applyBorder="1"/>
    <xf numFmtId="0" fontId="2" fillId="0" borderId="2" xfId="0" applyFont="1" applyFill="1" applyBorder="1" applyAlignment="1">
      <alignment horizontal="left"/>
    </xf>
    <xf numFmtId="0" fontId="4" fillId="0" borderId="0" xfId="0" applyFont="1"/>
    <xf numFmtId="172" fontId="2" fillId="0" borderId="0" xfId="0" applyNumberFormat="1" applyFont="1" applyFill="1"/>
    <xf numFmtId="172" fontId="2" fillId="0" borderId="3" xfId="0" applyNumberFormat="1" applyFont="1" applyFill="1" applyBorder="1"/>
    <xf numFmtId="0" fontId="3" fillId="0" borderId="3" xfId="0" applyFont="1" applyFill="1" applyBorder="1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171" fontId="2" fillId="0" borderId="0" xfId="0" applyNumberFormat="1" applyFont="1"/>
    <xf numFmtId="165" fontId="2" fillId="0" borderId="2" xfId="0" applyNumberFormat="1" applyFont="1" applyFill="1" applyBorder="1"/>
    <xf numFmtId="171" fontId="2" fillId="0" borderId="0" xfId="0" applyNumberFormat="1" applyFont="1" applyBorder="1"/>
    <xf numFmtId="172" fontId="2" fillId="0" borderId="0" xfId="0" applyNumberFormat="1" applyFont="1" applyFill="1" applyBorder="1"/>
    <xf numFmtId="0" fontId="4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2" borderId="1" xfId="0" quotePrefix="1" applyNumberFormat="1" applyFont="1" applyFill="1" applyBorder="1" applyAlignment="1">
      <alignment horizontal="center"/>
    </xf>
    <xf numFmtId="169" fontId="2" fillId="2" borderId="0" xfId="0" applyNumberFormat="1" applyFont="1" applyFill="1"/>
    <xf numFmtId="165" fontId="2" fillId="2" borderId="0" xfId="0" applyNumberFormat="1" applyFont="1" applyFill="1"/>
    <xf numFmtId="165" fontId="2" fillId="2" borderId="0" xfId="0" applyNumberFormat="1" applyFont="1" applyFill="1" applyBorder="1"/>
    <xf numFmtId="169" fontId="9" fillId="2" borderId="1" xfId="0" applyNumberFormat="1" applyFont="1" applyFill="1" applyBorder="1"/>
    <xf numFmtId="172" fontId="2" fillId="2" borderId="0" xfId="0" applyNumberFormat="1" applyFont="1" applyFill="1"/>
    <xf numFmtId="172" fontId="2" fillId="2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/>
    <xf numFmtId="41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9" fontId="2" fillId="2" borderId="0" xfId="0" applyNumberFormat="1" applyFont="1" applyFill="1" applyAlignment="1"/>
    <xf numFmtId="165" fontId="2" fillId="2" borderId="0" xfId="0" applyNumberFormat="1" applyFont="1" applyFill="1" applyBorder="1" applyAlignment="1"/>
    <xf numFmtId="169" fontId="9" fillId="2" borderId="1" xfId="0" applyNumberFormat="1" applyFont="1" applyFill="1" applyBorder="1" applyAlignment="1"/>
    <xf numFmtId="169" fontId="2" fillId="0" borderId="0" xfId="0" applyNumberFormat="1" applyFont="1" applyFill="1" applyAlignment="1"/>
    <xf numFmtId="165" fontId="2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Border="1"/>
    <xf numFmtId="169" fontId="0" fillId="0" borderId="0" xfId="0" applyNumberFormat="1"/>
    <xf numFmtId="174" fontId="2" fillId="0" borderId="0" xfId="0" applyNumberFormat="1" applyFont="1"/>
    <xf numFmtId="165" fontId="11" fillId="0" borderId="2" xfId="0" applyNumberFormat="1" applyFont="1" applyFill="1" applyBorder="1"/>
    <xf numFmtId="0" fontId="12" fillId="0" borderId="0" xfId="0" applyFont="1" applyBorder="1"/>
    <xf numFmtId="0" fontId="2" fillId="0" borderId="0" xfId="0" quotePrefix="1" applyNumberFormat="1" applyFont="1" applyFill="1" applyBorder="1" applyAlignment="1">
      <alignment horizontal="center"/>
    </xf>
    <xf numFmtId="0" fontId="11" fillId="0" borderId="0" xfId="0" applyFont="1"/>
    <xf numFmtId="165" fontId="2" fillId="0" borderId="0" xfId="0" applyNumberFormat="1" applyFont="1" applyFill="1" applyBorder="1" applyAlignment="1"/>
    <xf numFmtId="169" fontId="9" fillId="0" borderId="1" xfId="0" applyNumberFormat="1" applyFont="1" applyFill="1" applyBorder="1" applyAlignment="1"/>
    <xf numFmtId="0" fontId="0" fillId="0" borderId="0" xfId="0" applyFill="1" applyBorder="1"/>
    <xf numFmtId="0" fontId="11" fillId="0" borderId="0" xfId="0" applyFont="1" applyFill="1" applyBorder="1"/>
    <xf numFmtId="0" fontId="14" fillId="0" borderId="0" xfId="0" applyFont="1" applyAlignment="1">
      <alignment horizontal="left"/>
    </xf>
    <xf numFmtId="169" fontId="11" fillId="0" borderId="0" xfId="0" applyNumberFormat="1" applyFont="1" applyFill="1" applyBorder="1"/>
    <xf numFmtId="0" fontId="11" fillId="0" borderId="0" xfId="0" applyFont="1" applyFill="1"/>
    <xf numFmtId="169" fontId="11" fillId="0" borderId="0" xfId="0" applyNumberFormat="1" applyFont="1" applyFill="1"/>
    <xf numFmtId="165" fontId="11" fillId="0" borderId="0" xfId="0" applyNumberFormat="1" applyFont="1"/>
    <xf numFmtId="0" fontId="15" fillId="0" borderId="0" xfId="0" applyFont="1"/>
    <xf numFmtId="174" fontId="11" fillId="0" borderId="0" xfId="0" applyNumberFormat="1" applyFont="1"/>
    <xf numFmtId="174" fontId="11" fillId="0" borderId="0" xfId="0" applyNumberFormat="1" applyFont="1" applyFill="1"/>
    <xf numFmtId="165" fontId="11" fillId="0" borderId="0" xfId="0" applyNumberFormat="1" applyFont="1" applyFill="1"/>
    <xf numFmtId="165" fontId="2" fillId="0" borderId="1" xfId="0" applyNumberFormat="1" applyFont="1" applyFill="1" applyBorder="1"/>
    <xf numFmtId="0" fontId="18" fillId="0" borderId="0" xfId="0" applyFont="1" applyAlignment="1">
      <alignment horizontal="center"/>
    </xf>
    <xf numFmtId="173" fontId="9" fillId="0" borderId="0" xfId="0" applyNumberFormat="1" applyFont="1" applyFill="1" applyBorder="1"/>
    <xf numFmtId="165" fontId="2" fillId="2" borderId="1" xfId="0" applyNumberFormat="1" applyFont="1" applyFill="1" applyBorder="1"/>
    <xf numFmtId="169" fontId="2" fillId="2" borderId="0" xfId="0" applyNumberFormat="1" applyFont="1" applyFill="1" applyBorder="1"/>
    <xf numFmtId="0" fontId="2" fillId="0" borderId="3" xfId="0" applyFont="1" applyFill="1" applyBorder="1"/>
    <xf numFmtId="173" fontId="2" fillId="0" borderId="0" xfId="0" applyNumberFormat="1" applyFont="1"/>
    <xf numFmtId="165" fontId="9" fillId="0" borderId="0" xfId="0" applyNumberFormat="1" applyFont="1" applyFill="1" applyBorder="1"/>
    <xf numFmtId="165" fontId="11" fillId="0" borderId="0" xfId="0" applyNumberFormat="1" applyFont="1" applyFill="1" applyBorder="1"/>
    <xf numFmtId="0" fontId="16" fillId="0" borderId="0" xfId="0" applyFont="1" applyBorder="1"/>
    <xf numFmtId="0" fontId="10" fillId="0" borderId="0" xfId="0" applyFont="1" applyAlignment="1"/>
    <xf numFmtId="173" fontId="2" fillId="0" borderId="0" xfId="0" applyNumberFormat="1" applyFont="1" applyFill="1" applyBorder="1"/>
    <xf numFmtId="173" fontId="2" fillId="0" borderId="0" xfId="0" applyNumberFormat="1" applyFont="1" applyBorder="1"/>
    <xf numFmtId="0" fontId="2" fillId="0" borderId="1" xfId="0" applyFont="1" applyFill="1" applyBorder="1"/>
    <xf numFmtId="0" fontId="2" fillId="0" borderId="0" xfId="0" applyNumberFormat="1" applyFont="1" applyBorder="1" applyAlignment="1">
      <alignment horizontal="center"/>
    </xf>
    <xf numFmtId="173" fontId="2" fillId="0" borderId="0" xfId="0" applyNumberFormat="1" applyFont="1" applyFill="1"/>
    <xf numFmtId="171" fontId="2" fillId="0" borderId="0" xfId="0" applyNumberFormat="1" applyFont="1" applyFill="1"/>
    <xf numFmtId="172" fontId="2" fillId="0" borderId="3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172" fontId="2" fillId="0" borderId="0" xfId="0" applyNumberFormat="1" applyFont="1" applyBorder="1" applyAlignment="1">
      <alignment horizontal="center"/>
    </xf>
    <xf numFmtId="0" fontId="7" fillId="0" borderId="0" xfId="0" applyFont="1" applyFill="1"/>
    <xf numFmtId="0" fontId="0" fillId="0" borderId="0" xfId="0" applyFill="1"/>
    <xf numFmtId="0" fontId="17" fillId="0" borderId="0" xfId="0" applyFont="1" applyFill="1" applyBorder="1"/>
    <xf numFmtId="169" fontId="11" fillId="0" borderId="2" xfId="0" applyNumberFormat="1" applyFont="1" applyFill="1" applyBorder="1"/>
    <xf numFmtId="41" fontId="2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0" fillId="0" borderId="0" xfId="0" applyFont="1"/>
    <xf numFmtId="41" fontId="2" fillId="0" borderId="2" xfId="0" applyNumberFormat="1" applyFont="1" applyFill="1" applyBorder="1"/>
    <xf numFmtId="0" fontId="2" fillId="0" borderId="0" xfId="0" applyNumberFormat="1" applyFont="1" applyFill="1" applyAlignment="1">
      <alignment horizontal="center"/>
    </xf>
    <xf numFmtId="41" fontId="11" fillId="0" borderId="0" xfId="0" applyNumberFormat="1" applyFont="1" applyFill="1" applyAlignment="1"/>
    <xf numFmtId="169" fontId="2" fillId="0" borderId="0" xfId="0" applyNumberFormat="1" applyFont="1" applyFill="1" applyBorder="1" applyAlignment="1"/>
    <xf numFmtId="165" fontId="11" fillId="0" borderId="0" xfId="0" applyNumberFormat="1" applyFont="1" applyFill="1" applyBorder="1" applyAlignment="1"/>
    <xf numFmtId="169" fontId="9" fillId="0" borderId="0" xfId="0" applyNumberFormat="1" applyFont="1" applyFill="1" applyBorder="1" applyAlignment="1"/>
    <xf numFmtId="0" fontId="19" fillId="0" borderId="3" xfId="0" applyFont="1" applyFill="1" applyBorder="1"/>
    <xf numFmtId="169" fontId="0" fillId="0" borderId="0" xfId="0" applyNumberFormat="1" applyFill="1"/>
    <xf numFmtId="0" fontId="7" fillId="0" borderId="0" xfId="0" applyFont="1" applyFill="1" applyBorder="1"/>
    <xf numFmtId="0" fontId="2" fillId="0" borderId="0" xfId="0" quotePrefix="1" applyFont="1" applyFill="1" applyBorder="1"/>
    <xf numFmtId="173" fontId="2" fillId="2" borderId="0" xfId="0" applyNumberFormat="1" applyFont="1" applyFill="1"/>
    <xf numFmtId="164" fontId="2" fillId="0" borderId="0" xfId="0" applyNumberFormat="1" applyFont="1" applyFill="1"/>
    <xf numFmtId="0" fontId="21" fillId="0" borderId="0" xfId="0" applyFont="1" applyBorder="1"/>
    <xf numFmtId="0" fontId="8" fillId="0" borderId="0" xfId="0" applyFont="1" applyBorder="1"/>
    <xf numFmtId="165" fontId="3" fillId="0" borderId="0" xfId="0" applyNumberFormat="1" applyFont="1" applyBorder="1" applyAlignment="1">
      <alignment horizontal="center"/>
    </xf>
    <xf numFmtId="0" fontId="2" fillId="0" borderId="0" xfId="0" applyFont="1" applyFill="1" applyAlignment="1">
      <alignment wrapText="1"/>
    </xf>
    <xf numFmtId="0" fontId="0" fillId="0" borderId="3" xfId="0" applyFill="1" applyBorder="1"/>
    <xf numFmtId="0" fontId="9" fillId="0" borderId="0" xfId="0" applyFont="1" applyFill="1" applyBorder="1"/>
    <xf numFmtId="0" fontId="13" fillId="0" borderId="0" xfId="0" applyFont="1" applyFill="1" applyBorder="1"/>
    <xf numFmtId="4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5" fillId="0" borderId="0" xfId="0" applyFont="1" applyFill="1"/>
    <xf numFmtId="0" fontId="11" fillId="0" borderId="3" xfId="0" applyFont="1" applyFill="1" applyBorder="1"/>
    <xf numFmtId="0" fontId="15" fillId="0" borderId="0" xfId="0" applyFont="1" applyFill="1" applyAlignment="1"/>
    <xf numFmtId="0" fontId="19" fillId="0" borderId="0" xfId="0" applyFont="1" applyFill="1" applyAlignment="1"/>
    <xf numFmtId="0" fontId="11" fillId="0" borderId="0" xfId="0" applyFont="1" applyFill="1" applyAlignment="1"/>
    <xf numFmtId="41" fontId="11" fillId="0" borderId="0" xfId="0" applyNumberFormat="1" applyFont="1" applyFill="1" applyBorder="1" applyAlignment="1"/>
    <xf numFmtId="169" fontId="15" fillId="0" borderId="0" xfId="0" applyNumberFormat="1" applyFont="1" applyFill="1" applyAlignment="1"/>
    <xf numFmtId="169" fontId="11" fillId="0" borderId="0" xfId="0" applyNumberFormat="1" applyFont="1" applyFill="1" applyAlignment="1"/>
    <xf numFmtId="169" fontId="11" fillId="0" borderId="0" xfId="0" applyNumberFormat="1" applyFont="1" applyFill="1" applyBorder="1" applyAlignment="1"/>
    <xf numFmtId="0" fontId="11" fillId="0" borderId="1" xfId="0" applyFont="1" applyFill="1" applyBorder="1"/>
    <xf numFmtId="169" fontId="22" fillId="0" borderId="0" xfId="0" applyNumberFormat="1" applyFont="1" applyFill="1" applyBorder="1" applyAlignment="1"/>
    <xf numFmtId="169" fontId="22" fillId="0" borderId="0" xfId="0" applyNumberFormat="1" applyFont="1" applyFill="1" applyBorder="1"/>
    <xf numFmtId="172" fontId="11" fillId="0" borderId="0" xfId="0" applyNumberFormat="1" applyFont="1" applyFill="1" applyBorder="1"/>
    <xf numFmtId="172" fontId="22" fillId="0" borderId="0" xfId="0" applyNumberFormat="1" applyFont="1" applyFill="1" applyBorder="1"/>
    <xf numFmtId="165" fontId="11" fillId="0" borderId="0" xfId="0" applyNumberFormat="1" applyFont="1" applyBorder="1"/>
    <xf numFmtId="0" fontId="22" fillId="0" borderId="0" xfId="0" applyFont="1"/>
    <xf numFmtId="0" fontId="23" fillId="0" borderId="0" xfId="0" applyFont="1"/>
    <xf numFmtId="0" fontId="9" fillId="0" borderId="1" xfId="0" applyFont="1" applyFill="1" applyBorder="1"/>
    <xf numFmtId="173" fontId="9" fillId="0" borderId="1" xfId="0" applyNumberFormat="1" applyFont="1" applyFill="1" applyBorder="1"/>
    <xf numFmtId="172" fontId="22" fillId="0" borderId="0" xfId="0" applyNumberFormat="1" applyFont="1" applyFill="1"/>
    <xf numFmtId="166" fontId="2" fillId="0" borderId="0" xfId="2" applyNumberFormat="1" applyFont="1" applyFill="1" applyBorder="1"/>
    <xf numFmtId="171" fontId="9" fillId="0" borderId="0" xfId="1" applyNumberFormat="1" applyFont="1" applyFill="1" applyBorder="1" applyAlignment="1">
      <alignment horizontal="left"/>
    </xf>
    <xf numFmtId="171" fontId="9" fillId="0" borderId="0" xfId="1" applyNumberFormat="1" applyFont="1" applyBorder="1" applyAlignment="1">
      <alignment horizontal="left"/>
    </xf>
    <xf numFmtId="171" fontId="9" fillId="0" borderId="0" xfId="1" applyNumberFormat="1" applyFont="1" applyFill="1" applyBorder="1" applyAlignment="1">
      <alignment horizontal="center"/>
    </xf>
    <xf numFmtId="173" fontId="9" fillId="0" borderId="0" xfId="2" applyNumberFormat="1" applyFont="1" applyFill="1" applyBorder="1"/>
    <xf numFmtId="173" fontId="9" fillId="0" borderId="0" xfId="2" applyNumberFormat="1" applyFont="1" applyBorder="1"/>
    <xf numFmtId="0" fontId="9" fillId="0" borderId="0" xfId="0" applyFont="1"/>
    <xf numFmtId="171" fontId="2" fillId="0" borderId="0" xfId="1" quotePrefix="1" applyNumberFormat="1" applyFont="1" applyFill="1" applyBorder="1" applyAlignment="1">
      <alignment horizontal="left"/>
    </xf>
    <xf numFmtId="171" fontId="2" fillId="0" borderId="0" xfId="1" applyNumberFormat="1" applyFont="1" applyFill="1" applyBorder="1" applyAlignment="1">
      <alignment horizontal="left"/>
    </xf>
    <xf numFmtId="166" fontId="2" fillId="2" borderId="0" xfId="2" applyNumberFormat="1" applyFont="1" applyFill="1" applyBorder="1"/>
    <xf numFmtId="168" fontId="2" fillId="0" borderId="0" xfId="1" applyNumberFormat="1" applyFont="1" applyBorder="1"/>
    <xf numFmtId="170" fontId="2" fillId="0" borderId="0" xfId="1" applyNumberFormat="1" applyFont="1" applyBorder="1"/>
    <xf numFmtId="170" fontId="2" fillId="0" borderId="0" xfId="1" applyNumberFormat="1" applyFont="1" applyFill="1" applyBorder="1"/>
    <xf numFmtId="167" fontId="2" fillId="2" borderId="0" xfId="1" applyNumberFormat="1" applyFont="1" applyFill="1" applyBorder="1"/>
    <xf numFmtId="167" fontId="2" fillId="0" borderId="0" xfId="1" applyNumberFormat="1" applyFont="1" applyBorder="1"/>
    <xf numFmtId="167" fontId="2" fillId="0" borderId="0" xfId="1" applyNumberFormat="1" applyFont="1" applyFill="1" applyBorder="1"/>
    <xf numFmtId="171" fontId="2" fillId="0" borderId="0" xfId="1" quotePrefix="1" applyNumberFormat="1" applyFont="1" applyBorder="1" applyAlignment="1">
      <alignment horizontal="left"/>
    </xf>
    <xf numFmtId="171" fontId="2" fillId="0" borderId="3" xfId="1" quotePrefix="1" applyNumberFormat="1" applyFont="1" applyFill="1" applyBorder="1" applyAlignment="1">
      <alignment horizontal="left"/>
    </xf>
    <xf numFmtId="166" fontId="2" fillId="2" borderId="3" xfId="2" applyNumberFormat="1" applyFont="1" applyFill="1" applyBorder="1"/>
    <xf numFmtId="2" fontId="2" fillId="0" borderId="0" xfId="0" applyNumberFormat="1" applyFont="1" applyBorder="1" applyAlignment="1">
      <alignment horizontal="left"/>
    </xf>
    <xf numFmtId="0" fontId="9" fillId="0" borderId="0" xfId="0" applyFont="1" applyBorder="1"/>
    <xf numFmtId="166" fontId="9" fillId="0" borderId="0" xfId="0" applyNumberFormat="1" applyFont="1" applyBorder="1"/>
    <xf numFmtId="2" fontId="2" fillId="0" borderId="1" xfId="0" applyNumberFormat="1" applyFont="1" applyBorder="1" applyAlignment="1">
      <alignment horizontal="left"/>
    </xf>
    <xf numFmtId="165" fontId="25" fillId="0" borderId="0" xfId="0" applyNumberFormat="1" applyFont="1" applyFill="1"/>
    <xf numFmtId="0" fontId="25" fillId="0" borderId="3" xfId="0" applyFont="1" applyFill="1" applyBorder="1"/>
    <xf numFmtId="169" fontId="24" fillId="0" borderId="0" xfId="0" applyNumberFormat="1" applyFont="1" applyFill="1" applyBorder="1"/>
    <xf numFmtId="169" fontId="24" fillId="0" borderId="0" xfId="0" applyNumberFormat="1" applyFont="1" applyFill="1"/>
    <xf numFmtId="166" fontId="2" fillId="0" borderId="3" xfId="2" applyNumberFormat="1" applyFont="1" applyFill="1" applyBorder="1"/>
    <xf numFmtId="165" fontId="25" fillId="0" borderId="2" xfId="0" applyNumberFormat="1" applyFont="1" applyBorder="1"/>
    <xf numFmtId="0" fontId="17" fillId="0" borderId="0" xfId="0" applyFont="1" applyBorder="1"/>
    <xf numFmtId="0" fontId="17" fillId="0" borderId="0" xfId="0" applyFont="1"/>
    <xf numFmtId="0" fontId="1" fillId="0" borderId="0" xfId="0" applyFont="1" applyFill="1" applyBorder="1"/>
    <xf numFmtId="0" fontId="26" fillId="0" borderId="0" xfId="0" applyFont="1" applyFill="1"/>
    <xf numFmtId="0" fontId="29" fillId="0" borderId="0" xfId="0" applyFont="1"/>
    <xf numFmtId="0" fontId="27" fillId="0" borderId="0" xfId="0" applyFont="1" applyFill="1"/>
    <xf numFmtId="0" fontId="30" fillId="0" borderId="0" xfId="0" applyFont="1" applyFill="1"/>
    <xf numFmtId="172" fontId="31" fillId="0" borderId="0" xfId="0" applyNumberFormat="1" applyFont="1" applyFill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169" fontId="28" fillId="0" borderId="0" xfId="0" applyNumberFormat="1" applyFont="1" applyFill="1" applyBorder="1"/>
    <xf numFmtId="173" fontId="28" fillId="0" borderId="0" xfId="2" applyNumberFormat="1" applyFont="1" applyFill="1" applyBorder="1"/>
    <xf numFmtId="0" fontId="3" fillId="0" borderId="0" xfId="0" applyFont="1" applyBorder="1" applyAlignment="1"/>
    <xf numFmtId="0" fontId="9" fillId="0" borderId="0" xfId="0" applyFont="1" applyFill="1"/>
    <xf numFmtId="169" fontId="2" fillId="2" borderId="1" xfId="0" applyNumberFormat="1" applyFont="1" applyFill="1" applyBorder="1"/>
    <xf numFmtId="0" fontId="2" fillId="0" borderId="1" xfId="0" applyFont="1" applyFill="1" applyBorder="1" applyAlignment="1">
      <alignment horizontal="left" indent="1"/>
    </xf>
    <xf numFmtId="0" fontId="32" fillId="0" borderId="0" xfId="0" applyFont="1" applyAlignment="1">
      <alignment horizontal="left" readingOrder="1"/>
    </xf>
    <xf numFmtId="0" fontId="32" fillId="0" borderId="0" xfId="0" applyFont="1"/>
    <xf numFmtId="0" fontId="33" fillId="0" borderId="0" xfId="0" applyFont="1"/>
    <xf numFmtId="173" fontId="17" fillId="0" borderId="0" xfId="0" applyNumberFormat="1" applyFont="1"/>
    <xf numFmtId="0" fontId="34" fillId="0" borderId="0" xfId="0" applyFont="1" applyAlignment="1">
      <alignment horizontal="left" readingOrder="1"/>
    </xf>
    <xf numFmtId="169" fontId="2" fillId="2" borderId="0" xfId="0" applyNumberFormat="1" applyFont="1" applyFill="1"/>
    <xf numFmtId="0" fontId="2" fillId="0" borderId="0" xfId="0" applyFont="1" applyAlignment="1">
      <alignment horizontal="left" readingOrder="1"/>
    </xf>
    <xf numFmtId="174" fontId="2" fillId="0" borderId="0" xfId="0" applyNumberFormat="1" applyFont="1" applyFill="1"/>
    <xf numFmtId="0" fontId="35" fillId="0" borderId="0" xfId="0" applyFont="1" applyFill="1"/>
    <xf numFmtId="0" fontId="30" fillId="0" borderId="0" xfId="0" applyFont="1"/>
    <xf numFmtId="0" fontId="2" fillId="0" borderId="3" xfId="0" applyFont="1" applyBorder="1" applyAlignment="1">
      <alignment horizontal="center"/>
    </xf>
    <xf numFmtId="0" fontId="30" fillId="0" borderId="0" xfId="0" applyFont="1" applyAlignment="1">
      <alignment horizontal="left" readingOrder="1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/>
    <xf numFmtId="171" fontId="2" fillId="0" borderId="3" xfId="1" applyNumberFormat="1" applyFont="1" applyBorder="1" applyAlignment="1">
      <alignment horizontal="left"/>
    </xf>
    <xf numFmtId="171" fontId="2" fillId="0" borderId="0" xfId="1" applyNumberFormat="1" applyFont="1" applyBorder="1" applyAlignment="1">
      <alignment horizontal="left"/>
    </xf>
    <xf numFmtId="173" fontId="2" fillId="0" borderId="0" xfId="2" applyNumberFormat="1" applyFont="1" applyBorder="1"/>
    <xf numFmtId="173" fontId="2" fillId="0" borderId="3" xfId="2" applyNumberFormat="1" applyFont="1" applyFill="1" applyBorder="1"/>
    <xf numFmtId="173" fontId="2" fillId="0" borderId="0" xfId="2" applyNumberFormat="1" applyFont="1" applyFill="1" applyBorder="1"/>
    <xf numFmtId="171" fontId="2" fillId="0" borderId="0" xfId="1" applyNumberFormat="1" applyFont="1" applyAlignment="1">
      <alignment horizontal="left"/>
    </xf>
    <xf numFmtId="171" fontId="2" fillId="0" borderId="0" xfId="1" applyNumberFormat="1" applyFont="1" applyBorder="1"/>
    <xf numFmtId="171" fontId="2" fillId="0" borderId="0" xfId="1" applyNumberFormat="1" applyFont="1"/>
    <xf numFmtId="171" fontId="2" fillId="0" borderId="0" xfId="1" applyNumberFormat="1" applyFont="1" applyFill="1"/>
    <xf numFmtId="172" fontId="2" fillId="0" borderId="0" xfId="1" applyNumberFormat="1" applyFont="1" applyBorder="1"/>
    <xf numFmtId="172" fontId="2" fillId="0" borderId="0" xfId="1" applyNumberFormat="1" applyFont="1"/>
    <xf numFmtId="172" fontId="2" fillId="0" borderId="0" xfId="1" applyNumberFormat="1" applyFont="1" applyFill="1"/>
    <xf numFmtId="172" fontId="0" fillId="0" borderId="0" xfId="0" applyNumberFormat="1"/>
    <xf numFmtId="172" fontId="2" fillId="0" borderId="0" xfId="1" applyNumberFormat="1" applyFont="1" applyFill="1" applyBorder="1"/>
    <xf numFmtId="172" fontId="2" fillId="0" borderId="3" xfId="1" applyNumberFormat="1" applyFont="1" applyFill="1" applyBorder="1"/>
    <xf numFmtId="171" fontId="2" fillId="0" borderId="1" xfId="1" applyNumberFormat="1" applyFont="1" applyBorder="1" applyAlignment="1">
      <alignment horizontal="left"/>
    </xf>
    <xf numFmtId="172" fontId="2" fillId="0" borderId="1" xfId="1" applyNumberFormat="1" applyFont="1" applyFill="1" applyBorder="1"/>
    <xf numFmtId="171" fontId="9" fillId="0" borderId="2" xfId="1" applyNumberFormat="1" applyFont="1" applyBorder="1" applyAlignment="1">
      <alignment horizontal="left"/>
    </xf>
    <xf numFmtId="173" fontId="9" fillId="0" borderId="2" xfId="2" applyNumberFormat="1" applyFont="1" applyBorder="1"/>
    <xf numFmtId="173" fontId="9" fillId="0" borderId="2" xfId="2" applyNumberFormat="1" applyFont="1" applyFill="1" applyBorder="1"/>
    <xf numFmtId="171" fontId="2" fillId="0" borderId="3" xfId="1" applyNumberFormat="1" applyFont="1" applyFill="1" applyBorder="1"/>
    <xf numFmtId="0" fontId="2" fillId="0" borderId="2" xfId="0" applyFont="1" applyFill="1" applyBorder="1" applyAlignment="1">
      <alignment horizontal="right"/>
    </xf>
    <xf numFmtId="171" fontId="2" fillId="0" borderId="0" xfId="1" applyNumberFormat="1" applyFont="1" applyFill="1" applyBorder="1"/>
    <xf numFmtId="172" fontId="0" fillId="0" borderId="0" xfId="0" applyNumberFormat="1" applyFill="1"/>
    <xf numFmtId="0" fontId="36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9" fontId="36" fillId="0" borderId="0" xfId="0" applyNumberFormat="1" applyFont="1"/>
    <xf numFmtId="0" fontId="2" fillId="0" borderId="1" xfId="0" quotePrefix="1" applyNumberFormat="1" applyFont="1" applyFill="1" applyBorder="1" applyAlignment="1">
      <alignment horizontal="center"/>
    </xf>
    <xf numFmtId="0" fontId="3" fillId="0" borderId="0" xfId="0" applyFont="1" applyAlignment="1"/>
    <xf numFmtId="173" fontId="0" fillId="0" borderId="0" xfId="0" applyNumberFormat="1" applyFill="1" applyBorder="1"/>
    <xf numFmtId="0" fontId="3" fillId="0" borderId="0" xfId="0" applyFont="1" applyFill="1" applyAlignment="1"/>
    <xf numFmtId="0" fontId="2" fillId="0" borderId="0" xfId="0" applyFont="1" applyBorder="1" applyAlignment="1"/>
    <xf numFmtId="41" fontId="2" fillId="0" borderId="0" xfId="0" applyNumberFormat="1" applyFont="1" applyBorder="1" applyAlignment="1"/>
    <xf numFmtId="171" fontId="2" fillId="0" borderId="0" xfId="0" applyNumberFormat="1" applyFont="1" applyFill="1" applyBorder="1"/>
    <xf numFmtId="171" fontId="25" fillId="0" borderId="0" xfId="0" applyNumberFormat="1" applyFont="1" applyFill="1" applyBorder="1"/>
    <xf numFmtId="171" fontId="36" fillId="0" borderId="0" xfId="0" applyNumberFormat="1" applyFont="1"/>
    <xf numFmtId="0" fontId="37" fillId="0" borderId="0" xfId="0" applyFont="1"/>
    <xf numFmtId="0" fontId="1" fillId="0" borderId="3" xfId="0" applyFont="1" applyFill="1" applyBorder="1"/>
    <xf numFmtId="169" fontId="2" fillId="0" borderId="1" xfId="0" applyNumberFormat="1" applyFont="1" applyFill="1" applyBorder="1"/>
    <xf numFmtId="0" fontId="2" fillId="2" borderId="3" xfId="0" quotePrefix="1" applyNumberFormat="1" applyFont="1" applyFill="1" applyBorder="1" applyAlignment="1">
      <alignment horizontal="center"/>
    </xf>
    <xf numFmtId="0" fontId="2" fillId="0" borderId="3" xfId="0" quotePrefix="1" applyNumberFormat="1" applyFont="1" applyFill="1" applyBorder="1" applyAlignment="1">
      <alignment horizontal="center"/>
    </xf>
    <xf numFmtId="165" fontId="36" fillId="0" borderId="0" xfId="0" applyNumberFormat="1" applyFont="1"/>
    <xf numFmtId="0" fontId="36" fillId="0" borderId="0" xfId="0" applyFont="1" applyFill="1"/>
    <xf numFmtId="0" fontId="37" fillId="0" borderId="0" xfId="0" applyFont="1" applyFill="1"/>
    <xf numFmtId="165" fontId="36" fillId="0" borderId="0" xfId="0" applyNumberFormat="1" applyFont="1" applyFill="1" applyBorder="1"/>
    <xf numFmtId="0" fontId="1" fillId="0" borderId="0" xfId="0" applyFont="1"/>
    <xf numFmtId="0" fontId="11" fillId="0" borderId="0" xfId="0" applyFont="1" applyAlignment="1">
      <alignment horizontal="left" readingOrder="1"/>
    </xf>
    <xf numFmtId="165" fontId="3" fillId="0" borderId="0" xfId="0" applyNumberFormat="1" applyFont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172" fontId="36" fillId="0" borderId="0" xfId="0" applyNumberFormat="1" applyFont="1" applyFill="1" applyBorder="1"/>
    <xf numFmtId="169" fontId="38" fillId="0" borderId="0" xfId="0" applyNumberFormat="1" applyFont="1" applyFill="1" applyBorder="1"/>
    <xf numFmtId="169" fontId="36" fillId="0" borderId="0" xfId="0" applyNumberFormat="1" applyFont="1" applyFill="1"/>
    <xf numFmtId="165" fontId="36" fillId="0" borderId="0" xfId="0" applyNumberFormat="1" applyFont="1" applyFill="1"/>
    <xf numFmtId="172" fontId="36" fillId="0" borderId="0" xfId="0" applyNumberFormat="1" applyFont="1" applyFill="1"/>
    <xf numFmtId="169" fontId="36" fillId="0" borderId="0" xfId="0" applyNumberFormat="1" applyFont="1" applyFill="1" applyBorder="1"/>
    <xf numFmtId="173" fontId="36" fillId="0" borderId="0" xfId="0" applyNumberFormat="1" applyFont="1"/>
    <xf numFmtId="169" fontId="38" fillId="0" borderId="0" xfId="0" applyNumberFormat="1" applyFont="1" applyFill="1"/>
    <xf numFmtId="165" fontId="2" fillId="2" borderId="3" xfId="0" applyNumberFormat="1" applyFont="1" applyFill="1" applyBorder="1"/>
    <xf numFmtId="174" fontId="36" fillId="0" borderId="0" xfId="0" applyNumberFormat="1" applyFont="1"/>
    <xf numFmtId="169" fontId="9" fillId="2" borderId="0" xfId="0" applyNumberFormat="1" applyFont="1" applyFill="1" applyBorder="1" applyAlignment="1"/>
    <xf numFmtId="0" fontId="15" fillId="0" borderId="0" xfId="0" applyFont="1" applyFill="1" applyBorder="1"/>
    <xf numFmtId="0" fontId="15" fillId="0" borderId="0" xfId="0" applyFont="1" applyFill="1" applyBorder="1" applyAlignment="1"/>
    <xf numFmtId="169" fontId="15" fillId="0" borderId="0" xfId="0" applyNumberFormat="1" applyFont="1" applyFill="1" applyBorder="1" applyAlignment="1"/>
    <xf numFmtId="165" fontId="2" fillId="2" borderId="3" xfId="0" applyNumberFormat="1" applyFont="1" applyFill="1" applyBorder="1" applyAlignment="1"/>
    <xf numFmtId="165" fontId="2" fillId="0" borderId="3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165" fontId="3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/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41" fontId="2" fillId="0" borderId="0" xfId="0" applyNumberFormat="1" applyFont="1" applyFill="1" applyBorder="1" applyAlignment="1">
      <alignment horizontal="center"/>
    </xf>
    <xf numFmtId="41" fontId="2" fillId="0" borderId="4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gsportal.onshore.pgs.com/bu/corp/communications/Financial%20Statement/Q4_2010_IS_and_B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"/>
      <sheetName val="Compr &amp; BS"/>
    </sheetNames>
    <sheetDataSet>
      <sheetData sheetId="0">
        <row r="25">
          <cell r="F25">
            <v>41511</v>
          </cell>
          <cell r="H25">
            <v>26259</v>
          </cell>
          <cell r="J25">
            <v>-16088</v>
          </cell>
          <cell r="L25">
            <v>176167</v>
          </cell>
        </row>
        <row r="26">
          <cell r="F26">
            <v>-1809</v>
          </cell>
          <cell r="H26">
            <v>-1291</v>
          </cell>
          <cell r="J26">
            <v>8548</v>
          </cell>
          <cell r="L26">
            <v>-8248</v>
          </cell>
        </row>
        <row r="29">
          <cell r="F29">
            <v>0</v>
          </cell>
          <cell r="H29">
            <v>2097</v>
          </cell>
          <cell r="J29">
            <v>67</v>
          </cell>
          <cell r="L29">
            <v>2094</v>
          </cell>
        </row>
        <row r="30">
          <cell r="F30">
            <v>39702</v>
          </cell>
        </row>
      </sheetData>
      <sheetData sheetId="1">
        <row r="16">
          <cell r="G16">
            <v>10323</v>
          </cell>
        </row>
        <row r="31">
          <cell r="G31">
            <v>432579</v>
          </cell>
        </row>
        <row r="32">
          <cell r="G32">
            <v>4773</v>
          </cell>
        </row>
        <row r="42">
          <cell r="G42">
            <v>66395</v>
          </cell>
        </row>
        <row r="54">
          <cell r="G54">
            <v>0</v>
          </cell>
        </row>
        <row r="55">
          <cell r="G55">
            <v>0</v>
          </cell>
        </row>
        <row r="62">
          <cell r="G62">
            <v>783693</v>
          </cell>
        </row>
        <row r="77">
          <cell r="G77">
            <v>1721808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390"/>
  <sheetViews>
    <sheetView showGridLines="0" tabSelected="1" zoomScale="85" zoomScaleNormal="85" zoomScaleSheetLayoutView="100" workbookViewId="0">
      <selection activeCell="D211" sqref="D211"/>
    </sheetView>
  </sheetViews>
  <sheetFormatPr defaultRowHeight="12.75"/>
  <cols>
    <col min="1" max="1" width="3" style="2" customWidth="1"/>
    <col min="2" max="2" width="44.28515625" style="2" customWidth="1"/>
    <col min="3" max="3" width="1.7109375" style="2" customWidth="1"/>
    <col min="4" max="4" width="12.42578125" style="2" customWidth="1"/>
    <col min="5" max="5" width="1.7109375" style="2" customWidth="1"/>
    <col min="6" max="6" width="12.5703125" style="2" bestFit="1" customWidth="1"/>
    <col min="7" max="7" width="1.140625" style="2" customWidth="1"/>
    <col min="8" max="8" width="12.5703125" style="2" bestFit="1" customWidth="1"/>
    <col min="9" max="9" width="1" style="2" customWidth="1"/>
    <col min="10" max="10" width="12.5703125" style="2" bestFit="1" customWidth="1"/>
    <col min="11" max="11" width="1.28515625" style="2" customWidth="1"/>
    <col min="12" max="12" width="13.42578125" style="2" bestFit="1" customWidth="1"/>
    <col min="13" max="13" width="1.140625" style="2" customWidth="1"/>
    <col min="14" max="14" width="12" style="2" customWidth="1"/>
    <col min="15" max="15" width="1.5703125" style="2" customWidth="1"/>
    <col min="16" max="16" width="12" style="2" customWidth="1"/>
    <col min="17" max="17" width="1.42578125" style="2" customWidth="1"/>
    <col min="18" max="18" width="11.28515625" style="2" customWidth="1"/>
    <col min="19" max="19" width="1.7109375" style="2" customWidth="1"/>
    <col min="20" max="20" width="11.7109375" style="2" customWidth="1"/>
    <col min="21" max="21" width="1.7109375" style="2" customWidth="1"/>
    <col min="22" max="16384" width="9.140625" style="2"/>
  </cols>
  <sheetData>
    <row r="1" spans="1:27" customFormat="1" ht="18.75" customHeight="1">
      <c r="A1" s="301" t="s">
        <v>114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103"/>
      <c r="S1" s="103"/>
      <c r="T1" s="103"/>
      <c r="U1" s="103"/>
    </row>
    <row r="2" spans="1:27" customFormat="1" ht="20.25">
      <c r="A2" s="301" t="s">
        <v>250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103"/>
      <c r="S2" s="103"/>
      <c r="T2" s="103"/>
      <c r="U2" s="103"/>
    </row>
    <row r="3" spans="1:27" customFormat="1"/>
    <row r="4" spans="1:27" customFormat="1" ht="14.1" customHeight="1">
      <c r="A4" s="8" t="s">
        <v>59</v>
      </c>
      <c r="B4" s="9"/>
      <c r="C4" s="9"/>
      <c r="D4" s="8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2"/>
    </row>
    <row r="5" spans="1:27" customFormat="1" ht="12.75" customHeight="1">
      <c r="A5" s="215" t="s">
        <v>230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10"/>
    </row>
    <row r="6" spans="1:27" customFormat="1" ht="12.75" customHeight="1">
      <c r="A6" s="215" t="s">
        <v>200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10"/>
    </row>
    <row r="7" spans="1:27" customFormat="1" ht="12.75" customHeight="1">
      <c r="A7" s="215" t="s">
        <v>201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10"/>
    </row>
    <row r="8" spans="1:27" customFormat="1" ht="12.75" customHeight="1">
      <c r="A8" s="21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10"/>
    </row>
    <row r="9" spans="1:27" customFormat="1" ht="14.1" customHeight="1">
      <c r="A9" s="10" t="s">
        <v>60</v>
      </c>
      <c r="B9" s="94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2"/>
    </row>
    <row r="10" spans="1:27" customFormat="1" ht="14.1" customHeight="1">
      <c r="A10" s="10" t="s">
        <v>61</v>
      </c>
      <c r="B10" s="9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2"/>
    </row>
    <row r="11" spans="1:27" customFormat="1" ht="14.1" customHeight="1">
      <c r="A11" s="10" t="s">
        <v>62</v>
      </c>
      <c r="B11" s="94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2"/>
    </row>
    <row r="12" spans="1:27" customFormat="1" ht="12.75" customHeight="1">
      <c r="A12" s="220" t="s">
        <v>210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10"/>
    </row>
    <row r="13" spans="1:27" customFormat="1" ht="12.75" customHeight="1">
      <c r="A13" s="220" t="s">
        <v>211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10"/>
    </row>
    <row r="14" spans="1:27" customFormat="1" ht="12.75" customHeight="1">
      <c r="A14" s="220" t="s">
        <v>245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10"/>
    </row>
    <row r="15" spans="1:27" customFormat="1" ht="12.75" customHeight="1">
      <c r="A15" s="220" t="s">
        <v>231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10"/>
    </row>
    <row r="16" spans="1:27" customFormat="1" ht="12.75" customHeight="1">
      <c r="A16" s="209" t="s">
        <v>246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10"/>
    </row>
    <row r="17" spans="1:27" s="119" customFormat="1" ht="12.75" customHeight="1">
      <c r="A17" s="209" t="s">
        <v>197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</row>
    <row r="18" spans="1:27" customFormat="1" ht="12.75" customHeight="1">
      <c r="A18" s="209" t="s">
        <v>198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10"/>
    </row>
    <row r="19" spans="1:27" customFormat="1" ht="12.75" customHeight="1">
      <c r="A19" s="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10"/>
    </row>
    <row r="20" spans="1:27" customFormat="1" ht="12.75" customHeight="1">
      <c r="A20" s="8" t="s">
        <v>63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10"/>
    </row>
    <row r="21" spans="1:27" customFormat="1" ht="12.75" customHeight="1">
      <c r="A21" s="220" t="s">
        <v>251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10"/>
    </row>
    <row r="22" spans="1:27" customFormat="1" ht="12.75" customHeight="1">
      <c r="A22" s="209" t="s">
        <v>147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10"/>
    </row>
    <row r="23" spans="1:27" customFormat="1" ht="12.75" customHeight="1">
      <c r="A23" s="220" t="s">
        <v>202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10"/>
    </row>
    <row r="24" spans="1:27" customFormat="1" ht="12.75" customHeight="1">
      <c r="A24" s="209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10"/>
    </row>
    <row r="25" spans="1:27" customFormat="1" ht="12.75" customHeight="1">
      <c r="A25" s="209" t="s">
        <v>148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10"/>
    </row>
    <row r="26" spans="1:27" customFormat="1" ht="12.75" customHeight="1">
      <c r="A26" s="220" t="s">
        <v>209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10"/>
    </row>
    <row r="27" spans="1:27" customFormat="1" ht="12.75" customHeight="1">
      <c r="A27" s="220" t="s">
        <v>203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10"/>
    </row>
    <row r="28" spans="1:27" customFormat="1" ht="12.75" customHeight="1">
      <c r="A28" s="209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10"/>
    </row>
    <row r="29" spans="1:27" customFormat="1" ht="15.75" customHeight="1">
      <c r="A29" s="211" t="s">
        <v>204</v>
      </c>
      <c r="B29" s="34"/>
      <c r="C29" s="209"/>
      <c r="D29" s="2"/>
      <c r="E29" s="272"/>
      <c r="F29" s="248"/>
      <c r="G29" s="248"/>
      <c r="H29" s="248"/>
      <c r="I29" s="248"/>
      <c r="J29" s="248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10"/>
    </row>
    <row r="30" spans="1:27" customFormat="1" ht="12.75" customHeight="1">
      <c r="A30" s="2" t="s">
        <v>252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10"/>
    </row>
    <row r="31" spans="1:27" customFormat="1" ht="12.75" hidden="1" customHeight="1">
      <c r="A31" s="2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10"/>
    </row>
    <row r="32" spans="1:27" customFormat="1" ht="12.75" hidden="1" customHeight="1">
      <c r="A32" s="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10"/>
    </row>
    <row r="33" spans="1:27" customFormat="1" ht="12.75" customHeight="1">
      <c r="A33" s="2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10"/>
    </row>
    <row r="34" spans="1:27" customFormat="1" ht="12.75" customHeight="1">
      <c r="A34" s="36" t="s">
        <v>64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10"/>
    </row>
    <row r="35" spans="1:27" customFormat="1" ht="12.75" customHeight="1">
      <c r="A35" s="5" t="s">
        <v>244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10"/>
    </row>
    <row r="36" spans="1:27" customFormat="1" ht="12.75" customHeight="1">
      <c r="A36" s="5" t="s">
        <v>243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10"/>
    </row>
    <row r="37" spans="1:27" customFormat="1" ht="12.75" customHeight="1">
      <c r="A37" s="5" t="s">
        <v>234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10"/>
    </row>
    <row r="38" spans="1:27" customFormat="1" ht="12.75" customHeight="1">
      <c r="A38" s="5" t="s">
        <v>224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10"/>
    </row>
    <row r="39" spans="1:27" customFormat="1" ht="12.75" customHeight="1">
      <c r="A39" s="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10"/>
    </row>
    <row r="40" spans="1:27" s="114" customFormat="1" ht="13.5" thickBot="1">
      <c r="A40" s="37" t="s">
        <v>65</v>
      </c>
      <c r="B40" s="37"/>
      <c r="C40" s="37"/>
      <c r="D40" s="120"/>
      <c r="E40" s="37"/>
      <c r="F40" s="37"/>
      <c r="G40" s="37"/>
      <c r="H40" s="37"/>
      <c r="I40" s="37"/>
      <c r="J40" s="37"/>
      <c r="K40" s="37"/>
      <c r="L40" s="32"/>
      <c r="M40" s="32"/>
      <c r="N40" s="32"/>
      <c r="O40" s="32"/>
      <c r="R40" s="32"/>
      <c r="S40" s="32"/>
      <c r="X40" s="25"/>
    </row>
    <row r="41" spans="1:27" s="141" customFormat="1">
      <c r="A41" s="83"/>
      <c r="B41" s="83"/>
      <c r="C41" s="83"/>
      <c r="D41" s="300" t="s">
        <v>8</v>
      </c>
      <c r="E41" s="300"/>
      <c r="F41" s="300"/>
      <c r="G41" s="292"/>
      <c r="H41" s="300" t="s">
        <v>34</v>
      </c>
      <c r="I41" s="300"/>
      <c r="J41" s="300"/>
      <c r="K41" s="293"/>
      <c r="M41" s="139"/>
      <c r="N41" s="139"/>
      <c r="S41" s="86"/>
    </row>
    <row r="42" spans="1:27" s="141" customFormat="1">
      <c r="A42" s="140"/>
      <c r="B42" s="140"/>
      <c r="C42" s="140"/>
      <c r="D42" s="298" t="s">
        <v>66</v>
      </c>
      <c r="E42" s="298"/>
      <c r="F42" s="298"/>
      <c r="G42" s="291"/>
      <c r="H42" s="298" t="s">
        <v>6</v>
      </c>
      <c r="I42" s="298"/>
      <c r="J42" s="298"/>
      <c r="K42" s="293"/>
      <c r="M42" s="140"/>
      <c r="N42" s="140"/>
      <c r="S42" s="86"/>
    </row>
    <row r="43" spans="1:27" s="141" customFormat="1">
      <c r="A43" s="126" t="s">
        <v>7</v>
      </c>
      <c r="B43" s="142"/>
      <c r="C43" s="86"/>
      <c r="D43" s="54">
        <v>2010</v>
      </c>
      <c r="E43" s="121"/>
      <c r="F43" s="26">
        <v>2009</v>
      </c>
      <c r="G43" s="65"/>
      <c r="H43" s="265">
        <v>2010</v>
      </c>
      <c r="I43" s="121"/>
      <c r="J43" s="274">
        <v>2009</v>
      </c>
      <c r="K43" s="26">
        <v>2009</v>
      </c>
      <c r="M43" s="143"/>
      <c r="N43" s="143"/>
      <c r="O43" s="86"/>
      <c r="P43" s="86"/>
      <c r="Q43" s="86"/>
      <c r="R43" s="86"/>
      <c r="T43" s="86"/>
    </row>
    <row r="44" spans="1:27" s="141" customFormat="1">
      <c r="A44" s="206" t="s">
        <v>158</v>
      </c>
      <c r="B44" s="83"/>
      <c r="C44" s="86"/>
      <c r="D44" s="302" t="s">
        <v>5</v>
      </c>
      <c r="E44" s="302"/>
      <c r="F44" s="302"/>
      <c r="G44" s="302"/>
      <c r="H44" s="302"/>
      <c r="I44" s="302"/>
      <c r="J44" s="302"/>
      <c r="K44" s="202"/>
      <c r="L44" s="202"/>
      <c r="M44" s="202"/>
      <c r="N44" s="202"/>
      <c r="O44" s="202"/>
      <c r="P44" s="202"/>
      <c r="Q44" s="144"/>
      <c r="R44" s="144"/>
      <c r="S44" s="143"/>
      <c r="T44" s="143"/>
      <c r="U44" s="86"/>
      <c r="V44" s="86"/>
      <c r="W44" s="86"/>
      <c r="X44" s="86"/>
    </row>
    <row r="45" spans="1:27" s="141" customFormat="1">
      <c r="A45" s="86" t="s">
        <v>7</v>
      </c>
      <c r="B45" s="25" t="s">
        <v>50</v>
      </c>
      <c r="C45" s="86"/>
      <c r="D45" s="122"/>
      <c r="E45" s="145"/>
      <c r="F45" s="145"/>
      <c r="G45" s="145"/>
      <c r="H45" s="145"/>
      <c r="I45" s="145"/>
      <c r="J45" s="145"/>
      <c r="K45" s="145"/>
      <c r="L45" s="146"/>
      <c r="O45" s="143"/>
      <c r="P45" s="147"/>
      <c r="Q45" s="86"/>
      <c r="R45" s="86"/>
      <c r="S45" s="86"/>
      <c r="T45" s="86"/>
      <c r="V45" s="86"/>
    </row>
    <row r="46" spans="1:27" s="141" customFormat="1">
      <c r="A46" s="86"/>
      <c r="B46" s="32" t="s">
        <v>1</v>
      </c>
      <c r="C46" s="86"/>
      <c r="D46" s="67">
        <f>+H46-448464</f>
        <v>180637</v>
      </c>
      <c r="E46" s="148"/>
      <c r="F46" s="70">
        <v>158155</v>
      </c>
      <c r="G46" s="70"/>
      <c r="H46" s="67">
        <v>629101</v>
      </c>
      <c r="I46" s="148"/>
      <c r="J46" s="70">
        <v>893050</v>
      </c>
      <c r="K46" s="124"/>
      <c r="L46" s="146"/>
      <c r="O46" s="143"/>
      <c r="P46" s="147"/>
      <c r="Q46" s="86"/>
      <c r="R46" s="86"/>
      <c r="S46" s="86"/>
      <c r="T46" s="86"/>
      <c r="V46" s="86"/>
    </row>
    <row r="47" spans="1:27" s="141" customFormat="1">
      <c r="A47" s="86"/>
      <c r="B47" s="25" t="s">
        <v>67</v>
      </c>
      <c r="C47" s="86"/>
      <c r="D47" s="68">
        <f>+H47-121878</f>
        <v>76400</v>
      </c>
      <c r="E47" s="124"/>
      <c r="F47" s="80">
        <v>31479</v>
      </c>
      <c r="G47" s="80"/>
      <c r="H47" s="68">
        <v>198278</v>
      </c>
      <c r="I47" s="124"/>
      <c r="J47" s="80">
        <v>169043</v>
      </c>
      <c r="K47" s="124"/>
      <c r="L47" s="149"/>
      <c r="O47" s="143"/>
      <c r="P47" s="147"/>
      <c r="Q47" s="86"/>
      <c r="R47" s="86"/>
      <c r="S47" s="86"/>
      <c r="T47" s="86"/>
      <c r="V47" s="86"/>
    </row>
    <row r="48" spans="1:27" s="141" customFormat="1">
      <c r="A48" s="83"/>
      <c r="B48" s="32" t="s">
        <v>68</v>
      </c>
      <c r="C48" s="83"/>
      <c r="D48" s="68">
        <f>+H48-118605</f>
        <v>73657</v>
      </c>
      <c r="E48" s="124"/>
      <c r="F48" s="80">
        <v>87683</v>
      </c>
      <c r="G48" s="80"/>
      <c r="H48" s="68">
        <v>192262</v>
      </c>
      <c r="I48" s="124"/>
      <c r="J48" s="80">
        <v>182135</v>
      </c>
      <c r="K48" s="124"/>
      <c r="L48" s="124"/>
      <c r="O48" s="143"/>
      <c r="P48" s="147"/>
      <c r="Q48" s="86"/>
      <c r="R48" s="86"/>
      <c r="S48" s="86"/>
      <c r="T48" s="86"/>
      <c r="V48" s="86"/>
    </row>
    <row r="49" spans="1:27" s="141" customFormat="1">
      <c r="A49" s="83"/>
      <c r="B49" s="32" t="s">
        <v>69</v>
      </c>
      <c r="C49" s="83"/>
      <c r="D49" s="68">
        <f>+H49-72624</f>
        <v>30847</v>
      </c>
      <c r="E49" s="124"/>
      <c r="F49" s="80">
        <v>23485</v>
      </c>
      <c r="G49" s="80"/>
      <c r="H49" s="68">
        <f>103251+220</f>
        <v>103471</v>
      </c>
      <c r="I49" s="124"/>
      <c r="J49" s="80">
        <v>90158</v>
      </c>
      <c r="K49" s="124"/>
      <c r="L49" s="124"/>
      <c r="O49" s="143"/>
      <c r="P49" s="147"/>
      <c r="Q49" s="86"/>
      <c r="R49" s="86"/>
      <c r="S49" s="86"/>
      <c r="T49" s="86"/>
      <c r="V49" s="86"/>
    </row>
    <row r="50" spans="1:27" s="141" customFormat="1">
      <c r="A50" s="142"/>
      <c r="B50" s="98" t="s">
        <v>2</v>
      </c>
      <c r="C50" s="83"/>
      <c r="D50" s="289">
        <f>+H50-6350</f>
        <v>2889</v>
      </c>
      <c r="E50" s="124"/>
      <c r="F50" s="290">
        <v>2855</v>
      </c>
      <c r="G50" s="80"/>
      <c r="H50" s="289">
        <v>9239</v>
      </c>
      <c r="I50" s="124"/>
      <c r="J50" s="290">
        <v>15816</v>
      </c>
      <c r="K50" s="124"/>
      <c r="L50" s="124" t="s">
        <v>7</v>
      </c>
      <c r="O50" s="143"/>
      <c r="P50" s="147"/>
      <c r="Q50" s="86"/>
      <c r="R50" s="86"/>
      <c r="S50" s="86"/>
      <c r="T50" s="86"/>
      <c r="V50" s="86"/>
    </row>
    <row r="51" spans="1:27" s="286" customFormat="1">
      <c r="A51" s="83"/>
      <c r="B51" s="32" t="s">
        <v>70</v>
      </c>
      <c r="C51" s="83"/>
      <c r="D51" s="285">
        <f>SUM(D46:D50)</f>
        <v>364430</v>
      </c>
      <c r="E51" s="149"/>
      <c r="F51" s="125">
        <f>SUM(F46:F50)</f>
        <v>303657</v>
      </c>
      <c r="G51" s="125"/>
      <c r="H51" s="285">
        <f>SUM(H46:H50)</f>
        <v>1132351</v>
      </c>
      <c r="I51" s="149"/>
      <c r="J51" s="125">
        <f>SUM(J46:J50)</f>
        <v>1350202</v>
      </c>
      <c r="K51" s="151"/>
      <c r="L51" s="151"/>
      <c r="O51" s="287"/>
      <c r="P51" s="288"/>
      <c r="Q51" s="83"/>
      <c r="R51" s="83"/>
      <c r="S51" s="83"/>
      <c r="T51" s="83"/>
      <c r="V51" s="83"/>
    </row>
    <row r="52" spans="1:27" s="141" customFormat="1">
      <c r="A52" s="83"/>
      <c r="B52" s="32" t="s">
        <v>235</v>
      </c>
      <c r="C52" s="83" t="s">
        <v>7</v>
      </c>
      <c r="D52" s="60">
        <f>+H52-2783</f>
        <v>0</v>
      </c>
      <c r="E52" s="153"/>
      <c r="F52" s="51">
        <v>0</v>
      </c>
      <c r="G52" s="51"/>
      <c r="H52" s="60">
        <v>2783</v>
      </c>
      <c r="I52" s="153"/>
      <c r="J52" s="51">
        <v>0</v>
      </c>
      <c r="K52" s="153"/>
      <c r="L52" s="152"/>
      <c r="P52" s="147"/>
      <c r="Q52" s="86"/>
      <c r="R52" s="86"/>
      <c r="S52" s="86"/>
      <c r="T52" s="86"/>
      <c r="U52" s="86"/>
      <c r="V52" s="86"/>
    </row>
    <row r="53" spans="1:27" s="141" customFormat="1">
      <c r="A53" s="150"/>
      <c r="B53" s="106" t="s">
        <v>138</v>
      </c>
      <c r="C53" s="83"/>
      <c r="D53" s="69">
        <f>SUM(D51:D52)</f>
        <v>364430</v>
      </c>
      <c r="E53" s="123"/>
      <c r="F53" s="81">
        <f>SUM(F51:F52)</f>
        <v>303657</v>
      </c>
      <c r="G53" s="125"/>
      <c r="H53" s="69">
        <f>SUM(H51:H52)</f>
        <v>1135134</v>
      </c>
      <c r="I53" s="123"/>
      <c r="J53" s="81">
        <f>SUM(J51:J52)</f>
        <v>1350202</v>
      </c>
      <c r="K53" s="125"/>
      <c r="L53" s="152"/>
      <c r="P53" s="147"/>
      <c r="Q53" s="86"/>
      <c r="R53" s="86"/>
      <c r="S53" s="86"/>
      <c r="T53" s="86"/>
      <c r="U53" s="86"/>
      <c r="V53" s="86"/>
    </row>
    <row r="54" spans="1:27" s="141" customFormat="1">
      <c r="A54" s="83"/>
      <c r="B54" s="83"/>
      <c r="C54" s="83"/>
      <c r="D54" s="154"/>
      <c r="E54" s="153"/>
      <c r="F54" s="154"/>
      <c r="G54" s="154"/>
      <c r="H54" s="154"/>
      <c r="I54" s="154"/>
      <c r="J54" s="154"/>
      <c r="K54" s="154"/>
      <c r="L54" s="154"/>
      <c r="M54" s="152"/>
      <c r="Q54" s="147"/>
      <c r="R54" s="86"/>
      <c r="S54" s="86"/>
      <c r="T54" s="86"/>
      <c r="U54" s="86"/>
      <c r="V54" s="86"/>
      <c r="W54" s="86"/>
    </row>
    <row r="55" spans="1:27" customFormat="1">
      <c r="A55" s="102"/>
      <c r="B55" s="102"/>
      <c r="C55" s="5"/>
      <c r="D55" s="85"/>
      <c r="E55" s="17"/>
      <c r="F55" s="17"/>
      <c r="G55" s="17"/>
      <c r="H55" s="17"/>
      <c r="I55" s="17"/>
      <c r="J55" s="17"/>
      <c r="K55" s="17"/>
      <c r="L55" s="17"/>
      <c r="M55" s="17"/>
      <c r="N55" s="85"/>
      <c r="O55" s="17"/>
      <c r="P55" s="17"/>
      <c r="Q55" s="17"/>
      <c r="T55" s="17"/>
      <c r="U55" s="74"/>
      <c r="V55" s="14"/>
      <c r="W55" s="14"/>
      <c r="X55" s="14"/>
      <c r="Y55" s="14"/>
      <c r="Z55" s="5"/>
      <c r="AA55" s="5"/>
    </row>
    <row r="56" spans="1:27" s="114" customFormat="1" ht="13.5" thickBot="1">
      <c r="A56" s="37" t="s">
        <v>71</v>
      </c>
      <c r="B56" s="37"/>
      <c r="C56" s="37"/>
      <c r="D56" s="120"/>
      <c r="E56" s="37"/>
      <c r="F56" s="37"/>
      <c r="G56" s="37"/>
      <c r="H56" s="37"/>
      <c r="I56" s="37"/>
      <c r="J56" s="37"/>
      <c r="K56" s="37"/>
      <c r="L56" s="32"/>
      <c r="M56" s="32"/>
      <c r="N56" s="32"/>
      <c r="O56" s="32"/>
      <c r="R56" s="32"/>
      <c r="S56" s="32"/>
      <c r="W56" s="25"/>
      <c r="X56" s="32"/>
    </row>
    <row r="57" spans="1:27" s="114" customFormat="1">
      <c r="A57" s="32"/>
      <c r="B57" s="32"/>
      <c r="C57" s="32"/>
      <c r="D57" s="300" t="s">
        <v>8</v>
      </c>
      <c r="E57" s="300"/>
      <c r="F57" s="300"/>
      <c r="G57" s="292"/>
      <c r="H57" s="300" t="s">
        <v>34</v>
      </c>
      <c r="I57" s="300"/>
      <c r="J57" s="300"/>
      <c r="K57" s="117"/>
      <c r="L57" s="78"/>
      <c r="M57" s="78"/>
      <c r="N57" s="64"/>
      <c r="O57" s="64"/>
      <c r="R57" s="117"/>
      <c r="S57" s="117"/>
      <c r="W57" s="25"/>
      <c r="X57" s="32"/>
    </row>
    <row r="58" spans="1:27" s="114" customFormat="1">
      <c r="A58" s="64"/>
      <c r="B58" s="64"/>
      <c r="C58" s="64"/>
      <c r="D58" s="298" t="s">
        <v>66</v>
      </c>
      <c r="E58" s="298"/>
      <c r="F58" s="298"/>
      <c r="G58" s="291"/>
      <c r="H58" s="298" t="s">
        <v>6</v>
      </c>
      <c r="I58" s="298"/>
      <c r="J58" s="298"/>
      <c r="K58" s="64"/>
      <c r="L58" s="78"/>
      <c r="M58" s="78"/>
      <c r="N58" s="64"/>
      <c r="O58" s="64"/>
      <c r="R58" s="64"/>
      <c r="S58" s="64"/>
      <c r="W58" s="25"/>
      <c r="X58" s="25"/>
    </row>
    <row r="59" spans="1:27" s="114" customFormat="1">
      <c r="A59" s="126"/>
      <c r="B59" s="98"/>
      <c r="C59" s="25"/>
      <c r="D59" s="54">
        <v>2010</v>
      </c>
      <c r="E59" s="121"/>
      <c r="F59" s="26">
        <v>2009</v>
      </c>
      <c r="G59" s="65"/>
      <c r="H59" s="265">
        <v>2010</v>
      </c>
      <c r="I59" s="121"/>
      <c r="J59" s="274">
        <v>2009</v>
      </c>
      <c r="K59" s="65"/>
      <c r="L59" s="78"/>
      <c r="M59" s="78"/>
      <c r="Q59" s="121"/>
      <c r="R59" s="25"/>
      <c r="S59" s="25"/>
      <c r="T59" s="25"/>
      <c r="U59" s="25"/>
      <c r="V59" s="25"/>
    </row>
    <row r="60" spans="1:27" s="114" customFormat="1">
      <c r="A60" s="206" t="s">
        <v>162</v>
      </c>
      <c r="B60" s="32"/>
      <c r="C60" s="25"/>
      <c r="D60" s="302" t="s">
        <v>5</v>
      </c>
      <c r="E60" s="302"/>
      <c r="F60" s="302"/>
      <c r="G60" s="302"/>
      <c r="H60" s="302"/>
      <c r="I60" s="302"/>
      <c r="J60" s="302"/>
      <c r="K60" s="202"/>
      <c r="L60" s="251"/>
      <c r="M60" s="251"/>
      <c r="N60" s="200"/>
      <c r="O60" s="200"/>
      <c r="T60" s="121"/>
      <c r="U60" s="121"/>
      <c r="V60" s="121"/>
      <c r="W60" s="25"/>
      <c r="X60" s="25"/>
    </row>
    <row r="61" spans="1:27" s="114" customFormat="1">
      <c r="A61" s="113" t="s">
        <v>31</v>
      </c>
      <c r="B61" s="46"/>
      <c r="C61" s="25"/>
      <c r="D61" s="24"/>
      <c r="E61" s="24"/>
      <c r="F61" s="24"/>
      <c r="G61" s="24"/>
      <c r="H61" s="24"/>
      <c r="I61" s="24"/>
      <c r="J61" s="24"/>
      <c r="K61" s="24"/>
      <c r="L61" s="23"/>
      <c r="M61" s="23"/>
      <c r="N61" s="23"/>
      <c r="O61" s="82"/>
      <c r="S61" s="24"/>
      <c r="T61" s="25"/>
      <c r="U61" s="25"/>
      <c r="V61" s="25"/>
      <c r="W61" s="25"/>
      <c r="X61" s="25"/>
    </row>
    <row r="62" spans="1:27" s="114" customFormat="1">
      <c r="A62" s="25"/>
      <c r="B62" s="46" t="s">
        <v>247</v>
      </c>
      <c r="C62" s="25"/>
      <c r="D62" s="55">
        <f>+H62-314977</f>
        <v>169072</v>
      </c>
      <c r="E62" s="24"/>
      <c r="F62" s="24">
        <f>+J62-545089</f>
        <v>145923</v>
      </c>
      <c r="G62" s="24"/>
      <c r="H62" s="214">
        <f>489952-5303-600</f>
        <v>484049</v>
      </c>
      <c r="I62" s="277"/>
      <c r="J62" s="24">
        <v>691012</v>
      </c>
      <c r="K62" s="24"/>
      <c r="L62" s="23"/>
      <c r="M62" s="23"/>
      <c r="P62" s="127"/>
      <c r="Q62" s="24"/>
      <c r="R62" s="25"/>
      <c r="S62" s="25"/>
      <c r="T62" s="25"/>
      <c r="U62" s="25"/>
      <c r="V62" s="25"/>
    </row>
    <row r="63" spans="1:27" s="114" customFormat="1" hidden="1">
      <c r="A63" s="25"/>
      <c r="B63" s="46" t="s">
        <v>58</v>
      </c>
      <c r="C63" s="25"/>
      <c r="D63" s="56"/>
      <c r="E63" s="22"/>
      <c r="F63" s="22">
        <v>0</v>
      </c>
      <c r="G63" s="22"/>
      <c r="H63" s="56"/>
      <c r="I63" s="278"/>
      <c r="J63" s="22"/>
      <c r="K63" s="22"/>
      <c r="L63" s="28"/>
      <c r="M63" s="28"/>
      <c r="P63" s="127"/>
      <c r="Q63" s="24"/>
      <c r="R63" s="25"/>
      <c r="S63" s="25"/>
      <c r="T63" s="25"/>
      <c r="U63" s="25"/>
      <c r="V63" s="25"/>
    </row>
    <row r="64" spans="1:27" s="114" customFormat="1">
      <c r="A64" s="25"/>
      <c r="B64" s="46" t="s">
        <v>72</v>
      </c>
      <c r="C64" s="43"/>
      <c r="D64" s="59">
        <f>+H64+80418</f>
        <v>1282</v>
      </c>
      <c r="E64" s="43"/>
      <c r="F64" s="43">
        <f>+J64+151212</f>
        <v>-2403</v>
      </c>
      <c r="G64" s="43"/>
      <c r="H64" s="59">
        <v>-79136</v>
      </c>
      <c r="I64" s="279"/>
      <c r="J64" s="43">
        <v>-153615</v>
      </c>
      <c r="K64" s="43"/>
      <c r="L64" s="23"/>
      <c r="M64" s="28"/>
      <c r="O64" s="269"/>
      <c r="P64" s="127"/>
      <c r="Q64" s="24"/>
      <c r="R64" s="25"/>
      <c r="S64" s="25"/>
      <c r="T64" s="25"/>
      <c r="U64" s="25"/>
      <c r="V64" s="25"/>
    </row>
    <row r="65" spans="1:22" s="114" customFormat="1">
      <c r="A65" s="25"/>
      <c r="B65" s="46" t="s">
        <v>73</v>
      </c>
      <c r="C65" s="43"/>
      <c r="D65" s="59">
        <f>+H65+89270</f>
        <v>-39212</v>
      </c>
      <c r="E65" s="43"/>
      <c r="F65" s="43">
        <f>+J65+93240</f>
        <v>-32099</v>
      </c>
      <c r="G65" s="43"/>
      <c r="H65" s="59">
        <f>-125554-38-2796-94</f>
        <v>-128482</v>
      </c>
      <c r="I65" s="279"/>
      <c r="J65" s="43">
        <v>-125339</v>
      </c>
      <c r="K65" s="43"/>
      <c r="L65" s="23"/>
      <c r="M65" s="28"/>
      <c r="P65" s="127"/>
      <c r="Q65" s="24"/>
      <c r="R65" s="25"/>
      <c r="S65" s="25"/>
      <c r="T65" s="25"/>
      <c r="U65" s="25"/>
      <c r="V65" s="25"/>
    </row>
    <row r="66" spans="1:22" s="114" customFormat="1">
      <c r="A66" s="25"/>
      <c r="B66" s="46" t="s">
        <v>74</v>
      </c>
      <c r="C66" s="43"/>
      <c r="D66" s="59">
        <f>+H66+115057</f>
        <v>-76265</v>
      </c>
      <c r="E66" s="43"/>
      <c r="F66" s="43">
        <f>+J66+90969</f>
        <v>-62463</v>
      </c>
      <c r="G66" s="43"/>
      <c r="H66" s="59">
        <f>-12236-13546-164707-833</f>
        <v>-191322</v>
      </c>
      <c r="I66" s="279"/>
      <c r="J66" s="43">
        <v>-153432</v>
      </c>
      <c r="K66" s="43"/>
      <c r="L66" s="23"/>
      <c r="M66" s="28"/>
      <c r="P66" s="127"/>
      <c r="Q66" s="24"/>
      <c r="R66" s="25"/>
      <c r="S66" s="25"/>
      <c r="T66" s="25"/>
      <c r="U66" s="25"/>
      <c r="V66" s="25"/>
    </row>
    <row r="67" spans="1:22" s="114" customFormat="1">
      <c r="A67" s="106"/>
      <c r="B67" s="47" t="s">
        <v>75</v>
      </c>
      <c r="C67" s="25"/>
      <c r="D67" s="96">
        <f>SUM(D62:D66)</f>
        <v>54877</v>
      </c>
      <c r="E67" s="22"/>
      <c r="F67" s="93">
        <f>SUM(F62:F66)</f>
        <v>48958</v>
      </c>
      <c r="G67" s="28"/>
      <c r="H67" s="96">
        <f>SUM(H62:H66)</f>
        <v>85109</v>
      </c>
      <c r="I67" s="278"/>
      <c r="J67" s="93">
        <f>SUM(J62:J66)</f>
        <v>258626</v>
      </c>
      <c r="K67" s="28"/>
      <c r="L67" s="28"/>
      <c r="M67" s="28"/>
      <c r="P67" s="127"/>
      <c r="Q67" s="24"/>
      <c r="R67" s="25"/>
      <c r="S67" s="25"/>
      <c r="T67" s="25"/>
      <c r="U67" s="25"/>
      <c r="V67" s="25"/>
    </row>
    <row r="68" spans="1:22" s="114" customFormat="1">
      <c r="A68" s="113" t="s">
        <v>51</v>
      </c>
      <c r="B68" s="46"/>
      <c r="C68" s="25"/>
      <c r="D68" s="22"/>
      <c r="E68" s="22"/>
      <c r="F68" s="22"/>
      <c r="G68" s="22"/>
      <c r="H68" s="22"/>
      <c r="I68" s="278"/>
      <c r="J68" s="278"/>
      <c r="K68" s="22"/>
      <c r="L68" s="28"/>
      <c r="M68" s="28"/>
      <c r="P68" s="127"/>
      <c r="Q68" s="24"/>
      <c r="R68" s="25"/>
      <c r="S68" s="25"/>
      <c r="T68" s="25"/>
      <c r="U68" s="25"/>
      <c r="V68" s="25"/>
    </row>
    <row r="69" spans="1:22" s="114" customFormat="1">
      <c r="A69" s="25"/>
      <c r="B69" s="46" t="s">
        <v>247</v>
      </c>
      <c r="C69" s="25"/>
      <c r="D69" s="214">
        <f>+H69+12549</f>
        <v>-7489</v>
      </c>
      <c r="E69" s="24"/>
      <c r="F69" s="24">
        <f>+J69+13902</f>
        <v>-4416</v>
      </c>
      <c r="G69" s="24"/>
      <c r="H69" s="214">
        <f>3913-23951</f>
        <v>-20038</v>
      </c>
      <c r="I69" s="277"/>
      <c r="J69" s="24">
        <v>-18318</v>
      </c>
      <c r="K69" s="24"/>
      <c r="L69" s="23"/>
      <c r="M69" s="280"/>
      <c r="O69" s="269"/>
      <c r="P69" s="127"/>
      <c r="Q69" s="24"/>
      <c r="R69" s="25"/>
      <c r="S69" s="25"/>
      <c r="T69" s="25"/>
      <c r="V69" s="25"/>
    </row>
    <row r="70" spans="1:22" s="114" customFormat="1">
      <c r="A70" s="25"/>
      <c r="B70" s="46" t="s">
        <v>73</v>
      </c>
      <c r="C70" s="25"/>
      <c r="D70" s="60">
        <f>+H70+5067</f>
        <v>-1506</v>
      </c>
      <c r="E70" s="51"/>
      <c r="F70" s="51">
        <f>+J70+5016</f>
        <v>-1503</v>
      </c>
      <c r="G70" s="51"/>
      <c r="H70" s="60">
        <f>-3387-2823-363</f>
        <v>-6573</v>
      </c>
      <c r="I70" s="275"/>
      <c r="J70" s="51">
        <v>-6519</v>
      </c>
      <c r="K70" s="24"/>
      <c r="L70" s="23"/>
      <c r="M70" s="270"/>
      <c r="P70" s="127"/>
      <c r="Q70" s="24"/>
      <c r="R70" s="25"/>
      <c r="S70" s="25"/>
      <c r="T70" s="25"/>
      <c r="U70" s="25"/>
      <c r="V70" s="25"/>
    </row>
    <row r="71" spans="1:22" s="114" customFormat="1">
      <c r="A71" s="106"/>
      <c r="B71" s="47" t="s">
        <v>76</v>
      </c>
      <c r="C71" s="25"/>
      <c r="D71" s="96">
        <f>SUM(D69:D70)</f>
        <v>-8995</v>
      </c>
      <c r="E71" s="22"/>
      <c r="F71" s="93">
        <f>SUM(F69:F70)</f>
        <v>-5919</v>
      </c>
      <c r="G71" s="28"/>
      <c r="H71" s="96">
        <f>SUM(H69:H70)</f>
        <v>-26611</v>
      </c>
      <c r="I71" s="278"/>
      <c r="J71" s="93">
        <f>SUM(J69:J70)</f>
        <v>-24837</v>
      </c>
      <c r="K71" s="28"/>
      <c r="L71" s="28"/>
      <c r="M71" s="28"/>
      <c r="P71" s="127"/>
      <c r="Q71" s="24"/>
      <c r="R71" s="25"/>
      <c r="S71" s="25"/>
      <c r="T71" s="25"/>
      <c r="U71" s="25"/>
      <c r="V71" s="25"/>
    </row>
    <row r="72" spans="1:22" s="114" customFormat="1">
      <c r="A72" s="113" t="s">
        <v>77</v>
      </c>
      <c r="B72" s="46"/>
      <c r="C72" s="25"/>
      <c r="D72" s="22"/>
      <c r="E72" s="22"/>
      <c r="F72" s="22"/>
      <c r="G72" s="22"/>
      <c r="H72" s="22"/>
      <c r="I72" s="278"/>
      <c r="J72" s="278"/>
      <c r="K72" s="22"/>
      <c r="L72" s="28"/>
      <c r="M72" s="28"/>
      <c r="P72" s="127"/>
      <c r="Q72" s="24"/>
      <c r="R72" s="25"/>
      <c r="S72" s="25"/>
      <c r="T72" s="25"/>
      <c r="U72" s="25"/>
      <c r="V72" s="25"/>
    </row>
    <row r="73" spans="1:22" s="114" customFormat="1">
      <c r="A73" s="25"/>
      <c r="B73" s="46" t="s">
        <v>247</v>
      </c>
      <c r="C73" s="25"/>
      <c r="D73" s="55">
        <f>+H73+660</f>
        <v>-61</v>
      </c>
      <c r="E73" s="24"/>
      <c r="F73" s="24">
        <f>+J73+552</f>
        <v>4</v>
      </c>
      <c r="G73" s="24"/>
      <c r="H73" s="214">
        <v>-721</v>
      </c>
      <c r="I73" s="277"/>
      <c r="J73" s="24">
        <v>-548</v>
      </c>
      <c r="K73" s="24"/>
      <c r="L73" s="28"/>
      <c r="M73" s="23"/>
      <c r="P73" s="127"/>
      <c r="Q73" s="24"/>
      <c r="R73" s="25"/>
      <c r="S73" s="25"/>
      <c r="T73" s="25"/>
      <c r="U73" s="25"/>
      <c r="V73" s="25"/>
    </row>
    <row r="74" spans="1:22" s="114" customFormat="1">
      <c r="A74" s="25"/>
      <c r="B74" s="46" t="s">
        <v>73</v>
      </c>
      <c r="C74" s="25"/>
      <c r="D74" s="60">
        <f>+H74-0</f>
        <v>0</v>
      </c>
      <c r="E74" s="51"/>
      <c r="F74" s="51">
        <f>+J74</f>
        <v>0</v>
      </c>
      <c r="G74" s="51"/>
      <c r="H74" s="60">
        <v>0</v>
      </c>
      <c r="I74" s="275"/>
      <c r="J74" s="51">
        <v>0</v>
      </c>
      <c r="K74" s="24"/>
      <c r="L74" s="28"/>
      <c r="M74" s="28"/>
      <c r="P74" s="127"/>
      <c r="Q74" s="24"/>
      <c r="R74" s="25"/>
      <c r="S74" s="25"/>
      <c r="T74" s="25"/>
      <c r="U74" s="25"/>
      <c r="V74" s="25"/>
    </row>
    <row r="75" spans="1:22" s="114" customFormat="1">
      <c r="A75" s="25"/>
      <c r="B75" s="46" t="s">
        <v>74</v>
      </c>
      <c r="C75" s="25"/>
      <c r="D75" s="60">
        <f>+H75-21</f>
        <v>0</v>
      </c>
      <c r="E75" s="51"/>
      <c r="F75" s="51">
        <f>+J75-16</f>
        <v>5</v>
      </c>
      <c r="G75" s="51"/>
      <c r="H75" s="60">
        <v>21</v>
      </c>
      <c r="I75" s="275"/>
      <c r="J75" s="51">
        <v>21</v>
      </c>
      <c r="K75" s="24"/>
      <c r="L75" s="28"/>
      <c r="M75" s="28"/>
      <c r="P75" s="127"/>
      <c r="Q75" s="24"/>
      <c r="R75" s="25"/>
      <c r="S75" s="25"/>
      <c r="T75" s="25"/>
      <c r="U75" s="25"/>
      <c r="V75" s="25"/>
    </row>
    <row r="76" spans="1:22" s="114" customFormat="1">
      <c r="A76" s="106"/>
      <c r="B76" s="47" t="s">
        <v>76</v>
      </c>
      <c r="C76" s="25"/>
      <c r="D76" s="96">
        <f>SUM(D73:D75)</f>
        <v>-61</v>
      </c>
      <c r="E76" s="22"/>
      <c r="F76" s="93">
        <f>SUM(F73:F75)</f>
        <v>9</v>
      </c>
      <c r="G76" s="28"/>
      <c r="H76" s="96">
        <f>SUM(H73:H75)</f>
        <v>-700</v>
      </c>
      <c r="I76" s="278"/>
      <c r="J76" s="93">
        <f>SUM(J73:J75)</f>
        <v>-527</v>
      </c>
      <c r="K76" s="28"/>
      <c r="L76" s="28"/>
      <c r="M76" s="28"/>
      <c r="P76" s="127"/>
      <c r="Q76" s="24"/>
      <c r="R76" s="25"/>
      <c r="S76" s="25"/>
      <c r="T76" s="25"/>
      <c r="U76" s="25"/>
      <c r="V76" s="25"/>
    </row>
    <row r="77" spans="1:22" s="114" customFormat="1">
      <c r="A77" s="128" t="s">
        <v>78</v>
      </c>
      <c r="B77" s="53"/>
      <c r="C77" s="32"/>
      <c r="D77" s="28"/>
      <c r="E77" s="28"/>
      <c r="F77" s="28"/>
      <c r="G77" s="28"/>
      <c r="H77" s="28"/>
      <c r="I77" s="270"/>
      <c r="J77" s="28"/>
      <c r="K77" s="28"/>
      <c r="L77" s="28"/>
      <c r="M77" s="28"/>
      <c r="P77" s="127"/>
      <c r="Q77" s="22"/>
      <c r="R77" s="25"/>
      <c r="S77" s="25"/>
      <c r="T77" s="25"/>
      <c r="U77" s="25"/>
      <c r="V77" s="25"/>
    </row>
    <row r="78" spans="1:22" s="114" customFormat="1">
      <c r="A78" s="32"/>
      <c r="B78" s="46" t="s">
        <v>247</v>
      </c>
      <c r="C78" s="32"/>
      <c r="D78" s="97">
        <f>D69+D62+D73</f>
        <v>161522</v>
      </c>
      <c r="E78" s="23"/>
      <c r="F78" s="23">
        <f>F69+F62+F73</f>
        <v>141511</v>
      </c>
      <c r="G78" s="23"/>
      <c r="H78" s="97">
        <f>H69+H62+H73</f>
        <v>463290</v>
      </c>
      <c r="I78" s="280"/>
      <c r="J78" s="23">
        <f>J69+J62+J73</f>
        <v>672146</v>
      </c>
      <c r="K78" s="23"/>
      <c r="L78" s="23"/>
      <c r="M78" s="23"/>
      <c r="P78" s="127"/>
      <c r="Q78" s="22"/>
      <c r="R78" s="25"/>
      <c r="S78" s="25"/>
      <c r="T78" s="25"/>
      <c r="U78" s="25"/>
      <c r="V78" s="25"/>
    </row>
    <row r="79" spans="1:22" s="114" customFormat="1" hidden="1">
      <c r="A79" s="32"/>
      <c r="B79" s="46" t="s">
        <v>58</v>
      </c>
      <c r="C79" s="32"/>
      <c r="D79" s="57">
        <f>D63</f>
        <v>0</v>
      </c>
      <c r="E79" s="28"/>
      <c r="F79" s="28">
        <f>F63</f>
        <v>0</v>
      </c>
      <c r="G79" s="28"/>
      <c r="H79" s="57">
        <f>H63</f>
        <v>0</v>
      </c>
      <c r="I79" s="270"/>
      <c r="J79" s="28">
        <f>J63</f>
        <v>0</v>
      </c>
      <c r="K79" s="28"/>
      <c r="L79" s="28"/>
      <c r="M79" s="28"/>
      <c r="P79" s="127"/>
      <c r="Q79" s="22"/>
      <c r="R79" s="25"/>
      <c r="S79" s="25"/>
      <c r="T79" s="25"/>
      <c r="U79" s="25"/>
      <c r="V79" s="25"/>
    </row>
    <row r="80" spans="1:22" s="114" customFormat="1">
      <c r="A80" s="32"/>
      <c r="B80" s="46" t="s">
        <v>72</v>
      </c>
      <c r="C80" s="32"/>
      <c r="D80" s="60">
        <f>+D64</f>
        <v>1282</v>
      </c>
      <c r="E80" s="51"/>
      <c r="F80" s="51">
        <f>+F64</f>
        <v>-2403</v>
      </c>
      <c r="G80" s="51"/>
      <c r="H80" s="60">
        <f>H64</f>
        <v>-79136</v>
      </c>
      <c r="I80" s="275"/>
      <c r="J80" s="51">
        <f>J64</f>
        <v>-153615</v>
      </c>
      <c r="K80" s="51"/>
      <c r="L80" s="23"/>
      <c r="M80" s="51"/>
      <c r="P80" s="127"/>
      <c r="Q80" s="22"/>
      <c r="R80" s="25"/>
      <c r="S80" s="25"/>
      <c r="T80" s="25"/>
      <c r="U80" s="25"/>
      <c r="V80" s="25"/>
    </row>
    <row r="81" spans="1:25" s="114" customFormat="1">
      <c r="A81" s="32"/>
      <c r="B81" s="46" t="s">
        <v>73</v>
      </c>
      <c r="C81" s="32"/>
      <c r="D81" s="60">
        <f>D65+D70+D74</f>
        <v>-40718</v>
      </c>
      <c r="E81" s="51"/>
      <c r="F81" s="51">
        <f>F65+F70+F74</f>
        <v>-33602</v>
      </c>
      <c r="G81" s="51"/>
      <c r="H81" s="60">
        <f>H65+H70+H74</f>
        <v>-135055</v>
      </c>
      <c r="I81" s="275"/>
      <c r="J81" s="51">
        <f>J65+J70+J74</f>
        <v>-131858</v>
      </c>
      <c r="K81" s="51"/>
      <c r="L81" s="23"/>
      <c r="M81" s="51"/>
      <c r="P81" s="127"/>
      <c r="Q81" s="22"/>
      <c r="R81" s="25"/>
      <c r="S81" s="25"/>
      <c r="T81" s="25"/>
      <c r="U81" s="25"/>
      <c r="V81" s="25"/>
    </row>
    <row r="82" spans="1:25" s="114" customFormat="1">
      <c r="A82" s="32"/>
      <c r="B82" s="46" t="s">
        <v>74</v>
      </c>
      <c r="C82" s="32"/>
      <c r="D82" s="60">
        <f>D66+D75</f>
        <v>-76265</v>
      </c>
      <c r="E82" s="51"/>
      <c r="F82" s="51">
        <f>F66+F75</f>
        <v>-62458</v>
      </c>
      <c r="G82" s="51"/>
      <c r="H82" s="60">
        <f>H66+H75</f>
        <v>-191301</v>
      </c>
      <c r="I82" s="275"/>
      <c r="J82" s="51">
        <f>J66+J75</f>
        <v>-153411</v>
      </c>
      <c r="K82" s="51"/>
      <c r="L82" s="23"/>
      <c r="M82" s="51"/>
      <c r="P82" s="127"/>
      <c r="Q82" s="22"/>
      <c r="R82" s="25"/>
      <c r="S82" s="25"/>
      <c r="T82" s="25"/>
      <c r="U82" s="25"/>
      <c r="V82" s="25"/>
    </row>
    <row r="83" spans="1:25" s="114" customFormat="1">
      <c r="A83" s="106"/>
      <c r="B83" s="47" t="s">
        <v>163</v>
      </c>
      <c r="C83" s="32"/>
      <c r="D83" s="58">
        <f>SUM(D78:D82)</f>
        <v>45821</v>
      </c>
      <c r="E83" s="23"/>
      <c r="F83" s="29">
        <f>SUM(F78:F82)</f>
        <v>43048</v>
      </c>
      <c r="G83" s="30"/>
      <c r="H83" s="58">
        <f>SUM(H78:H82)</f>
        <v>57798</v>
      </c>
      <c r="I83" s="280"/>
      <c r="J83" s="29">
        <f>SUM(J78:J82)</f>
        <v>233262</v>
      </c>
      <c r="K83" s="30"/>
      <c r="L83" s="23"/>
      <c r="M83" s="30"/>
      <c r="P83" s="127"/>
      <c r="Q83" s="24"/>
      <c r="R83" s="25"/>
      <c r="S83" s="25"/>
      <c r="T83" s="25"/>
      <c r="U83" s="25"/>
      <c r="V83" s="25"/>
    </row>
    <row r="84" spans="1:25" s="114" customFormat="1">
      <c r="A84" s="129" t="s">
        <v>4</v>
      </c>
      <c r="B84" s="53" t="s">
        <v>79</v>
      </c>
      <c r="C84" s="32"/>
      <c r="D84" s="30"/>
      <c r="E84" s="23"/>
      <c r="F84" s="30"/>
      <c r="G84" s="30"/>
      <c r="H84" s="30"/>
      <c r="I84" s="30"/>
      <c r="J84" s="30"/>
      <c r="K84" s="30"/>
      <c r="L84" s="23"/>
      <c r="M84" s="82"/>
      <c r="P84" s="127"/>
      <c r="Q84" s="24"/>
      <c r="R84" s="25"/>
      <c r="S84" s="25"/>
      <c r="T84" s="25"/>
      <c r="U84" s="25"/>
      <c r="V84" s="25"/>
    </row>
    <row r="85" spans="1:25" s="114" customFormat="1">
      <c r="A85" s="129"/>
      <c r="B85" s="53"/>
      <c r="C85" s="32"/>
      <c r="D85" s="30"/>
      <c r="E85" s="23"/>
      <c r="F85" s="30"/>
      <c r="G85" s="30"/>
      <c r="H85" s="30"/>
      <c r="I85" s="30"/>
      <c r="J85" s="30"/>
      <c r="K85" s="30"/>
      <c r="L85" s="30"/>
      <c r="M85" s="30"/>
      <c r="N85" s="30"/>
      <c r="O85" s="23"/>
      <c r="P85" s="82"/>
      <c r="S85" s="127"/>
      <c r="T85" s="24"/>
      <c r="U85" s="25"/>
      <c r="V85" s="25"/>
      <c r="W85" s="25"/>
      <c r="X85" s="25"/>
      <c r="Y85" s="25"/>
    </row>
    <row r="86" spans="1:25" customFormat="1">
      <c r="A86" s="5"/>
      <c r="B86" s="32"/>
      <c r="C86" s="86"/>
      <c r="D86" s="85"/>
      <c r="E86" s="87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30"/>
      <c r="R86" s="114"/>
      <c r="S86" s="114"/>
      <c r="T86" s="25"/>
      <c r="U86" s="74"/>
    </row>
    <row r="87" spans="1:25" customFormat="1" ht="15">
      <c r="A87" s="38" t="s">
        <v>91</v>
      </c>
      <c r="B87" s="25"/>
      <c r="C87" s="32"/>
      <c r="D87" s="25"/>
      <c r="E87" s="2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30"/>
      <c r="R87" s="114"/>
      <c r="S87" s="114"/>
      <c r="T87" s="25"/>
      <c r="U87" s="74"/>
    </row>
    <row r="88" spans="1:25" customFormat="1" ht="13.5" thickBot="1">
      <c r="A88" s="37" t="s">
        <v>264</v>
      </c>
      <c r="B88" s="37"/>
      <c r="C88" s="37"/>
      <c r="D88" s="37"/>
      <c r="E88" s="37"/>
      <c r="F88" s="116"/>
      <c r="G88" s="116"/>
      <c r="H88" s="116"/>
      <c r="I88" s="116"/>
      <c r="J88" s="116"/>
      <c r="K88" s="116"/>
      <c r="L88" s="85"/>
      <c r="M88" s="85"/>
      <c r="N88" s="85"/>
      <c r="O88" s="85"/>
      <c r="P88" s="30"/>
      <c r="Q88" s="114"/>
      <c r="R88" s="114"/>
      <c r="S88" s="25"/>
      <c r="T88" s="74"/>
    </row>
    <row r="89" spans="1:25" customFormat="1">
      <c r="A89" s="32"/>
      <c r="B89" s="32"/>
      <c r="C89" s="25"/>
      <c r="D89" s="300" t="s">
        <v>8</v>
      </c>
      <c r="E89" s="300"/>
      <c r="F89" s="300"/>
      <c r="G89" s="292"/>
      <c r="H89" s="300" t="s">
        <v>34</v>
      </c>
      <c r="I89" s="300"/>
      <c r="J89" s="300"/>
      <c r="K89" s="117"/>
      <c r="L89" s="1"/>
      <c r="M89" s="1"/>
      <c r="N89" s="63"/>
      <c r="O89" s="1"/>
      <c r="P89" s="30"/>
      <c r="Q89" s="114"/>
      <c r="R89" s="114"/>
      <c r="S89" s="25"/>
      <c r="T89" s="74"/>
    </row>
    <row r="90" spans="1:25" customFormat="1">
      <c r="A90" s="25"/>
      <c r="B90" s="25"/>
      <c r="C90" s="25"/>
      <c r="D90" s="298" t="s">
        <v>66</v>
      </c>
      <c r="E90" s="298"/>
      <c r="F90" s="298"/>
      <c r="G90" s="291"/>
      <c r="H90" s="298" t="s">
        <v>6</v>
      </c>
      <c r="I90" s="298"/>
      <c r="J90" s="298"/>
      <c r="K90" s="64"/>
      <c r="L90" s="1"/>
      <c r="M90" s="1"/>
      <c r="N90" s="1"/>
      <c r="O90" s="1"/>
      <c r="P90" s="30"/>
      <c r="Q90" s="114"/>
      <c r="R90" s="114"/>
      <c r="S90" s="25"/>
      <c r="T90" s="74"/>
    </row>
    <row r="91" spans="1:25" customFormat="1">
      <c r="A91" s="45" t="s">
        <v>7</v>
      </c>
      <c r="B91" s="45"/>
      <c r="C91" s="25"/>
      <c r="D91" s="54">
        <v>2010</v>
      </c>
      <c r="E91" s="121"/>
      <c r="F91" s="26">
        <v>2009</v>
      </c>
      <c r="G91" s="65"/>
      <c r="H91" s="265">
        <v>2010</v>
      </c>
      <c r="I91" s="121"/>
      <c r="J91" s="274">
        <v>2009</v>
      </c>
      <c r="K91" s="65"/>
      <c r="L91" s="65"/>
      <c r="M91" s="78"/>
      <c r="N91" s="30"/>
      <c r="O91" s="114"/>
      <c r="P91" s="114"/>
      <c r="Q91" s="25"/>
      <c r="R91" s="74"/>
    </row>
    <row r="92" spans="1:25" customFormat="1">
      <c r="A92" s="61"/>
      <c r="B92" s="61"/>
      <c r="C92" s="114"/>
      <c r="D92" s="304" t="s">
        <v>5</v>
      </c>
      <c r="E92" s="304"/>
      <c r="F92" s="304"/>
      <c r="G92" s="304"/>
      <c r="H92" s="304"/>
      <c r="I92" s="304"/>
      <c r="J92" s="304"/>
      <c r="K92" s="205"/>
      <c r="L92" s="249"/>
      <c r="M92" s="249"/>
      <c r="N92" s="199"/>
      <c r="O92" s="199"/>
      <c r="P92" s="30"/>
      <c r="Q92" s="114"/>
      <c r="R92" s="114"/>
      <c r="S92" s="25"/>
      <c r="T92" s="74"/>
    </row>
    <row r="93" spans="1:25" customFormat="1">
      <c r="A93" s="25"/>
      <c r="B93" s="25" t="s">
        <v>52</v>
      </c>
      <c r="C93" s="28"/>
      <c r="D93" s="55">
        <f>+H93-25403</f>
        <v>9542</v>
      </c>
      <c r="E93" s="14"/>
      <c r="F93" s="24">
        <f>+J93-23876</f>
        <v>7679</v>
      </c>
      <c r="G93" s="24"/>
      <c r="H93" s="214">
        <v>34945</v>
      </c>
      <c r="I93" s="252"/>
      <c r="J93" s="24">
        <v>31555</v>
      </c>
      <c r="K93" s="24"/>
      <c r="L93" s="24"/>
      <c r="M93" s="23"/>
      <c r="N93" s="30"/>
      <c r="O93" s="114"/>
      <c r="P93" s="114"/>
      <c r="Q93" s="25"/>
      <c r="R93" s="74"/>
    </row>
    <row r="94" spans="1:25" customFormat="1">
      <c r="A94" s="25"/>
      <c r="B94" s="25" t="s">
        <v>53</v>
      </c>
      <c r="C94" s="22"/>
      <c r="D94" s="56">
        <f>+H94+9562</f>
        <v>-3592</v>
      </c>
      <c r="E94" s="16"/>
      <c r="F94" s="22">
        <f>+J94+6244</f>
        <v>-2505</v>
      </c>
      <c r="G94" s="22"/>
      <c r="H94" s="56">
        <v>-13154</v>
      </c>
      <c r="I94" s="267"/>
      <c r="J94" s="22">
        <v>-8749</v>
      </c>
      <c r="K94" s="22"/>
      <c r="L94" s="28"/>
      <c r="M94" s="28"/>
      <c r="N94" s="30"/>
      <c r="O94" s="114"/>
      <c r="P94" s="114"/>
      <c r="Q94" s="25"/>
      <c r="R94" s="74"/>
    </row>
    <row r="95" spans="1:25" customFormat="1">
      <c r="A95" s="106"/>
      <c r="B95" s="106" t="s">
        <v>0</v>
      </c>
      <c r="C95" s="114"/>
      <c r="D95" s="58">
        <f>SUM(D93:D94)</f>
        <v>5950</v>
      </c>
      <c r="E95" s="16"/>
      <c r="F95" s="29">
        <f>SUM(F93:F94)</f>
        <v>5174</v>
      </c>
      <c r="G95" s="29"/>
      <c r="H95" s="58">
        <f>SUM(H93:H94)</f>
        <v>21791</v>
      </c>
      <c r="I95" s="267"/>
      <c r="J95" s="29">
        <f>SUM(J93:J94)</f>
        <v>22806</v>
      </c>
      <c r="K95" s="29"/>
      <c r="L95" s="30"/>
      <c r="M95" s="30"/>
      <c r="N95" s="30"/>
      <c r="O95" s="114"/>
      <c r="P95" s="114"/>
      <c r="Q95" s="25"/>
      <c r="R95" s="74"/>
    </row>
    <row r="96" spans="1:25" customFormat="1">
      <c r="A96" s="5"/>
      <c r="B96" s="32"/>
      <c r="C96" s="86"/>
      <c r="D96" s="85"/>
      <c r="E96" s="87"/>
      <c r="F96" s="85"/>
      <c r="G96" s="85"/>
      <c r="H96" s="85"/>
      <c r="I96" s="85"/>
      <c r="J96" s="85"/>
      <c r="K96" s="85"/>
      <c r="L96" s="85"/>
      <c r="M96" s="85"/>
      <c r="N96" s="30"/>
      <c r="O96" s="114"/>
      <c r="P96" s="114"/>
      <c r="Q96" s="25"/>
      <c r="R96" s="74"/>
    </row>
    <row r="97" spans="1:21" customFormat="1">
      <c r="A97" s="102"/>
      <c r="B97" s="102"/>
      <c r="C97" s="5"/>
      <c r="D97" s="85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T97" s="17"/>
      <c r="U97" s="74"/>
    </row>
    <row r="98" spans="1:21" customFormat="1" ht="15">
      <c r="A98" s="8" t="s">
        <v>92</v>
      </c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3"/>
      <c r="U98" s="2"/>
    </row>
    <row r="99" spans="1:21" customFormat="1" ht="13.5" thickBot="1">
      <c r="A99" s="6" t="s">
        <v>15</v>
      </c>
      <c r="B99" s="6"/>
      <c r="C99" s="6"/>
      <c r="D99" s="7"/>
      <c r="E99" s="6"/>
      <c r="F99" s="6"/>
      <c r="G99" s="6"/>
      <c r="H99" s="6"/>
      <c r="I99" s="6"/>
      <c r="J99" s="6"/>
      <c r="K99" s="6"/>
      <c r="L99" s="5"/>
      <c r="M99" s="5"/>
      <c r="N99" s="5"/>
      <c r="O99" s="5"/>
      <c r="T99" s="5"/>
    </row>
    <row r="100" spans="1:21" customFormat="1">
      <c r="A100" s="5"/>
      <c r="B100" s="5"/>
      <c r="C100" s="5"/>
      <c r="D100" s="300" t="s">
        <v>8</v>
      </c>
      <c r="E100" s="300"/>
      <c r="F100" s="300"/>
      <c r="G100" s="292"/>
      <c r="H100" s="300" t="s">
        <v>34</v>
      </c>
      <c r="I100" s="300"/>
      <c r="J100" s="300"/>
      <c r="K100" s="117"/>
      <c r="L100" s="1"/>
      <c r="M100" s="1"/>
      <c r="N100" s="63"/>
      <c r="O100" s="1"/>
      <c r="P100" s="64"/>
      <c r="Q100" s="64"/>
      <c r="T100" s="63"/>
    </row>
    <row r="101" spans="1:21" customFormat="1">
      <c r="A101" s="2"/>
      <c r="B101" s="2"/>
      <c r="C101" s="2"/>
      <c r="D101" s="298" t="s">
        <v>66</v>
      </c>
      <c r="E101" s="298"/>
      <c r="F101" s="298"/>
      <c r="G101" s="291"/>
      <c r="H101" s="298" t="s">
        <v>6</v>
      </c>
      <c r="I101" s="298"/>
      <c r="J101" s="298"/>
      <c r="K101" s="64"/>
      <c r="L101" s="1"/>
      <c r="M101" s="1"/>
      <c r="N101" s="1"/>
      <c r="O101" s="1"/>
      <c r="P101" s="64"/>
      <c r="Q101" s="64"/>
      <c r="T101" s="1"/>
    </row>
    <row r="102" spans="1:21" customFormat="1">
      <c r="A102" s="13" t="s">
        <v>7</v>
      </c>
      <c r="B102" s="12"/>
      <c r="C102" s="2"/>
      <c r="D102" s="54">
        <v>2010</v>
      </c>
      <c r="E102" s="121"/>
      <c r="F102" s="26">
        <v>2009</v>
      </c>
      <c r="G102" s="65"/>
      <c r="H102" s="265">
        <v>2010</v>
      </c>
      <c r="I102" s="121"/>
      <c r="J102" s="274">
        <v>2009</v>
      </c>
      <c r="K102" s="65"/>
      <c r="L102" s="65"/>
      <c r="M102" s="78"/>
      <c r="N102" s="78"/>
      <c r="O102" s="78"/>
      <c r="R102" s="74"/>
    </row>
    <row r="103" spans="1:21" customFormat="1">
      <c r="A103" s="62"/>
      <c r="B103" s="5"/>
      <c r="C103" s="2"/>
      <c r="D103" s="296" t="s">
        <v>5</v>
      </c>
      <c r="E103" s="296"/>
      <c r="F103" s="296"/>
      <c r="G103" s="296"/>
      <c r="H103" s="296"/>
      <c r="I103" s="296"/>
      <c r="J103" s="296"/>
      <c r="K103" s="254"/>
      <c r="L103" s="254"/>
      <c r="M103" s="254"/>
      <c r="N103" s="198"/>
      <c r="O103" s="198"/>
    </row>
    <row r="104" spans="1:21" customFormat="1">
      <c r="A104" s="2"/>
      <c r="B104" s="2" t="s">
        <v>9</v>
      </c>
      <c r="C104" s="2"/>
      <c r="D104" s="55">
        <f>+H104-125066</f>
        <v>46337</v>
      </c>
      <c r="E104" s="14"/>
      <c r="F104" s="24">
        <f>+J104-113940</f>
        <v>42699</v>
      </c>
      <c r="G104" s="24"/>
      <c r="H104" s="214">
        <f>168086+3317</f>
        <v>171403</v>
      </c>
      <c r="I104" s="252"/>
      <c r="J104" s="24">
        <v>156639</v>
      </c>
      <c r="K104" s="14"/>
      <c r="L104" s="14"/>
      <c r="M104" s="23"/>
      <c r="R104" s="74"/>
    </row>
    <row r="105" spans="1:21" customFormat="1">
      <c r="A105" s="2"/>
      <c r="B105" s="2" t="s">
        <v>164</v>
      </c>
      <c r="C105" s="2"/>
      <c r="D105" s="56">
        <f>+H105+30729</f>
        <v>-5619</v>
      </c>
      <c r="E105" s="16"/>
      <c r="F105" s="22">
        <f>+J105+15684</f>
        <v>-9097</v>
      </c>
      <c r="G105" s="22"/>
      <c r="H105" s="56">
        <v>-36348</v>
      </c>
      <c r="I105" s="267"/>
      <c r="J105" s="22">
        <v>-24781</v>
      </c>
      <c r="K105" s="22"/>
      <c r="L105" s="16"/>
      <c r="M105" s="28"/>
      <c r="R105" s="74"/>
    </row>
    <row r="106" spans="1:21" customFormat="1">
      <c r="A106" s="2"/>
      <c r="B106" s="2" t="s">
        <v>84</v>
      </c>
      <c r="C106" s="2"/>
      <c r="D106" s="56">
        <f>+H106-115036</f>
        <v>76265</v>
      </c>
      <c r="E106" s="16"/>
      <c r="F106" s="22">
        <f>+J106-90953</f>
        <v>62458</v>
      </c>
      <c r="G106" s="22"/>
      <c r="H106" s="56">
        <f>-H82</f>
        <v>191301</v>
      </c>
      <c r="I106" s="267"/>
      <c r="J106" s="22">
        <v>153411</v>
      </c>
      <c r="K106" s="16"/>
      <c r="L106" s="16"/>
      <c r="M106" s="28"/>
      <c r="R106" s="74"/>
    </row>
    <row r="107" spans="1:21" customFormat="1">
      <c r="A107" s="4"/>
      <c r="B107" s="4" t="s">
        <v>0</v>
      </c>
      <c r="C107" s="2"/>
      <c r="D107" s="58">
        <f>SUM(D104:D106)</f>
        <v>116983</v>
      </c>
      <c r="E107" s="16"/>
      <c r="F107" s="29">
        <f>SUM(F104:F106)</f>
        <v>96060</v>
      </c>
      <c r="G107" s="30"/>
      <c r="H107" s="58">
        <f>SUM(H104:H106)</f>
        <v>326356</v>
      </c>
      <c r="I107" s="267"/>
      <c r="J107" s="29">
        <f>SUM(J104:J106)</f>
        <v>285269</v>
      </c>
      <c r="K107" s="31"/>
      <c r="L107" s="31"/>
      <c r="M107" s="30"/>
      <c r="R107" s="74"/>
    </row>
    <row r="108" spans="1:21" customFormat="1">
      <c r="A108" s="2"/>
      <c r="B108" s="2"/>
      <c r="C108" s="2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T108" s="16"/>
    </row>
    <row r="109" spans="1:21" customFormat="1" ht="18" customHeight="1">
      <c r="A109" s="220" t="s">
        <v>165</v>
      </c>
      <c r="B109" s="2"/>
      <c r="C109" s="2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U109" s="16"/>
    </row>
    <row r="110" spans="1:21" customFormat="1">
      <c r="A110" s="209" t="s">
        <v>149</v>
      </c>
      <c r="B110" s="2"/>
      <c r="C110" s="2"/>
      <c r="D110" s="16"/>
      <c r="E110" s="16"/>
      <c r="F110" s="210"/>
      <c r="G110" s="210"/>
      <c r="H110" s="210"/>
      <c r="I110" s="210"/>
      <c r="J110" s="210"/>
      <c r="K110" s="16"/>
      <c r="L110" s="16"/>
      <c r="M110" s="16"/>
      <c r="N110" s="16"/>
      <c r="O110" s="16"/>
      <c r="P110" s="16"/>
      <c r="U110" s="16"/>
    </row>
    <row r="111" spans="1:21" customFormat="1">
      <c r="A111" s="210" t="s">
        <v>150</v>
      </c>
      <c r="B111" s="2"/>
      <c r="C111" s="2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U111" s="16"/>
    </row>
    <row r="112" spans="1:21" customFormat="1">
      <c r="A112" s="209"/>
      <c r="B112" s="2"/>
      <c r="C112" s="2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U112" s="16"/>
    </row>
    <row r="113" spans="1:21" customFormat="1">
      <c r="A113" s="210" t="s">
        <v>151</v>
      </c>
      <c r="B113" s="2"/>
      <c r="C113" s="2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U113" s="16"/>
    </row>
    <row r="114" spans="1:21" customFormat="1">
      <c r="A114" s="218" t="s">
        <v>166</v>
      </c>
      <c r="B114" s="2"/>
      <c r="C114" s="2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U114" s="16"/>
    </row>
    <row r="115" spans="1:21" customFormat="1">
      <c r="A115" s="218" t="s">
        <v>160</v>
      </c>
      <c r="B115" s="2"/>
      <c r="C115" s="2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U115" s="16"/>
    </row>
    <row r="116" spans="1:21" customFormat="1">
      <c r="A116" s="218" t="s">
        <v>161</v>
      </c>
      <c r="B116" s="2"/>
      <c r="C116" s="2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U116" s="16"/>
    </row>
    <row r="117" spans="1:21" customFormat="1">
      <c r="A117" s="209"/>
      <c r="B117" s="2"/>
      <c r="C117" s="2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U117" s="16"/>
    </row>
    <row r="118" spans="1:21" customFormat="1" ht="15">
      <c r="A118" s="36" t="s">
        <v>94</v>
      </c>
      <c r="B118" s="2"/>
      <c r="C118" s="2"/>
      <c r="D118" s="88"/>
      <c r="E118" s="16"/>
      <c r="F118" s="16"/>
      <c r="G118" s="16"/>
      <c r="H118" s="16"/>
      <c r="I118" s="16"/>
      <c r="J118" s="16"/>
      <c r="K118" s="16"/>
      <c r="L118" s="16"/>
      <c r="M118" s="28"/>
      <c r="N118" s="28"/>
      <c r="O118" s="28"/>
      <c r="P118" s="28"/>
      <c r="Q118" s="28"/>
      <c r="R118" s="28"/>
    </row>
    <row r="119" spans="1:21" customFormat="1" ht="13.5" thickBot="1">
      <c r="A119" s="6" t="s">
        <v>95</v>
      </c>
      <c r="B119" s="6"/>
      <c r="C119" s="6"/>
      <c r="D119" s="20"/>
      <c r="E119" s="20"/>
      <c r="F119" s="20"/>
      <c r="G119" s="20"/>
      <c r="H119" s="20"/>
      <c r="I119" s="20"/>
      <c r="J119" s="20"/>
      <c r="K119" s="20"/>
      <c r="L119" s="28"/>
      <c r="M119" s="28"/>
      <c r="N119" s="28"/>
      <c r="O119" s="28"/>
      <c r="P119" s="28"/>
      <c r="Q119" s="28"/>
    </row>
    <row r="120" spans="1:21" customFormat="1">
      <c r="A120" s="2"/>
      <c r="B120" s="2"/>
      <c r="C120" s="2"/>
      <c r="D120" s="300" t="s">
        <v>8</v>
      </c>
      <c r="E120" s="300"/>
      <c r="F120" s="300"/>
      <c r="G120" s="292"/>
      <c r="H120" s="300" t="s">
        <v>34</v>
      </c>
      <c r="I120" s="300"/>
      <c r="J120" s="300"/>
      <c r="K120" s="117"/>
      <c r="L120" s="28"/>
      <c r="M120" s="28"/>
      <c r="N120" s="28"/>
      <c r="O120" s="63"/>
      <c r="P120" s="28"/>
      <c r="Q120" s="28"/>
    </row>
    <row r="121" spans="1:21" customFormat="1">
      <c r="A121" s="2"/>
      <c r="B121" s="2"/>
      <c r="C121" s="2"/>
      <c r="D121" s="298" t="s">
        <v>66</v>
      </c>
      <c r="E121" s="298"/>
      <c r="F121" s="298"/>
      <c r="G121" s="291"/>
      <c r="H121" s="298" t="s">
        <v>6</v>
      </c>
      <c r="I121" s="298"/>
      <c r="J121" s="298"/>
      <c r="K121" s="64"/>
      <c r="L121" s="28"/>
      <c r="M121" s="28"/>
      <c r="N121" s="28"/>
      <c r="O121" s="1"/>
      <c r="P121" s="28"/>
      <c r="Q121" s="28"/>
    </row>
    <row r="122" spans="1:21" customFormat="1">
      <c r="A122" s="13" t="s">
        <v>7</v>
      </c>
      <c r="B122" s="12"/>
      <c r="C122" s="2"/>
      <c r="D122" s="54">
        <v>2010</v>
      </c>
      <c r="E122" s="121"/>
      <c r="F122" s="26">
        <v>2009</v>
      </c>
      <c r="G122" s="65"/>
      <c r="H122" s="265">
        <v>2010</v>
      </c>
      <c r="I122" s="121"/>
      <c r="J122" s="274">
        <v>2009</v>
      </c>
      <c r="K122" s="65"/>
      <c r="L122" s="28"/>
      <c r="M122" s="78"/>
      <c r="N122" s="28"/>
      <c r="O122" s="28"/>
    </row>
    <row r="123" spans="1:21" customFormat="1">
      <c r="A123" s="62"/>
      <c r="B123" s="5"/>
      <c r="C123" s="2"/>
      <c r="D123" s="307" t="s">
        <v>5</v>
      </c>
      <c r="E123" s="307"/>
      <c r="F123" s="307"/>
      <c r="G123" s="307"/>
      <c r="H123" s="307"/>
      <c r="I123" s="307"/>
      <c r="J123" s="307"/>
      <c r="K123" s="256"/>
      <c r="L123" s="256"/>
      <c r="M123" s="256"/>
      <c r="N123" s="201"/>
      <c r="O123" s="201"/>
      <c r="P123" s="28"/>
      <c r="Q123" s="28"/>
    </row>
    <row r="124" spans="1:21" customFormat="1">
      <c r="A124" s="2"/>
      <c r="B124" s="2" t="s">
        <v>96</v>
      </c>
      <c r="C124" s="2"/>
      <c r="D124" s="214">
        <f>+H124-80418</f>
        <v>13894</v>
      </c>
      <c r="E124" s="24"/>
      <c r="F124" s="24">
        <f>+J124-151212</f>
        <v>2403</v>
      </c>
      <c r="G124" s="24"/>
      <c r="H124" s="214">
        <v>94312</v>
      </c>
      <c r="I124" s="277"/>
      <c r="J124" s="24">
        <v>153615</v>
      </c>
      <c r="K124" s="24"/>
      <c r="L124" s="28"/>
      <c r="M124" s="23"/>
      <c r="N124" s="28"/>
      <c r="O124" s="270"/>
    </row>
    <row r="125" spans="1:21" customFormat="1">
      <c r="A125" s="2"/>
      <c r="B125" s="2" t="s">
        <v>259</v>
      </c>
      <c r="C125" s="2"/>
      <c r="D125" s="56">
        <f>+H125</f>
        <v>-15176</v>
      </c>
      <c r="E125" s="24"/>
      <c r="F125" s="43">
        <v>0</v>
      </c>
      <c r="G125" s="43"/>
      <c r="H125" s="56">
        <v>-15176</v>
      </c>
      <c r="I125" s="24"/>
      <c r="J125" s="43">
        <v>0</v>
      </c>
      <c r="K125" s="24"/>
      <c r="L125" s="28"/>
      <c r="M125" s="28"/>
      <c r="N125" s="28"/>
      <c r="O125" s="28"/>
    </row>
    <row r="126" spans="1:21" customFormat="1" hidden="1">
      <c r="A126" s="2"/>
      <c r="B126" s="2" t="s">
        <v>97</v>
      </c>
      <c r="C126" s="2"/>
      <c r="D126" s="56">
        <v>0</v>
      </c>
      <c r="E126" s="22"/>
      <c r="F126" s="22">
        <v>0</v>
      </c>
      <c r="G126" s="22"/>
      <c r="H126" s="56">
        <f>O126-0</f>
        <v>0</v>
      </c>
      <c r="I126" s="22"/>
      <c r="J126" s="22">
        <v>0</v>
      </c>
      <c r="K126" s="22"/>
      <c r="L126" s="28"/>
      <c r="M126" s="28"/>
      <c r="N126" s="28"/>
      <c r="O126" s="28"/>
    </row>
    <row r="127" spans="1:21" customFormat="1">
      <c r="A127" s="4"/>
      <c r="B127" s="4" t="s">
        <v>0</v>
      </c>
      <c r="C127" s="2"/>
      <c r="D127" s="58">
        <f>SUM(D124:D126)</f>
        <v>-1282</v>
      </c>
      <c r="E127" s="22"/>
      <c r="F127" s="29">
        <f>SUM(F124:F126)</f>
        <v>2403</v>
      </c>
      <c r="G127" s="30"/>
      <c r="H127" s="58">
        <f>SUM(H124:H126)</f>
        <v>79136</v>
      </c>
      <c r="I127" s="22"/>
      <c r="J127" s="29">
        <f>SUM(J124:J126)</f>
        <v>153615</v>
      </c>
      <c r="K127" s="30"/>
      <c r="L127" s="28"/>
      <c r="M127" s="30"/>
      <c r="N127" s="28"/>
      <c r="O127" s="28"/>
    </row>
    <row r="128" spans="1:21" customFormat="1">
      <c r="A128" s="32"/>
      <c r="B128" s="32"/>
      <c r="C128" s="32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</row>
    <row r="129" spans="1:21" customFormat="1">
      <c r="A129" s="32"/>
      <c r="B129" s="32"/>
      <c r="C129" s="32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1:21" customFormat="1" ht="15">
      <c r="A130" s="36" t="s">
        <v>93</v>
      </c>
      <c r="B130" s="25"/>
      <c r="C130" s="25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5"/>
      <c r="T130" s="22"/>
    </row>
    <row r="131" spans="1:21" customFormat="1" ht="13.5" thickBot="1">
      <c r="A131" s="6" t="s">
        <v>16</v>
      </c>
      <c r="B131" s="6"/>
      <c r="C131" s="6"/>
      <c r="D131" s="20"/>
      <c r="E131" s="20"/>
      <c r="F131" s="20"/>
      <c r="G131" s="20"/>
      <c r="H131" s="20"/>
      <c r="I131" s="20"/>
      <c r="J131" s="20"/>
      <c r="K131" s="20"/>
      <c r="L131" s="28"/>
      <c r="M131" s="28"/>
      <c r="N131" s="18"/>
      <c r="O131" s="18"/>
      <c r="T131" s="18"/>
    </row>
    <row r="132" spans="1:21" customFormat="1">
      <c r="A132" s="2"/>
      <c r="B132" s="2"/>
      <c r="C132" s="2"/>
      <c r="D132" s="300" t="s">
        <v>8</v>
      </c>
      <c r="E132" s="300"/>
      <c r="F132" s="300"/>
      <c r="G132" s="292"/>
      <c r="H132" s="300" t="s">
        <v>34</v>
      </c>
      <c r="I132" s="300"/>
      <c r="J132" s="300"/>
      <c r="K132" s="117"/>
      <c r="L132" s="251"/>
      <c r="M132" s="251"/>
      <c r="N132" s="63"/>
      <c r="O132" s="1"/>
      <c r="P132" s="64"/>
      <c r="Q132" s="64"/>
      <c r="T132" s="63"/>
    </row>
    <row r="133" spans="1:21" customFormat="1">
      <c r="A133" s="2"/>
      <c r="B133" s="2"/>
      <c r="C133" s="2"/>
      <c r="D133" s="298" t="s">
        <v>66</v>
      </c>
      <c r="E133" s="298"/>
      <c r="F133" s="298"/>
      <c r="G133" s="291"/>
      <c r="H133" s="298" t="s">
        <v>6</v>
      </c>
      <c r="I133" s="298"/>
      <c r="J133" s="298"/>
      <c r="K133" s="64"/>
      <c r="L133" s="251"/>
      <c r="M133" s="251"/>
      <c r="N133" s="1"/>
      <c r="O133" s="1"/>
      <c r="P133" s="64"/>
      <c r="Q133" s="64"/>
      <c r="T133" s="1"/>
    </row>
    <row r="134" spans="1:21" customFormat="1">
      <c r="A134" s="13" t="s">
        <v>7</v>
      </c>
      <c r="B134" s="12"/>
      <c r="C134" s="2"/>
      <c r="D134" s="54">
        <v>2010</v>
      </c>
      <c r="E134" s="121"/>
      <c r="F134" s="26">
        <v>2009</v>
      </c>
      <c r="G134" s="65"/>
      <c r="H134" s="265">
        <v>2010</v>
      </c>
      <c r="I134" s="121"/>
      <c r="J134" s="274">
        <v>2009</v>
      </c>
      <c r="K134" s="65"/>
      <c r="L134" s="65"/>
      <c r="M134" s="78"/>
      <c r="N134" s="78"/>
      <c r="O134" s="78"/>
      <c r="R134" s="74"/>
    </row>
    <row r="135" spans="1:21" customFormat="1">
      <c r="A135" s="62"/>
      <c r="B135" s="5"/>
      <c r="C135" s="2"/>
      <c r="D135" s="296" t="s">
        <v>5</v>
      </c>
      <c r="E135" s="296"/>
      <c r="F135" s="296"/>
      <c r="G135" s="296"/>
      <c r="H135" s="296"/>
      <c r="I135" s="296"/>
      <c r="J135" s="296"/>
      <c r="K135" s="254"/>
      <c r="L135" s="254"/>
      <c r="M135" s="254"/>
      <c r="N135" s="198"/>
      <c r="O135" s="198"/>
      <c r="P135" s="296"/>
      <c r="Q135" s="296"/>
    </row>
    <row r="136" spans="1:21" customFormat="1">
      <c r="A136" s="2"/>
      <c r="B136" s="2" t="s">
        <v>17</v>
      </c>
      <c r="C136" s="2"/>
      <c r="D136" s="55">
        <f>+H136+42592</f>
        <v>-12833</v>
      </c>
      <c r="E136" s="14"/>
      <c r="F136" s="24">
        <f>+J136+54766</f>
        <v>-15706</v>
      </c>
      <c r="G136" s="24"/>
      <c r="H136" s="214">
        <v>-55425</v>
      </c>
      <c r="I136" s="252"/>
      <c r="J136" s="24">
        <v>-70472</v>
      </c>
      <c r="K136" s="24"/>
      <c r="L136" s="17"/>
      <c r="M136" s="23"/>
      <c r="R136" s="74"/>
    </row>
    <row r="137" spans="1:21" customFormat="1">
      <c r="A137" s="2"/>
      <c r="B137" s="2" t="s">
        <v>256</v>
      </c>
      <c r="C137" s="2"/>
      <c r="D137" s="56">
        <f>+H137-4281</f>
        <v>1613</v>
      </c>
      <c r="E137" s="16"/>
      <c r="F137" s="22">
        <f>+J137-5671</f>
        <v>329</v>
      </c>
      <c r="G137" s="22"/>
      <c r="H137" s="56">
        <v>5894</v>
      </c>
      <c r="I137" s="267"/>
      <c r="J137" s="22">
        <v>6000</v>
      </c>
      <c r="K137" s="16"/>
      <c r="L137" s="18"/>
      <c r="M137" s="28"/>
      <c r="R137" s="74"/>
    </row>
    <row r="138" spans="1:21" customFormat="1">
      <c r="A138" s="2"/>
      <c r="B138" s="2" t="s">
        <v>30</v>
      </c>
      <c r="C138" s="2"/>
      <c r="D138" s="56">
        <f>+H138-2535</f>
        <v>0</v>
      </c>
      <c r="E138" s="16"/>
      <c r="F138" s="22">
        <f>+J138-17462</f>
        <v>1778</v>
      </c>
      <c r="G138" s="22"/>
      <c r="H138" s="56">
        <v>2535</v>
      </c>
      <c r="I138" s="267"/>
      <c r="J138" s="22">
        <v>19240</v>
      </c>
      <c r="K138" s="16"/>
      <c r="L138" s="18"/>
      <c r="M138" s="28"/>
      <c r="R138" s="74"/>
    </row>
    <row r="139" spans="1:21" customFormat="1">
      <c r="A139" s="4"/>
      <c r="B139" s="4" t="s">
        <v>0</v>
      </c>
      <c r="C139" s="2"/>
      <c r="D139" s="58">
        <f>SUM(D136:D138)</f>
        <v>-11220</v>
      </c>
      <c r="E139" s="16"/>
      <c r="F139" s="29">
        <f>SUM(F136:F138)</f>
        <v>-13599</v>
      </c>
      <c r="G139" s="30"/>
      <c r="H139" s="58">
        <f>SUM(H136:H138)</f>
        <v>-46996</v>
      </c>
      <c r="I139" s="16"/>
      <c r="J139" s="29">
        <f>SUM(J136:J138)</f>
        <v>-45232</v>
      </c>
      <c r="K139" s="31"/>
      <c r="L139" s="31"/>
      <c r="M139" s="30"/>
      <c r="R139" s="74"/>
    </row>
    <row r="140" spans="1:21" customFormat="1">
      <c r="A140" s="19" t="s">
        <v>7</v>
      </c>
      <c r="B140" s="19" t="s">
        <v>7</v>
      </c>
      <c r="C140" s="2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8"/>
      <c r="O140" s="18"/>
      <c r="T140" s="16"/>
    </row>
    <row r="141" spans="1:21" customFormat="1">
      <c r="A141" s="5"/>
      <c r="B141" s="5"/>
      <c r="C141" s="2"/>
      <c r="D141" s="30"/>
      <c r="E141" s="22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16"/>
      <c r="R141" s="30"/>
      <c r="S141" s="16"/>
      <c r="T141" s="16"/>
      <c r="U141" s="16"/>
    </row>
    <row r="142" spans="1:21" customFormat="1" ht="15">
      <c r="A142" s="36" t="s">
        <v>106</v>
      </c>
      <c r="B142" s="25"/>
      <c r="C142" s="25"/>
      <c r="D142" s="184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</row>
    <row r="143" spans="1:21" customFormat="1" ht="13.5" thickBot="1">
      <c r="A143" s="6" t="s">
        <v>108</v>
      </c>
      <c r="B143" s="6"/>
      <c r="C143" s="6"/>
      <c r="D143" s="20"/>
      <c r="E143" s="20"/>
      <c r="F143" s="49" t="s">
        <v>7</v>
      </c>
      <c r="G143" s="49"/>
      <c r="H143" s="49"/>
      <c r="I143" s="49"/>
      <c r="J143" s="49"/>
      <c r="K143" s="49"/>
      <c r="L143" s="28"/>
      <c r="M143" s="28"/>
      <c r="N143" s="28"/>
      <c r="O143" s="28"/>
      <c r="T143" s="28"/>
    </row>
    <row r="144" spans="1:21" customFormat="1">
      <c r="A144" s="5"/>
      <c r="B144" s="5"/>
      <c r="C144" s="5"/>
      <c r="D144" s="300" t="s">
        <v>8</v>
      </c>
      <c r="E144" s="300"/>
      <c r="F144" s="300"/>
      <c r="G144" s="292"/>
      <c r="H144" s="300" t="s">
        <v>34</v>
      </c>
      <c r="I144" s="300"/>
      <c r="J144" s="300"/>
      <c r="K144" s="117"/>
      <c r="L144" s="1"/>
      <c r="M144" s="1"/>
      <c r="N144" s="63"/>
      <c r="O144" s="1"/>
      <c r="P144" s="299"/>
      <c r="Q144" s="299"/>
      <c r="T144" s="63"/>
    </row>
    <row r="145" spans="1:21" customFormat="1">
      <c r="A145" s="2"/>
      <c r="B145" s="2"/>
      <c r="C145" s="2"/>
      <c r="D145" s="298" t="s">
        <v>66</v>
      </c>
      <c r="E145" s="298"/>
      <c r="F145" s="298"/>
      <c r="G145" s="291"/>
      <c r="H145" s="298" t="s">
        <v>6</v>
      </c>
      <c r="I145" s="298"/>
      <c r="J145" s="298"/>
      <c r="K145" s="64"/>
      <c r="L145" s="1"/>
      <c r="M145" s="1"/>
      <c r="N145" s="1"/>
      <c r="O145" s="1"/>
      <c r="P145" s="297"/>
      <c r="Q145" s="297"/>
      <c r="T145" s="1"/>
    </row>
    <row r="146" spans="1:21" customFormat="1">
      <c r="A146" s="13" t="s">
        <v>7</v>
      </c>
      <c r="B146" s="12"/>
      <c r="C146" s="2"/>
      <c r="D146" s="54">
        <v>2010</v>
      </c>
      <c r="E146" s="121"/>
      <c r="F146" s="26">
        <v>2009</v>
      </c>
      <c r="G146" s="65"/>
      <c r="H146" s="265">
        <v>2010</v>
      </c>
      <c r="I146" s="121"/>
      <c r="J146" s="274">
        <v>2009</v>
      </c>
      <c r="K146" s="65"/>
      <c r="L146" s="107"/>
      <c r="M146" s="65"/>
      <c r="N146" s="65"/>
      <c r="O146" s="78"/>
      <c r="P146" s="78"/>
      <c r="Q146" s="65"/>
      <c r="T146" s="74"/>
    </row>
    <row r="147" spans="1:21" customFormat="1">
      <c r="A147" s="62"/>
      <c r="B147" s="5"/>
      <c r="C147" s="2"/>
      <c r="D147" s="296" t="s">
        <v>5</v>
      </c>
      <c r="E147" s="296"/>
      <c r="F147" s="296"/>
      <c r="G147" s="296"/>
      <c r="H147" s="296"/>
      <c r="I147" s="296"/>
      <c r="J147" s="296"/>
      <c r="K147" s="254"/>
      <c r="L147" s="254"/>
      <c r="M147" s="254"/>
      <c r="N147" s="198"/>
      <c r="O147" s="198"/>
      <c r="P147" s="296"/>
      <c r="Q147" s="296"/>
    </row>
    <row r="148" spans="1:21" customFormat="1">
      <c r="A148" s="2"/>
      <c r="B148" s="2" t="s">
        <v>109</v>
      </c>
      <c r="C148" t="s">
        <v>7</v>
      </c>
      <c r="D148" s="130">
        <f>+H148-4923</f>
        <v>805</v>
      </c>
      <c r="E148" s="212"/>
      <c r="F148" s="108">
        <f>+J148-4607</f>
        <v>2631</v>
      </c>
      <c r="G148" s="108"/>
      <c r="H148" s="130">
        <f>4331+1397</f>
        <v>5728</v>
      </c>
      <c r="I148" s="212"/>
      <c r="J148" s="108">
        <v>7238</v>
      </c>
      <c r="K148" s="108"/>
      <c r="L148" s="255"/>
      <c r="M148" s="104"/>
      <c r="N148" s="39"/>
      <c r="O148" s="104"/>
      <c r="T148" s="74"/>
    </row>
    <row r="149" spans="1:21" customFormat="1">
      <c r="A149" s="2"/>
      <c r="B149" s="25" t="s">
        <v>107</v>
      </c>
      <c r="D149" s="59">
        <f>+H149-3044</f>
        <v>3439</v>
      </c>
      <c r="E149" s="2"/>
      <c r="F149" s="43">
        <f>+J149-8611</f>
        <v>60</v>
      </c>
      <c r="G149" s="43"/>
      <c r="H149" s="59">
        <v>6483</v>
      </c>
      <c r="I149" s="2"/>
      <c r="J149" s="43">
        <v>8671</v>
      </c>
      <c r="K149" s="25"/>
      <c r="L149" s="32"/>
      <c r="M149" s="51"/>
      <c r="N149" s="25"/>
      <c r="O149" s="51"/>
      <c r="T149" s="74"/>
    </row>
    <row r="150" spans="1:21" customFormat="1">
      <c r="A150" s="2"/>
      <c r="B150" s="25" t="s">
        <v>80</v>
      </c>
      <c r="D150" s="59">
        <f>+H150-0</f>
        <v>0</v>
      </c>
      <c r="E150" s="191"/>
      <c r="F150" s="43">
        <f>+J150-3778</f>
        <v>0</v>
      </c>
      <c r="G150" s="43"/>
      <c r="H150" s="59">
        <v>0</v>
      </c>
      <c r="I150" s="191"/>
      <c r="J150" s="43">
        <v>3778</v>
      </c>
      <c r="K150" s="43"/>
      <c r="L150" s="82"/>
      <c r="M150" s="51"/>
      <c r="N150" s="43"/>
      <c r="O150" s="51"/>
      <c r="T150" s="74"/>
    </row>
    <row r="151" spans="1:21" customFormat="1">
      <c r="A151" s="2"/>
      <c r="B151" s="25" t="s">
        <v>199</v>
      </c>
      <c r="D151" s="59">
        <f>+H151-711</f>
        <v>0</v>
      </c>
      <c r="E151" s="2"/>
      <c r="F151" s="43">
        <f>+J151-3053</f>
        <v>696</v>
      </c>
      <c r="G151" s="43"/>
      <c r="H151" s="59">
        <v>711</v>
      </c>
      <c r="I151" s="2"/>
      <c r="J151" s="43">
        <v>3749</v>
      </c>
      <c r="K151" s="25"/>
      <c r="L151" s="32"/>
      <c r="M151" s="51"/>
      <c r="N151" s="25"/>
      <c r="O151" s="51"/>
      <c r="T151" s="74"/>
    </row>
    <row r="152" spans="1:21" customFormat="1">
      <c r="A152" s="2"/>
      <c r="B152" s="25" t="s">
        <v>29</v>
      </c>
      <c r="C152" s="25"/>
      <c r="D152" s="56">
        <f>+H152-870</f>
        <v>68</v>
      </c>
      <c r="E152" s="22"/>
      <c r="F152" s="22">
        <f>+J152-2226</f>
        <v>-1173</v>
      </c>
      <c r="G152" s="22"/>
      <c r="H152" s="56">
        <f>1969+366-1397</f>
        <v>938</v>
      </c>
      <c r="I152" s="22"/>
      <c r="J152" s="43">
        <v>1053</v>
      </c>
      <c r="K152" s="22"/>
      <c r="L152" s="28"/>
      <c r="M152" s="28"/>
      <c r="N152" s="22"/>
      <c r="O152" s="28"/>
      <c r="Q152" s="157" t="s">
        <v>7</v>
      </c>
      <c r="T152" s="74"/>
    </row>
    <row r="153" spans="1:21" customFormat="1">
      <c r="A153" s="4"/>
      <c r="B153" s="4" t="s">
        <v>0</v>
      </c>
      <c r="C153" s="2"/>
      <c r="D153" s="58">
        <f>SUM(D148:D152)</f>
        <v>4312</v>
      </c>
      <c r="E153" s="16"/>
      <c r="F153" s="29">
        <f>SUM(F148:F152)</f>
        <v>2214</v>
      </c>
      <c r="G153" s="30"/>
      <c r="H153" s="58">
        <f>SUM(H148:H152)</f>
        <v>13860</v>
      </c>
      <c r="I153" s="16"/>
      <c r="J153" s="29">
        <f>SUM(J148:J152)</f>
        <v>24489</v>
      </c>
      <c r="K153" s="30"/>
      <c r="L153" s="28"/>
      <c r="M153" s="30"/>
      <c r="N153" s="30"/>
      <c r="O153" s="30"/>
      <c r="T153" s="74"/>
    </row>
    <row r="154" spans="1:21" customFormat="1">
      <c r="A154" s="5"/>
      <c r="B154" s="5"/>
      <c r="C154" s="2"/>
      <c r="D154" s="30"/>
      <c r="E154" s="22"/>
      <c r="F154" s="30"/>
      <c r="G154" s="30"/>
      <c r="H154" s="30"/>
      <c r="I154" s="30"/>
      <c r="J154" s="30"/>
      <c r="K154" s="30"/>
      <c r="L154" s="16"/>
      <c r="M154" s="30"/>
      <c r="N154" s="30"/>
      <c r="O154" s="30"/>
      <c r="T154" s="74"/>
    </row>
    <row r="155" spans="1:21" customFormat="1">
      <c r="A155" s="5"/>
      <c r="B155" s="5"/>
      <c r="C155" s="2"/>
      <c r="D155" s="85"/>
      <c r="E155" s="16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U155" s="74"/>
    </row>
    <row r="156" spans="1:21" customFormat="1" ht="15">
      <c r="A156" s="36" t="s">
        <v>112</v>
      </c>
      <c r="B156" s="25"/>
      <c r="C156" s="25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1:21" customFormat="1" ht="13.5" thickBot="1">
      <c r="A157" s="6" t="s">
        <v>111</v>
      </c>
      <c r="B157" s="6"/>
      <c r="C157" s="6"/>
      <c r="D157" s="20"/>
      <c r="E157" s="20"/>
      <c r="F157" s="49" t="s">
        <v>7</v>
      </c>
      <c r="G157" s="49"/>
      <c r="H157" s="49"/>
      <c r="I157" s="49"/>
      <c r="J157" s="49"/>
      <c r="K157" s="49"/>
      <c r="L157" s="28"/>
      <c r="M157" s="28"/>
      <c r="N157" s="28"/>
      <c r="O157" s="28"/>
      <c r="T157" s="28"/>
    </row>
    <row r="158" spans="1:21" customFormat="1">
      <c r="A158" s="5"/>
      <c r="B158" s="5"/>
      <c r="C158" s="5"/>
      <c r="D158" s="300" t="s">
        <v>8</v>
      </c>
      <c r="E158" s="300"/>
      <c r="F158" s="300"/>
      <c r="G158" s="292"/>
      <c r="H158" s="300" t="s">
        <v>34</v>
      </c>
      <c r="I158" s="300"/>
      <c r="J158" s="300"/>
      <c r="K158" s="117"/>
      <c r="L158" s="78"/>
      <c r="M158" s="78"/>
      <c r="N158" s="63"/>
      <c r="O158" s="1"/>
      <c r="P158" s="299"/>
      <c r="Q158" s="299"/>
      <c r="T158" s="63"/>
    </row>
    <row r="159" spans="1:21" customFormat="1">
      <c r="A159" s="2"/>
      <c r="B159" s="2"/>
      <c r="C159" s="2"/>
      <c r="D159" s="298" t="s">
        <v>66</v>
      </c>
      <c r="E159" s="298"/>
      <c r="F159" s="298"/>
      <c r="G159" s="291"/>
      <c r="H159" s="298" t="s">
        <v>6</v>
      </c>
      <c r="I159" s="298"/>
      <c r="J159" s="298"/>
      <c r="K159" s="64"/>
      <c r="L159" s="78"/>
      <c r="M159" s="78"/>
      <c r="N159" s="1"/>
      <c r="O159" s="1"/>
      <c r="P159" s="297"/>
      <c r="Q159" s="297"/>
      <c r="T159" s="1"/>
    </row>
    <row r="160" spans="1:21" customFormat="1">
      <c r="A160" s="13" t="s">
        <v>7</v>
      </c>
      <c r="B160" s="12"/>
      <c r="C160" s="2"/>
      <c r="D160" s="54">
        <v>2010</v>
      </c>
      <c r="E160" s="121"/>
      <c r="F160" s="26">
        <v>2009</v>
      </c>
      <c r="G160" s="65"/>
      <c r="H160" s="265">
        <v>2010</v>
      </c>
      <c r="I160" s="121"/>
      <c r="J160" s="274">
        <v>2009</v>
      </c>
      <c r="K160" s="65"/>
      <c r="L160" s="107"/>
      <c r="M160" s="65"/>
      <c r="N160" s="65"/>
      <c r="O160" s="78"/>
      <c r="P160" s="78"/>
      <c r="Q160" s="65"/>
      <c r="T160" s="74"/>
    </row>
    <row r="161" spans="1:20" customFormat="1">
      <c r="A161" s="62"/>
      <c r="B161" s="5"/>
      <c r="C161" s="2"/>
      <c r="D161" s="296" t="s">
        <v>5</v>
      </c>
      <c r="E161" s="296"/>
      <c r="F161" s="296"/>
      <c r="G161" s="296"/>
      <c r="H161" s="296"/>
      <c r="I161" s="296"/>
      <c r="J161" s="296"/>
      <c r="K161" s="254"/>
      <c r="L161" s="254"/>
      <c r="M161" s="254"/>
      <c r="N161" s="198"/>
      <c r="O161" s="198"/>
      <c r="P161" s="296"/>
      <c r="Q161" s="296"/>
    </row>
    <row r="162" spans="1:20" customFormat="1">
      <c r="A162" s="2"/>
      <c r="B162" s="25" t="s">
        <v>220</v>
      </c>
      <c r="D162" s="214">
        <f>+H162+7029</f>
        <v>0</v>
      </c>
      <c r="E162" s="99"/>
      <c r="F162" s="24">
        <f>+J162-0</f>
        <v>0</v>
      </c>
      <c r="G162" s="108"/>
      <c r="H162" s="130">
        <v>-7029</v>
      </c>
      <c r="I162" s="281"/>
      <c r="J162" s="24">
        <v>0</v>
      </c>
      <c r="K162" s="108"/>
      <c r="L162" s="105"/>
      <c r="M162" s="104"/>
      <c r="N162" s="104"/>
      <c r="O162" s="104"/>
      <c r="T162" s="74"/>
    </row>
    <row r="163" spans="1:20" customFormat="1">
      <c r="A163" s="2"/>
      <c r="B163" s="25" t="s">
        <v>225</v>
      </c>
      <c r="D163" s="59">
        <f>+H163+1229</f>
        <v>0</v>
      </c>
      <c r="E163" s="99"/>
      <c r="F163" s="43">
        <f>+J163-0</f>
        <v>0</v>
      </c>
      <c r="G163" s="108"/>
      <c r="H163" s="59">
        <v>-1229</v>
      </c>
      <c r="I163" s="281"/>
      <c r="J163" s="43">
        <v>0</v>
      </c>
      <c r="K163" s="108"/>
      <c r="L163" s="105"/>
      <c r="M163" s="104"/>
      <c r="N163" s="104"/>
      <c r="O163" s="104"/>
      <c r="T163" s="74"/>
    </row>
    <row r="164" spans="1:20" customFormat="1" hidden="1">
      <c r="A164" s="2"/>
      <c r="B164" s="25" t="s">
        <v>102</v>
      </c>
      <c r="D164" s="59"/>
      <c r="E164" s="2"/>
      <c r="F164" s="43"/>
      <c r="G164" s="43"/>
      <c r="H164" s="59"/>
      <c r="I164" s="248"/>
      <c r="J164" s="43"/>
      <c r="K164" s="25"/>
      <c r="L164" s="5"/>
      <c r="M164" s="51"/>
      <c r="N164" s="104"/>
      <c r="O164" s="104"/>
      <c r="T164" s="74"/>
    </row>
    <row r="165" spans="1:20" customFormat="1">
      <c r="A165" s="2"/>
      <c r="B165" s="25" t="s">
        <v>216</v>
      </c>
      <c r="D165" s="59">
        <f>+H165-0</f>
        <v>0</v>
      </c>
      <c r="E165" s="2"/>
      <c r="F165" s="43">
        <f>+J165+0</f>
        <v>-6895</v>
      </c>
      <c r="G165" s="43"/>
      <c r="H165" s="59">
        <v>0</v>
      </c>
      <c r="I165" s="248"/>
      <c r="J165" s="43">
        <v>-6895</v>
      </c>
      <c r="K165" s="25"/>
      <c r="L165" s="5"/>
      <c r="M165" s="51"/>
      <c r="N165" s="104"/>
      <c r="O165" s="104"/>
      <c r="T165" s="74"/>
    </row>
    <row r="166" spans="1:20" customFormat="1">
      <c r="A166" s="2"/>
      <c r="B166" s="25" t="s">
        <v>29</v>
      </c>
      <c r="C166" s="25"/>
      <c r="D166" s="56">
        <f>+H166+8747</f>
        <v>-575</v>
      </c>
      <c r="E166" s="22"/>
      <c r="F166" s="22">
        <f>+J166+7118</f>
        <v>2896</v>
      </c>
      <c r="G166" s="22"/>
      <c r="H166" s="56">
        <v>-9322</v>
      </c>
      <c r="I166" s="278"/>
      <c r="J166" s="43">
        <v>-4222</v>
      </c>
      <c r="K166" s="22"/>
      <c r="L166" s="28"/>
      <c r="M166" s="28"/>
    </row>
    <row r="167" spans="1:20" customFormat="1">
      <c r="A167" s="4"/>
      <c r="B167" s="4" t="s">
        <v>0</v>
      </c>
      <c r="C167" s="2"/>
      <c r="D167" s="58">
        <f>SUM(D162:D166)</f>
        <v>-575</v>
      </c>
      <c r="E167" s="16"/>
      <c r="F167" s="29">
        <f>SUM(F162:F166)</f>
        <v>-3999</v>
      </c>
      <c r="G167" s="30"/>
      <c r="H167" s="58">
        <f>SUM(H162:H166)</f>
        <v>-17580</v>
      </c>
      <c r="I167" s="16"/>
      <c r="J167" s="29">
        <f>SUM(J162:J166)</f>
        <v>-11117</v>
      </c>
      <c r="K167" s="30"/>
      <c r="L167" s="18"/>
      <c r="M167" s="30"/>
    </row>
    <row r="168" spans="1:20" customFormat="1">
      <c r="A168" s="5"/>
      <c r="B168" s="5"/>
      <c r="C168" s="2"/>
      <c r="D168" s="85"/>
      <c r="E168" s="16"/>
      <c r="F168" s="30"/>
      <c r="G168" s="30"/>
      <c r="H168" s="30"/>
      <c r="I168" s="30"/>
      <c r="J168" s="30"/>
      <c r="K168" s="30"/>
      <c r="L168" s="30"/>
      <c r="M168" s="30"/>
    </row>
    <row r="169" spans="1:20" customFormat="1">
      <c r="B169" s="2"/>
      <c r="C169" s="79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</row>
    <row r="170" spans="1:20" customFormat="1" ht="15">
      <c r="A170" s="36" t="s">
        <v>103</v>
      </c>
      <c r="B170" s="25"/>
      <c r="C170" s="86"/>
      <c r="D170" s="92" t="s">
        <v>7</v>
      </c>
      <c r="E170" s="71"/>
      <c r="F170" s="92" t="s">
        <v>7</v>
      </c>
      <c r="G170" s="92"/>
      <c r="H170" s="92"/>
      <c r="I170" s="92"/>
      <c r="J170" s="22"/>
      <c r="K170" s="22"/>
      <c r="L170" s="22"/>
      <c r="M170" s="22"/>
    </row>
    <row r="171" spans="1:20" customFormat="1" ht="13.5" thickBot="1">
      <c r="A171" s="37" t="s">
        <v>81</v>
      </c>
      <c r="B171" s="37"/>
      <c r="C171" s="37"/>
      <c r="D171" s="49"/>
      <c r="E171" s="49"/>
      <c r="F171" s="49"/>
      <c r="G171" s="49"/>
      <c r="H171" s="28"/>
      <c r="I171" s="28"/>
      <c r="J171" s="28"/>
      <c r="K171" s="28"/>
      <c r="L171" s="22"/>
      <c r="M171" s="2"/>
    </row>
    <row r="172" spans="1:20" customFormat="1">
      <c r="A172" s="45" t="s">
        <v>7</v>
      </c>
      <c r="B172" s="98"/>
      <c r="C172" s="25"/>
      <c r="D172" s="298" t="s">
        <v>66</v>
      </c>
      <c r="E172" s="298"/>
      <c r="F172" s="298"/>
      <c r="G172" s="1"/>
      <c r="H172" s="257"/>
      <c r="I172" s="257"/>
      <c r="J172" s="2"/>
      <c r="K172" s="2"/>
      <c r="L172" s="2"/>
      <c r="M172" s="22"/>
    </row>
    <row r="173" spans="1:20" customFormat="1">
      <c r="A173" s="61"/>
      <c r="B173" s="32"/>
      <c r="C173" s="25"/>
      <c r="D173" s="54">
        <v>2010</v>
      </c>
      <c r="E173" s="11"/>
      <c r="F173" s="26">
        <v>2009</v>
      </c>
      <c r="G173" s="65"/>
      <c r="H173" s="22"/>
      <c r="I173" s="2"/>
      <c r="J173" s="2"/>
      <c r="K173" s="2"/>
      <c r="L173" s="2"/>
      <c r="M173" s="22"/>
    </row>
    <row r="174" spans="1:20" customFormat="1">
      <c r="A174" s="61"/>
      <c r="B174" s="32"/>
      <c r="C174" s="25"/>
      <c r="D174" s="303" t="s">
        <v>5</v>
      </c>
      <c r="E174" s="303"/>
      <c r="F174" s="303"/>
      <c r="G174" s="295"/>
      <c r="H174" s="22"/>
      <c r="I174" s="2"/>
      <c r="J174" s="2"/>
      <c r="K174" s="2"/>
      <c r="L174" s="2"/>
      <c r="M174" s="22"/>
    </row>
    <row r="175" spans="1:20" customFormat="1">
      <c r="A175" s="32"/>
      <c r="B175" s="32" t="s">
        <v>254</v>
      </c>
      <c r="C175" s="32"/>
      <c r="D175" s="130">
        <v>0</v>
      </c>
      <c r="E175" s="278"/>
      <c r="F175" s="108">
        <v>1044</v>
      </c>
      <c r="G175" s="28"/>
      <c r="H175" s="22"/>
      <c r="I175" s="2"/>
      <c r="J175" s="2"/>
      <c r="K175" s="2"/>
      <c r="L175" s="2"/>
      <c r="M175" s="22"/>
    </row>
    <row r="176" spans="1:20" customFormat="1">
      <c r="A176" s="32"/>
      <c r="B176" s="32" t="s">
        <v>27</v>
      </c>
      <c r="C176" s="32"/>
      <c r="D176" s="57">
        <v>348</v>
      </c>
      <c r="E176" s="270"/>
      <c r="F176" s="28">
        <v>1796</v>
      </c>
      <c r="G176" s="28"/>
      <c r="H176" s="28"/>
      <c r="I176" s="2"/>
      <c r="J176" s="2"/>
      <c r="K176" s="2"/>
      <c r="L176" s="2"/>
      <c r="M176" s="28"/>
    </row>
    <row r="177" spans="1:24" customFormat="1">
      <c r="A177" s="32"/>
      <c r="B177" s="32" t="s">
        <v>35</v>
      </c>
      <c r="C177" s="32"/>
      <c r="D177" s="57">
        <v>4627</v>
      </c>
      <c r="E177" s="270"/>
      <c r="F177" s="28">
        <v>8785</v>
      </c>
      <c r="G177" s="28"/>
      <c r="H177" s="28"/>
      <c r="I177" s="2"/>
      <c r="J177" s="2"/>
      <c r="K177" s="2"/>
      <c r="L177" s="2"/>
      <c r="M177" s="28"/>
    </row>
    <row r="178" spans="1:24" customFormat="1">
      <c r="A178" s="32"/>
      <c r="B178" s="32" t="s">
        <v>54</v>
      </c>
      <c r="C178" s="32"/>
      <c r="D178" s="57">
        <v>31380</v>
      </c>
      <c r="E178" s="270"/>
      <c r="F178" s="28">
        <v>46925</v>
      </c>
      <c r="G178" s="28"/>
      <c r="H178" s="32"/>
      <c r="I178" s="2"/>
      <c r="J178" s="2"/>
      <c r="K178" s="2"/>
      <c r="L178" s="2"/>
      <c r="M178" s="28"/>
    </row>
    <row r="179" spans="1:24" customFormat="1">
      <c r="A179" s="32"/>
      <c r="B179" s="32" t="s">
        <v>82</v>
      </c>
      <c r="C179" s="32"/>
      <c r="D179" s="57">
        <v>120618</v>
      </c>
      <c r="E179" s="270"/>
      <c r="F179" s="28">
        <v>160978</v>
      </c>
      <c r="G179" s="28"/>
      <c r="H179" s="32"/>
      <c r="I179" s="2"/>
      <c r="J179" s="2"/>
      <c r="K179" s="2"/>
      <c r="L179" s="2"/>
      <c r="M179" s="28"/>
    </row>
    <row r="180" spans="1:24" customFormat="1">
      <c r="A180" s="98"/>
      <c r="B180" s="98" t="s">
        <v>212</v>
      </c>
      <c r="C180" s="25"/>
      <c r="D180" s="283">
        <v>48082</v>
      </c>
      <c r="E180" s="278"/>
      <c r="F180" s="27">
        <v>0</v>
      </c>
      <c r="G180" s="28"/>
      <c r="H180" s="22"/>
      <c r="I180" s="2"/>
      <c r="J180" s="2"/>
      <c r="K180" s="2"/>
      <c r="L180" s="2"/>
      <c r="M180" s="22"/>
    </row>
    <row r="181" spans="1:24" customFormat="1">
      <c r="A181" s="25"/>
      <c r="B181" s="25" t="s">
        <v>26</v>
      </c>
      <c r="C181" s="25"/>
      <c r="D181" s="56">
        <f>SUM(D175:D180)</f>
        <v>205055</v>
      </c>
      <c r="E181" s="278"/>
      <c r="F181" s="22">
        <f>SUM(F175:F180)</f>
        <v>219528</v>
      </c>
      <c r="G181" s="22"/>
      <c r="H181" s="22"/>
      <c r="I181" s="2"/>
      <c r="J181" s="2"/>
      <c r="K181" s="2"/>
      <c r="L181" s="2"/>
      <c r="M181" s="22"/>
    </row>
    <row r="182" spans="1:24" customFormat="1">
      <c r="A182" s="25"/>
      <c r="B182" s="25" t="s">
        <v>28</v>
      </c>
      <c r="C182" s="25"/>
      <c r="D182" s="56">
        <f>106463-675</f>
        <v>105788</v>
      </c>
      <c r="E182" s="278"/>
      <c r="F182" s="22">
        <v>73710</v>
      </c>
      <c r="G182" s="22"/>
      <c r="H182" s="22"/>
      <c r="I182" s="2"/>
      <c r="J182" s="2"/>
      <c r="K182" s="2"/>
      <c r="L182" s="2"/>
      <c r="M182" s="22"/>
    </row>
    <row r="183" spans="1:24" customFormat="1">
      <c r="A183" s="106"/>
      <c r="B183" s="106" t="s">
        <v>83</v>
      </c>
      <c r="C183" s="25"/>
      <c r="D183" s="58">
        <f>SUM(D181:D182)</f>
        <v>310843</v>
      </c>
      <c r="E183" s="278"/>
      <c r="F183" s="29">
        <f>SUM(F181:F182)</f>
        <v>293238</v>
      </c>
      <c r="G183" s="30"/>
      <c r="H183" s="16"/>
      <c r="I183" s="2"/>
      <c r="J183" s="2"/>
      <c r="K183" s="2"/>
      <c r="L183" s="2"/>
      <c r="M183" s="16"/>
    </row>
    <row r="184" spans="1:24" customFormat="1">
      <c r="A184" s="32"/>
      <c r="B184" s="32"/>
      <c r="C184" s="25"/>
      <c r="D184" s="30"/>
      <c r="E184" s="22"/>
      <c r="F184" s="30"/>
      <c r="G184" s="30"/>
      <c r="H184" s="30"/>
      <c r="I184" s="30"/>
      <c r="J184" s="89"/>
      <c r="K184" s="30"/>
      <c r="L184" s="16"/>
      <c r="M184" s="2"/>
    </row>
    <row r="185" spans="1:24" customFormat="1">
      <c r="A185" s="32" t="s">
        <v>258</v>
      </c>
      <c r="B185" s="32"/>
      <c r="C185" s="25"/>
      <c r="D185" s="30"/>
      <c r="E185" s="22"/>
      <c r="F185" s="30"/>
      <c r="G185" s="30"/>
      <c r="H185" s="30"/>
      <c r="I185" s="30"/>
      <c r="J185" s="30"/>
      <c r="K185" s="89"/>
      <c r="L185" s="30"/>
      <c r="M185" s="16"/>
      <c r="N185" s="2"/>
    </row>
    <row r="186" spans="1:24" customFormat="1">
      <c r="A186" s="2"/>
      <c r="B186" s="248"/>
      <c r="C186" s="2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24" customFormat="1" ht="13.5" thickBot="1">
      <c r="A187" s="41" t="s">
        <v>242</v>
      </c>
      <c r="B187" s="37"/>
      <c r="C187" s="37"/>
      <c r="D187" s="20"/>
      <c r="E187" s="20"/>
      <c r="F187" s="49"/>
      <c r="G187" s="49"/>
      <c r="H187" s="49"/>
      <c r="I187" s="49"/>
      <c r="J187" s="49"/>
      <c r="K187" s="49"/>
      <c r="L187" s="28"/>
      <c r="M187" s="28"/>
    </row>
    <row r="188" spans="1:24" customFormat="1">
      <c r="A188" s="5"/>
      <c r="B188" s="5"/>
      <c r="C188" s="5"/>
      <c r="D188" s="300" t="s">
        <v>8</v>
      </c>
      <c r="E188" s="300"/>
      <c r="F188" s="300"/>
      <c r="G188" s="292"/>
      <c r="H188" s="300" t="s">
        <v>34</v>
      </c>
      <c r="I188" s="300"/>
      <c r="J188" s="300"/>
      <c r="K188" s="117"/>
      <c r="L188" s="258"/>
      <c r="M188" s="258"/>
    </row>
    <row r="189" spans="1:24" customFormat="1">
      <c r="A189" s="2"/>
      <c r="B189" s="2"/>
      <c r="C189" s="2"/>
      <c r="D189" s="298" t="s">
        <v>66</v>
      </c>
      <c r="E189" s="298"/>
      <c r="F189" s="298"/>
      <c r="G189" s="291"/>
      <c r="H189" s="298" t="s">
        <v>6</v>
      </c>
      <c r="I189" s="298"/>
      <c r="J189" s="298"/>
      <c r="K189" s="64"/>
      <c r="L189" s="257"/>
      <c r="M189" s="257"/>
    </row>
    <row r="190" spans="1:24" customFormat="1">
      <c r="A190" s="13" t="s">
        <v>7</v>
      </c>
      <c r="B190" s="12"/>
      <c r="C190" s="2"/>
      <c r="D190" s="54">
        <v>2010</v>
      </c>
      <c r="E190" s="121"/>
      <c r="F190" s="26">
        <v>2009</v>
      </c>
      <c r="G190" s="65"/>
      <c r="H190" s="265">
        <v>2010</v>
      </c>
      <c r="I190" s="121"/>
      <c r="J190" s="274">
        <v>2009</v>
      </c>
      <c r="K190" s="65"/>
      <c r="L190" s="107"/>
      <c r="M190" s="65"/>
    </row>
    <row r="191" spans="1:24" customFormat="1">
      <c r="A191" s="181" t="s">
        <v>257</v>
      </c>
      <c r="B191" s="5"/>
      <c r="C191" s="2"/>
      <c r="D191" s="304" t="s">
        <v>5</v>
      </c>
      <c r="E191" s="304"/>
      <c r="F191" s="304"/>
      <c r="G191" s="304"/>
      <c r="H191" s="304"/>
      <c r="I191" s="304"/>
      <c r="J191" s="304"/>
      <c r="K191" s="205"/>
      <c r="L191" s="205"/>
      <c r="M191" s="205"/>
    </row>
    <row r="192" spans="1:24" customFormat="1">
      <c r="A192" s="2"/>
      <c r="B192" s="2" t="s">
        <v>236</v>
      </c>
      <c r="C192" s="2"/>
      <c r="D192" s="214">
        <f>D47</f>
        <v>76400</v>
      </c>
      <c r="E192" s="24"/>
      <c r="F192" s="24">
        <f>+J192-137564</f>
        <v>31479</v>
      </c>
      <c r="G192" s="24"/>
      <c r="H192" s="214">
        <f>H47</f>
        <v>198278</v>
      </c>
      <c r="I192" s="24">
        <f>I47</f>
        <v>0</v>
      </c>
      <c r="J192" s="24">
        <f>J47</f>
        <v>169043</v>
      </c>
      <c r="K192" s="24"/>
      <c r="L192" s="23"/>
      <c r="M192" s="23"/>
      <c r="N192" s="73"/>
      <c r="O192" s="23"/>
      <c r="R192" s="72"/>
      <c r="S192" s="2"/>
      <c r="T192" s="2"/>
      <c r="U192" s="2"/>
      <c r="V192" s="2"/>
      <c r="W192" s="2"/>
      <c r="X192" s="2"/>
    </row>
    <row r="193" spans="1:26" customFormat="1">
      <c r="A193" s="2"/>
      <c r="B193" s="2" t="s">
        <v>237</v>
      </c>
      <c r="C193" s="2"/>
      <c r="D193" s="59">
        <f t="shared" ref="D193" si="0">D48</f>
        <v>73657</v>
      </c>
      <c r="E193" s="22"/>
      <c r="F193" s="43">
        <f>+J193-94452</f>
        <v>87683</v>
      </c>
      <c r="G193" s="43"/>
      <c r="H193" s="59">
        <f t="shared" ref="H193:I193" si="1">H48</f>
        <v>192262</v>
      </c>
      <c r="I193" s="24">
        <f t="shared" si="1"/>
        <v>0</v>
      </c>
      <c r="J193" s="22">
        <f t="shared" ref="J193" si="2">J48</f>
        <v>182135</v>
      </c>
      <c r="K193" s="22"/>
      <c r="L193" s="28"/>
      <c r="M193" s="28"/>
      <c r="N193" s="73"/>
      <c r="O193" s="28"/>
      <c r="R193" s="72"/>
      <c r="S193" s="2"/>
      <c r="T193" s="2"/>
      <c r="U193" s="2"/>
      <c r="V193" s="2"/>
      <c r="W193" s="2"/>
      <c r="X193" s="2"/>
    </row>
    <row r="194" spans="1:26" customFormat="1">
      <c r="A194" s="2"/>
      <c r="B194" s="2" t="s">
        <v>238</v>
      </c>
      <c r="C194" s="2"/>
      <c r="D194" s="56">
        <f>+H194-142376</f>
        <v>24335</v>
      </c>
      <c r="E194" s="22"/>
      <c r="F194" s="43">
        <f>+J194-136006</f>
        <v>47077</v>
      </c>
      <c r="G194" s="22"/>
      <c r="H194" s="59">
        <v>166711</v>
      </c>
      <c r="I194" s="22"/>
      <c r="J194" s="22">
        <v>183083</v>
      </c>
      <c r="K194" s="22"/>
      <c r="L194" s="28"/>
      <c r="M194" s="28"/>
      <c r="N194" s="73"/>
      <c r="O194" s="28"/>
      <c r="R194" s="72"/>
      <c r="S194" s="2"/>
      <c r="T194" s="2"/>
      <c r="U194" s="2"/>
      <c r="V194" s="2"/>
      <c r="W194" s="2"/>
      <c r="X194" s="2"/>
    </row>
    <row r="195" spans="1:26" customFormat="1">
      <c r="A195" s="2"/>
      <c r="B195" s="2" t="s">
        <v>239</v>
      </c>
      <c r="C195" s="2"/>
      <c r="D195" s="56">
        <f t="shared" ref="D195" si="3">D137</f>
        <v>1613</v>
      </c>
      <c r="E195" s="22"/>
      <c r="F195" s="22">
        <f>+J195-5671</f>
        <v>329</v>
      </c>
      <c r="G195" s="22"/>
      <c r="H195" s="56">
        <f t="shared" ref="H195:I195" si="4">H137</f>
        <v>5894</v>
      </c>
      <c r="I195" s="22">
        <f t="shared" si="4"/>
        <v>0</v>
      </c>
      <c r="J195" s="22">
        <f t="shared" ref="J195" si="5">J137</f>
        <v>6000</v>
      </c>
      <c r="K195" s="22"/>
      <c r="L195" s="28"/>
      <c r="M195" s="28"/>
      <c r="N195" s="73"/>
      <c r="O195" s="28"/>
      <c r="R195" s="72"/>
      <c r="S195" s="16"/>
      <c r="T195" s="2"/>
      <c r="U195" s="2"/>
      <c r="V195" s="2"/>
      <c r="W195" s="2"/>
      <c r="X195" s="2"/>
    </row>
    <row r="196" spans="1:26" customFormat="1">
      <c r="A196" s="2"/>
      <c r="B196" s="2" t="s">
        <v>241</v>
      </c>
      <c r="C196" s="2"/>
      <c r="D196" s="56">
        <f>-D105</f>
        <v>5619</v>
      </c>
      <c r="E196" s="22"/>
      <c r="F196" s="22">
        <f>+J196-15684</f>
        <v>9097</v>
      </c>
      <c r="G196" s="22"/>
      <c r="H196" s="56">
        <f>-H105</f>
        <v>36348</v>
      </c>
      <c r="I196" s="22"/>
      <c r="J196" s="22">
        <f>-J105</f>
        <v>24781</v>
      </c>
      <c r="K196" s="22"/>
      <c r="L196" s="28"/>
      <c r="M196" s="28"/>
      <c r="N196" s="73"/>
      <c r="O196" s="28"/>
      <c r="R196" s="72"/>
      <c r="S196" s="2"/>
      <c r="T196" s="2"/>
      <c r="U196" s="2"/>
      <c r="V196" s="2"/>
      <c r="W196" s="2"/>
      <c r="X196" s="2"/>
    </row>
    <row r="197" spans="1:26" customFormat="1">
      <c r="A197" s="12"/>
      <c r="B197" s="12" t="s">
        <v>240</v>
      </c>
      <c r="C197" s="2"/>
      <c r="D197" s="283">
        <f>-D82</f>
        <v>76265</v>
      </c>
      <c r="E197" s="22"/>
      <c r="F197" s="27">
        <f>+J197-90953</f>
        <v>62458</v>
      </c>
      <c r="G197" s="22"/>
      <c r="H197" s="283">
        <f>-H82</f>
        <v>191301</v>
      </c>
      <c r="I197" s="22"/>
      <c r="J197" s="27">
        <f>-J82</f>
        <v>153411</v>
      </c>
      <c r="K197" s="22"/>
      <c r="L197" s="28"/>
      <c r="M197" s="28"/>
      <c r="N197" s="73"/>
      <c r="O197" s="28"/>
      <c r="R197" s="72"/>
      <c r="S197" s="2"/>
      <c r="T197" s="2"/>
      <c r="U197" s="2"/>
      <c r="V197" s="2"/>
      <c r="W197" s="2"/>
      <c r="X197" s="2"/>
    </row>
    <row r="198" spans="1:26" customFormat="1" ht="4.5" customHeight="1">
      <c r="A198" s="5"/>
      <c r="B198" s="32"/>
      <c r="C198" s="32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32"/>
      <c r="O198" s="100"/>
      <c r="R198" s="72"/>
      <c r="S198" s="2"/>
      <c r="T198" s="2"/>
      <c r="U198" s="2"/>
      <c r="V198" s="2"/>
      <c r="W198" s="2"/>
      <c r="X198" s="2"/>
    </row>
    <row r="199" spans="1:26" customFormat="1">
      <c r="A199" s="40" t="s">
        <v>4</v>
      </c>
      <c r="B199" s="35" t="s">
        <v>85</v>
      </c>
      <c r="C199" s="35"/>
      <c r="D199" s="28"/>
      <c r="E199" s="28"/>
      <c r="F199" s="101" t="s">
        <v>7</v>
      </c>
      <c r="G199" s="101"/>
      <c r="H199" s="101"/>
      <c r="I199" s="101"/>
      <c r="J199" s="101"/>
      <c r="K199" s="28"/>
      <c r="L199" s="28"/>
      <c r="M199" s="28"/>
      <c r="Q199" s="28"/>
      <c r="R199" s="28"/>
      <c r="S199" s="32"/>
      <c r="W199" s="16"/>
      <c r="X199" s="2"/>
    </row>
    <row r="200" spans="1:26" customFormat="1">
      <c r="A200" s="40" t="s">
        <v>3</v>
      </c>
      <c r="B200" s="35" t="s">
        <v>86</v>
      </c>
      <c r="C200" s="35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32"/>
      <c r="W200" s="16"/>
      <c r="X200" s="2"/>
    </row>
    <row r="201" spans="1:26" customFormat="1">
      <c r="A201" s="40" t="s">
        <v>14</v>
      </c>
      <c r="B201" s="35" t="s">
        <v>46</v>
      </c>
      <c r="C201" s="35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2"/>
      <c r="Y201" s="16"/>
      <c r="Z201" s="2"/>
    </row>
    <row r="202" spans="1:26" customFormat="1">
      <c r="A202" s="40"/>
      <c r="B202" s="35"/>
      <c r="C202" s="35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1:26" customFormat="1">
      <c r="A203" s="156" t="s">
        <v>7</v>
      </c>
      <c r="B203" s="2"/>
      <c r="C203" s="2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spans="1:26" customFormat="1" ht="15">
      <c r="A204" s="38" t="s">
        <v>118</v>
      </c>
      <c r="B204" s="25"/>
      <c r="D204" s="268"/>
      <c r="O204" s="22"/>
      <c r="P204" s="22"/>
      <c r="Q204" s="22"/>
      <c r="R204" s="22"/>
      <c r="S204" s="22"/>
      <c r="T204" s="22"/>
    </row>
    <row r="205" spans="1:26" customFormat="1" ht="13.5" thickBot="1">
      <c r="A205" s="6" t="s">
        <v>47</v>
      </c>
      <c r="B205" s="6"/>
      <c r="C205" s="6"/>
      <c r="D205" s="76"/>
      <c r="E205" s="49"/>
      <c r="F205" s="49"/>
      <c r="G205" s="49"/>
      <c r="H205" s="49"/>
      <c r="I205" s="49"/>
      <c r="J205" s="49"/>
      <c r="K205" s="49"/>
      <c r="L205" s="28"/>
      <c r="M205" s="28"/>
      <c r="N205" s="28"/>
      <c r="O205" s="28"/>
      <c r="P205" s="82"/>
      <c r="Q205" s="82"/>
      <c r="T205" s="32"/>
    </row>
    <row r="206" spans="1:26" customFormat="1">
      <c r="A206" s="5"/>
      <c r="B206" s="5"/>
      <c r="C206" s="5"/>
      <c r="D206" s="300" t="s">
        <v>8</v>
      </c>
      <c r="E206" s="300"/>
      <c r="F206" s="300"/>
      <c r="G206" s="292"/>
      <c r="H206" s="300" t="s">
        <v>34</v>
      </c>
      <c r="I206" s="300"/>
      <c r="J206" s="300"/>
      <c r="K206" s="117"/>
      <c r="L206" s="258"/>
      <c r="M206" s="258"/>
      <c r="N206" s="63"/>
      <c r="O206" s="1"/>
      <c r="P206" s="299"/>
      <c r="Q206" s="299"/>
      <c r="T206" s="63"/>
    </row>
    <row r="207" spans="1:26" customFormat="1">
      <c r="A207" s="2"/>
      <c r="B207" s="2"/>
      <c r="C207" s="2"/>
      <c r="D207" s="298" t="s">
        <v>66</v>
      </c>
      <c r="E207" s="298"/>
      <c r="F207" s="298"/>
      <c r="G207" s="291"/>
      <c r="H207" s="298" t="s">
        <v>6</v>
      </c>
      <c r="I207" s="298"/>
      <c r="J207" s="298"/>
      <c r="K207" s="64"/>
      <c r="L207" s="257"/>
      <c r="M207" s="257"/>
      <c r="N207" s="1"/>
      <c r="O207" s="1"/>
      <c r="P207" s="297"/>
      <c r="Q207" s="297"/>
      <c r="T207" s="1"/>
    </row>
    <row r="208" spans="1:26" customFormat="1">
      <c r="A208" s="13" t="s">
        <v>7</v>
      </c>
      <c r="B208" s="13"/>
      <c r="C208" s="2"/>
      <c r="D208" s="54">
        <v>2010</v>
      </c>
      <c r="E208" s="121"/>
      <c r="F208" s="26">
        <v>2009</v>
      </c>
      <c r="G208" s="65"/>
      <c r="H208" s="265">
        <v>2010</v>
      </c>
      <c r="I208" s="121"/>
      <c r="J208" s="274">
        <v>2009</v>
      </c>
      <c r="K208" s="65"/>
      <c r="L208" s="107"/>
      <c r="M208" s="65"/>
      <c r="N208" s="65"/>
      <c r="O208" s="78"/>
      <c r="P208" s="78"/>
      <c r="Q208" s="65"/>
    </row>
    <row r="209" spans="1:21" customFormat="1">
      <c r="A209" s="62"/>
      <c r="B209" s="62"/>
      <c r="C209" s="2"/>
      <c r="D209" s="296" t="s">
        <v>5</v>
      </c>
      <c r="E209" s="296"/>
      <c r="F209" s="296"/>
      <c r="G209" s="296"/>
      <c r="H209" s="296"/>
      <c r="I209" s="296"/>
      <c r="J209" s="296"/>
      <c r="K209" s="254"/>
      <c r="L209" s="205"/>
      <c r="M209" s="205"/>
      <c r="N209" s="198"/>
      <c r="O209" s="198"/>
      <c r="P209" s="296"/>
      <c r="Q209" s="296"/>
    </row>
    <row r="210" spans="1:21" customFormat="1">
      <c r="A210" s="2"/>
      <c r="B210" s="2" t="s">
        <v>32</v>
      </c>
      <c r="C210" s="2"/>
      <c r="D210" s="55">
        <f>+H210-150220</f>
        <v>56514</v>
      </c>
      <c r="E210" s="14"/>
      <c r="F210" s="24">
        <f>+J210-186844</f>
        <v>40996</v>
      </c>
      <c r="G210" s="24"/>
      <c r="H210" s="214">
        <f>205796+5575-H211</f>
        <v>206734</v>
      </c>
      <c r="I210" s="252"/>
      <c r="J210" s="24">
        <v>227840</v>
      </c>
      <c r="K210" s="24"/>
      <c r="L210" s="17"/>
      <c r="M210" s="23"/>
      <c r="N210" s="23"/>
      <c r="O210" s="23"/>
      <c r="T210" s="74"/>
    </row>
    <row r="211" spans="1:21" customFormat="1">
      <c r="A211" s="2"/>
      <c r="B211" s="25" t="s">
        <v>55</v>
      </c>
      <c r="C211" s="2"/>
      <c r="D211" s="56">
        <f>+H211-1965</f>
        <v>2672</v>
      </c>
      <c r="E211" s="16"/>
      <c r="F211" s="22">
        <f>+J211-3043</f>
        <v>344</v>
      </c>
      <c r="G211" s="22"/>
      <c r="H211" s="56">
        <v>4637</v>
      </c>
      <c r="I211" s="267"/>
      <c r="J211" s="22">
        <v>3387</v>
      </c>
      <c r="K211" s="28"/>
      <c r="L211" s="18"/>
      <c r="M211" s="28"/>
      <c r="N211" s="28"/>
      <c r="O211" s="28"/>
      <c r="T211" s="74"/>
    </row>
    <row r="212" spans="1:21" customFormat="1">
      <c r="A212" s="4"/>
      <c r="B212" s="4" t="s">
        <v>167</v>
      </c>
      <c r="C212" s="2"/>
      <c r="D212" s="58">
        <f>SUM(D209:D211)</f>
        <v>59186</v>
      </c>
      <c r="E212" s="16"/>
      <c r="F212" s="29">
        <f>SUM(F210:F211)</f>
        <v>41340</v>
      </c>
      <c r="G212" s="30"/>
      <c r="H212" s="58">
        <f>SUM(H209:H211)</f>
        <v>211371</v>
      </c>
      <c r="I212" s="16"/>
      <c r="J212" s="29">
        <f>SUM(J210:J211)</f>
        <v>231227</v>
      </c>
      <c r="K212" s="30"/>
      <c r="L212" s="18"/>
      <c r="M212" s="30"/>
      <c r="N212" s="30"/>
      <c r="O212" s="30"/>
    </row>
    <row r="213" spans="1:21" customFormat="1">
      <c r="A213" s="83"/>
      <c r="B213" s="2"/>
      <c r="C213" s="79"/>
      <c r="D213" s="88"/>
      <c r="E213" s="88"/>
      <c r="F213" s="92"/>
      <c r="G213" s="92"/>
      <c r="H213" s="88"/>
      <c r="I213" s="92"/>
      <c r="J213" s="92"/>
      <c r="K213" s="155"/>
      <c r="L213" s="155"/>
      <c r="M213" s="155"/>
      <c r="N213" s="155"/>
      <c r="O213" s="155"/>
      <c r="T213" s="28"/>
    </row>
    <row r="214" spans="1:21" customFormat="1">
      <c r="A214" s="156" t="s">
        <v>7</v>
      </c>
      <c r="B214" s="2"/>
      <c r="C214" s="5"/>
      <c r="D214" s="48"/>
      <c r="E214" s="50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2"/>
    </row>
    <row r="215" spans="1:21" customFormat="1" ht="15">
      <c r="A215" s="38" t="s">
        <v>104</v>
      </c>
      <c r="B215" s="2"/>
      <c r="C215" s="79"/>
      <c r="D215" s="88"/>
      <c r="E215" s="88"/>
      <c r="F215" s="88"/>
      <c r="G215" s="88"/>
      <c r="H215" s="88"/>
      <c r="I215" s="88"/>
      <c r="J215" s="88"/>
      <c r="K215" s="155"/>
      <c r="L215" s="88"/>
      <c r="M215" s="88"/>
      <c r="N215" s="88"/>
      <c r="O215" s="48"/>
      <c r="P215" s="48"/>
      <c r="Q215" s="48"/>
      <c r="R215" s="48"/>
      <c r="S215" s="48"/>
      <c r="T215" s="48"/>
      <c r="U215" s="2"/>
    </row>
    <row r="216" spans="1:21" customFormat="1" ht="13.5" thickBot="1">
      <c r="A216" s="37" t="s">
        <v>98</v>
      </c>
      <c r="B216" s="37"/>
      <c r="C216" s="37"/>
      <c r="D216" s="76"/>
      <c r="E216" s="49"/>
      <c r="F216" s="49"/>
      <c r="G216" s="49"/>
      <c r="H216" s="49"/>
      <c r="I216" s="49"/>
      <c r="J216" s="49"/>
      <c r="K216" s="49"/>
      <c r="L216" s="28"/>
      <c r="M216" s="155"/>
      <c r="N216" s="50"/>
      <c r="O216" s="50"/>
      <c r="P216" s="50"/>
      <c r="Q216" s="48"/>
      <c r="R216" s="48"/>
      <c r="S216" s="48"/>
      <c r="T216" s="2"/>
    </row>
    <row r="217" spans="1:21" customFormat="1">
      <c r="A217" s="32"/>
      <c r="B217" s="32"/>
      <c r="C217" s="32"/>
      <c r="D217" s="300" t="s">
        <v>8</v>
      </c>
      <c r="E217" s="300"/>
      <c r="F217" s="300"/>
      <c r="G217" s="292"/>
      <c r="H217" s="300" t="s">
        <v>34</v>
      </c>
      <c r="I217" s="300"/>
      <c r="J217" s="300"/>
      <c r="K217" s="117"/>
      <c r="L217" s="258"/>
      <c r="M217" s="258"/>
      <c r="N217" s="50"/>
      <c r="O217" s="250"/>
      <c r="P217" s="50"/>
      <c r="Q217" s="48"/>
      <c r="R217" s="48"/>
      <c r="S217" s="48"/>
      <c r="T217" s="2"/>
    </row>
    <row r="218" spans="1:21" customFormat="1">
      <c r="A218" s="25"/>
      <c r="B218" s="25"/>
      <c r="C218" s="25"/>
      <c r="D218" s="298" t="s">
        <v>66</v>
      </c>
      <c r="E218" s="298"/>
      <c r="F218" s="298"/>
      <c r="G218" s="291"/>
      <c r="H218" s="298" t="s">
        <v>6</v>
      </c>
      <c r="I218" s="298"/>
      <c r="J218" s="298"/>
      <c r="K218" s="64"/>
      <c r="L218" s="257"/>
      <c r="M218" s="257"/>
      <c r="N218" s="50"/>
      <c r="O218" s="250"/>
      <c r="P218" s="50"/>
      <c r="Q218" s="48"/>
      <c r="R218" s="48"/>
      <c r="S218" s="48"/>
      <c r="T218" s="2"/>
    </row>
    <row r="219" spans="1:21" customFormat="1">
      <c r="A219" s="45" t="s">
        <v>7</v>
      </c>
      <c r="B219" s="45"/>
      <c r="C219" s="25"/>
      <c r="D219" s="54">
        <v>2010</v>
      </c>
      <c r="E219" s="121"/>
      <c r="F219" s="26">
        <v>2009</v>
      </c>
      <c r="G219" s="65"/>
      <c r="H219" s="265">
        <v>2010</v>
      </c>
      <c r="I219" s="121"/>
      <c r="J219" s="274">
        <v>2009</v>
      </c>
      <c r="K219" s="65"/>
      <c r="L219" s="107"/>
      <c r="M219" s="65"/>
      <c r="N219" s="50"/>
      <c r="O219" s="78"/>
      <c r="P219" s="50"/>
      <c r="Q219" s="48"/>
      <c r="R219" s="48"/>
      <c r="S219" s="48"/>
      <c r="T219" s="2"/>
    </row>
    <row r="220" spans="1:21" customFormat="1">
      <c r="A220" s="61"/>
      <c r="B220" s="61"/>
      <c r="C220" s="25"/>
      <c r="D220" s="302" t="s">
        <v>5</v>
      </c>
      <c r="E220" s="302"/>
      <c r="F220" s="302"/>
      <c r="G220" s="302"/>
      <c r="H220" s="302"/>
      <c r="I220" s="302"/>
      <c r="J220" s="302"/>
      <c r="K220" s="202"/>
      <c r="L220" s="202"/>
      <c r="M220" s="202"/>
      <c r="N220" s="251"/>
      <c r="O220" s="251"/>
      <c r="P220" s="48"/>
      <c r="Q220" s="48"/>
      <c r="R220" s="48"/>
      <c r="S220" s="48"/>
      <c r="T220" s="2"/>
    </row>
    <row r="221" spans="1:21" customFormat="1">
      <c r="A221" s="25" t="s">
        <v>99</v>
      </c>
      <c r="B221" s="2"/>
      <c r="C221" s="25"/>
      <c r="D221" s="268"/>
      <c r="L221" s="73"/>
      <c r="M221" s="155"/>
      <c r="N221" s="50"/>
      <c r="O221" s="50"/>
      <c r="P221" s="48"/>
      <c r="Q221" s="48"/>
      <c r="R221" s="48"/>
      <c r="S221" s="48"/>
      <c r="T221" s="2"/>
    </row>
    <row r="222" spans="1:21" s="114" customFormat="1">
      <c r="A222" s="25"/>
      <c r="B222" s="25" t="s">
        <v>100</v>
      </c>
      <c r="C222" s="25"/>
      <c r="D222" s="55">
        <f>+H222+15816</f>
        <v>229</v>
      </c>
      <c r="E222" s="24"/>
      <c r="F222" s="24">
        <f>+J222+4468</f>
        <v>2706</v>
      </c>
      <c r="G222" s="24"/>
      <c r="H222" s="214">
        <v>-15587</v>
      </c>
      <c r="I222" s="277"/>
      <c r="J222" s="24">
        <v>-1762</v>
      </c>
      <c r="K222" s="24"/>
      <c r="L222" s="23"/>
      <c r="M222" s="23"/>
      <c r="N222" s="259"/>
      <c r="O222" s="23"/>
      <c r="P222" s="109"/>
      <c r="Q222" s="109"/>
      <c r="R222" s="109"/>
      <c r="S222" s="109"/>
      <c r="T222" s="25"/>
    </row>
    <row r="223" spans="1:21" s="114" customFormat="1" ht="25.5">
      <c r="A223" s="25"/>
      <c r="B223" s="135" t="s">
        <v>214</v>
      </c>
      <c r="C223" s="25"/>
      <c r="D223" s="56">
        <f>+H223-14268</f>
        <v>4020</v>
      </c>
      <c r="E223" s="22"/>
      <c r="F223" s="22">
        <f>+J223-12356</f>
        <v>4988</v>
      </c>
      <c r="G223" s="22"/>
      <c r="H223" s="56">
        <v>18288</v>
      </c>
      <c r="I223" s="278"/>
      <c r="J223" s="22">
        <v>17344</v>
      </c>
      <c r="K223" s="28"/>
      <c r="L223" s="28"/>
      <c r="M223" s="28"/>
      <c r="N223" s="259"/>
      <c r="O223" s="28"/>
      <c r="P223" s="109"/>
      <c r="Q223" s="109"/>
      <c r="R223" s="109"/>
      <c r="S223" s="109"/>
      <c r="T223" s="25"/>
    </row>
    <row r="224" spans="1:21" customFormat="1">
      <c r="A224" s="106"/>
      <c r="B224" s="106" t="s">
        <v>101</v>
      </c>
      <c r="C224" s="25"/>
      <c r="D224" s="58">
        <f>SUM(D222:D223)</f>
        <v>4249</v>
      </c>
      <c r="E224" s="33"/>
      <c r="F224" s="29">
        <f>SUM(F222:F223)</f>
        <v>7694</v>
      </c>
      <c r="G224" s="30"/>
      <c r="H224" s="58">
        <f>SUM(H222:H223)</f>
        <v>2701</v>
      </c>
      <c r="I224" s="33"/>
      <c r="J224" s="29">
        <f>SUM(J222:J223)</f>
        <v>15582</v>
      </c>
      <c r="K224" s="33"/>
      <c r="L224" s="23"/>
      <c r="M224" s="30"/>
      <c r="N224" s="50"/>
      <c r="O224" s="30"/>
      <c r="P224" s="48"/>
      <c r="Q224" s="48"/>
      <c r="R224" s="48"/>
      <c r="S224" s="48"/>
      <c r="T224" s="2"/>
    </row>
    <row r="225" spans="1:27" customFormat="1">
      <c r="A225" s="19"/>
      <c r="B225" s="2"/>
      <c r="C225" s="5"/>
      <c r="D225" s="48"/>
      <c r="E225" s="50"/>
      <c r="F225" s="261"/>
      <c r="G225" s="261"/>
      <c r="H225" s="48"/>
      <c r="I225" s="50"/>
      <c r="J225" s="261"/>
      <c r="K225" s="48"/>
      <c r="L225" s="50"/>
      <c r="M225" s="260"/>
      <c r="N225" s="50"/>
      <c r="O225" s="50"/>
      <c r="P225" s="48"/>
      <c r="Q225" s="48"/>
      <c r="R225" s="48"/>
      <c r="S225" s="48"/>
      <c r="T225" s="2"/>
    </row>
    <row r="226" spans="1:27" customFormat="1">
      <c r="A226" s="25" t="s">
        <v>115</v>
      </c>
      <c r="B226" s="2"/>
      <c r="C226" s="25"/>
      <c r="F226" s="262"/>
      <c r="G226" s="262"/>
      <c r="J226" s="271"/>
      <c r="L226" s="73"/>
      <c r="M226" s="155"/>
      <c r="N226" s="50"/>
      <c r="O226" s="50"/>
      <c r="P226" s="48"/>
      <c r="Q226" s="48"/>
      <c r="R226" s="48"/>
      <c r="S226" s="48"/>
      <c r="T226" s="2"/>
    </row>
    <row r="227" spans="1:27" s="114" customFormat="1">
      <c r="A227" s="25"/>
      <c r="B227" s="25" t="s">
        <v>100</v>
      </c>
      <c r="C227" s="25"/>
      <c r="D227" s="55">
        <f>+H227-3674</f>
        <v>8764</v>
      </c>
      <c r="E227" s="24"/>
      <c r="F227" s="24">
        <f>+J227-2994</f>
        <v>-1560</v>
      </c>
      <c r="G227" s="24"/>
      <c r="H227" s="214">
        <v>12438</v>
      </c>
      <c r="I227" s="277"/>
      <c r="J227" s="24">
        <v>1434</v>
      </c>
      <c r="K227" s="24"/>
      <c r="L227" s="23"/>
      <c r="M227" s="23"/>
      <c r="N227" s="259"/>
      <c r="O227" s="23"/>
      <c r="P227" s="109"/>
      <c r="Q227" s="109"/>
      <c r="R227" s="109"/>
      <c r="S227" s="109"/>
      <c r="T227" s="25"/>
    </row>
    <row r="228" spans="1:27" s="114" customFormat="1" ht="27" customHeight="1">
      <c r="A228" s="25"/>
      <c r="B228" s="135" t="s">
        <v>215</v>
      </c>
      <c r="C228" s="25"/>
      <c r="D228" s="56">
        <f>+H228-691</f>
        <v>-1183</v>
      </c>
      <c r="E228" s="22"/>
      <c r="F228" s="22">
        <f>+J228+1275</f>
        <v>-161</v>
      </c>
      <c r="G228" s="22"/>
      <c r="H228" s="56">
        <v>-492</v>
      </c>
      <c r="I228" s="278"/>
      <c r="J228" s="22">
        <v>-1436</v>
      </c>
      <c r="K228" s="28"/>
      <c r="L228" s="28"/>
      <c r="M228" s="28"/>
      <c r="N228" s="259"/>
      <c r="O228" s="28"/>
      <c r="P228" s="109"/>
      <c r="Q228" s="109"/>
      <c r="R228" s="109"/>
      <c r="S228" s="109"/>
      <c r="T228" s="25"/>
    </row>
    <row r="229" spans="1:27" customFormat="1">
      <c r="A229" s="106"/>
      <c r="B229" s="106" t="s">
        <v>116</v>
      </c>
      <c r="C229" s="25"/>
      <c r="D229" s="58">
        <f>SUM(D227:D228)</f>
        <v>7581</v>
      </c>
      <c r="E229" s="33"/>
      <c r="F229" s="29">
        <f>SUM(F227:F228)</f>
        <v>-1721</v>
      </c>
      <c r="G229" s="30"/>
      <c r="H229" s="58">
        <f>SUM(H227:H228)</f>
        <v>11946</v>
      </c>
      <c r="I229" s="33"/>
      <c r="J229" s="29">
        <f>SUM(J227:J228)</f>
        <v>-2</v>
      </c>
      <c r="K229" s="33"/>
      <c r="L229" s="23"/>
      <c r="M229" s="30"/>
      <c r="N229" s="50"/>
      <c r="O229" s="30"/>
      <c r="P229" s="48"/>
      <c r="Q229" s="48"/>
      <c r="R229" s="48"/>
      <c r="S229" s="48"/>
      <c r="T229" s="2"/>
    </row>
    <row r="230" spans="1:27" customFormat="1">
      <c r="A230" s="32"/>
      <c r="B230" s="32"/>
      <c r="C230" s="25"/>
      <c r="D230" s="186"/>
      <c r="E230" s="187"/>
      <c r="F230" s="186"/>
      <c r="G230" s="186"/>
      <c r="H230" s="186"/>
      <c r="I230" s="186"/>
      <c r="J230" s="186"/>
      <c r="K230" s="187"/>
      <c r="L230" s="186"/>
      <c r="M230" s="23"/>
      <c r="N230" s="30"/>
      <c r="O230" s="50"/>
      <c r="P230" s="30"/>
      <c r="Q230" s="48"/>
      <c r="R230" s="48"/>
      <c r="S230" s="48"/>
      <c r="T230" s="48"/>
      <c r="U230" s="2"/>
    </row>
    <row r="231" spans="1:27" customFormat="1">
      <c r="A231" s="19"/>
      <c r="B231" s="2"/>
      <c r="C231" s="5"/>
      <c r="D231" s="48"/>
      <c r="E231" s="50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2"/>
    </row>
    <row r="232" spans="1:27" customFormat="1" ht="15.75" thickBot="1">
      <c r="A232" s="52" t="s">
        <v>105</v>
      </c>
      <c r="B232" s="37"/>
      <c r="C232" s="6"/>
      <c r="D232" s="189"/>
      <c r="E232" s="49" t="s">
        <v>7</v>
      </c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28"/>
      <c r="R232" s="28"/>
      <c r="S232" s="28"/>
      <c r="T232" s="28"/>
      <c r="U232" s="32"/>
      <c r="V232" s="32"/>
      <c r="W232" s="28"/>
      <c r="X232" s="28"/>
      <c r="AA232" s="5"/>
    </row>
    <row r="233" spans="1:27" customFormat="1" ht="12.75" customHeight="1">
      <c r="A233" s="42"/>
      <c r="B233" s="2"/>
      <c r="C233" s="5"/>
      <c r="D233" s="21"/>
      <c r="E233" s="21"/>
      <c r="F233" s="15"/>
      <c r="G233" s="15"/>
      <c r="H233" s="15"/>
      <c r="I233" s="15"/>
      <c r="J233" s="15"/>
      <c r="K233" s="15"/>
      <c r="L233" s="15" t="s">
        <v>37</v>
      </c>
      <c r="M233" s="15"/>
      <c r="N233" s="15"/>
      <c r="O233" s="15"/>
      <c r="P233" s="15"/>
      <c r="Q233" s="2"/>
      <c r="R233" s="2"/>
      <c r="S233" s="2"/>
      <c r="T233" s="2"/>
      <c r="W233" s="2"/>
    </row>
    <row r="234" spans="1:27" customFormat="1" ht="12.75" customHeight="1">
      <c r="A234" s="2"/>
      <c r="B234" s="2"/>
      <c r="C234" s="5"/>
      <c r="D234" s="15" t="s">
        <v>43</v>
      </c>
      <c r="E234" s="15"/>
      <c r="F234" s="21" t="s">
        <v>110</v>
      </c>
      <c r="G234" s="21"/>
      <c r="H234" s="15" t="s">
        <v>10</v>
      </c>
      <c r="I234" s="15"/>
      <c r="J234" s="15" t="s">
        <v>18</v>
      </c>
      <c r="K234" s="15" t="s">
        <v>7</v>
      </c>
      <c r="L234" s="21" t="s">
        <v>38</v>
      </c>
      <c r="M234" s="21"/>
      <c r="N234" s="21"/>
      <c r="O234" s="21"/>
      <c r="P234" s="15"/>
      <c r="Q234" s="2"/>
      <c r="R234" s="2"/>
      <c r="S234" s="2"/>
      <c r="T234" s="2"/>
      <c r="W234" s="2"/>
    </row>
    <row r="235" spans="1:27" customFormat="1" ht="12.75" customHeight="1">
      <c r="A235" s="2"/>
      <c r="B235" s="2"/>
      <c r="C235" s="5"/>
      <c r="D235" s="66" t="s">
        <v>44</v>
      </c>
      <c r="E235" s="66"/>
      <c r="F235" s="21" t="s">
        <v>36</v>
      </c>
      <c r="G235" s="21"/>
      <c r="H235" s="15" t="s">
        <v>20</v>
      </c>
      <c r="I235" s="15"/>
      <c r="J235" s="15" t="s">
        <v>33</v>
      </c>
      <c r="K235" s="15" t="s">
        <v>7</v>
      </c>
      <c r="L235" s="21" t="s">
        <v>40</v>
      </c>
      <c r="M235" s="21"/>
      <c r="N235" s="21" t="s">
        <v>41</v>
      </c>
      <c r="O235" s="21"/>
      <c r="P235" s="21" t="s">
        <v>11</v>
      </c>
      <c r="Q235" s="2"/>
      <c r="R235" s="2"/>
      <c r="S235" s="2"/>
      <c r="T235" s="2"/>
      <c r="W235" s="2"/>
    </row>
    <row r="236" spans="1:27" customFormat="1" ht="12.75" customHeight="1">
      <c r="A236" s="185"/>
      <c r="B236" s="98"/>
      <c r="C236" s="2"/>
      <c r="D236" s="110" t="s">
        <v>45</v>
      </c>
      <c r="E236" s="111"/>
      <c r="F236" s="110" t="s">
        <v>45</v>
      </c>
      <c r="G236" s="112"/>
      <c r="H236" s="110" t="s">
        <v>12</v>
      </c>
      <c r="I236" s="111"/>
      <c r="J236" s="110" t="s">
        <v>19</v>
      </c>
      <c r="K236" s="111" t="s">
        <v>7</v>
      </c>
      <c r="L236" s="110" t="s">
        <v>39</v>
      </c>
      <c r="M236" s="111"/>
      <c r="N236" s="110" t="s">
        <v>57</v>
      </c>
      <c r="O236" s="111"/>
      <c r="P236" s="110" t="s">
        <v>13</v>
      </c>
      <c r="Q236" s="2"/>
      <c r="R236" s="2"/>
      <c r="S236" s="2"/>
      <c r="T236" s="2"/>
      <c r="U236" s="2"/>
      <c r="V236" s="2"/>
      <c r="W236" s="2"/>
    </row>
    <row r="237" spans="1:27" customFormat="1" ht="12.75" customHeight="1">
      <c r="A237" s="133"/>
      <c r="B237" s="133"/>
      <c r="C237" s="5"/>
      <c r="D237" s="205" t="s">
        <v>5</v>
      </c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"/>
      <c r="R237" s="2"/>
      <c r="S237" s="2"/>
      <c r="T237" s="2"/>
      <c r="U237" s="2"/>
      <c r="V237" s="2"/>
      <c r="W237" s="134"/>
    </row>
    <row r="238" spans="1:27" s="114" customFormat="1">
      <c r="A238" s="32" t="s">
        <v>90</v>
      </c>
      <c r="B238" s="25"/>
      <c r="C238" s="25"/>
      <c r="D238" s="131">
        <v>78208</v>
      </c>
      <c r="E238" s="131"/>
      <c r="F238" s="131">
        <v>-1868</v>
      </c>
      <c r="G238" s="131"/>
      <c r="H238" s="131">
        <v>134658</v>
      </c>
      <c r="I238" s="131"/>
      <c r="J238" s="131">
        <v>963334</v>
      </c>
      <c r="K238" s="131"/>
      <c r="L238" s="131">
        <v>-34662</v>
      </c>
      <c r="M238" s="131"/>
      <c r="N238" s="131">
        <v>10</v>
      </c>
      <c r="O238" s="131"/>
      <c r="P238" s="131">
        <v>1139680</v>
      </c>
      <c r="Q238" s="43"/>
      <c r="R238" s="25"/>
      <c r="S238" s="25"/>
      <c r="T238" s="25"/>
      <c r="U238" s="25"/>
      <c r="V238" s="25"/>
      <c r="W238" s="25"/>
    </row>
    <row r="239" spans="1:27" s="114" customFormat="1" ht="13.5">
      <c r="A239" s="77" t="s">
        <v>255</v>
      </c>
      <c r="B239" s="25"/>
      <c r="C239" s="25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25"/>
      <c r="S239" s="25"/>
      <c r="T239" s="25"/>
      <c r="U239" s="25"/>
      <c r="V239" s="25"/>
      <c r="W239" s="25"/>
    </row>
    <row r="240" spans="1:27" s="114" customFormat="1">
      <c r="B240" s="25" t="s">
        <v>87</v>
      </c>
      <c r="C240" s="25"/>
      <c r="D240" s="43">
        <v>0</v>
      </c>
      <c r="E240" s="43"/>
      <c r="F240" s="43">
        <v>0</v>
      </c>
      <c r="G240" s="43"/>
      <c r="H240" s="43">
        <v>0</v>
      </c>
      <c r="I240" s="43"/>
      <c r="J240" s="43">
        <v>142954</v>
      </c>
      <c r="K240" s="43"/>
      <c r="L240" s="43">
        <v>7493</v>
      </c>
      <c r="M240" s="43"/>
      <c r="N240" s="43">
        <v>-3</v>
      </c>
      <c r="O240" s="43"/>
      <c r="P240" s="43">
        <f t="shared" ref="P240:P245" si="6">SUM(D240:N240)</f>
        <v>150444</v>
      </c>
      <c r="Q240" s="160"/>
      <c r="R240" s="25"/>
      <c r="S240" s="25"/>
      <c r="T240" s="25"/>
      <c r="U240" s="25"/>
      <c r="V240" s="25"/>
      <c r="W240" s="25"/>
    </row>
    <row r="241" spans="1:23" s="114" customFormat="1">
      <c r="B241" s="25" t="s">
        <v>217</v>
      </c>
      <c r="C241" s="25"/>
      <c r="D241" s="43">
        <v>8375</v>
      </c>
      <c r="E241" s="43"/>
      <c r="F241" s="43">
        <v>0</v>
      </c>
      <c r="G241" s="43"/>
      <c r="H241" s="43">
        <v>91083</v>
      </c>
      <c r="I241" s="43"/>
      <c r="J241" s="43">
        <v>0</v>
      </c>
      <c r="K241" s="43"/>
      <c r="L241" s="43">
        <v>0</v>
      </c>
      <c r="M241" s="43"/>
      <c r="N241" s="43">
        <v>0</v>
      </c>
      <c r="O241" s="43"/>
      <c r="P241" s="43">
        <f t="shared" si="6"/>
        <v>99458</v>
      </c>
      <c r="Q241" s="160"/>
      <c r="R241" s="25"/>
      <c r="S241" s="25"/>
      <c r="T241" s="25"/>
      <c r="U241" s="25"/>
      <c r="V241" s="25"/>
      <c r="W241" s="25"/>
    </row>
    <row r="242" spans="1:23" s="114" customFormat="1">
      <c r="B242" s="25" t="s">
        <v>218</v>
      </c>
      <c r="C242" s="25"/>
      <c r="D242" s="43">
        <v>0</v>
      </c>
      <c r="E242" s="43"/>
      <c r="F242" s="43">
        <v>1779</v>
      </c>
      <c r="G242" s="43"/>
      <c r="H242" s="43">
        <v>0</v>
      </c>
      <c r="I242" s="43"/>
      <c r="J242" s="43">
        <v>18497</v>
      </c>
      <c r="K242" s="43"/>
      <c r="L242" s="43">
        <v>0</v>
      </c>
      <c r="M242" s="43"/>
      <c r="N242" s="43">
        <v>0</v>
      </c>
      <c r="O242" s="43"/>
      <c r="P242" s="43">
        <f t="shared" si="6"/>
        <v>20276</v>
      </c>
      <c r="Q242" s="43"/>
      <c r="R242" s="25"/>
      <c r="S242" s="25"/>
      <c r="T242" s="25"/>
      <c r="U242" s="25"/>
      <c r="V242" s="25"/>
      <c r="W242" s="25"/>
    </row>
    <row r="243" spans="1:23" s="114" customFormat="1">
      <c r="B243" s="25" t="s">
        <v>56</v>
      </c>
      <c r="C243" s="32"/>
      <c r="D243" s="43">
        <v>0</v>
      </c>
      <c r="E243" s="43"/>
      <c r="F243" s="43">
        <v>0</v>
      </c>
      <c r="G243" s="43"/>
      <c r="H243" s="43">
        <v>0</v>
      </c>
      <c r="I243" s="43"/>
      <c r="J243" s="43">
        <v>0</v>
      </c>
      <c r="K243" s="43"/>
      <c r="L243" s="43">
        <v>0</v>
      </c>
      <c r="M243" s="43"/>
      <c r="N243" s="43">
        <v>-5</v>
      </c>
      <c r="O243" s="43"/>
      <c r="P243" s="43">
        <f t="shared" si="6"/>
        <v>-5</v>
      </c>
      <c r="Q243" s="43"/>
      <c r="R243" s="25"/>
      <c r="S243" s="25"/>
      <c r="T243" s="25"/>
      <c r="U243" s="25"/>
      <c r="V243" s="25"/>
      <c r="W243" s="25"/>
    </row>
    <row r="244" spans="1:23" s="114" customFormat="1">
      <c r="A244" s="82"/>
      <c r="B244" s="32" t="s">
        <v>42</v>
      </c>
      <c r="C244" s="32"/>
      <c r="D244" s="51">
        <v>0</v>
      </c>
      <c r="E244" s="51"/>
      <c r="F244" s="51">
        <v>0</v>
      </c>
      <c r="G244" s="51"/>
      <c r="H244" s="51">
        <v>9392</v>
      </c>
      <c r="I244" s="51"/>
      <c r="J244" s="51">
        <v>0</v>
      </c>
      <c r="K244" s="51"/>
      <c r="L244" s="51">
        <v>0</v>
      </c>
      <c r="M244" s="51"/>
      <c r="N244" s="51">
        <v>0</v>
      </c>
      <c r="O244" s="51"/>
      <c r="P244" s="43">
        <f t="shared" si="6"/>
        <v>9392</v>
      </c>
      <c r="Q244" s="51"/>
      <c r="R244" s="25"/>
      <c r="S244" s="25"/>
      <c r="T244" s="25"/>
      <c r="U244" s="25"/>
      <c r="V244" s="25"/>
      <c r="W244" s="25"/>
    </row>
    <row r="245" spans="1:23" s="114" customFormat="1">
      <c r="A245" s="136"/>
      <c r="B245" s="98" t="s">
        <v>89</v>
      </c>
      <c r="C245" s="98"/>
      <c r="D245" s="44">
        <v>0</v>
      </c>
      <c r="E245" s="43"/>
      <c r="F245" s="44">
        <v>0</v>
      </c>
      <c r="G245" s="51"/>
      <c r="H245" s="44">
        <v>0</v>
      </c>
      <c r="I245" s="43"/>
      <c r="J245" s="44">
        <v>-16</v>
      </c>
      <c r="K245" s="43"/>
      <c r="L245" s="44">
        <v>0</v>
      </c>
      <c r="M245" s="43"/>
      <c r="N245" s="44">
        <v>0</v>
      </c>
      <c r="O245" s="43"/>
      <c r="P245" s="44">
        <f t="shared" si="6"/>
        <v>-16</v>
      </c>
      <c r="Q245" s="43"/>
      <c r="R245" s="25"/>
      <c r="S245" s="25"/>
      <c r="T245" s="25"/>
      <c r="U245" s="25"/>
      <c r="V245" s="25"/>
      <c r="W245" s="25"/>
    </row>
    <row r="246" spans="1:23" s="115" customFormat="1">
      <c r="A246" s="32" t="s">
        <v>131</v>
      </c>
      <c r="B246" s="32"/>
      <c r="C246" s="32"/>
      <c r="D246" s="104">
        <v>86583</v>
      </c>
      <c r="E246" s="104"/>
      <c r="F246" s="104">
        <v>-89</v>
      </c>
      <c r="G246" s="104"/>
      <c r="H246" s="104">
        <v>235133</v>
      </c>
      <c r="I246" s="104"/>
      <c r="J246" s="104">
        <v>1124769</v>
      </c>
      <c r="K246" s="104"/>
      <c r="L246" s="104">
        <v>-27169</v>
      </c>
      <c r="M246" s="104"/>
      <c r="N246" s="104">
        <v>2</v>
      </c>
      <c r="O246" s="104"/>
      <c r="P246" s="104">
        <v>1419229</v>
      </c>
      <c r="Q246" s="32"/>
      <c r="R246" s="32"/>
      <c r="S246" s="32"/>
      <c r="T246" s="32"/>
      <c r="U246" s="32"/>
      <c r="V246" s="32"/>
      <c r="W246" s="32"/>
    </row>
    <row r="247" spans="1:23" s="115" customFormat="1" ht="13.5">
      <c r="A247" s="77" t="s">
        <v>136</v>
      </c>
      <c r="B247" s="32"/>
      <c r="C247" s="32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32"/>
      <c r="R247" s="32"/>
      <c r="S247" s="32"/>
      <c r="T247" s="32"/>
      <c r="U247" s="32"/>
      <c r="V247" s="32"/>
      <c r="W247" s="32"/>
    </row>
    <row r="248" spans="1:23" s="195" customFormat="1">
      <c r="B248" s="25" t="s">
        <v>87</v>
      </c>
      <c r="C248" s="25"/>
      <c r="D248" s="43">
        <v>0</v>
      </c>
      <c r="E248" s="43"/>
      <c r="F248" s="43">
        <v>0</v>
      </c>
      <c r="G248" s="43"/>
      <c r="H248" s="43">
        <v>0</v>
      </c>
      <c r="I248" s="43"/>
      <c r="J248" s="43">
        <v>22871</v>
      </c>
      <c r="K248" s="43"/>
      <c r="L248" s="43">
        <v>3725</v>
      </c>
      <c r="M248" s="43"/>
      <c r="N248" s="43">
        <v>2097</v>
      </c>
      <c r="O248" s="43"/>
      <c r="P248" s="43">
        <v>28693</v>
      </c>
      <c r="Q248" s="197"/>
      <c r="R248" s="196"/>
      <c r="S248" s="196"/>
      <c r="T248" s="196"/>
      <c r="U248" s="196"/>
      <c r="V248" s="196"/>
      <c r="W248" s="196"/>
    </row>
    <row r="249" spans="1:23" s="195" customFormat="1">
      <c r="B249" s="25" t="s">
        <v>56</v>
      </c>
      <c r="C249" s="25"/>
      <c r="D249" s="43">
        <v>0</v>
      </c>
      <c r="E249" s="43"/>
      <c r="F249" s="43">
        <v>0</v>
      </c>
      <c r="G249" s="43"/>
      <c r="H249" s="43">
        <v>0</v>
      </c>
      <c r="I249" s="43"/>
      <c r="J249" s="43">
        <v>0</v>
      </c>
      <c r="K249" s="43"/>
      <c r="L249" s="43">
        <v>0</v>
      </c>
      <c r="M249" s="43"/>
      <c r="N249" s="43">
        <v>-1294</v>
      </c>
      <c r="O249" s="43"/>
      <c r="P249" s="43">
        <v>-1294</v>
      </c>
      <c r="Q249" s="197"/>
      <c r="R249" s="196"/>
      <c r="S249" s="196"/>
      <c r="T249" s="196"/>
      <c r="U249" s="196"/>
      <c r="V249" s="196"/>
      <c r="W249" s="196"/>
    </row>
    <row r="250" spans="1:23" s="195" customFormat="1">
      <c r="B250" s="32" t="s">
        <v>88</v>
      </c>
      <c r="C250" s="25"/>
      <c r="D250" s="43">
        <v>0</v>
      </c>
      <c r="E250" s="43"/>
      <c r="F250" s="43">
        <v>89</v>
      </c>
      <c r="G250" s="43"/>
      <c r="H250" s="43">
        <v>0</v>
      </c>
      <c r="I250" s="43"/>
      <c r="J250" s="43">
        <v>-89</v>
      </c>
      <c r="K250" s="43"/>
      <c r="L250" s="43">
        <v>0</v>
      </c>
      <c r="M250" s="43"/>
      <c r="N250" s="43">
        <v>0</v>
      </c>
      <c r="O250" s="43"/>
      <c r="P250" s="43">
        <v>0</v>
      </c>
      <c r="Q250" s="197"/>
      <c r="R250" s="196"/>
      <c r="S250" s="196"/>
      <c r="T250" s="196"/>
      <c r="U250" s="196"/>
      <c r="V250" s="196"/>
      <c r="W250" s="196"/>
    </row>
    <row r="251" spans="1:23" s="193" customFormat="1">
      <c r="A251" s="263"/>
      <c r="B251" s="98" t="s">
        <v>42</v>
      </c>
      <c r="C251" s="98"/>
      <c r="D251" s="44">
        <v>0</v>
      </c>
      <c r="E251" s="43"/>
      <c r="F251" s="44">
        <v>0</v>
      </c>
      <c r="G251" s="51"/>
      <c r="H251" s="44">
        <v>2409</v>
      </c>
      <c r="I251" s="43"/>
      <c r="J251" s="44">
        <v>0</v>
      </c>
      <c r="K251" s="43"/>
      <c r="L251" s="44">
        <v>0</v>
      </c>
      <c r="M251" s="43"/>
      <c r="N251" s="44">
        <v>0</v>
      </c>
      <c r="O251" s="43"/>
      <c r="P251" s="44">
        <v>2409</v>
      </c>
      <c r="Q251" s="51"/>
      <c r="R251" s="25"/>
      <c r="S251" s="25"/>
      <c r="T251" s="25"/>
      <c r="U251" s="25"/>
      <c r="V251" s="25"/>
      <c r="W251" s="25"/>
    </row>
    <row r="252" spans="1:23" s="193" customFormat="1">
      <c r="A252" s="32" t="s">
        <v>137</v>
      </c>
      <c r="B252" s="32"/>
      <c r="C252" s="32"/>
      <c r="D252" s="104">
        <v>86583</v>
      </c>
      <c r="E252" s="104"/>
      <c r="F252" s="104">
        <v>0</v>
      </c>
      <c r="G252" s="104"/>
      <c r="H252" s="104">
        <v>237542</v>
      </c>
      <c r="I252" s="104"/>
      <c r="J252" s="104">
        <v>1147551</v>
      </c>
      <c r="K252" s="104"/>
      <c r="L252" s="104">
        <v>-23444</v>
      </c>
      <c r="M252" s="104"/>
      <c r="N252" s="104">
        <v>805</v>
      </c>
      <c r="O252" s="104"/>
      <c r="P252" s="104">
        <v>1449037</v>
      </c>
      <c r="Q252" s="51"/>
      <c r="R252" s="25"/>
      <c r="S252" s="25"/>
      <c r="T252" s="25"/>
      <c r="U252" s="25"/>
      <c r="V252" s="25"/>
      <c r="W252" s="25"/>
    </row>
    <row r="253" spans="1:23" s="193" customFormat="1" ht="13.5">
      <c r="A253" s="77" t="s">
        <v>206</v>
      </c>
      <c r="B253" s="32"/>
      <c r="C253" s="32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51"/>
      <c r="R253" s="25"/>
      <c r="S253" s="25"/>
      <c r="T253" s="25"/>
      <c r="U253" s="25"/>
      <c r="V253" s="25"/>
      <c r="W253" s="25"/>
    </row>
    <row r="254" spans="1:23" s="193" customFormat="1">
      <c r="A254" s="192"/>
      <c r="B254" s="25" t="s">
        <v>87</v>
      </c>
      <c r="C254" s="32"/>
      <c r="D254" s="51">
        <v>0</v>
      </c>
      <c r="E254" s="51"/>
      <c r="F254" s="51">
        <v>0</v>
      </c>
      <c r="G254" s="51"/>
      <c r="H254" s="51">
        <v>0</v>
      </c>
      <c r="I254" s="51"/>
      <c r="J254" s="51">
        <v>16188</v>
      </c>
      <c r="K254" s="51"/>
      <c r="L254" s="51">
        <v>1401</v>
      </c>
      <c r="M254" s="51"/>
      <c r="N254" s="51">
        <v>67</v>
      </c>
      <c r="O254" s="51"/>
      <c r="P254" s="43">
        <v>17656</v>
      </c>
      <c r="Q254" s="51"/>
      <c r="R254" s="25"/>
      <c r="S254" s="25"/>
      <c r="T254" s="25"/>
      <c r="U254" s="25"/>
      <c r="V254" s="25"/>
      <c r="W254" s="25"/>
    </row>
    <row r="255" spans="1:23" s="193" customFormat="1">
      <c r="A255" s="192"/>
      <c r="B255" s="25" t="s">
        <v>56</v>
      </c>
      <c r="C255" s="32"/>
      <c r="D255" s="51">
        <v>0</v>
      </c>
      <c r="E255" s="51"/>
      <c r="F255" s="51">
        <v>0</v>
      </c>
      <c r="G255" s="51"/>
      <c r="H255" s="51">
        <v>0</v>
      </c>
      <c r="I255" s="51"/>
      <c r="J255" s="51">
        <v>0</v>
      </c>
      <c r="K255" s="51"/>
      <c r="L255" s="51">
        <v>0</v>
      </c>
      <c r="M255" s="51"/>
      <c r="N255" s="51">
        <v>-860</v>
      </c>
      <c r="O255" s="51"/>
      <c r="P255" s="43">
        <v>-860</v>
      </c>
      <c r="Q255" s="51"/>
      <c r="R255" s="25"/>
      <c r="S255" s="25"/>
      <c r="T255" s="25"/>
      <c r="U255" s="25"/>
      <c r="V255" s="25"/>
      <c r="W255" s="25"/>
    </row>
    <row r="256" spans="1:23" s="193" customFormat="1">
      <c r="A256" s="263"/>
      <c r="B256" s="98" t="s">
        <v>42</v>
      </c>
      <c r="C256" s="98"/>
      <c r="D256" s="44">
        <v>0</v>
      </c>
      <c r="E256" s="43"/>
      <c r="F256" s="44">
        <v>0</v>
      </c>
      <c r="G256" s="51"/>
      <c r="H256" s="44">
        <v>1096</v>
      </c>
      <c r="I256" s="43"/>
      <c r="J256" s="44">
        <v>0</v>
      </c>
      <c r="K256" s="43"/>
      <c r="L256" s="44">
        <v>0</v>
      </c>
      <c r="M256" s="43"/>
      <c r="N256" s="44">
        <v>0</v>
      </c>
      <c r="O256" s="43"/>
      <c r="P256" s="44">
        <v>1096</v>
      </c>
      <c r="Q256" s="51"/>
      <c r="R256" s="25"/>
      <c r="S256" s="25"/>
      <c r="T256" s="25"/>
      <c r="U256" s="25"/>
      <c r="V256" s="25"/>
      <c r="W256" s="25"/>
    </row>
    <row r="257" spans="1:23" s="193" customFormat="1">
      <c r="A257" s="32" t="s">
        <v>205</v>
      </c>
      <c r="B257" s="32"/>
      <c r="C257" s="32"/>
      <c r="D257" s="104">
        <f>SUM(D252:D256)</f>
        <v>86583</v>
      </c>
      <c r="E257" s="104"/>
      <c r="F257" s="104">
        <f>SUM(F252:F256)</f>
        <v>0</v>
      </c>
      <c r="G257" s="104"/>
      <c r="H257" s="104">
        <f>SUM(H252:H256)</f>
        <v>238638</v>
      </c>
      <c r="I257" s="104"/>
      <c r="J257" s="104">
        <f>SUM(J252:J256)</f>
        <v>1163739</v>
      </c>
      <c r="K257" s="104"/>
      <c r="L257" s="104">
        <f>SUM(L252:L256)</f>
        <v>-22043</v>
      </c>
      <c r="M257" s="104"/>
      <c r="N257" s="104">
        <f>SUM(N252:N256)</f>
        <v>12</v>
      </c>
      <c r="O257" s="104"/>
      <c r="P257" s="104">
        <f>SUM(P252:P256)</f>
        <v>1466929</v>
      </c>
      <c r="Q257" s="51"/>
      <c r="R257" s="25"/>
      <c r="S257" s="25"/>
      <c r="T257" s="25"/>
      <c r="U257" s="25"/>
      <c r="V257" s="25"/>
      <c r="W257" s="25"/>
    </row>
    <row r="258" spans="1:23" s="193" customFormat="1" ht="13.5">
      <c r="A258" s="77" t="s">
        <v>219</v>
      </c>
      <c r="B258" s="32"/>
      <c r="C258" s="32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51"/>
      <c r="R258" s="25"/>
      <c r="S258" s="25"/>
      <c r="T258" s="25"/>
      <c r="U258" s="25"/>
      <c r="V258" s="25"/>
      <c r="W258" s="25"/>
    </row>
    <row r="259" spans="1:23" s="193" customFormat="1">
      <c r="A259" s="192"/>
      <c r="B259" s="25" t="s">
        <v>87</v>
      </c>
      <c r="C259" s="32"/>
      <c r="D259" s="51">
        <v>0</v>
      </c>
      <c r="E259" s="51"/>
      <c r="F259" s="51">
        <v>0</v>
      </c>
      <c r="G259" s="51"/>
      <c r="H259" s="51">
        <v>0</v>
      </c>
      <c r="I259" s="51"/>
      <c r="J259" s="51">
        <v>-22300</v>
      </c>
      <c r="K259" s="51"/>
      <c r="L259" s="51">
        <f>-43-1862-1164-L254-73+312</f>
        <v>-4231</v>
      </c>
      <c r="M259" s="51"/>
      <c r="N259" s="51">
        <v>-5</v>
      </c>
      <c r="O259" s="51"/>
      <c r="P259" s="43">
        <f>SUM(D259:N259)</f>
        <v>-26536</v>
      </c>
      <c r="Q259" s="51"/>
      <c r="R259" s="25"/>
      <c r="S259" s="25"/>
      <c r="T259" s="25"/>
      <c r="U259" s="25"/>
      <c r="V259" s="25"/>
      <c r="W259" s="25"/>
    </row>
    <row r="260" spans="1:23" s="193" customFormat="1">
      <c r="A260" s="192"/>
      <c r="B260" s="25" t="s">
        <v>227</v>
      </c>
      <c r="C260" s="32"/>
      <c r="D260" s="51">
        <v>0</v>
      </c>
      <c r="E260" s="51"/>
      <c r="F260" s="51">
        <v>-418</v>
      </c>
      <c r="G260" s="51"/>
      <c r="H260" s="51">
        <v>0</v>
      </c>
      <c r="I260" s="51"/>
      <c r="J260" s="51">
        <v>-8761</v>
      </c>
      <c r="K260" s="51"/>
      <c r="L260" s="51">
        <v>0</v>
      </c>
      <c r="M260" s="51"/>
      <c r="N260" s="51">
        <v>0</v>
      </c>
      <c r="O260" s="51"/>
      <c r="P260" s="43">
        <f>SUM(D260:N260)</f>
        <v>-9179</v>
      </c>
      <c r="Q260" s="51"/>
      <c r="R260" s="25"/>
      <c r="S260" s="25"/>
      <c r="T260" s="25"/>
      <c r="U260" s="25"/>
      <c r="V260" s="25"/>
      <c r="W260" s="25"/>
    </row>
    <row r="261" spans="1:23" s="193" customFormat="1">
      <c r="A261" s="192"/>
      <c r="B261" s="32" t="s">
        <v>221</v>
      </c>
      <c r="C261" s="32"/>
      <c r="D261" s="51">
        <v>0</v>
      </c>
      <c r="E261" s="51"/>
      <c r="F261" s="51">
        <v>4</v>
      </c>
      <c r="G261" s="51"/>
      <c r="H261" s="51">
        <v>0</v>
      </c>
      <c r="I261" s="51"/>
      <c r="J261" s="51">
        <v>48</v>
      </c>
      <c r="K261" s="51"/>
      <c r="L261" s="51">
        <v>0</v>
      </c>
      <c r="M261" s="51"/>
      <c r="N261" s="51">
        <v>0</v>
      </c>
      <c r="O261" s="51"/>
      <c r="P261" s="43">
        <f>SUM(D261:N261)</f>
        <v>52</v>
      </c>
      <c r="Q261" s="51"/>
      <c r="R261" s="25"/>
      <c r="S261" s="25"/>
      <c r="T261" s="25"/>
      <c r="U261" s="25"/>
      <c r="V261" s="25"/>
      <c r="W261" s="25"/>
    </row>
    <row r="262" spans="1:23" s="193" customFormat="1">
      <c r="A262" s="263"/>
      <c r="B262" s="98" t="s">
        <v>42</v>
      </c>
      <c r="C262" s="98"/>
      <c r="D262" s="44">
        <v>0</v>
      </c>
      <c r="E262" s="43"/>
      <c r="F262" s="44">
        <v>0</v>
      </c>
      <c r="G262" s="51"/>
      <c r="H262" s="44">
        <v>1667</v>
      </c>
      <c r="I262" s="43"/>
      <c r="J262" s="44">
        <v>0</v>
      </c>
      <c r="K262" s="43"/>
      <c r="L262" s="44">
        <v>0</v>
      </c>
      <c r="M262" s="43"/>
      <c r="N262" s="44">
        <v>0</v>
      </c>
      <c r="O262" s="43"/>
      <c r="P262" s="44">
        <f>SUM(D262:N262)</f>
        <v>1667</v>
      </c>
      <c r="Q262" s="51"/>
      <c r="R262" s="25"/>
      <c r="S262" s="25"/>
      <c r="T262" s="25"/>
      <c r="U262" s="25"/>
      <c r="V262" s="25"/>
      <c r="W262" s="25"/>
    </row>
    <row r="263" spans="1:23" s="193" customFormat="1">
      <c r="A263" s="32" t="s">
        <v>226</v>
      </c>
      <c r="B263" s="32"/>
      <c r="C263" s="32"/>
      <c r="D263" s="104">
        <f>SUM(D257:D262)</f>
        <v>86583</v>
      </c>
      <c r="E263" s="104"/>
      <c r="F263" s="104">
        <f>SUM(F257:F262)</f>
        <v>-414</v>
      </c>
      <c r="G263" s="104"/>
      <c r="H263" s="104">
        <f>SUM(H257:H262)</f>
        <v>240305</v>
      </c>
      <c r="I263" s="104"/>
      <c r="J263" s="104">
        <f>SUM(J257:J262)</f>
        <v>1132726</v>
      </c>
      <c r="K263" s="104"/>
      <c r="L263" s="104">
        <f>SUM(L257:L262)</f>
        <v>-26274</v>
      </c>
      <c r="M263" s="104"/>
      <c r="N263" s="104">
        <f>SUM(N257:N262)</f>
        <v>7</v>
      </c>
      <c r="O263" s="104"/>
      <c r="P263" s="104">
        <f>SUM(P257:P262)</f>
        <v>1432933</v>
      </c>
      <c r="Q263" s="51"/>
      <c r="R263" s="25"/>
      <c r="S263" s="25"/>
      <c r="T263" s="25"/>
      <c r="U263" s="25"/>
      <c r="V263" s="25"/>
      <c r="W263" s="25"/>
    </row>
    <row r="264" spans="1:23" s="193" customFormat="1" ht="13.5">
      <c r="A264" s="77" t="s">
        <v>232</v>
      </c>
      <c r="B264" s="32"/>
      <c r="C264" s="32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51"/>
      <c r="R264" s="25"/>
      <c r="S264" s="25"/>
      <c r="T264" s="25"/>
      <c r="U264" s="25"/>
      <c r="V264" s="25"/>
      <c r="W264" s="25"/>
    </row>
    <row r="265" spans="1:23" s="193" customFormat="1">
      <c r="A265" s="192"/>
      <c r="B265" s="25" t="s">
        <v>87</v>
      </c>
      <c r="C265" s="32"/>
      <c r="D265" s="51">
        <v>0</v>
      </c>
      <c r="E265" s="51"/>
      <c r="F265" s="51">
        <v>0</v>
      </c>
      <c r="G265" s="51"/>
      <c r="H265" s="51">
        <v>0</v>
      </c>
      <c r="I265" s="51"/>
      <c r="J265" s="51">
        <v>-41197</v>
      </c>
      <c r="K265" s="51"/>
      <c r="L265" s="51">
        <v>5009</v>
      </c>
      <c r="M265" s="51"/>
      <c r="N265" s="51">
        <v>5</v>
      </c>
      <c r="O265" s="51"/>
      <c r="P265" s="43">
        <f>SUM(D265:N265)</f>
        <v>-36183</v>
      </c>
      <c r="Q265" s="51"/>
      <c r="R265" s="279"/>
      <c r="S265" s="25"/>
      <c r="T265" s="25"/>
      <c r="U265" s="25"/>
      <c r="V265" s="25"/>
      <c r="W265" s="25"/>
    </row>
    <row r="266" spans="1:23" s="193" customFormat="1">
      <c r="A266" s="192"/>
      <c r="B266" s="32" t="s">
        <v>221</v>
      </c>
      <c r="C266" s="32"/>
      <c r="D266" s="51">
        <v>0</v>
      </c>
      <c r="E266" s="51"/>
      <c r="F266" s="51">
        <v>44</v>
      </c>
      <c r="G266" s="51"/>
      <c r="H266" s="51">
        <v>0</v>
      </c>
      <c r="I266" s="51"/>
      <c r="J266" s="51">
        <f>872-328</f>
        <v>544</v>
      </c>
      <c r="K266" s="51"/>
      <c r="L266" s="51">
        <v>0</v>
      </c>
      <c r="M266" s="51"/>
      <c r="N266" s="51">
        <v>0</v>
      </c>
      <c r="O266" s="51"/>
      <c r="P266" s="43">
        <f>SUM(D266:N266)</f>
        <v>588</v>
      </c>
      <c r="Q266" s="51"/>
      <c r="R266" s="43"/>
      <c r="S266" s="25"/>
      <c r="T266" s="25"/>
      <c r="U266" s="25"/>
      <c r="V266" s="25"/>
      <c r="W266" s="25"/>
    </row>
    <row r="267" spans="1:23" s="193" customFormat="1">
      <c r="A267" s="263"/>
      <c r="B267" s="98" t="s">
        <v>42</v>
      </c>
      <c r="C267" s="98"/>
      <c r="D267" s="44">
        <v>0</v>
      </c>
      <c r="E267" s="43"/>
      <c r="F267" s="44">
        <v>0</v>
      </c>
      <c r="G267" s="51"/>
      <c r="H267" s="44">
        <f>1091+328</f>
        <v>1419</v>
      </c>
      <c r="I267" s="43"/>
      <c r="J267" s="44">
        <v>0</v>
      </c>
      <c r="K267" s="43"/>
      <c r="L267" s="44">
        <v>0</v>
      </c>
      <c r="M267" s="43"/>
      <c r="N267" s="44">
        <v>0</v>
      </c>
      <c r="O267" s="43"/>
      <c r="P267" s="44">
        <f>SUM(D267:N267)</f>
        <v>1419</v>
      </c>
      <c r="Q267" s="51"/>
      <c r="R267" s="25"/>
      <c r="S267" s="25"/>
      <c r="T267" s="25"/>
      <c r="U267" s="25"/>
      <c r="V267" s="25"/>
      <c r="W267" s="25"/>
    </row>
    <row r="268" spans="1:23" s="193" customFormat="1">
      <c r="A268" s="32" t="s">
        <v>233</v>
      </c>
      <c r="B268" s="32"/>
      <c r="C268" s="32"/>
      <c r="D268" s="104">
        <f>SUM(D263:D267)</f>
        <v>86583</v>
      </c>
      <c r="E268" s="104"/>
      <c r="F268" s="104">
        <f>SUM(F263:F267)</f>
        <v>-370</v>
      </c>
      <c r="G268" s="104"/>
      <c r="H268" s="104">
        <f>SUM(H263:H267)</f>
        <v>241724</v>
      </c>
      <c r="I268" s="104"/>
      <c r="J268" s="104">
        <f>SUM(J263:J267)</f>
        <v>1092073</v>
      </c>
      <c r="K268" s="104"/>
      <c r="L268" s="104">
        <f>SUM(L263:L267)</f>
        <v>-21265</v>
      </c>
      <c r="M268" s="104"/>
      <c r="N268" s="104">
        <f>SUM(N263:N267)</f>
        <v>12</v>
      </c>
      <c r="O268" s="104"/>
      <c r="P268" s="104">
        <f>SUM(P263:P267)</f>
        <v>1398757</v>
      </c>
      <c r="Q268" s="51"/>
      <c r="R268" s="25"/>
      <c r="S268" s="25"/>
      <c r="T268" s="25"/>
      <c r="U268" s="25"/>
      <c r="V268" s="25"/>
      <c r="W268" s="25"/>
    </row>
    <row r="269" spans="1:23" s="193" customFormat="1" ht="13.5">
      <c r="A269" s="77" t="s">
        <v>248</v>
      </c>
      <c r="B269" s="32"/>
      <c r="C269" s="32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51"/>
      <c r="R269" s="25"/>
      <c r="S269" s="25"/>
      <c r="T269" s="25"/>
      <c r="U269" s="25"/>
      <c r="V269" s="25"/>
      <c r="W269" s="25"/>
    </row>
    <row r="270" spans="1:23" s="193" customFormat="1">
      <c r="A270" s="192"/>
      <c r="B270" s="25" t="s">
        <v>87</v>
      </c>
      <c r="C270" s="32"/>
      <c r="D270" s="51">
        <v>0</v>
      </c>
      <c r="E270" s="51"/>
      <c r="F270" s="51">
        <v>0</v>
      </c>
      <c r="G270" s="51"/>
      <c r="H270" s="51">
        <v>0</v>
      </c>
      <c r="I270" s="51"/>
      <c r="J270" s="51">
        <f>+[1]IS!$F$30</f>
        <v>39702</v>
      </c>
      <c r="K270" s="51"/>
      <c r="L270" s="51">
        <f>+'[1]Compr &amp; BS'!$G$16</f>
        <v>10323</v>
      </c>
      <c r="M270" s="51"/>
      <c r="N270" s="51">
        <f>+[1]IS!$F$29</f>
        <v>0</v>
      </c>
      <c r="O270" s="51"/>
      <c r="P270" s="43">
        <f>SUM(D270:N270)</f>
        <v>50025</v>
      </c>
      <c r="Q270" s="51"/>
      <c r="R270" s="279"/>
      <c r="S270" s="25"/>
      <c r="T270" s="25"/>
      <c r="U270" s="25"/>
      <c r="V270" s="25"/>
      <c r="W270" s="25"/>
    </row>
    <row r="271" spans="1:23" s="193" customFormat="1">
      <c r="A271" s="192"/>
      <c r="B271" s="25" t="s">
        <v>253</v>
      </c>
      <c r="C271" s="32"/>
      <c r="D271" s="51">
        <v>9907</v>
      </c>
      <c r="E271" s="51"/>
      <c r="F271" s="51">
        <v>0</v>
      </c>
      <c r="G271" s="51"/>
      <c r="H271" s="51">
        <f>258675+1540</f>
        <v>260215</v>
      </c>
      <c r="I271" s="51"/>
      <c r="J271" s="51">
        <v>0</v>
      </c>
      <c r="K271" s="51"/>
      <c r="L271" s="51">
        <v>0</v>
      </c>
      <c r="M271" s="51"/>
      <c r="N271" s="51">
        <v>0</v>
      </c>
      <c r="O271" s="51"/>
      <c r="P271" s="43">
        <f>SUM(D271:N271)</f>
        <v>270122</v>
      </c>
      <c r="Q271" s="51"/>
      <c r="R271" s="279"/>
      <c r="S271" s="25"/>
      <c r="T271" s="25"/>
      <c r="U271" s="25"/>
      <c r="V271" s="25"/>
      <c r="W271" s="25"/>
    </row>
    <row r="272" spans="1:23" s="193" customFormat="1">
      <c r="A272" s="192"/>
      <c r="B272" s="25" t="s">
        <v>227</v>
      </c>
      <c r="C272" s="32"/>
      <c r="D272" s="51">
        <v>0</v>
      </c>
      <c r="E272" s="51"/>
      <c r="F272" s="51">
        <v>-2</v>
      </c>
      <c r="G272" s="51"/>
      <c r="H272" s="51">
        <v>0</v>
      </c>
      <c r="I272" s="51"/>
      <c r="J272" s="51">
        <v>-43</v>
      </c>
      <c r="K272" s="51"/>
      <c r="L272" s="51">
        <v>0</v>
      </c>
      <c r="M272" s="51"/>
      <c r="N272" s="51">
        <v>0</v>
      </c>
      <c r="O272" s="51"/>
      <c r="P272" s="43">
        <f>SUM(D272:N272)</f>
        <v>-45</v>
      </c>
      <c r="Q272" s="51"/>
      <c r="R272" s="279"/>
      <c r="S272" s="25"/>
      <c r="T272" s="25"/>
      <c r="U272" s="25"/>
      <c r="V272" s="25"/>
      <c r="W272" s="25"/>
    </row>
    <row r="273" spans="1:24" s="193" customFormat="1">
      <c r="A273" s="192"/>
      <c r="B273" s="32" t="s">
        <v>221</v>
      </c>
      <c r="C273" s="32"/>
      <c r="D273" s="51">
        <v>0</v>
      </c>
      <c r="E273" s="51"/>
      <c r="F273" s="51">
        <v>132</v>
      </c>
      <c r="G273" s="51"/>
      <c r="H273" s="51">
        <v>0</v>
      </c>
      <c r="I273" s="51"/>
      <c r="J273" s="51">
        <f>1645</f>
        <v>1645</v>
      </c>
      <c r="K273" s="51"/>
      <c r="L273" s="51">
        <v>0</v>
      </c>
      <c r="M273" s="51"/>
      <c r="N273" s="51">
        <v>0</v>
      </c>
      <c r="O273" s="51"/>
      <c r="P273" s="43">
        <f>SUM(D273:N273)</f>
        <v>1777</v>
      </c>
      <c r="Q273" s="51"/>
      <c r="R273" s="43"/>
      <c r="S273" s="25"/>
      <c r="T273" s="25"/>
      <c r="U273" s="25"/>
      <c r="V273" s="25"/>
      <c r="W273" s="25"/>
    </row>
    <row r="274" spans="1:24" s="193" customFormat="1">
      <c r="A274" s="192"/>
      <c r="B274" s="98" t="s">
        <v>42</v>
      </c>
      <c r="C274" s="32"/>
      <c r="D274" s="51">
        <v>0</v>
      </c>
      <c r="E274" s="51"/>
      <c r="F274" s="51">
        <v>0</v>
      </c>
      <c r="G274" s="51"/>
      <c r="H274" s="51">
        <v>1172</v>
      </c>
      <c r="I274" s="51"/>
      <c r="J274" s="51">
        <v>0</v>
      </c>
      <c r="K274" s="51"/>
      <c r="L274" s="51">
        <v>0</v>
      </c>
      <c r="M274" s="51"/>
      <c r="N274" s="51">
        <v>0</v>
      </c>
      <c r="O274" s="51"/>
      <c r="P274" s="43">
        <f>SUM(D274:N274)</f>
        <v>1172</v>
      </c>
      <c r="Q274" s="51"/>
      <c r="R274" s="43"/>
      <c r="S274" s="25"/>
      <c r="T274" s="25"/>
      <c r="U274" s="25"/>
      <c r="V274" s="25"/>
      <c r="W274" s="25"/>
    </row>
    <row r="275" spans="1:24" s="138" customFormat="1">
      <c r="A275" s="158" t="s">
        <v>249</v>
      </c>
      <c r="B275" s="158"/>
      <c r="C275" s="137"/>
      <c r="D275" s="159">
        <f>SUM(D268:D274)</f>
        <v>96490</v>
      </c>
      <c r="E275" s="95"/>
      <c r="F275" s="159">
        <f>SUM(F268:F274)</f>
        <v>-240</v>
      </c>
      <c r="G275" s="95"/>
      <c r="H275" s="159">
        <f>SUM(H268:H274)</f>
        <v>503111</v>
      </c>
      <c r="I275" s="95"/>
      <c r="J275" s="159">
        <f>SUM(J268:J274)</f>
        <v>1133377</v>
      </c>
      <c r="K275" s="95"/>
      <c r="L275" s="159">
        <f>SUM(L268:L274)</f>
        <v>-10942</v>
      </c>
      <c r="M275" s="95"/>
      <c r="N275" s="159">
        <f>SUM(N268:N274)</f>
        <v>12</v>
      </c>
      <c r="O275" s="95"/>
      <c r="P275" s="159">
        <f>SUM(P268:P274)</f>
        <v>1721808</v>
      </c>
      <c r="Q275" s="137"/>
      <c r="R275" s="137"/>
      <c r="S275" s="137"/>
      <c r="T275" s="137"/>
      <c r="U275" s="137"/>
      <c r="V275" s="137"/>
      <c r="W275" s="137"/>
    </row>
    <row r="276" spans="1:24" customFormat="1">
      <c r="A276" s="2" t="s">
        <v>4</v>
      </c>
      <c r="B276" s="2" t="s">
        <v>260</v>
      </c>
      <c r="C276" s="2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284">
        <f>+P275-'[1]Compr &amp; BS'!$G$77</f>
        <v>0</v>
      </c>
      <c r="Q276" s="90"/>
      <c r="R276" s="91"/>
      <c r="S276" s="91"/>
      <c r="T276" s="91"/>
      <c r="U276" s="216"/>
      <c r="V276" s="217"/>
      <c r="W276" s="114"/>
      <c r="X276" s="114"/>
    </row>
    <row r="277" spans="1:24" customFormat="1">
      <c r="A277" s="2" t="s">
        <v>3</v>
      </c>
      <c r="B277" s="2" t="s">
        <v>113</v>
      </c>
      <c r="C277" s="2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1"/>
      <c r="S277" s="91"/>
      <c r="T277" s="91"/>
      <c r="U277" s="75"/>
    </row>
    <row r="278" spans="1:24" customFormat="1">
      <c r="A278" s="2" t="s">
        <v>14</v>
      </c>
      <c r="B278" s="2" t="s">
        <v>261</v>
      </c>
      <c r="C278" s="2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1"/>
      <c r="S278" s="91"/>
      <c r="T278" s="91"/>
      <c r="U278" s="75"/>
    </row>
    <row r="279" spans="1:24" customFormat="1">
      <c r="A279" s="156"/>
      <c r="B279" s="2"/>
      <c r="C279" s="2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 spans="1:24" customFormat="1" ht="15">
      <c r="A280" s="42" t="s">
        <v>117</v>
      </c>
      <c r="B280" s="2"/>
      <c r="C280" s="2"/>
      <c r="D280" s="26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 spans="1:24" customFormat="1" ht="13.5" thickBot="1">
      <c r="A281" s="6" t="s">
        <v>22</v>
      </c>
      <c r="B281" s="6"/>
      <c r="C281" s="6"/>
      <c r="D281" s="20"/>
      <c r="E281" s="20"/>
      <c r="F281" s="20"/>
      <c r="G281" s="20"/>
      <c r="H281" s="18"/>
      <c r="I281" s="18"/>
      <c r="J281" s="18"/>
      <c r="K281" s="18"/>
      <c r="L281" s="18"/>
      <c r="M281" s="18"/>
      <c r="N281" s="18"/>
      <c r="P281" s="16"/>
      <c r="Q281" s="2"/>
      <c r="R281" s="2"/>
      <c r="S281" s="16"/>
    </row>
    <row r="282" spans="1:24" customFormat="1">
      <c r="A282" s="2"/>
      <c r="B282" s="2"/>
      <c r="C282" s="2"/>
      <c r="D282" s="298" t="s">
        <v>6</v>
      </c>
      <c r="E282" s="298"/>
      <c r="F282" s="298"/>
      <c r="G282" s="1"/>
      <c r="H282" s="257"/>
      <c r="I282" s="257"/>
      <c r="J282" s="32"/>
      <c r="K282" s="114"/>
      <c r="L282" s="114"/>
      <c r="M282" s="25"/>
      <c r="N282" s="25"/>
      <c r="O282" s="22"/>
    </row>
    <row r="283" spans="1:24" customFormat="1">
      <c r="A283" s="13" t="s">
        <v>7</v>
      </c>
      <c r="B283" s="13"/>
      <c r="C283" s="2"/>
      <c r="D283" s="54">
        <v>2010</v>
      </c>
      <c r="E283" s="11"/>
      <c r="F283" s="26">
        <v>2009</v>
      </c>
      <c r="G283" s="65"/>
      <c r="H283" s="28"/>
      <c r="I283" s="65"/>
      <c r="J283" s="32"/>
      <c r="K283" s="114"/>
      <c r="L283" s="114"/>
      <c r="M283" s="25"/>
      <c r="N283" s="25"/>
      <c r="O283" s="22"/>
    </row>
    <row r="284" spans="1:24" customFormat="1">
      <c r="A284" s="62"/>
      <c r="B284" s="62"/>
      <c r="C284" s="2"/>
      <c r="D284" s="306" t="s">
        <v>5</v>
      </c>
      <c r="E284" s="306"/>
      <c r="F284" s="306"/>
      <c r="G284" s="273"/>
      <c r="H284" s="5"/>
      <c r="I284" s="32"/>
      <c r="J284" s="32"/>
      <c r="K284" s="32"/>
      <c r="L284" s="114"/>
      <c r="M284" s="114"/>
      <c r="N284" s="25"/>
      <c r="O284" s="25"/>
      <c r="P284" s="22"/>
    </row>
    <row r="285" spans="1:24" customFormat="1">
      <c r="A285" s="2"/>
      <c r="B285" s="2" t="s">
        <v>21</v>
      </c>
      <c r="C285" s="2"/>
      <c r="D285" s="214">
        <f>+'[1]Compr &amp; BS'!$G$31</f>
        <v>432579</v>
      </c>
      <c r="E285" s="267"/>
      <c r="F285" s="131">
        <v>125961</v>
      </c>
      <c r="G285" s="131"/>
      <c r="H285" s="28"/>
      <c r="I285" s="115"/>
      <c r="J285" s="32"/>
      <c r="K285" s="114"/>
      <c r="L285" s="114"/>
      <c r="M285" s="25"/>
      <c r="N285" s="25"/>
      <c r="O285" s="22"/>
    </row>
    <row r="286" spans="1:24" customFormat="1">
      <c r="A286" s="2"/>
      <c r="B286" s="2" t="s">
        <v>25</v>
      </c>
      <c r="C286" s="2"/>
      <c r="D286" s="56">
        <f>+'[1]Compr &amp; BS'!$G$32+'[1]Compr &amp; BS'!$G$42</f>
        <v>71168</v>
      </c>
      <c r="E286" s="267"/>
      <c r="F286" s="22">
        <v>17991</v>
      </c>
      <c r="G286" s="22"/>
      <c r="H286" s="28"/>
      <c r="I286" s="115"/>
      <c r="J286" s="32"/>
      <c r="K286" s="114"/>
      <c r="L286" s="114"/>
      <c r="M286" s="25"/>
      <c r="N286" s="25"/>
      <c r="O286" s="22"/>
    </row>
    <row r="287" spans="1:24" customFormat="1">
      <c r="A287" s="2"/>
      <c r="B287" s="2" t="s">
        <v>23</v>
      </c>
      <c r="C287" s="2"/>
      <c r="D287" s="56">
        <f>-'[1]Compr &amp; BS'!$G$54</f>
        <v>0</v>
      </c>
      <c r="E287" s="267"/>
      <c r="F287" s="22">
        <v>-26109</v>
      </c>
      <c r="G287" s="22"/>
      <c r="H287" s="28"/>
      <c r="I287" s="115"/>
      <c r="J287" s="32"/>
      <c r="K287" s="114"/>
      <c r="L287" s="114"/>
      <c r="M287" s="25"/>
      <c r="N287" s="25"/>
      <c r="O287" s="22"/>
    </row>
    <row r="288" spans="1:24" customFormat="1">
      <c r="A288" s="2"/>
      <c r="B288" s="2" t="s">
        <v>24</v>
      </c>
      <c r="C288" s="2"/>
      <c r="D288" s="56">
        <f>-'[1]Compr &amp; BS'!$G$55</f>
        <v>0</v>
      </c>
      <c r="E288" s="267"/>
      <c r="F288" s="22">
        <v>-348</v>
      </c>
      <c r="G288" s="22"/>
      <c r="H288" s="28"/>
      <c r="I288" s="115"/>
      <c r="J288" s="32"/>
      <c r="K288" s="114"/>
      <c r="L288" s="114"/>
      <c r="M288" s="25"/>
      <c r="N288" s="25"/>
      <c r="O288" s="22"/>
    </row>
    <row r="289" spans="1:21" customFormat="1">
      <c r="A289" s="2"/>
      <c r="B289" s="2" t="s">
        <v>48</v>
      </c>
      <c r="C289" s="2"/>
      <c r="D289" s="56">
        <f>-'[1]Compr &amp; BS'!$G$62</f>
        <v>-783693</v>
      </c>
      <c r="E289" s="267"/>
      <c r="F289" s="22">
        <v>-882580</v>
      </c>
      <c r="G289" s="22"/>
      <c r="H289" s="28"/>
      <c r="I289" s="115"/>
      <c r="J289" s="32"/>
      <c r="K289" s="114"/>
      <c r="L289" s="114"/>
      <c r="M289" s="25"/>
      <c r="N289" s="25"/>
      <c r="O289" s="22"/>
    </row>
    <row r="290" spans="1:21" customFormat="1">
      <c r="A290" s="2"/>
      <c r="B290" s="2" t="s">
        <v>49</v>
      </c>
      <c r="C290" s="2"/>
      <c r="D290" s="56">
        <v>-6473</v>
      </c>
      <c r="E290" s="267"/>
      <c r="F290" s="22">
        <v>-8954</v>
      </c>
      <c r="G290" s="22"/>
      <c r="H290" s="28"/>
      <c r="I290" s="115"/>
      <c r="J290" s="32"/>
      <c r="K290" s="114"/>
      <c r="L290" s="114"/>
      <c r="M290" s="25"/>
      <c r="N290" s="25"/>
      <c r="O290" s="22"/>
    </row>
    <row r="291" spans="1:21" customFormat="1">
      <c r="A291" s="4"/>
      <c r="B291" s="4" t="s">
        <v>0</v>
      </c>
      <c r="C291" s="2"/>
      <c r="D291" s="58">
        <f>SUM(D285:D290)</f>
        <v>-286419</v>
      </c>
      <c r="E291" s="16"/>
      <c r="F291" s="29">
        <f>SUM(F285:F290)</f>
        <v>-774039</v>
      </c>
      <c r="G291" s="30"/>
      <c r="H291" s="30"/>
      <c r="I291" s="115"/>
      <c r="J291" s="32"/>
      <c r="K291" s="114"/>
      <c r="L291" s="114"/>
      <c r="M291" s="25"/>
      <c r="N291" s="25"/>
      <c r="O291" s="22"/>
    </row>
    <row r="292" spans="1:21" customFormat="1">
      <c r="A292" s="5"/>
      <c r="B292" s="5"/>
      <c r="C292" s="2"/>
      <c r="D292" s="203"/>
      <c r="E292" s="16"/>
      <c r="F292" s="30"/>
      <c r="G292" s="30"/>
      <c r="H292" s="30"/>
      <c r="I292" s="30"/>
      <c r="J292" s="30"/>
      <c r="K292" s="28"/>
      <c r="L292" s="30"/>
      <c r="M292" s="115"/>
      <c r="N292" s="32"/>
      <c r="O292" s="114"/>
      <c r="P292" s="114"/>
      <c r="Q292" s="25"/>
      <c r="R292" s="25"/>
      <c r="S292" s="22"/>
    </row>
    <row r="293" spans="1:21" customFormat="1">
      <c r="A293" s="5"/>
      <c r="B293" s="5"/>
      <c r="C293" s="2"/>
      <c r="D293" s="30"/>
      <c r="E293" s="16"/>
      <c r="F293" s="30"/>
      <c r="G293" s="30"/>
      <c r="H293" s="30"/>
      <c r="I293" s="30"/>
      <c r="J293" s="30"/>
      <c r="K293" s="30"/>
      <c r="L293" s="30"/>
      <c r="M293" s="18"/>
      <c r="N293" s="30"/>
      <c r="O293" s="115"/>
      <c r="P293" s="32"/>
      <c r="Q293" s="114"/>
      <c r="R293" s="114"/>
      <c r="S293" s="25"/>
      <c r="T293" s="25"/>
      <c r="U293" s="22"/>
    </row>
    <row r="294" spans="1:21" customFormat="1" ht="15">
      <c r="A294" s="42" t="s">
        <v>135</v>
      </c>
      <c r="B294" s="5"/>
      <c r="C294" s="2"/>
      <c r="D294" s="105"/>
      <c r="E294" s="2"/>
      <c r="F294" s="14"/>
      <c r="G294" s="14"/>
      <c r="H294" s="14"/>
      <c r="I294" s="14"/>
      <c r="J294" s="14"/>
      <c r="K294" s="14"/>
      <c r="L294" s="14"/>
      <c r="M294" s="14"/>
      <c r="N294" s="2"/>
      <c r="O294" s="2"/>
      <c r="P294" s="2"/>
      <c r="Q294" s="2"/>
      <c r="R294" s="2"/>
      <c r="S294" s="2"/>
      <c r="T294" s="2"/>
      <c r="U294" s="73"/>
    </row>
    <row r="295" spans="1:21" customFormat="1" ht="13.5" thickBot="1">
      <c r="A295" s="37" t="s">
        <v>119</v>
      </c>
      <c r="B295" s="37"/>
      <c r="C295" s="37"/>
      <c r="D295" s="76"/>
      <c r="E295" s="49"/>
      <c r="F295" s="49"/>
      <c r="G295" s="49"/>
      <c r="H295" s="49"/>
      <c r="I295" s="49"/>
      <c r="J295" s="49"/>
      <c r="K295" s="49"/>
      <c r="L295" s="28"/>
      <c r="M295" s="155"/>
      <c r="N295" s="50"/>
      <c r="O295" s="50"/>
      <c r="P295" s="48"/>
      <c r="Q295" s="48"/>
      <c r="R295" s="48"/>
      <c r="S295" s="48"/>
      <c r="T295" s="2"/>
    </row>
    <row r="296" spans="1:21" customFormat="1">
      <c r="A296" s="32"/>
      <c r="B296" s="32"/>
      <c r="C296" s="32"/>
      <c r="D296" s="300" t="s">
        <v>8</v>
      </c>
      <c r="E296" s="300"/>
      <c r="F296" s="300"/>
      <c r="G296" s="292"/>
      <c r="H296" s="300" t="s">
        <v>34</v>
      </c>
      <c r="I296" s="300"/>
      <c r="J296" s="300"/>
      <c r="K296" s="117"/>
      <c r="L296" s="258"/>
      <c r="M296" s="258"/>
      <c r="N296" s="50"/>
      <c r="O296" s="50"/>
      <c r="P296" s="48"/>
      <c r="Q296" s="48"/>
      <c r="R296" s="48"/>
      <c r="S296" s="2"/>
    </row>
    <row r="297" spans="1:21" customFormat="1">
      <c r="A297" s="25"/>
      <c r="B297" s="25"/>
      <c r="C297" s="25"/>
      <c r="D297" s="298" t="s">
        <v>66</v>
      </c>
      <c r="E297" s="298"/>
      <c r="F297" s="298"/>
      <c r="G297" s="291"/>
      <c r="H297" s="298" t="s">
        <v>6</v>
      </c>
      <c r="I297" s="298"/>
      <c r="J297" s="298"/>
      <c r="K297" s="64"/>
      <c r="L297" s="257"/>
      <c r="M297" s="257"/>
      <c r="N297" s="50"/>
      <c r="O297" s="50"/>
      <c r="P297" s="48"/>
      <c r="Q297" s="48"/>
      <c r="R297" s="48"/>
      <c r="S297" s="2"/>
    </row>
    <row r="298" spans="1:21" customFormat="1">
      <c r="A298" s="45" t="s">
        <v>7</v>
      </c>
      <c r="B298" s="45"/>
      <c r="C298" s="25"/>
      <c r="D298" s="54">
        <v>2010</v>
      </c>
      <c r="E298" s="121"/>
      <c r="F298" s="26">
        <v>2009</v>
      </c>
      <c r="G298" s="65"/>
      <c r="H298" s="265">
        <v>2010</v>
      </c>
      <c r="I298" s="121"/>
      <c r="J298" s="274">
        <v>2009</v>
      </c>
      <c r="K298" s="65"/>
      <c r="L298" s="107"/>
      <c r="M298" s="65"/>
      <c r="N298" s="50"/>
      <c r="O298" s="50"/>
      <c r="P298" s="48"/>
      <c r="Q298" s="48"/>
      <c r="R298" s="48"/>
      <c r="S298" s="2"/>
    </row>
    <row r="299" spans="1:21" customFormat="1">
      <c r="A299" s="61"/>
      <c r="B299" s="61"/>
      <c r="C299" s="25"/>
      <c r="D299" s="302" t="s">
        <v>5</v>
      </c>
      <c r="E299" s="302"/>
      <c r="F299" s="302"/>
      <c r="G299" s="302"/>
      <c r="H299" s="302"/>
      <c r="I299" s="302"/>
      <c r="J299" s="302"/>
      <c r="K299" s="202"/>
      <c r="L299" s="202"/>
      <c r="M299" s="202"/>
      <c r="N299" s="251"/>
      <c r="O299" s="251"/>
      <c r="P299" s="48"/>
      <c r="Q299" s="48"/>
      <c r="R299" s="48"/>
      <c r="S299" s="48"/>
      <c r="T299" s="2"/>
    </row>
    <row r="300" spans="1:21" s="114" customFormat="1">
      <c r="B300" s="25" t="s">
        <v>120</v>
      </c>
      <c r="C300" s="25"/>
      <c r="D300" s="214">
        <f>+[1]IS!$F$25</f>
        <v>41511</v>
      </c>
      <c r="E300" s="24"/>
      <c r="F300" s="24">
        <f>+[1]IS!$H$25</f>
        <v>26259</v>
      </c>
      <c r="G300" s="24"/>
      <c r="H300" s="214">
        <f>+[1]IS!$J$25</f>
        <v>-16088</v>
      </c>
      <c r="I300" s="24"/>
      <c r="J300" s="24">
        <f>+[1]IS!$L$25</f>
        <v>176167</v>
      </c>
      <c r="K300" s="24"/>
      <c r="L300" s="23"/>
      <c r="M300" s="23"/>
      <c r="N300" s="259"/>
      <c r="O300" s="259"/>
      <c r="P300" s="109"/>
      <c r="Q300" s="109"/>
      <c r="R300" s="109"/>
      <c r="S300" s="25"/>
    </row>
    <row r="301" spans="1:21" s="114" customFormat="1">
      <c r="B301" s="25" t="s">
        <v>121</v>
      </c>
      <c r="C301" s="25"/>
      <c r="D301" s="56">
        <f>+[1]IS!$F$26</f>
        <v>-1809</v>
      </c>
      <c r="E301" s="24"/>
      <c r="F301" s="22">
        <f>+[1]IS!$H$26</f>
        <v>-1291</v>
      </c>
      <c r="G301" s="22"/>
      <c r="H301" s="56">
        <f>+[1]IS!$J$26</f>
        <v>8548</v>
      </c>
      <c r="I301" s="24"/>
      <c r="J301" s="22">
        <f>+[1]IS!$L$26</f>
        <v>-8248</v>
      </c>
      <c r="K301" s="24"/>
      <c r="L301" s="23"/>
      <c r="M301" s="28"/>
      <c r="N301" s="259"/>
      <c r="O301" s="259"/>
      <c r="P301" s="109"/>
      <c r="Q301" s="109"/>
      <c r="R301" s="109"/>
      <c r="S301" s="25"/>
    </row>
    <row r="302" spans="1:21" s="114" customFormat="1">
      <c r="B302" s="25" t="s">
        <v>122</v>
      </c>
      <c r="C302" s="25"/>
      <c r="D302" s="56">
        <f>-[1]IS!$F$29</f>
        <v>0</v>
      </c>
      <c r="E302" s="24"/>
      <c r="F302" s="22">
        <f>-[1]IS!$H$29</f>
        <v>-2097</v>
      </c>
      <c r="G302" s="22"/>
      <c r="H302" s="56">
        <f>-[1]IS!$J$29</f>
        <v>-67</v>
      </c>
      <c r="I302" s="24"/>
      <c r="J302" s="22">
        <f>-[1]IS!$L$29</f>
        <v>-2094</v>
      </c>
      <c r="K302" s="24"/>
      <c r="L302" s="28"/>
      <c r="M302" s="28"/>
      <c r="N302" s="259"/>
      <c r="O302" s="259"/>
      <c r="P302" s="109"/>
      <c r="Q302" s="109"/>
      <c r="R302" s="109"/>
      <c r="S302" s="25"/>
    </row>
    <row r="303" spans="1:21" customFormat="1">
      <c r="A303" s="106"/>
      <c r="B303" s="106" t="s">
        <v>123</v>
      </c>
      <c r="C303" s="25"/>
      <c r="D303" s="58">
        <f>SUM(D300:D302)</f>
        <v>39702</v>
      </c>
      <c r="E303" s="33"/>
      <c r="F303" s="29">
        <f>SUM(F300:F302)</f>
        <v>22871</v>
      </c>
      <c r="G303" s="30"/>
      <c r="H303" s="58">
        <f>SUM(H300:H302)</f>
        <v>-7607</v>
      </c>
      <c r="I303" s="33"/>
      <c r="J303" s="29">
        <f>SUM(J300:J302)</f>
        <v>165825</v>
      </c>
      <c r="K303" s="33"/>
      <c r="L303" s="23"/>
      <c r="M303" s="30"/>
      <c r="N303" s="50"/>
      <c r="O303" s="50"/>
      <c r="P303" s="48"/>
      <c r="Q303" s="48"/>
      <c r="R303" s="48"/>
      <c r="S303" s="2"/>
    </row>
    <row r="304" spans="1:21" customFormat="1">
      <c r="A304" s="19"/>
      <c r="B304" s="2"/>
      <c r="C304" s="5"/>
      <c r="D304" s="48"/>
      <c r="E304" s="50"/>
      <c r="F304" s="48"/>
      <c r="G304" s="48"/>
      <c r="H304" s="261"/>
      <c r="I304" s="50"/>
      <c r="J304" s="48"/>
      <c r="K304" s="48"/>
      <c r="L304" s="50"/>
      <c r="M304" s="50"/>
      <c r="N304" s="50"/>
      <c r="O304" s="50"/>
      <c r="P304" s="48"/>
      <c r="Q304" s="48"/>
      <c r="R304" s="48"/>
      <c r="S304" s="2"/>
    </row>
    <row r="305" spans="1:22" s="114" customFormat="1">
      <c r="B305" s="25" t="s">
        <v>124</v>
      </c>
      <c r="C305" s="25"/>
      <c r="D305" s="56">
        <f>+H305-0</f>
        <v>0</v>
      </c>
      <c r="E305" s="22"/>
      <c r="F305" s="22">
        <v>0</v>
      </c>
      <c r="G305" s="22"/>
      <c r="H305" s="56">
        <v>0</v>
      </c>
      <c r="I305" s="22"/>
      <c r="J305" s="22">
        <v>0</v>
      </c>
      <c r="K305" s="28"/>
      <c r="L305" s="28"/>
      <c r="M305" s="28"/>
      <c r="N305" s="259"/>
      <c r="O305" s="259"/>
      <c r="Q305" s="109"/>
      <c r="R305" s="109"/>
      <c r="S305" s="25"/>
    </row>
    <row r="306" spans="1:22" customFormat="1">
      <c r="A306" s="106"/>
      <c r="B306" s="106" t="s">
        <v>125</v>
      </c>
      <c r="C306" s="25"/>
      <c r="D306" s="58">
        <f>D303+D305</f>
        <v>39702</v>
      </c>
      <c r="E306" s="33"/>
      <c r="F306" s="29">
        <f>F303+F305</f>
        <v>22871</v>
      </c>
      <c r="G306" s="30"/>
      <c r="H306" s="58">
        <f>H303+H305</f>
        <v>-7607</v>
      </c>
      <c r="I306" s="33"/>
      <c r="J306" s="29">
        <f>J303+J305</f>
        <v>165825</v>
      </c>
      <c r="K306" s="33"/>
      <c r="L306" s="23"/>
      <c r="M306" s="30"/>
      <c r="N306" s="50"/>
      <c r="O306" s="50"/>
      <c r="P306" s="48"/>
      <c r="Q306" s="48"/>
      <c r="R306" s="48"/>
      <c r="S306" s="2"/>
    </row>
    <row r="307" spans="1:22" s="114" customFormat="1">
      <c r="A307" s="32"/>
      <c r="B307" s="32"/>
      <c r="C307" s="25"/>
      <c r="D307" s="30"/>
      <c r="E307" s="33"/>
      <c r="F307" s="203"/>
      <c r="G307" s="203"/>
      <c r="H307" s="276"/>
      <c r="I307" s="33"/>
      <c r="J307" s="203"/>
      <c r="K307" s="33"/>
      <c r="L307" s="23"/>
      <c r="M307" s="30"/>
      <c r="N307" s="259"/>
      <c r="O307" s="259"/>
      <c r="P307" s="109"/>
      <c r="Q307" s="109"/>
      <c r="R307" s="109"/>
      <c r="S307" s="25"/>
    </row>
    <row r="308" spans="1:22" s="167" customFormat="1">
      <c r="A308" s="162" t="s">
        <v>130</v>
      </c>
      <c r="C308" s="163"/>
      <c r="D308" s="164"/>
      <c r="E308" s="163"/>
      <c r="F308" s="204"/>
      <c r="G308" s="204"/>
      <c r="H308" s="164"/>
      <c r="I308" s="163"/>
      <c r="J308" s="204"/>
      <c r="K308" s="166"/>
      <c r="L308" s="165"/>
      <c r="M308" s="165"/>
      <c r="N308" s="165"/>
      <c r="O308" s="166"/>
      <c r="P308" s="165"/>
      <c r="Q308" s="161"/>
    </row>
    <row r="309" spans="1:22" s="167" customFormat="1">
      <c r="B309" s="168" t="s">
        <v>126</v>
      </c>
      <c r="C309" s="162"/>
      <c r="D309" s="170">
        <f>D303*1000/D315</f>
        <v>0.19175541363707974</v>
      </c>
      <c r="E309" s="161"/>
      <c r="F309" s="161">
        <f>F303*1000/F315</f>
        <v>0.11561277449630016</v>
      </c>
      <c r="G309" s="161"/>
      <c r="H309" s="170">
        <f>H303*1000/H315</f>
        <v>-3.802494867519194E-2</v>
      </c>
      <c r="I309" s="161"/>
      <c r="J309" s="161">
        <f>J303*1000/J315</f>
        <v>0.87709751530240943</v>
      </c>
      <c r="K309" s="161"/>
      <c r="L309" s="161"/>
      <c r="M309" s="161"/>
      <c r="N309" s="161"/>
      <c r="O309" s="171"/>
    </row>
    <row r="310" spans="1:22" s="167" customFormat="1">
      <c r="B310" s="168" t="s">
        <v>134</v>
      </c>
      <c r="C310" s="162"/>
      <c r="D310" s="170">
        <f>D306*1000/D317</f>
        <v>0.19077512005277161</v>
      </c>
      <c r="E310" s="172"/>
      <c r="F310" s="173">
        <f>F306*1000/F317</f>
        <v>0.11531454326942651</v>
      </c>
      <c r="G310" s="173"/>
      <c r="H310" s="170">
        <f>H306*1000/H317</f>
        <v>-3.802494867519194E-2</v>
      </c>
      <c r="I310" s="172"/>
      <c r="J310" s="173">
        <f>J306*1000/J317</f>
        <v>0.87709520033354216</v>
      </c>
      <c r="K310" s="173"/>
      <c r="L310" s="172"/>
      <c r="M310" s="173"/>
      <c r="N310" s="172"/>
      <c r="O310" s="171"/>
    </row>
    <row r="311" spans="1:22" s="167" customFormat="1">
      <c r="A311" s="163" t="s">
        <v>127</v>
      </c>
      <c r="C311" s="162"/>
      <c r="D311" s="174"/>
      <c r="E311" s="175"/>
      <c r="F311" s="176"/>
      <c r="G311" s="176"/>
      <c r="H311" s="174"/>
      <c r="I311" s="175"/>
      <c r="J311" s="176"/>
      <c r="K311" s="176"/>
      <c r="L311" s="175"/>
      <c r="M311" s="176"/>
      <c r="N311" s="175"/>
      <c r="O311" s="171"/>
      <c r="P311" s="156"/>
    </row>
    <row r="312" spans="1:22" s="167" customFormat="1">
      <c r="B312" s="177" t="s">
        <v>126</v>
      </c>
      <c r="C312" s="162"/>
      <c r="D312" s="170">
        <f>((D303-D301)*1000)/D315</f>
        <v>0.20049264458941154</v>
      </c>
      <c r="E312" s="161"/>
      <c r="F312" s="161">
        <f>((F303-F301)*1000)/F315</f>
        <v>0.12213877212975402</v>
      </c>
      <c r="G312" s="161"/>
      <c r="H312" s="170">
        <f>((H303-H301)*1000)/H315</f>
        <v>-8.0753653982874443E-2</v>
      </c>
      <c r="I312" s="161"/>
      <c r="J312" s="161">
        <f>((J303-J301)*1000)/J315</f>
        <v>0.92072362901393834</v>
      </c>
      <c r="K312" s="161"/>
      <c r="L312" s="161"/>
      <c r="M312" s="161"/>
      <c r="N312" s="161"/>
      <c r="O312" s="171"/>
    </row>
    <row r="313" spans="1:22" s="167" customFormat="1">
      <c r="A313" s="178"/>
      <c r="B313" s="178" t="s">
        <v>133</v>
      </c>
      <c r="C313" s="162"/>
      <c r="D313" s="179">
        <f>((D306-D301)*1000)/D317</f>
        <v>0.19946768446200699</v>
      </c>
      <c r="E313" s="161"/>
      <c r="F313" s="188">
        <f>((F306-F301)*1000)/F317</f>
        <v>0.12182370663617172</v>
      </c>
      <c r="G313" s="161"/>
      <c r="H313" s="179">
        <f>((H306-H301)*1000)/H317</f>
        <v>-8.0753653982874443E-2</v>
      </c>
      <c r="I313" s="161"/>
      <c r="J313" s="188">
        <f>((J306-J301)*1000)/J317</f>
        <v>0.92072119890041115</v>
      </c>
      <c r="K313" s="161"/>
      <c r="L313" s="161"/>
      <c r="M313" s="161"/>
      <c r="N313" s="161"/>
      <c r="O313" s="171"/>
    </row>
    <row r="314" spans="1:22" s="167" customFormat="1">
      <c r="A314" s="169"/>
      <c r="B314" s="169"/>
      <c r="C314" s="162"/>
      <c r="D314" s="170"/>
      <c r="E314" s="161"/>
      <c r="F314" s="161"/>
      <c r="G314" s="161"/>
      <c r="H314" s="170"/>
      <c r="I314" s="161"/>
      <c r="J314" s="161"/>
      <c r="K314" s="161"/>
      <c r="L314" s="161"/>
      <c r="M314" s="161"/>
      <c r="N314" s="161"/>
      <c r="O314" s="171"/>
    </row>
    <row r="315" spans="1:22" s="167" customFormat="1">
      <c r="A315" s="180"/>
      <c r="B315" s="180" t="s">
        <v>128</v>
      </c>
      <c r="C315" s="181"/>
      <c r="D315" s="57">
        <v>207045002</v>
      </c>
      <c r="E315" s="182"/>
      <c r="F315" s="28">
        <v>197824160</v>
      </c>
      <c r="G315" s="28"/>
      <c r="H315" s="57">
        <v>200052867</v>
      </c>
      <c r="I315" s="182"/>
      <c r="J315" s="28">
        <v>189061076</v>
      </c>
      <c r="K315" s="182"/>
      <c r="L315" s="182"/>
      <c r="M315" s="28"/>
      <c r="N315" s="28"/>
      <c r="O315" s="171"/>
    </row>
    <row r="316" spans="1:22" s="167" customFormat="1">
      <c r="A316" s="180"/>
      <c r="B316" s="180" t="s">
        <v>132</v>
      </c>
      <c r="C316" s="181"/>
      <c r="D316" s="57">
        <v>1063896</v>
      </c>
      <c r="E316" s="182"/>
      <c r="F316" s="28">
        <v>511621</v>
      </c>
      <c r="G316" s="28"/>
      <c r="H316" s="57">
        <v>0</v>
      </c>
      <c r="I316" s="182"/>
      <c r="J316" s="28">
        <v>499</v>
      </c>
      <c r="K316" s="182"/>
      <c r="L316" s="182"/>
      <c r="M316" s="28"/>
      <c r="N316" s="28"/>
      <c r="O316" s="171"/>
    </row>
    <row r="317" spans="1:22" s="167" customFormat="1">
      <c r="A317" s="183"/>
      <c r="B317" s="183" t="s">
        <v>129</v>
      </c>
      <c r="C317" s="4"/>
      <c r="D317" s="96">
        <f>SUM(D315:D316)</f>
        <v>208108898</v>
      </c>
      <c r="E317" s="28"/>
      <c r="F317" s="93">
        <f>SUM(F315:F316)</f>
        <v>198335781</v>
      </c>
      <c r="G317" s="28"/>
      <c r="H317" s="96">
        <f>SUM(H315:H316)</f>
        <v>200052867</v>
      </c>
      <c r="I317" s="28"/>
      <c r="J317" s="93">
        <f>SUM(J315:J316)</f>
        <v>189061575</v>
      </c>
      <c r="K317" s="28"/>
      <c r="L317" s="28"/>
      <c r="M317" s="28"/>
      <c r="N317" s="28"/>
      <c r="O317" s="182"/>
    </row>
    <row r="318" spans="1:22" s="191" customFormat="1">
      <c r="A318" s="2" t="s">
        <v>222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190"/>
    </row>
    <row r="319" spans="1:22" s="191" customFormat="1">
      <c r="A319" s="2" t="s">
        <v>223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90"/>
    </row>
    <row r="320" spans="1:22" s="191" customForma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90"/>
    </row>
    <row r="321" spans="1:22" s="191" customFormat="1">
      <c r="A321" s="194"/>
      <c r="B321" s="194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90"/>
    </row>
    <row r="322" spans="1:22" s="191" customFormat="1" ht="15">
      <c r="A322" s="8" t="s">
        <v>168</v>
      </c>
      <c r="B322" s="2"/>
      <c r="C322" s="2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2"/>
      <c r="P322" s="2"/>
      <c r="Q322" s="2"/>
      <c r="R322" s="2"/>
      <c r="S322" s="2"/>
      <c r="T322" s="2"/>
      <c r="U322" s="2"/>
      <c r="V322" s="190"/>
    </row>
    <row r="323" spans="1:22" s="191" customFormat="1" ht="13.5" thickBot="1">
      <c r="A323" s="37" t="s">
        <v>159</v>
      </c>
      <c r="B323" s="37"/>
      <c r="C323" s="37"/>
      <c r="D323" s="76"/>
      <c r="E323" s="49"/>
      <c r="F323" s="49"/>
      <c r="G323" s="49"/>
      <c r="H323" s="49"/>
      <c r="I323" s="49"/>
      <c r="J323" s="49"/>
      <c r="K323" s="49"/>
      <c r="L323" s="28"/>
      <c r="M323" s="155"/>
      <c r="N323" s="5"/>
      <c r="O323" s="2"/>
      <c r="P323" s="2"/>
      <c r="Q323" s="2"/>
      <c r="R323" s="2"/>
      <c r="S323" s="2"/>
      <c r="T323" s="2"/>
      <c r="U323" s="190"/>
    </row>
    <row r="324" spans="1:22" s="191" customFormat="1">
      <c r="A324" s="32"/>
      <c r="B324" s="32"/>
      <c r="C324" s="32"/>
      <c r="D324" s="300" t="s">
        <v>8</v>
      </c>
      <c r="E324" s="300"/>
      <c r="F324" s="300"/>
      <c r="G324" s="292"/>
      <c r="H324" s="300" t="s">
        <v>34</v>
      </c>
      <c r="I324" s="300"/>
      <c r="J324" s="300"/>
      <c r="K324" s="117"/>
      <c r="L324" s="258"/>
      <c r="M324" s="5"/>
      <c r="N324" s="2"/>
      <c r="O324" s="2"/>
      <c r="P324" s="2"/>
      <c r="Q324" s="2"/>
      <c r="R324" s="2"/>
      <c r="S324" s="2"/>
      <c r="T324" s="190"/>
    </row>
    <row r="325" spans="1:22" s="191" customFormat="1">
      <c r="A325" s="25"/>
      <c r="B325" s="25"/>
      <c r="C325" s="25"/>
      <c r="D325" s="298" t="s">
        <v>66</v>
      </c>
      <c r="E325" s="298"/>
      <c r="F325" s="298"/>
      <c r="G325" s="291"/>
      <c r="H325" s="298" t="s">
        <v>6</v>
      </c>
      <c r="I325" s="298"/>
      <c r="J325" s="298"/>
      <c r="K325" s="64"/>
      <c r="L325" s="257"/>
      <c r="M325" s="5"/>
      <c r="N325" s="2"/>
      <c r="O325" s="2"/>
      <c r="P325" s="2"/>
      <c r="Q325" s="2"/>
      <c r="R325" s="2"/>
      <c r="S325" s="2"/>
      <c r="T325" s="190"/>
    </row>
    <row r="326" spans="1:22" s="191" customFormat="1">
      <c r="A326" s="45" t="s">
        <v>7</v>
      </c>
      <c r="B326" s="45"/>
      <c r="C326" s="25"/>
      <c r="D326" s="54">
        <v>2010</v>
      </c>
      <c r="E326" s="121"/>
      <c r="F326" s="26">
        <v>2009</v>
      </c>
      <c r="G326" s="65"/>
      <c r="H326" s="265">
        <v>2010</v>
      </c>
      <c r="I326" s="121"/>
      <c r="J326" s="274">
        <v>2009</v>
      </c>
      <c r="K326" s="65"/>
      <c r="L326" s="107"/>
      <c r="M326" s="65"/>
      <c r="N326" s="5"/>
      <c r="O326" s="2"/>
      <c r="P326" s="2"/>
      <c r="Q326" s="2"/>
      <c r="R326" s="2"/>
      <c r="S326" s="2"/>
      <c r="T326" s="2"/>
      <c r="U326" s="190"/>
    </row>
    <row r="327" spans="1:22" s="191" customFormat="1">
      <c r="A327" s="61"/>
      <c r="B327" s="61"/>
      <c r="C327" s="25"/>
      <c r="D327" s="302" t="s">
        <v>5</v>
      </c>
      <c r="E327" s="302"/>
      <c r="F327" s="302"/>
      <c r="G327" s="302"/>
      <c r="H327" s="302"/>
      <c r="I327" s="302"/>
      <c r="J327" s="302"/>
      <c r="K327" s="202"/>
      <c r="L327" s="202"/>
      <c r="M327" s="202"/>
      <c r="N327" s="5"/>
      <c r="O327" s="2"/>
      <c r="P327" s="2"/>
      <c r="Q327" s="2"/>
      <c r="R327" s="2"/>
      <c r="S327" s="2"/>
      <c r="T327" s="2"/>
      <c r="U327" s="190"/>
    </row>
    <row r="328" spans="1:22" s="191" customFormat="1">
      <c r="A328" s="106"/>
      <c r="B328" s="106" t="s">
        <v>141</v>
      </c>
      <c r="C328" s="25"/>
      <c r="D328" s="207">
        <f>+H328-21756</f>
        <v>0</v>
      </c>
      <c r="E328" s="24"/>
      <c r="F328" s="264">
        <f>+J328-136162</f>
        <v>58462</v>
      </c>
      <c r="G328" s="23"/>
      <c r="H328" s="207">
        <v>21756</v>
      </c>
      <c r="I328" s="277"/>
      <c r="J328" s="264">
        <v>194624</v>
      </c>
      <c r="K328" s="24"/>
      <c r="L328" s="23"/>
      <c r="M328" s="23"/>
      <c r="N328" s="5"/>
      <c r="O328" s="2"/>
      <c r="P328" s="2"/>
      <c r="Q328" s="2"/>
      <c r="R328" s="2"/>
      <c r="S328" s="2"/>
      <c r="T328" s="2"/>
      <c r="U328" s="190"/>
    </row>
    <row r="329" spans="1:22" s="191" customFormat="1">
      <c r="A329" s="25"/>
      <c r="B329" s="25" t="s">
        <v>145</v>
      </c>
      <c r="C329" s="25"/>
      <c r="D329" s="56">
        <f>+H329-(22551+708)</f>
        <v>0</v>
      </c>
      <c r="E329" s="24"/>
      <c r="F329" s="22">
        <f>+J329-122253</f>
        <v>53744</v>
      </c>
      <c r="G329" s="22"/>
      <c r="H329" s="56">
        <v>23259</v>
      </c>
      <c r="I329" s="277"/>
      <c r="J329" s="22">
        <v>175997</v>
      </c>
      <c r="K329" s="24"/>
      <c r="L329" s="23"/>
      <c r="M329" s="28"/>
      <c r="N329" s="5"/>
      <c r="O329" s="2"/>
      <c r="P329" s="2"/>
      <c r="Q329" s="2"/>
      <c r="R329" s="2"/>
      <c r="S329" s="2"/>
      <c r="T329" s="2"/>
      <c r="U329" s="190"/>
    </row>
    <row r="330" spans="1:22" s="191" customFormat="1">
      <c r="A330" s="25"/>
      <c r="B330" s="25" t="s">
        <v>142</v>
      </c>
      <c r="C330" s="25"/>
      <c r="D330" s="56">
        <f>+H330-0</f>
        <v>0</v>
      </c>
      <c r="E330" s="24"/>
      <c r="F330" s="22">
        <f>+J330-19082</f>
        <v>3620</v>
      </c>
      <c r="G330" s="22"/>
      <c r="H330" s="56">
        <v>0</v>
      </c>
      <c r="I330" s="277"/>
      <c r="J330" s="22">
        <v>22702</v>
      </c>
      <c r="K330" s="24"/>
      <c r="L330" s="23"/>
      <c r="M330" s="28"/>
      <c r="N330" s="5"/>
      <c r="O330" s="2"/>
      <c r="P330" s="2"/>
      <c r="Q330" s="2"/>
      <c r="R330" s="2"/>
      <c r="S330" s="2"/>
      <c r="T330" s="2"/>
      <c r="U330" s="190"/>
    </row>
    <row r="331" spans="1:22" s="191" customFormat="1">
      <c r="A331" s="208"/>
      <c r="B331" s="208" t="s">
        <v>144</v>
      </c>
      <c r="C331" s="25"/>
      <c r="D331" s="96">
        <f>SUM(D329:D330)</f>
        <v>0</v>
      </c>
      <c r="E331" s="28"/>
      <c r="F331" s="93">
        <f>SUM(F329:F330)</f>
        <v>57364</v>
      </c>
      <c r="G331" s="28"/>
      <c r="H331" s="96">
        <f>SUM(H329:H330)</f>
        <v>23259</v>
      </c>
      <c r="I331" s="270"/>
      <c r="J331" s="93">
        <f>SUM(J329:J330)</f>
        <v>198699</v>
      </c>
      <c r="K331" s="28"/>
      <c r="L331" s="28"/>
      <c r="M331" s="28"/>
      <c r="N331" s="5"/>
      <c r="O331" s="2"/>
      <c r="P331" s="2"/>
      <c r="Q331" s="2"/>
      <c r="R331" s="2"/>
      <c r="S331" s="2"/>
      <c r="T331" s="2"/>
      <c r="U331" s="190"/>
    </row>
    <row r="332" spans="1:22" s="191" customFormat="1">
      <c r="A332" s="32"/>
      <c r="B332" s="32" t="s">
        <v>143</v>
      </c>
      <c r="C332" s="25"/>
      <c r="D332" s="56">
        <f>+D328-D331</f>
        <v>0</v>
      </c>
      <c r="E332" s="22"/>
      <c r="F332" s="22">
        <f>+F328-F331</f>
        <v>1098</v>
      </c>
      <c r="G332" s="22"/>
      <c r="H332" s="56">
        <f>+H328-H331</f>
        <v>-1503</v>
      </c>
      <c r="I332" s="278"/>
      <c r="J332" s="22">
        <f>+J328-J331</f>
        <v>-4075</v>
      </c>
      <c r="K332" s="28"/>
      <c r="L332" s="28"/>
      <c r="M332" s="28"/>
      <c r="N332" s="5"/>
      <c r="O332" s="2"/>
      <c r="P332" s="2"/>
      <c r="Q332" s="2"/>
      <c r="R332" s="2"/>
      <c r="S332" s="2"/>
      <c r="T332" s="2"/>
      <c r="U332" s="190"/>
    </row>
    <row r="333" spans="1:22" s="191" customFormat="1">
      <c r="A333" s="32"/>
      <c r="B333" s="32" t="s">
        <v>146</v>
      </c>
      <c r="C333" s="25"/>
      <c r="D333" s="56">
        <f>+H333-286</f>
        <v>0</v>
      </c>
      <c r="E333" s="22"/>
      <c r="F333" s="22">
        <f>+J333-1908</f>
        <v>444</v>
      </c>
      <c r="G333" s="22"/>
      <c r="H333" s="56">
        <v>286</v>
      </c>
      <c r="I333" s="278"/>
      <c r="J333" s="22">
        <v>2352</v>
      </c>
      <c r="K333" s="28"/>
      <c r="L333" s="28"/>
      <c r="M333" s="28"/>
      <c r="N333" s="5"/>
      <c r="O333" s="2"/>
      <c r="P333" s="2"/>
      <c r="Q333" s="2"/>
      <c r="R333" s="2"/>
      <c r="S333" s="2"/>
      <c r="T333" s="2"/>
      <c r="U333" s="190"/>
    </row>
    <row r="334" spans="1:22" s="191" customFormat="1">
      <c r="A334" s="208"/>
      <c r="B334" s="208" t="s">
        <v>228</v>
      </c>
      <c r="C334" s="25"/>
      <c r="D334" s="58">
        <f>SUM(D332:D333)</f>
        <v>0</v>
      </c>
      <c r="E334" s="33"/>
      <c r="F334" s="29">
        <f>SUM(F332:F333)</f>
        <v>1542</v>
      </c>
      <c r="G334" s="30"/>
      <c r="H334" s="58">
        <f>SUM(H332:H333)</f>
        <v>-1217</v>
      </c>
      <c r="I334" s="282"/>
      <c r="J334" s="29">
        <f>SUM(J332:J333)</f>
        <v>-1723</v>
      </c>
      <c r="K334" s="33"/>
      <c r="L334" s="23"/>
      <c r="M334" s="30"/>
      <c r="N334" s="5"/>
      <c r="O334" s="2"/>
      <c r="P334" s="2"/>
      <c r="Q334" s="2"/>
      <c r="R334" s="2"/>
      <c r="S334" s="2"/>
      <c r="T334" s="2"/>
      <c r="U334" s="190"/>
    </row>
    <row r="335" spans="1:22" s="191" customFormat="1">
      <c r="A335" s="32" t="s">
        <v>262</v>
      </c>
      <c r="B335" s="32"/>
      <c r="C335" s="25"/>
      <c r="D335" s="16"/>
      <c r="E335" s="16"/>
      <c r="F335" s="16"/>
      <c r="G335" s="16"/>
      <c r="H335" s="16"/>
      <c r="I335" s="16"/>
      <c r="J335" s="16"/>
      <c r="K335" s="16"/>
      <c r="L335" s="18"/>
      <c r="M335" s="18"/>
      <c r="N335" s="5"/>
      <c r="O335" s="2"/>
      <c r="P335" s="2"/>
      <c r="Q335" s="2"/>
      <c r="R335" s="2"/>
      <c r="S335" s="2"/>
      <c r="T335" s="2"/>
      <c r="U335" s="190"/>
    </row>
    <row r="336" spans="1:22" s="191" customFormat="1">
      <c r="A336" s="32"/>
      <c r="B336" s="32"/>
      <c r="C336" s="25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2"/>
      <c r="P336" s="2"/>
      <c r="Q336" s="2"/>
      <c r="R336" s="2"/>
      <c r="S336" s="2"/>
      <c r="T336" s="2"/>
      <c r="U336" s="2"/>
      <c r="V336" s="190"/>
    </row>
    <row r="337" spans="1:22" s="191" customFormat="1" ht="13.5" thickBot="1">
      <c r="A337" s="6" t="s">
        <v>139</v>
      </c>
      <c r="B337" s="6"/>
      <c r="C337" s="6"/>
      <c r="D337" s="76"/>
      <c r="E337" s="49"/>
      <c r="F337" s="49"/>
      <c r="G337" s="49"/>
      <c r="H337" s="49"/>
      <c r="I337" s="49"/>
      <c r="J337" s="49"/>
      <c r="K337" s="49"/>
      <c r="L337" s="16"/>
      <c r="M337" s="28"/>
      <c r="N337" s="28"/>
      <c r="O337" s="2"/>
      <c r="P337" s="2"/>
      <c r="Q337" s="2"/>
      <c r="R337" s="2"/>
      <c r="S337" s="2"/>
      <c r="T337" s="2"/>
      <c r="U337" s="2"/>
      <c r="V337" s="190"/>
    </row>
    <row r="338" spans="1:22" s="191" customFormat="1">
      <c r="A338" s="5"/>
      <c r="B338" s="5"/>
      <c r="C338" s="5"/>
      <c r="D338" s="300" t="s">
        <v>8</v>
      </c>
      <c r="E338" s="300"/>
      <c r="F338" s="300"/>
      <c r="G338" s="292"/>
      <c r="H338" s="300" t="s">
        <v>34</v>
      </c>
      <c r="I338" s="300"/>
      <c r="J338" s="300"/>
      <c r="K338" s="117"/>
      <c r="L338" s="258"/>
      <c r="M338" s="258"/>
      <c r="N338" s="2"/>
      <c r="O338" s="2"/>
      <c r="P338" s="2"/>
      <c r="Q338" s="2"/>
      <c r="R338" s="2"/>
      <c r="S338" s="2"/>
      <c r="T338" s="2"/>
      <c r="U338" s="190"/>
    </row>
    <row r="339" spans="1:22" s="191" customFormat="1">
      <c r="A339" s="2"/>
      <c r="B339" s="2"/>
      <c r="C339" s="2"/>
      <c r="D339" s="298" t="s">
        <v>66</v>
      </c>
      <c r="E339" s="298"/>
      <c r="F339" s="298"/>
      <c r="G339" s="291"/>
      <c r="H339" s="298" t="s">
        <v>6</v>
      </c>
      <c r="I339" s="298"/>
      <c r="J339" s="298"/>
      <c r="K339" s="64"/>
      <c r="L339" s="257"/>
      <c r="M339" s="257"/>
      <c r="N339" s="2"/>
      <c r="O339" s="2"/>
      <c r="P339" s="2"/>
      <c r="Q339" s="2"/>
      <c r="R339" s="2"/>
      <c r="S339" s="2"/>
      <c r="T339" s="2"/>
      <c r="U339" s="190"/>
    </row>
    <row r="340" spans="1:22" s="191" customFormat="1">
      <c r="A340" s="13" t="s">
        <v>7</v>
      </c>
      <c r="B340" s="12"/>
      <c r="C340" s="2"/>
      <c r="D340" s="54">
        <v>2010</v>
      </c>
      <c r="E340" s="121"/>
      <c r="F340" s="26">
        <v>2009</v>
      </c>
      <c r="G340" s="65"/>
      <c r="H340" s="265">
        <v>2010</v>
      </c>
      <c r="I340" s="121"/>
      <c r="J340" s="274">
        <v>2009</v>
      </c>
      <c r="K340" s="65"/>
      <c r="L340" s="107"/>
      <c r="M340" s="65"/>
      <c r="N340" s="2"/>
      <c r="O340" s="2"/>
      <c r="P340" s="2"/>
      <c r="Q340" s="2"/>
      <c r="R340" s="2"/>
      <c r="S340" s="2"/>
      <c r="T340" s="2"/>
      <c r="U340" s="190"/>
    </row>
    <row r="341" spans="1:22" s="191" customFormat="1">
      <c r="A341" s="62"/>
      <c r="B341" s="5"/>
      <c r="C341" s="2"/>
      <c r="D341" s="296" t="s">
        <v>5</v>
      </c>
      <c r="E341" s="296"/>
      <c r="F341" s="296"/>
      <c r="G341" s="296"/>
      <c r="H341" s="296"/>
      <c r="I341" s="296"/>
      <c r="J341" s="296"/>
      <c r="K341" s="254"/>
      <c r="L341" s="205"/>
      <c r="M341" s="205"/>
      <c r="N341" s="2"/>
      <c r="O341" s="2"/>
      <c r="P341" s="2"/>
      <c r="Q341" s="2"/>
      <c r="R341" s="2"/>
      <c r="S341" s="2"/>
      <c r="T341" s="2"/>
      <c r="U341" s="190"/>
    </row>
    <row r="342" spans="1:22" s="191" customFormat="1">
      <c r="A342" s="62"/>
      <c r="B342" s="5" t="s">
        <v>229</v>
      </c>
      <c r="C342" s="2"/>
      <c r="D342" s="55">
        <f>+D334</f>
        <v>0</v>
      </c>
      <c r="E342" s="14"/>
      <c r="F342" s="24">
        <f>+F334</f>
        <v>1542</v>
      </c>
      <c r="G342" s="24"/>
      <c r="H342" s="214">
        <f>+H334</f>
        <v>-1217</v>
      </c>
      <c r="I342" s="252"/>
      <c r="J342" s="24">
        <f>+J334</f>
        <v>-1723</v>
      </c>
      <c r="K342" s="24"/>
      <c r="L342" s="17"/>
      <c r="M342" s="23"/>
      <c r="N342" s="2"/>
      <c r="O342" s="2"/>
      <c r="P342" s="2"/>
      <c r="Q342" s="2"/>
      <c r="R342" s="2"/>
      <c r="S342" s="2"/>
      <c r="T342" s="2"/>
      <c r="U342" s="190"/>
    </row>
    <row r="343" spans="1:22" customFormat="1">
      <c r="A343" s="2"/>
      <c r="B343" s="2" t="s">
        <v>213</v>
      </c>
      <c r="D343" s="56">
        <f>+H343-1000</f>
        <v>0</v>
      </c>
      <c r="E343" s="24"/>
      <c r="F343" s="22">
        <f>+J343-1000</f>
        <v>956</v>
      </c>
      <c r="G343" s="22"/>
      <c r="H343" s="56">
        <v>1000</v>
      </c>
      <c r="I343" s="277"/>
      <c r="J343" s="22">
        <v>1956</v>
      </c>
      <c r="K343" s="24"/>
      <c r="L343" s="23"/>
      <c r="M343" s="28"/>
      <c r="N343" s="2"/>
      <c r="O343" s="2"/>
      <c r="P343" s="2"/>
      <c r="Q343" s="2"/>
      <c r="R343" s="2"/>
      <c r="S343" s="2"/>
      <c r="T343" s="2"/>
      <c r="U343" s="73"/>
    </row>
    <row r="344" spans="1:22" customFormat="1">
      <c r="A344" s="2"/>
      <c r="B344" s="2" t="s">
        <v>208</v>
      </c>
      <c r="C344" s="271"/>
      <c r="D344" s="56">
        <f>+H344-15854</f>
        <v>370</v>
      </c>
      <c r="E344" s="24"/>
      <c r="F344" s="22">
        <f>+J344-0</f>
        <v>0</v>
      </c>
      <c r="G344" s="22"/>
      <c r="H344" s="56">
        <v>16224</v>
      </c>
      <c r="I344" s="24"/>
      <c r="J344" s="22">
        <v>0</v>
      </c>
      <c r="K344" s="24"/>
      <c r="L344" s="23"/>
      <c r="M344" s="28"/>
      <c r="N344" s="2"/>
      <c r="O344" s="2"/>
      <c r="P344" s="2"/>
      <c r="Q344" s="2"/>
      <c r="R344" s="2"/>
      <c r="S344" s="2"/>
      <c r="T344" s="2"/>
      <c r="U344" s="73"/>
    </row>
    <row r="345" spans="1:22" customFormat="1">
      <c r="A345" s="2"/>
      <c r="B345" s="2" t="s">
        <v>169</v>
      </c>
      <c r="C345" s="271"/>
      <c r="D345" s="56">
        <f>+H345+6058</f>
        <v>-84</v>
      </c>
      <c r="E345" s="24"/>
      <c r="F345" s="22">
        <f>+J345+418</f>
        <v>-1950</v>
      </c>
      <c r="G345" s="22"/>
      <c r="H345" s="56">
        <v>-6142</v>
      </c>
      <c r="I345" s="24"/>
      <c r="J345" s="22">
        <v>-2368</v>
      </c>
      <c r="K345" s="24"/>
      <c r="L345" s="23"/>
      <c r="M345" s="28"/>
      <c r="N345" s="2"/>
      <c r="O345" s="2"/>
      <c r="P345" s="2"/>
      <c r="Q345" s="2"/>
      <c r="R345" s="2"/>
      <c r="S345" s="2"/>
      <c r="T345" s="2"/>
      <c r="U345" s="73"/>
    </row>
    <row r="346" spans="1:22" customFormat="1">
      <c r="A346" s="2"/>
      <c r="B346" s="2" t="s">
        <v>140</v>
      </c>
      <c r="D346" s="56">
        <f>+H346-778</f>
        <v>-2095</v>
      </c>
      <c r="E346" s="24"/>
      <c r="F346" s="22">
        <f>+J346+4274</f>
        <v>-1839</v>
      </c>
      <c r="G346" s="22"/>
      <c r="H346" s="56">
        <v>-1317</v>
      </c>
      <c r="I346" s="277"/>
      <c r="J346" s="22">
        <v>-6113</v>
      </c>
      <c r="K346" s="24"/>
      <c r="L346" s="23"/>
      <c r="M346" s="28"/>
      <c r="N346" s="2"/>
      <c r="O346" s="2"/>
      <c r="P346" s="2"/>
      <c r="Q346" s="2"/>
      <c r="R346" s="2"/>
      <c r="S346" s="2"/>
      <c r="T346" s="2"/>
      <c r="U346" s="73"/>
    </row>
    <row r="347" spans="1:22" customFormat="1">
      <c r="A347" s="4"/>
      <c r="B347" s="4" t="s">
        <v>0</v>
      </c>
      <c r="C347" s="2"/>
      <c r="D347" s="58">
        <f>SUM(D342:D346)</f>
        <v>-1809</v>
      </c>
      <c r="E347" s="16"/>
      <c r="F347" s="29">
        <f>SUM(F342:F346)</f>
        <v>-1291</v>
      </c>
      <c r="G347" s="30"/>
      <c r="H347" s="58">
        <f>SUM(H342:H346)</f>
        <v>8548</v>
      </c>
      <c r="I347" s="16"/>
      <c r="J347" s="29">
        <f>SUM(J342:J346)</f>
        <v>-8248</v>
      </c>
      <c r="K347" s="30"/>
      <c r="L347" s="18"/>
      <c r="M347" s="30"/>
      <c r="N347" s="2"/>
      <c r="O347" s="2"/>
      <c r="P347" s="2"/>
      <c r="Q347" s="2"/>
      <c r="R347" s="2"/>
      <c r="S347" s="2"/>
      <c r="T347" s="2"/>
      <c r="U347" s="73"/>
    </row>
    <row r="348" spans="1:22" customFormat="1"/>
    <row r="349" spans="1:22" customFormat="1" ht="13.5" thickBot="1">
      <c r="A349" s="6" t="s">
        <v>170</v>
      </c>
      <c r="B349" s="6"/>
      <c r="C349" s="6"/>
      <c r="D349" s="20"/>
      <c r="E349" s="20"/>
      <c r="F349" s="20"/>
      <c r="G349" s="20"/>
      <c r="H349" s="20"/>
      <c r="I349" s="18"/>
      <c r="J349" s="18"/>
      <c r="K349" s="18"/>
      <c r="L349" s="18"/>
      <c r="M349" s="5"/>
      <c r="N349" s="5"/>
      <c r="O349" s="2"/>
      <c r="P349" s="2"/>
      <c r="Q349" s="2"/>
      <c r="R349" s="2"/>
      <c r="S349" s="2"/>
      <c r="T349" s="2"/>
      <c r="U349" s="2"/>
      <c r="V349" s="73"/>
    </row>
    <row r="350" spans="1:22" customFormat="1">
      <c r="A350" s="2"/>
      <c r="B350" s="2"/>
      <c r="C350" s="2"/>
      <c r="D350" s="298" t="s">
        <v>6</v>
      </c>
      <c r="E350" s="298"/>
      <c r="F350" s="298"/>
      <c r="G350" s="1"/>
      <c r="H350" s="2"/>
      <c r="I350" s="2"/>
      <c r="J350" s="2"/>
      <c r="K350" s="2"/>
      <c r="L350" s="2"/>
      <c r="M350" s="2"/>
      <c r="N350" s="2"/>
      <c r="O350" s="2"/>
      <c r="P350" s="2"/>
    </row>
    <row r="351" spans="1:22" customFormat="1">
      <c r="A351" s="13" t="s">
        <v>7</v>
      </c>
      <c r="B351" s="13"/>
      <c r="C351" s="2"/>
      <c r="D351" s="265">
        <v>2010</v>
      </c>
      <c r="E351" s="65"/>
      <c r="F351" s="266">
        <v>2009</v>
      </c>
      <c r="G351" s="78"/>
      <c r="H351" s="2"/>
      <c r="I351" s="2"/>
      <c r="J351" s="2"/>
      <c r="K351" s="2"/>
      <c r="L351" s="2"/>
      <c r="M351" s="2"/>
      <c r="N351" s="2"/>
      <c r="O351" s="2"/>
      <c r="P351" s="2"/>
    </row>
    <row r="352" spans="1:22" customFormat="1" ht="12.75" customHeight="1">
      <c r="A352" s="2" t="s">
        <v>172</v>
      </c>
      <c r="B352" s="62"/>
      <c r="C352" s="2"/>
      <c r="D352" s="305" t="s">
        <v>5</v>
      </c>
      <c r="E352" s="305"/>
      <c r="F352" s="305"/>
      <c r="G352" s="294"/>
      <c r="H352" s="2"/>
      <c r="I352" s="2"/>
      <c r="J352" s="2"/>
      <c r="K352" s="2"/>
      <c r="L352" s="2"/>
      <c r="M352" s="2"/>
      <c r="N352" s="2"/>
      <c r="O352" s="2"/>
      <c r="P352" s="2"/>
    </row>
    <row r="353" spans="1:18" customFormat="1">
      <c r="A353" s="2"/>
      <c r="B353" s="2" t="s">
        <v>153</v>
      </c>
      <c r="C353" s="2"/>
      <c r="D353" s="214">
        <v>0</v>
      </c>
      <c r="E353" s="270"/>
      <c r="F353" s="24">
        <v>3000</v>
      </c>
      <c r="G353" s="24"/>
      <c r="H353" s="2"/>
      <c r="I353" s="2"/>
      <c r="J353" s="2"/>
      <c r="K353" s="2"/>
      <c r="L353" s="2"/>
      <c r="M353" s="2"/>
      <c r="N353" s="2"/>
      <c r="O353" s="2"/>
      <c r="P353" s="2"/>
    </row>
    <row r="354" spans="1:18" customFormat="1">
      <c r="A354" s="2"/>
      <c r="B354" s="2" t="s">
        <v>154</v>
      </c>
      <c r="C354" s="2"/>
      <c r="D354" s="56">
        <v>0</v>
      </c>
      <c r="E354" s="270"/>
      <c r="F354" s="22">
        <v>74024</v>
      </c>
      <c r="G354" s="22"/>
      <c r="H354" s="2"/>
      <c r="I354" s="2"/>
      <c r="J354" s="2"/>
      <c r="K354" s="2"/>
      <c r="L354" s="2"/>
      <c r="M354" s="2"/>
      <c r="N354" s="2"/>
      <c r="O354" s="2"/>
      <c r="P354" s="2"/>
    </row>
    <row r="355" spans="1:18" customFormat="1">
      <c r="A355" s="2"/>
      <c r="B355" s="2" t="s">
        <v>157</v>
      </c>
      <c r="C355" s="2"/>
      <c r="D355" s="56">
        <v>0</v>
      </c>
      <c r="E355" s="270"/>
      <c r="F355" s="22">
        <v>150268</v>
      </c>
      <c r="G355" s="22"/>
      <c r="H355" s="2"/>
      <c r="I355" s="2"/>
      <c r="J355" s="2"/>
      <c r="K355" s="2"/>
      <c r="L355" s="2"/>
      <c r="M355" s="2"/>
      <c r="N355" s="2"/>
      <c r="O355" s="2"/>
      <c r="P355" s="2"/>
    </row>
    <row r="356" spans="1:18">
      <c r="A356" s="4"/>
      <c r="B356" s="4" t="s">
        <v>156</v>
      </c>
      <c r="D356" s="58">
        <f>SUM(D353:D355)</f>
        <v>0</v>
      </c>
      <c r="E356" s="28"/>
      <c r="F356" s="29">
        <f>SUM(F353:F355)</f>
        <v>227292</v>
      </c>
      <c r="G356" s="30"/>
    </row>
    <row r="357" spans="1:18">
      <c r="A357" s="2" t="s">
        <v>171</v>
      </c>
      <c r="D357" s="25"/>
      <c r="E357" s="32"/>
      <c r="F357" s="25"/>
      <c r="G357" s="25"/>
    </row>
    <row r="358" spans="1:18" customFormat="1">
      <c r="A358" s="2"/>
      <c r="B358" s="2" t="s">
        <v>152</v>
      </c>
      <c r="C358" s="2"/>
      <c r="D358" s="214">
        <v>0</v>
      </c>
      <c r="E358" s="28"/>
      <c r="F358" s="24">
        <v>26008</v>
      </c>
      <c r="G358" s="24"/>
      <c r="H358" s="2"/>
      <c r="I358" s="2"/>
      <c r="J358" s="2"/>
      <c r="K358" s="2"/>
      <c r="L358" s="2"/>
      <c r="M358" s="2"/>
      <c r="N358" s="2"/>
      <c r="O358" s="2"/>
      <c r="P358" s="2"/>
    </row>
    <row r="359" spans="1:18">
      <c r="A359" s="4"/>
      <c r="B359" s="4" t="s">
        <v>155</v>
      </c>
      <c r="D359" s="58">
        <f>SUM(D357:D358)</f>
        <v>0</v>
      </c>
      <c r="E359" s="28"/>
      <c r="F359" s="29">
        <f>SUM(F357:F358)</f>
        <v>26008</v>
      </c>
      <c r="G359" s="30"/>
    </row>
    <row r="360" spans="1:18">
      <c r="A360" s="2" t="s">
        <v>207</v>
      </c>
    </row>
    <row r="362" spans="1:18">
      <c r="A362" s="248"/>
      <c r="P362" s="248"/>
    </row>
    <row r="363" spans="1:18" ht="15" hidden="1">
      <c r="A363" s="8" t="s">
        <v>173</v>
      </c>
    </row>
    <row r="364" spans="1:18" ht="13.5" hidden="1" thickBot="1">
      <c r="A364" s="6" t="s">
        <v>196</v>
      </c>
      <c r="B364" s="221"/>
      <c r="C364" s="221"/>
      <c r="D364" s="222"/>
      <c r="E364" s="245"/>
      <c r="F364" s="222"/>
      <c r="G364" s="222"/>
      <c r="H364" s="222"/>
      <c r="I364" s="222"/>
      <c r="J364" s="222"/>
      <c r="K364" s="222"/>
      <c r="L364" s="222"/>
      <c r="M364" s="222"/>
      <c r="Q364" s="25"/>
      <c r="R364" s="25"/>
    </row>
    <row r="365" spans="1:18" hidden="1">
      <c r="A365" s="45"/>
      <c r="B365" s="13"/>
      <c r="D365" s="219" t="s">
        <v>192</v>
      </c>
      <c r="F365" s="219" t="s">
        <v>193</v>
      </c>
      <c r="G365" s="1"/>
      <c r="H365" s="219" t="s">
        <v>194</v>
      </c>
      <c r="I365"/>
      <c r="J365" s="253" t="s">
        <v>195</v>
      </c>
      <c r="K365" s="114"/>
      <c r="L365" s="253">
        <v>2009</v>
      </c>
    </row>
    <row r="366" spans="1:18" hidden="1">
      <c r="A366" s="223"/>
      <c r="B366" s="223"/>
      <c r="C366" s="223"/>
      <c r="D366" s="304" t="s">
        <v>5</v>
      </c>
      <c r="E366" s="304"/>
      <c r="F366" s="304"/>
      <c r="G366" s="304"/>
      <c r="H366" s="304"/>
      <c r="I366" s="304"/>
      <c r="J366" s="304"/>
      <c r="K366" s="304"/>
      <c r="L366" s="304"/>
    </row>
    <row r="367" spans="1:18" hidden="1">
      <c r="A367" s="224" t="s">
        <v>174</v>
      </c>
      <c r="B367" s="224"/>
      <c r="C367" s="225"/>
      <c r="D367" s="227">
        <v>390822</v>
      </c>
      <c r="E367" s="228"/>
      <c r="F367" s="227">
        <v>294270</v>
      </c>
      <c r="G367" s="228"/>
      <c r="H367" s="227">
        <v>361453</v>
      </c>
      <c r="I367" s="226"/>
      <c r="J367" s="227">
        <v>303657</v>
      </c>
      <c r="K367" s="228"/>
      <c r="L367" s="227">
        <f>SUM(D367:J367)</f>
        <v>1350202</v>
      </c>
    </row>
    <row r="368" spans="1:18" hidden="1">
      <c r="A368" s="229"/>
      <c r="B368" s="229" t="s">
        <v>7</v>
      </c>
      <c r="C368" s="225"/>
      <c r="D368" s="232"/>
      <c r="E368" s="246"/>
      <c r="F368" s="232"/>
      <c r="G368" s="232"/>
      <c r="H368" s="232"/>
      <c r="I368" s="230"/>
      <c r="J368" s="232" t="s">
        <v>175</v>
      </c>
      <c r="K368" s="231"/>
      <c r="L368" s="232"/>
      <c r="N368" s="246"/>
    </row>
    <row r="369" spans="1:16" hidden="1">
      <c r="A369" s="229" t="s">
        <v>176</v>
      </c>
      <c r="B369" s="229"/>
      <c r="C369" s="225"/>
      <c r="D369" s="235">
        <v>164908</v>
      </c>
      <c r="E369" s="237"/>
      <c r="F369" s="235">
        <v>121461</v>
      </c>
      <c r="G369" s="235"/>
      <c r="H369" s="235">
        <v>175882</v>
      </c>
      <c r="I369" s="233"/>
      <c r="J369" s="235">
        <f>143529+200</f>
        <v>143729</v>
      </c>
      <c r="K369" s="234"/>
      <c r="L369" s="235">
        <f>SUM(D369:J369)</f>
        <v>605980</v>
      </c>
      <c r="N369" s="237"/>
    </row>
    <row r="370" spans="1:16" hidden="1">
      <c r="A370" s="229" t="s">
        <v>177</v>
      </c>
      <c r="B370" s="229"/>
      <c r="C370" s="225"/>
      <c r="D370" s="235">
        <v>6040</v>
      </c>
      <c r="E370" s="247"/>
      <c r="F370" s="235">
        <v>6949</v>
      </c>
      <c r="G370" s="235"/>
      <c r="H370" s="235">
        <v>4643</v>
      </c>
      <c r="I370" s="236"/>
      <c r="J370" s="235">
        <v>5174</v>
      </c>
      <c r="K370" s="234"/>
      <c r="L370" s="235">
        <f>SUM(D370:J370)</f>
        <v>22806</v>
      </c>
      <c r="N370" s="237"/>
    </row>
    <row r="371" spans="1:16" hidden="1">
      <c r="A371" s="225" t="s">
        <v>178</v>
      </c>
      <c r="B371" s="225"/>
      <c r="C371" s="225"/>
      <c r="D371" s="237">
        <v>13537</v>
      </c>
      <c r="E371" s="237"/>
      <c r="F371" s="237">
        <v>11713</v>
      </c>
      <c r="G371" s="237"/>
      <c r="H371" s="237">
        <v>10777</v>
      </c>
      <c r="I371" s="233"/>
      <c r="J371" s="237">
        <v>13243</v>
      </c>
      <c r="K371" s="233"/>
      <c r="L371" s="237">
        <f>SUM(D371:J371)</f>
        <v>49270</v>
      </c>
      <c r="N371" s="237"/>
    </row>
    <row r="372" spans="1:16" hidden="1">
      <c r="A372" s="229" t="s">
        <v>179</v>
      </c>
      <c r="B372" s="229"/>
      <c r="C372" s="225"/>
      <c r="D372" s="235">
        <v>51150</v>
      </c>
      <c r="E372" s="247"/>
      <c r="F372" s="235">
        <v>72992</v>
      </c>
      <c r="G372" s="235"/>
      <c r="H372" s="235">
        <v>65067</v>
      </c>
      <c r="I372" s="236"/>
      <c r="J372" s="235">
        <v>96060</v>
      </c>
      <c r="K372" s="234"/>
      <c r="L372" s="235">
        <f>SUM(D372:J372)</f>
        <v>285269</v>
      </c>
      <c r="N372" s="237"/>
    </row>
    <row r="373" spans="1:16" hidden="1">
      <c r="A373" s="229" t="s">
        <v>180</v>
      </c>
      <c r="B373" s="229"/>
      <c r="C373" s="225"/>
      <c r="D373" s="235">
        <v>50585</v>
      </c>
      <c r="E373" s="247"/>
      <c r="F373" s="235">
        <f>48138+83</f>
        <v>48221</v>
      </c>
      <c r="G373" s="235"/>
      <c r="H373" s="235">
        <v>52406</v>
      </c>
      <c r="I373" s="236"/>
      <c r="J373" s="235">
        <v>2403</v>
      </c>
      <c r="K373" s="234"/>
      <c r="L373" s="235">
        <f>SUM(D373:J373)</f>
        <v>153615</v>
      </c>
      <c r="N373" s="237"/>
    </row>
    <row r="374" spans="1:16" hidden="1">
      <c r="A374" s="239"/>
      <c r="B374" s="239" t="s">
        <v>144</v>
      </c>
      <c r="C374" s="225"/>
      <c r="D374" s="240">
        <f>SUM(D369:D373)</f>
        <v>286220</v>
      </c>
      <c r="E374" s="237"/>
      <c r="F374" s="240">
        <f>SUM(F369:F373)</f>
        <v>261336</v>
      </c>
      <c r="G374" s="237"/>
      <c r="H374" s="240">
        <f>SUM(H369:H373)</f>
        <v>308775</v>
      </c>
      <c r="I374" s="233"/>
      <c r="J374" s="240">
        <f>SUM(J368:J373)</f>
        <v>260609</v>
      </c>
      <c r="K374" s="233"/>
      <c r="L374" s="240">
        <f>SUM(L368:L373)</f>
        <v>1116940</v>
      </c>
      <c r="N374" s="237"/>
    </row>
    <row r="375" spans="1:16" hidden="1">
      <c r="B375" s="225" t="s">
        <v>181</v>
      </c>
      <c r="C375" s="225"/>
      <c r="D375" s="237">
        <f>+D367-D374</f>
        <v>104602</v>
      </c>
      <c r="E375" s="237"/>
      <c r="F375" s="237">
        <f>+F367-F374</f>
        <v>32934</v>
      </c>
      <c r="G375" s="237"/>
      <c r="H375" s="237">
        <f>+H367-H374</f>
        <v>52678</v>
      </c>
      <c r="I375" s="233">
        <f>+I367-I374</f>
        <v>0</v>
      </c>
      <c r="J375" s="237">
        <f>+J367-J374</f>
        <v>43048</v>
      </c>
      <c r="K375" s="237"/>
      <c r="L375" s="237">
        <f>+L367-L374</f>
        <v>233262</v>
      </c>
      <c r="N375" s="237"/>
    </row>
    <row r="376" spans="1:16" hidden="1">
      <c r="A376" s="225" t="s">
        <v>182</v>
      </c>
      <c r="B376" s="225"/>
      <c r="C376" s="225"/>
      <c r="D376" s="237">
        <v>-376</v>
      </c>
      <c r="E376" s="237"/>
      <c r="F376" s="237">
        <v>-33</v>
      </c>
      <c r="G376" s="237"/>
      <c r="H376" s="237">
        <v>1626</v>
      </c>
      <c r="I376" s="233"/>
      <c r="J376" s="237">
        <v>684</v>
      </c>
      <c r="K376" s="237"/>
      <c r="L376" s="237">
        <f>SUM(D376:J376)</f>
        <v>1901</v>
      </c>
      <c r="N376" s="237"/>
    </row>
    <row r="377" spans="1:16" hidden="1">
      <c r="A377" s="229" t="s">
        <v>183</v>
      </c>
      <c r="B377" s="229"/>
      <c r="C377" s="225"/>
      <c r="D377" s="237">
        <v>-11019</v>
      </c>
      <c r="E377" s="237"/>
      <c r="F377" s="237">
        <v>-9748</v>
      </c>
      <c r="G377" s="237"/>
      <c r="H377" s="237">
        <v>-10866</v>
      </c>
      <c r="I377" s="233"/>
      <c r="J377" s="237">
        <f>-14515+916</f>
        <v>-13599</v>
      </c>
      <c r="K377" s="237"/>
      <c r="L377" s="237">
        <f>SUM(D377:J377)</f>
        <v>-45232</v>
      </c>
      <c r="N377" s="237"/>
    </row>
    <row r="378" spans="1:16" hidden="1">
      <c r="A378" s="225" t="s">
        <v>184</v>
      </c>
      <c r="B378" s="229"/>
      <c r="C378" s="225"/>
      <c r="D378" s="237">
        <v>1058</v>
      </c>
      <c r="E378" s="237"/>
      <c r="F378" s="237">
        <v>6320</v>
      </c>
      <c r="G378" s="237"/>
      <c r="H378" s="237">
        <v>14897</v>
      </c>
      <c r="I378" s="233"/>
      <c r="J378" s="237">
        <v>2214</v>
      </c>
      <c r="K378" s="237"/>
      <c r="L378" s="237">
        <f>SUM(D378:J378)</f>
        <v>24489</v>
      </c>
      <c r="N378" s="237"/>
    </row>
    <row r="379" spans="1:16" hidden="1">
      <c r="A379" s="225" t="s">
        <v>185</v>
      </c>
      <c r="B379" s="229"/>
      <c r="C379" s="225"/>
      <c r="D379" s="237">
        <v>-1895</v>
      </c>
      <c r="E379" s="237"/>
      <c r="F379" s="237">
        <v>-1860</v>
      </c>
      <c r="G379" s="237"/>
      <c r="H379" s="237">
        <v>-3363</v>
      </c>
      <c r="I379" s="233"/>
      <c r="J379" s="237">
        <v>-3999</v>
      </c>
      <c r="K379" s="237"/>
      <c r="L379" s="237">
        <f>SUM(D379:J379)</f>
        <v>-11117</v>
      </c>
      <c r="N379" s="237"/>
    </row>
    <row r="380" spans="1:16" hidden="1">
      <c r="A380" s="224" t="s">
        <v>186</v>
      </c>
      <c r="B380" s="224"/>
      <c r="C380" s="225"/>
      <c r="D380" s="238">
        <v>-2717</v>
      </c>
      <c r="E380" s="237"/>
      <c r="F380" s="238">
        <v>12561</v>
      </c>
      <c r="G380" s="237"/>
      <c r="H380" s="238">
        <v>13450</v>
      </c>
      <c r="I380" s="233"/>
      <c r="J380" s="238">
        <v>1512</v>
      </c>
      <c r="K380" s="237"/>
      <c r="L380" s="238">
        <f>SUM(D380:J380)</f>
        <v>24806</v>
      </c>
      <c r="N380" s="237"/>
    </row>
    <row r="381" spans="1:16" hidden="1">
      <c r="A381" s="229" t="s">
        <v>7</v>
      </c>
      <c r="B381" s="229" t="s">
        <v>187</v>
      </c>
      <c r="C381" s="225"/>
      <c r="D381" s="235">
        <f>SUM(D375:D380)</f>
        <v>89653</v>
      </c>
      <c r="E381" s="237"/>
      <c r="F381" s="235">
        <f>SUM(F375:F380)</f>
        <v>40174</v>
      </c>
      <c r="G381" s="235"/>
      <c r="H381" s="235">
        <f>SUM(H375:H380)</f>
        <v>68422</v>
      </c>
      <c r="I381" s="233"/>
      <c r="J381" s="235">
        <f>SUM(J375:J380)</f>
        <v>29860</v>
      </c>
      <c r="K381" s="234"/>
      <c r="L381" s="235">
        <f>SUM(L375:L380)</f>
        <v>228109</v>
      </c>
      <c r="N381" s="237"/>
    </row>
    <row r="382" spans="1:16" hidden="1">
      <c r="A382" s="224" t="s">
        <v>263</v>
      </c>
      <c r="B382" s="224"/>
      <c r="C382" s="225"/>
      <c r="D382" s="238">
        <f>25002+3046</f>
        <v>28048</v>
      </c>
      <c r="E382" s="237"/>
      <c r="F382" s="238">
        <f>3233+760</f>
        <v>3993</v>
      </c>
      <c r="G382" s="237"/>
      <c r="H382" s="238">
        <f>24380-8080</f>
        <v>16300</v>
      </c>
      <c r="I382" s="233"/>
      <c r="J382" s="238">
        <f>5155-1554</f>
        <v>3601</v>
      </c>
      <c r="K382" s="237"/>
      <c r="L382" s="238">
        <f>SUM(D382:J382)</f>
        <v>51942</v>
      </c>
      <c r="N382" s="237"/>
      <c r="P382" s="39"/>
    </row>
    <row r="383" spans="1:16" hidden="1">
      <c r="B383" s="229" t="s">
        <v>188</v>
      </c>
      <c r="C383" s="225"/>
      <c r="D383" s="43">
        <f>+D381-D382</f>
        <v>61605</v>
      </c>
      <c r="E383" s="43"/>
      <c r="F383" s="43">
        <f>+F381-F382</f>
        <v>36181</v>
      </c>
      <c r="G383" s="43"/>
      <c r="H383" s="43">
        <f>+H381-H382</f>
        <v>52122</v>
      </c>
      <c r="I383" s="39"/>
      <c r="J383" s="43">
        <f>J381-J382</f>
        <v>26259</v>
      </c>
      <c r="K383" s="43"/>
      <c r="L383" s="43">
        <f>L381-L382</f>
        <v>176167</v>
      </c>
      <c r="N383" s="51"/>
    </row>
    <row r="384" spans="1:16" hidden="1">
      <c r="A384" s="224" t="s">
        <v>189</v>
      </c>
      <c r="B384" s="224"/>
      <c r="C384" s="225"/>
      <c r="D384" s="238">
        <f>-10487+3046</f>
        <v>-7441</v>
      </c>
      <c r="E384" s="237"/>
      <c r="F384" s="238">
        <f>3099+1000+760</f>
        <v>4859</v>
      </c>
      <c r="G384" s="237"/>
      <c r="H384" s="238">
        <f>4123-418-8080</f>
        <v>-4375</v>
      </c>
      <c r="I384" s="233"/>
      <c r="J384" s="238">
        <f>263-1554</f>
        <v>-1291</v>
      </c>
      <c r="K384" s="237"/>
      <c r="L384" s="238">
        <f>SUM(D384:J384)</f>
        <v>-8248</v>
      </c>
      <c r="N384" s="237"/>
    </row>
    <row r="385" spans="1:18" ht="13.5" hidden="1" thickBot="1">
      <c r="A385" s="241"/>
      <c r="B385" s="241" t="s">
        <v>190</v>
      </c>
      <c r="C385" s="241"/>
      <c r="D385" s="243">
        <f>SUM(D383:D384)</f>
        <v>54164</v>
      </c>
      <c r="E385" s="243"/>
      <c r="F385" s="243">
        <f>SUM(F383:F384)</f>
        <v>41040</v>
      </c>
      <c r="G385" s="243"/>
      <c r="H385" s="243">
        <f>SUM(H383:H384)</f>
        <v>47747</v>
      </c>
      <c r="I385" s="242"/>
      <c r="J385" s="243">
        <f>SUM(J383:J384)</f>
        <v>24968</v>
      </c>
      <c r="K385" s="243"/>
      <c r="L385" s="243">
        <f>SUM(L383:L384)</f>
        <v>167919</v>
      </c>
      <c r="N385" s="165"/>
    </row>
    <row r="386" spans="1:18" hidden="1">
      <c r="A386" s="163"/>
      <c r="B386" s="163"/>
      <c r="C386" s="163"/>
      <c r="D386" s="165"/>
      <c r="E386" s="165"/>
      <c r="F386" s="165"/>
      <c r="G386" s="165"/>
      <c r="H386" s="165"/>
      <c r="I386" s="166"/>
      <c r="J386" s="165"/>
      <c r="K386" s="165"/>
      <c r="L386" s="165"/>
      <c r="N386" s="165"/>
    </row>
    <row r="387" spans="1:18" hidden="1">
      <c r="A387" s="224" t="s">
        <v>191</v>
      </c>
      <c r="B387" s="224"/>
      <c r="C387" s="225"/>
      <c r="D387" s="244">
        <v>0</v>
      </c>
      <c r="E387" s="246"/>
      <c r="F387" s="244">
        <v>-2</v>
      </c>
      <c r="G387" s="246"/>
      <c r="H387" s="244">
        <v>-1</v>
      </c>
      <c r="I387" s="230"/>
      <c r="J387" s="244">
        <v>2097</v>
      </c>
      <c r="K387" s="230"/>
      <c r="L387" s="244">
        <f>SUM(D387:J387)</f>
        <v>2094</v>
      </c>
      <c r="N387" s="246"/>
    </row>
    <row r="388" spans="1:18" ht="13.5" hidden="1" thickBot="1">
      <c r="A388" s="241"/>
      <c r="B388" s="241" t="s">
        <v>123</v>
      </c>
      <c r="C388" s="241"/>
      <c r="D388" s="243">
        <f>+D385-D387</f>
        <v>54164</v>
      </c>
      <c r="E388" s="243"/>
      <c r="F388" s="243">
        <f>+F385-F387</f>
        <v>41042</v>
      </c>
      <c r="G388" s="243"/>
      <c r="H388" s="243">
        <f>+H385-H387</f>
        <v>47748</v>
      </c>
      <c r="I388" s="242"/>
      <c r="J388" s="243">
        <f>+J385-J387</f>
        <v>22871</v>
      </c>
      <c r="K388" s="243"/>
      <c r="L388" s="243">
        <f>+L385-L387</f>
        <v>165825</v>
      </c>
      <c r="N388" s="165"/>
    </row>
    <row r="389" spans="1:18" hidden="1">
      <c r="A389" s="248"/>
      <c r="R389" s="32"/>
    </row>
    <row r="390" spans="1:18" hidden="1">
      <c r="R390" s="32"/>
    </row>
  </sheetData>
  <mergeCells count="89">
    <mergeCell ref="D296:F296"/>
    <mergeCell ref="D284:F284"/>
    <mergeCell ref="H296:J296"/>
    <mergeCell ref="D60:J60"/>
    <mergeCell ref="D44:J44"/>
    <mergeCell ref="D147:J147"/>
    <mergeCell ref="D135:J135"/>
    <mergeCell ref="D123:J123"/>
    <mergeCell ref="D103:J103"/>
    <mergeCell ref="D92:J92"/>
    <mergeCell ref="H121:J121"/>
    <mergeCell ref="H132:J132"/>
    <mergeCell ref="H133:J133"/>
    <mergeCell ref="H144:J144"/>
    <mergeCell ref="H145:J145"/>
    <mergeCell ref="D132:F132"/>
    <mergeCell ref="D366:L366"/>
    <mergeCell ref="H297:J297"/>
    <mergeCell ref="H324:J324"/>
    <mergeCell ref="H325:J325"/>
    <mergeCell ref="H338:J338"/>
    <mergeCell ref="H339:J339"/>
    <mergeCell ref="D339:F339"/>
    <mergeCell ref="D350:F350"/>
    <mergeCell ref="D324:F324"/>
    <mergeCell ref="D352:F352"/>
    <mergeCell ref="D341:J341"/>
    <mergeCell ref="D327:J327"/>
    <mergeCell ref="D338:F338"/>
    <mergeCell ref="D325:F325"/>
    <mergeCell ref="D297:F297"/>
    <mergeCell ref="D299:J299"/>
    <mergeCell ref="H42:J42"/>
    <mergeCell ref="H57:J57"/>
    <mergeCell ref="H58:J58"/>
    <mergeCell ref="D159:F159"/>
    <mergeCell ref="H206:J206"/>
    <mergeCell ref="D161:J161"/>
    <mergeCell ref="D174:F174"/>
    <mergeCell ref="D133:F133"/>
    <mergeCell ref="H89:J89"/>
    <mergeCell ref="H90:J90"/>
    <mergeCell ref="D158:F158"/>
    <mergeCell ref="D145:F145"/>
    <mergeCell ref="H189:J189"/>
    <mergeCell ref="D191:J191"/>
    <mergeCell ref="D282:F282"/>
    <mergeCell ref="D206:F206"/>
    <mergeCell ref="D189:F189"/>
    <mergeCell ref="D217:F217"/>
    <mergeCell ref="D188:F188"/>
    <mergeCell ref="D220:J220"/>
    <mergeCell ref="H207:J207"/>
    <mergeCell ref="H217:J217"/>
    <mergeCell ref="H218:J218"/>
    <mergeCell ref="D218:F218"/>
    <mergeCell ref="D209:J209"/>
    <mergeCell ref="A1:Q1"/>
    <mergeCell ref="A2:Q2"/>
    <mergeCell ref="D101:F101"/>
    <mergeCell ref="D121:F121"/>
    <mergeCell ref="D120:F120"/>
    <mergeCell ref="D100:F100"/>
    <mergeCell ref="D41:F41"/>
    <mergeCell ref="D42:F42"/>
    <mergeCell ref="D57:F57"/>
    <mergeCell ref="D58:F58"/>
    <mergeCell ref="D89:F89"/>
    <mergeCell ref="D90:F90"/>
    <mergeCell ref="H100:J100"/>
    <mergeCell ref="H101:J101"/>
    <mergeCell ref="H120:J120"/>
    <mergeCell ref="H41:J41"/>
    <mergeCell ref="P209:Q209"/>
    <mergeCell ref="P207:Q207"/>
    <mergeCell ref="D207:F207"/>
    <mergeCell ref="P159:Q159"/>
    <mergeCell ref="P135:Q135"/>
    <mergeCell ref="P206:Q206"/>
    <mergeCell ref="D172:F172"/>
    <mergeCell ref="P147:Q147"/>
    <mergeCell ref="P158:Q158"/>
    <mergeCell ref="P144:Q144"/>
    <mergeCell ref="P145:Q145"/>
    <mergeCell ref="P161:Q161"/>
    <mergeCell ref="D144:F144"/>
    <mergeCell ref="H158:J158"/>
    <mergeCell ref="H159:J159"/>
    <mergeCell ref="H188:J188"/>
  </mergeCells>
  <phoneticPr fontId="0" type="noConversion"/>
  <conditionalFormatting sqref="P276">
    <cfRule type="cellIs" dxfId="0" priority="1" operator="between">
      <formula>-0.5</formula>
      <formula>0.5</formula>
    </cfRule>
  </conditionalFormatting>
  <printOptions horizontalCentered="1"/>
  <pageMargins left="0.47244094488188998" right="0.23622047244094499" top="0.511811023622047" bottom="0.36" header="0.31496062992126" footer="0.22"/>
  <pageSetup paperSize="9" scale="59" fitToHeight="4" orientation="portrait" verticalDpi="300" r:id="rId1"/>
  <headerFooter alignWithMargins="0">
    <oddFooter>&amp;RPage &amp;P</oddFooter>
  </headerFooter>
  <rowBreaks count="4" manualBreakCount="4">
    <brk id="86" max="16" man="1"/>
    <brk id="169" max="16" man="1"/>
    <brk id="231" max="16" man="1"/>
    <brk id="321" max="1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8498ADD6C1C4AA4C9DBB159D985F4" ma:contentTypeVersion="0" ma:contentTypeDescription="Create a new document." ma:contentTypeScope="" ma:versionID="05367b2f4f91cd1580806833260b205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4D57E2E-6C37-4002-BB4F-A645D994FDC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3ECD3C2-4EA5-431E-AA30-A272E6E16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2071EE-2DB3-4F6D-B67C-BBE771D6E7E2}">
  <ds:schemaRefs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B2F3ADB5-03AE-4920-8C15-96862CB556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Q4_2010_Notes</dc:title>
  <dc:creator>Christin Steen-Nilsen</dc:creator>
  <cp:lastModifiedBy>bard.stenberg</cp:lastModifiedBy>
  <cp:lastPrinted>2010-10-19T07:36:08Z</cp:lastPrinted>
  <dcterms:created xsi:type="dcterms:W3CDTF">2003-02-12T19:44:27Z</dcterms:created>
  <dcterms:modified xsi:type="dcterms:W3CDTF">2011-02-16T13:17:21Z</dcterms:modified>
  <cp:contentType>Earnings Release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ne">
    <vt:lpwstr>1</vt:lpwstr>
  </property>
  <property fmtid="{D5CDD505-2E9C-101B-9397-08002B2CF9AE}" pid="3" name="ContentType">
    <vt:lpwstr>Document</vt:lpwstr>
  </property>
  <property fmtid="{D5CDD505-2E9C-101B-9397-08002B2CF9AE}" pid="4" name="Copy document to Quarterly Reporting Q4 2009">
    <vt:lpwstr>1</vt:lpwstr>
  </property>
  <property fmtid="{D5CDD505-2E9C-101B-9397-08002B2CF9AE}" pid="5" name="ContentTypeId">
    <vt:lpwstr>0x0101004048498ADD6C1C4AA4C9DBB159D985F4</vt:lpwstr>
  </property>
  <property fmtid="{D5CDD505-2E9C-101B-9397-08002B2CF9AE}" pid="6" name="Approved by">
    <vt:lpwstr>Hilde Fauske453</vt:lpwstr>
  </property>
  <property fmtid="{D5CDD505-2E9C-101B-9397-08002B2CF9AE}" pid="7" name="Status">
    <vt:lpwstr>Completed September 2010</vt:lpwstr>
  </property>
  <property fmtid="{D5CDD505-2E9C-101B-9397-08002B2CF9AE}" pid="8" name="Send a copy to Q1 2010">
    <vt:lpwstr>false</vt:lpwstr>
  </property>
  <property fmtid="{D5CDD505-2E9C-101B-9397-08002B2CF9AE}" pid="9" name="Send a copy to Q2 2010">
    <vt:lpwstr>false</vt:lpwstr>
  </property>
  <property fmtid="{D5CDD505-2E9C-101B-9397-08002B2CF9AE}" pid="10" name="Key Control">
    <vt:lpwstr>(none)</vt:lpwstr>
  </property>
  <property fmtid="{D5CDD505-2E9C-101B-9397-08002B2CF9AE}" pid="11" name="ManGroupCodePeopleSoft">
    <vt:lpwstr>532</vt:lpwstr>
  </property>
  <property fmtid="{D5CDD505-2E9C-101B-9397-08002B2CF9AE}" pid="12" name="Supporting document">
    <vt:lpwstr>No</vt:lpwstr>
  </property>
  <property fmtid="{D5CDD505-2E9C-101B-9397-08002B2CF9AE}" pid="13" name="Quarter">
    <vt:lpwstr>2010 Q4</vt:lpwstr>
  </property>
</Properties>
</file>