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\Documents\A.2021 DT021A,4 semester 1\final year project\"/>
    </mc:Choice>
  </mc:AlternateContent>
  <xr:revisionPtr revIDLastSave="0" documentId="13_ncr:1_{6F5C4CCF-2800-4DA3-B670-83A4C0530F21}" xr6:coauthVersionLast="47" xr6:coauthVersionMax="47" xr10:uidLastSave="{00000000-0000-0000-0000-000000000000}"/>
  <bookViews>
    <workbookView xWindow="-110" yWindow="-110" windowWidth="19420" windowHeight="10420" activeTab="1" xr2:uid="{84E9E708-6B2F-4E4E-886A-80C3BBDF123C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20" i="1" s="1"/>
  <c r="D19" i="1"/>
  <c r="B14" i="1"/>
  <c r="D14" i="1"/>
  <c r="F33" i="1"/>
  <c r="C45" i="1"/>
  <c r="C44" i="1"/>
  <c r="C41" i="1"/>
  <c r="E48" i="1" s="1"/>
  <c r="B34" i="1"/>
  <c r="B33" i="1"/>
  <c r="A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3" i="4"/>
  <c r="E9" i="1"/>
  <c r="F4" i="1"/>
  <c r="E37" i="1" l="1"/>
  <c r="C4" i="4"/>
  <c r="C6" i="4"/>
  <c r="B19" i="1"/>
  <c r="C5" i="4" s="1"/>
  <c r="E26" i="1" l="1"/>
  <c r="E27" i="1"/>
  <c r="D20" i="1"/>
  <c r="B21" i="1"/>
  <c r="D24" i="4" l="1"/>
  <c r="E24" i="4" s="1"/>
  <c r="F24" i="4" s="1"/>
  <c r="D13" i="4"/>
  <c r="E13" i="4" s="1"/>
  <c r="F13" i="4" s="1"/>
  <c r="D21" i="4"/>
  <c r="E21" i="4" s="1"/>
  <c r="F21" i="4" s="1"/>
  <c r="D14" i="4"/>
  <c r="E14" i="4" s="1"/>
  <c r="F14" i="4" s="1"/>
  <c r="D22" i="4"/>
  <c r="E22" i="4" s="1"/>
  <c r="F22" i="4" s="1"/>
  <c r="D15" i="4"/>
  <c r="E15" i="4" s="1"/>
  <c r="F15" i="4" s="1"/>
  <c r="D23" i="4"/>
  <c r="E23" i="4" s="1"/>
  <c r="F23" i="4" s="1"/>
  <c r="D16" i="4"/>
  <c r="E16" i="4" s="1"/>
  <c r="F16" i="4" s="1"/>
  <c r="D17" i="4"/>
  <c r="E17" i="4" s="1"/>
  <c r="F17" i="4" s="1"/>
  <c r="D25" i="4"/>
  <c r="E25" i="4" s="1"/>
  <c r="F25" i="4" s="1"/>
  <c r="D18" i="4"/>
  <c r="E18" i="4" s="1"/>
  <c r="F18" i="4" s="1"/>
  <c r="D26" i="4"/>
  <c r="E26" i="4" s="1"/>
  <c r="F26" i="4" s="1"/>
  <c r="D10" i="4"/>
  <c r="E10" i="4" s="1"/>
  <c r="F10" i="4" s="1"/>
  <c r="D11" i="4"/>
  <c r="E11" i="4" s="1"/>
  <c r="F11" i="4" s="1"/>
  <c r="D19" i="4"/>
  <c r="E19" i="4" s="1"/>
  <c r="F19" i="4" s="1"/>
  <c r="D27" i="4"/>
  <c r="E27" i="4" s="1"/>
  <c r="F27" i="4" s="1"/>
  <c r="D12" i="4"/>
  <c r="E12" i="4" s="1"/>
  <c r="F12" i="4" s="1"/>
  <c r="D20" i="4"/>
  <c r="E20" i="4" s="1"/>
  <c r="F20" i="4" s="1"/>
  <c r="D28" i="4"/>
  <c r="E28" i="4" s="1"/>
  <c r="F28" i="4" s="1"/>
  <c r="D21" i="1"/>
  <c r="H11" i="4" l="1"/>
  <c r="I11" i="4" s="1"/>
  <c r="G11" i="4"/>
  <c r="H10" i="4"/>
  <c r="I10" i="4" s="1"/>
  <c r="G10" i="4"/>
  <c r="H26" i="4"/>
  <c r="I26" i="4" s="1"/>
  <c r="G26" i="4"/>
  <c r="H22" i="4"/>
  <c r="I22" i="4" s="1"/>
  <c r="G22" i="4"/>
  <c r="H18" i="4"/>
  <c r="I18" i="4" s="1"/>
  <c r="G18" i="4"/>
  <c r="G14" i="4"/>
  <c r="H14" i="4"/>
  <c r="I14" i="4" s="1"/>
  <c r="H20" i="4"/>
  <c r="I20" i="4" s="1"/>
  <c r="G20" i="4"/>
  <c r="H25" i="4"/>
  <c r="I25" i="4" s="1"/>
  <c r="G25" i="4"/>
  <c r="H17" i="4"/>
  <c r="I17" i="4" s="1"/>
  <c r="G17" i="4"/>
  <c r="H23" i="4"/>
  <c r="I23" i="4" s="1"/>
  <c r="G23" i="4"/>
  <c r="G19" i="4"/>
  <c r="H19" i="4"/>
  <c r="I19" i="4" s="1"/>
  <c r="G16" i="4"/>
  <c r="H16" i="4"/>
  <c r="I16" i="4" s="1"/>
  <c r="G28" i="4"/>
  <c r="H28" i="4"/>
  <c r="I28" i="4" s="1"/>
  <c r="H15" i="4"/>
  <c r="I15" i="4" s="1"/>
  <c r="G15" i="4"/>
  <c r="H21" i="4"/>
  <c r="I21" i="4" s="1"/>
  <c r="G21" i="4"/>
  <c r="G13" i="4"/>
  <c r="H13" i="4"/>
  <c r="I13" i="4" s="1"/>
  <c r="H24" i="4"/>
  <c r="I24" i="4" s="1"/>
  <c r="G24" i="4"/>
  <c r="G12" i="4"/>
  <c r="H12" i="4"/>
  <c r="I12" i="4" s="1"/>
  <c r="H27" i="4"/>
  <c r="I27" i="4" s="1"/>
  <c r="G27" i="4"/>
</calcChain>
</file>

<file path=xl/sharedStrings.xml><?xml version="1.0" encoding="utf-8"?>
<sst xmlns="http://schemas.openxmlformats.org/spreadsheetml/2006/main" count="87" uniqueCount="62">
  <si>
    <t>fmid</t>
  </si>
  <si>
    <t>hz</t>
  </si>
  <si>
    <t>Q</t>
  </si>
  <si>
    <t>Ho</t>
  </si>
  <si>
    <t>dB</t>
  </si>
  <si>
    <t>,resonance gain magnitude</t>
  </si>
  <si>
    <t>F</t>
  </si>
  <si>
    <t>nF</t>
  </si>
  <si>
    <t>&gt;&gt;</t>
  </si>
  <si>
    <t>R2 is</t>
  </si>
  <si>
    <t>ohms&gt;&gt;</t>
  </si>
  <si>
    <t>k ohms</t>
  </si>
  <si>
    <t>R1a is</t>
  </si>
  <si>
    <t>rad/s</t>
  </si>
  <si>
    <t xml:space="preserve">Is </t>
  </si>
  <si>
    <t>&lt;</t>
  </si>
  <si>
    <t xml:space="preserve">Ho is </t>
  </si>
  <si>
    <t>V/V</t>
  </si>
  <si>
    <t>ωo is</t>
  </si>
  <si>
    <t>^Ho val^</t>
  </si>
  <si>
    <t>^2Q val^</t>
  </si>
  <si>
    <t xml:space="preserve">Choose </t>
  </si>
  <si>
    <t>ohms</t>
  </si>
  <si>
    <t>R1</t>
  </si>
  <si>
    <t>R2</t>
  </si>
  <si>
    <t>Range of R1b:</t>
  </si>
  <si>
    <t xml:space="preserve">For </t>
  </si>
  <si>
    <t>Hz</t>
  </si>
  <si>
    <t>R1b value</t>
  </si>
  <si>
    <t>Fmid:</t>
  </si>
  <si>
    <t>Freq (Hz)</t>
  </si>
  <si>
    <t xml:space="preserve">Increment </t>
  </si>
  <si>
    <t>R2:</t>
  </si>
  <si>
    <t>R1a:</t>
  </si>
  <si>
    <t>C:</t>
  </si>
  <si>
    <t>Req of R1a &amp; R1b (ohms)</t>
  </si>
  <si>
    <t>BW (Hz)</t>
  </si>
  <si>
    <t>fmid-&gt;</t>
  </si>
  <si>
    <t xml:space="preserve">HoBP </t>
  </si>
  <si>
    <t>|HoBP|</t>
  </si>
  <si>
    <t>R1b (ohms)</t>
  </si>
  <si>
    <t xml:space="preserve">R1b is </t>
  </si>
  <si>
    <t>R1b variable:</t>
  </si>
  <si>
    <t>C1</t>
  </si>
  <si>
    <t>C2</t>
  </si>
  <si>
    <t xml:space="preserve">Enter values for blue boxes </t>
  </si>
  <si>
    <t>Source book: by S-Franco "Design-With-Operational-Amplifiers-and-Analog-Integrated-Circuits" pf 141</t>
  </si>
  <si>
    <t>, to verify get the -3dB freq values, use Q = fm/ BW</t>
  </si>
  <si>
    <t>in rad/s &gt;&gt;</t>
  </si>
  <si>
    <t>ohms &gt;&gt;</t>
  </si>
  <si>
    <t>To calculate fmid, using Resistor values, and setting C1= C2 = 100nF</t>
  </si>
  <si>
    <t xml:space="preserve">To calculate fmid using exact component values of all resistors and capictors </t>
  </si>
  <si>
    <t>Set R3 to:</t>
  </si>
  <si>
    <t>Hz (fmid)</t>
  </si>
  <si>
    <t xml:space="preserve">set C = </t>
  </si>
  <si>
    <t xml:space="preserve">Resistor calculated values </t>
  </si>
  <si>
    <t xml:space="preserve"> If we want Ho &lt; 2Q^2, use R1a and R1b. Don’t use the equilivant resistance of R1a &amp; R1b</t>
  </si>
  <si>
    <t>These values appear from sheet1</t>
  </si>
  <si>
    <t>Pick C ==</t>
  </si>
  <si>
    <t>See below what happens if equilivant resistance "Req" is used, the magnitude increases in x^2 manner as we sweep the frequency range</t>
  </si>
  <si>
    <t>Expected fmid calcuations</t>
  </si>
  <si>
    <t xml:space="preserve">Calculating values for Q and bandwidth within the expected frequency range of operation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</si>
</sst>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0" xfId="0" applyFill="1" applyBorder="1"/>
    <xf numFmtId="0" fontId="0" fillId="0" borderId="0" xfId="0" applyAlignment="1"/>
    <xf numFmtId="0" fontId="0" fillId="0" borderId="14" xfId="0" applyBorder="1"/>
    <xf numFmtId="2" fontId="0" fillId="0" borderId="7" xfId="0" applyNumberFormat="1" applyBorder="1"/>
    <xf numFmtId="0" fontId="0" fillId="0" borderId="1" xfId="0" applyBorder="1"/>
    <xf numFmtId="0" fontId="0" fillId="0" borderId="2" xfId="0" applyBorder="1"/>
    <xf numFmtId="2" fontId="0" fillId="0" borderId="0" xfId="0" applyNumberFormat="1" applyBorder="1"/>
    <xf numFmtId="0" fontId="0" fillId="0" borderId="2" xfId="0" applyBorder="1" applyAlignment="1">
      <alignment horizontal="center"/>
    </xf>
    <xf numFmtId="2" fontId="0" fillId="0" borderId="2" xfId="0" applyNumberFormat="1" applyBorder="1"/>
    <xf numFmtId="0" fontId="0" fillId="2" borderId="0" xfId="0" applyFill="1" applyAlignment="1">
      <alignment horizontal="left"/>
    </xf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9" xfId="0" applyBorder="1" applyAlignment="1"/>
    <xf numFmtId="0" fontId="0" fillId="0" borderId="14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Q</a:t>
            </a:r>
            <a:r>
              <a:rPr lang="en-IE" baseline="0"/>
              <a:t> &amp; BW v R1b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Sheet4!$F$9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Sheet4!$D$10:$D$28</c:f>
              <c:numCache>
                <c:formatCode>0.00</c:formatCode>
                <c:ptCount val="19"/>
                <c:pt idx="0">
                  <c:v>2188.531727967933</c:v>
                </c:pt>
                <c:pt idx="1">
                  <c:v>972.68076798574816</c:v>
                </c:pt>
                <c:pt idx="2">
                  <c:v>547.13293199198324</c:v>
                </c:pt>
                <c:pt idx="3">
                  <c:v>350.16507647486935</c:v>
                </c:pt>
                <c:pt idx="4">
                  <c:v>243.17019199643704</c:v>
                </c:pt>
                <c:pt idx="5">
                  <c:v>178.65565126268845</c:v>
                </c:pt>
                <c:pt idx="6">
                  <c:v>136.78323299799581</c:v>
                </c:pt>
                <c:pt idx="7">
                  <c:v>108.0756408873053</c:v>
                </c:pt>
                <c:pt idx="8">
                  <c:v>87.541269118717338</c:v>
                </c:pt>
                <c:pt idx="9">
                  <c:v>72.348156296460573</c:v>
                </c:pt>
                <c:pt idx="10">
                  <c:v>60.79254799910926</c:v>
                </c:pt>
                <c:pt idx="11">
                  <c:v>51.799567525868234</c:v>
                </c:pt>
                <c:pt idx="12">
                  <c:v>44.663912815672113</c:v>
                </c:pt>
                <c:pt idx="13">
                  <c:v>38.907230719429919</c:v>
                </c:pt>
                <c:pt idx="14">
                  <c:v>34.195808249498953</c:v>
                </c:pt>
                <c:pt idx="15">
                  <c:v>30.291096580871049</c:v>
                </c:pt>
                <c:pt idx="16">
                  <c:v>27.018910221826324</c:v>
                </c:pt>
                <c:pt idx="17">
                  <c:v>24.249659035655764</c:v>
                </c:pt>
                <c:pt idx="18">
                  <c:v>21.885317279679334</c:v>
                </c:pt>
              </c:numCache>
            </c:numRef>
          </c:xVal>
          <c:yVal>
            <c:numRef>
              <c:f>Sheet4!$F$10:$F$28</c:f>
              <c:numCache>
                <c:formatCode>0.00</c:formatCode>
                <c:ptCount val="19"/>
                <c:pt idx="0">
                  <c:v>1.9507835975579726</c:v>
                </c:pt>
                <c:pt idx="1">
                  <c:v>2.8173573522234903</c:v>
                </c:pt>
                <c:pt idx="2">
                  <c:v>3.7043523830765488</c:v>
                </c:pt>
                <c:pt idx="3">
                  <c:v>4.5999705464418641</c:v>
                </c:pt>
                <c:pt idx="4">
                  <c:v>5.5000008909554756</c:v>
                </c:pt>
                <c:pt idx="5">
                  <c:v>6.4025829861970562</c:v>
                </c:pt>
                <c:pt idx="6">
                  <c:v>7.3067712645203029</c:v>
                </c:pt>
                <c:pt idx="7">
                  <c:v>8.2120351954402793</c:v>
                </c:pt>
                <c:pt idx="8">
                  <c:v>9.1180544039027662</c:v>
                </c:pt>
                <c:pt idx="9">
                  <c:v>10.02462410747466</c:v>
                </c:pt>
                <c:pt idx="10">
                  <c:v>10.931607347597339</c:v>
                </c:pt>
                <c:pt idx="11">
                  <c:v>11.838909081084152</c:v>
                </c:pt>
                <c:pt idx="12">
                  <c:v>12.746461296397523</c:v>
                </c:pt>
                <c:pt idx="13">
                  <c:v>13.654214047435831</c:v>
                </c:pt>
                <c:pt idx="14">
                  <c:v>14.562129832139201</c:v>
                </c:pt>
                <c:pt idx="15">
                  <c:v>15.470179946116126</c:v>
                </c:pt>
                <c:pt idx="16">
                  <c:v>16.378342046880064</c:v>
                </c:pt>
                <c:pt idx="17">
                  <c:v>17.286598484555476</c:v>
                </c:pt>
                <c:pt idx="18">
                  <c:v>18.194935131792104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0-4BD6-8844-C9678A017C21}"/>
            </c:ext>
          </c:extLst>
        </c:ser>
        <c:ser>
          <c:idx val="1"/>
          <c:order val="1"/>
          <c:tx>
            <c:strRef>
              <c:f>Sheet4!$G$9</c:f>
              <c:strCache>
                <c:ptCount val="1"/>
                <c:pt idx="0">
                  <c:v>BW (Hz)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Sheet4!$D$10:$D$28</c:f>
              <c:numCache>
                <c:formatCode>0.00</c:formatCode>
                <c:ptCount val="19"/>
                <c:pt idx="0">
                  <c:v>2188.531727967933</c:v>
                </c:pt>
                <c:pt idx="1">
                  <c:v>972.68076798574816</c:v>
                </c:pt>
                <c:pt idx="2">
                  <c:v>547.13293199198324</c:v>
                </c:pt>
                <c:pt idx="3">
                  <c:v>350.16507647486935</c:v>
                </c:pt>
                <c:pt idx="4">
                  <c:v>243.17019199643704</c:v>
                </c:pt>
                <c:pt idx="5">
                  <c:v>178.65565126268845</c:v>
                </c:pt>
                <c:pt idx="6">
                  <c:v>136.78323299799581</c:v>
                </c:pt>
                <c:pt idx="7">
                  <c:v>108.0756408873053</c:v>
                </c:pt>
                <c:pt idx="8">
                  <c:v>87.541269118717338</c:v>
                </c:pt>
                <c:pt idx="9">
                  <c:v>72.348156296460573</c:v>
                </c:pt>
                <c:pt idx="10">
                  <c:v>60.79254799910926</c:v>
                </c:pt>
                <c:pt idx="11">
                  <c:v>51.799567525868234</c:v>
                </c:pt>
                <c:pt idx="12">
                  <c:v>44.663912815672113</c:v>
                </c:pt>
                <c:pt idx="13">
                  <c:v>38.907230719429919</c:v>
                </c:pt>
                <c:pt idx="14">
                  <c:v>34.195808249498953</c:v>
                </c:pt>
                <c:pt idx="15">
                  <c:v>30.291096580871049</c:v>
                </c:pt>
                <c:pt idx="16">
                  <c:v>27.018910221826324</c:v>
                </c:pt>
                <c:pt idx="17">
                  <c:v>24.249659035655764</c:v>
                </c:pt>
                <c:pt idx="18">
                  <c:v>21.885317279679334</c:v>
                </c:pt>
              </c:numCache>
            </c:numRef>
          </c:xVal>
          <c:yVal>
            <c:numRef>
              <c:f>Sheet4!$G$10:$G$28</c:f>
              <c:numCache>
                <c:formatCode>0.00</c:formatCode>
                <c:ptCount val="19"/>
                <c:pt idx="0">
                  <c:v>563.87597341755418</c:v>
                </c:pt>
                <c:pt idx="1">
                  <c:v>390.43680388356398</c:v>
                </c:pt>
                <c:pt idx="2">
                  <c:v>296.9479915100369</c:v>
                </c:pt>
                <c:pt idx="3">
                  <c:v>239.1319659320132</c:v>
                </c:pt>
                <c:pt idx="4">
                  <c:v>199.99996760162432</c:v>
                </c:pt>
                <c:pt idx="5">
                  <c:v>171.80566067967004</c:v>
                </c:pt>
                <c:pt idx="6">
                  <c:v>150.54529013947669</c:v>
                </c:pt>
                <c:pt idx="7">
                  <c:v>133.94974252068153</c:v>
                </c:pt>
                <c:pt idx="8">
                  <c:v>120.63977152068441</c:v>
                </c:pt>
                <c:pt idx="9">
                  <c:v>109.72980016076684</c:v>
                </c:pt>
                <c:pt idx="10">
                  <c:v>100.62564131904804</c:v>
                </c:pt>
                <c:pt idx="11">
                  <c:v>92.913966351641847</c:v>
                </c:pt>
                <c:pt idx="12">
                  <c:v>86.298461543274612</c:v>
                </c:pt>
                <c:pt idx="13">
                  <c:v>80.561209614739596</c:v>
                </c:pt>
                <c:pt idx="14">
                  <c:v>75.538400816359712</c:v>
                </c:pt>
                <c:pt idx="15">
                  <c:v>71.104538139271042</c:v>
                </c:pt>
                <c:pt idx="16">
                  <c:v>67.161865154082591</c:v>
                </c:pt>
                <c:pt idx="17">
                  <c:v>63.633108675647385</c:v>
                </c:pt>
                <c:pt idx="18">
                  <c:v>60.456384814363219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0-4BD6-8844-C9678A01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08392"/>
        <c:axId val="684810032"/>
      </c:scatterChart>
      <c:valAx>
        <c:axId val="68480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R1b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10032"/>
        <c:crosses val="autoZero"/>
        <c:crossBetween val="midCat"/>
      </c:valAx>
      <c:valAx>
        <c:axId val="684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0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Q v R1b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Sheet4!$F$9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Sheet4!$D$10:$D$28</c:f>
              <c:numCache>
                <c:formatCode>0.00</c:formatCode>
                <c:ptCount val="19"/>
                <c:pt idx="0">
                  <c:v>2188.531727967933</c:v>
                </c:pt>
                <c:pt idx="1">
                  <c:v>972.68076798574816</c:v>
                </c:pt>
                <c:pt idx="2">
                  <c:v>547.13293199198324</c:v>
                </c:pt>
                <c:pt idx="3">
                  <c:v>350.16507647486935</c:v>
                </c:pt>
                <c:pt idx="4">
                  <c:v>243.17019199643704</c:v>
                </c:pt>
                <c:pt idx="5">
                  <c:v>178.65565126268845</c:v>
                </c:pt>
                <c:pt idx="6">
                  <c:v>136.78323299799581</c:v>
                </c:pt>
                <c:pt idx="7">
                  <c:v>108.0756408873053</c:v>
                </c:pt>
                <c:pt idx="8">
                  <c:v>87.541269118717338</c:v>
                </c:pt>
                <c:pt idx="9">
                  <c:v>72.348156296460573</c:v>
                </c:pt>
                <c:pt idx="10">
                  <c:v>60.79254799910926</c:v>
                </c:pt>
                <c:pt idx="11">
                  <c:v>51.799567525868234</c:v>
                </c:pt>
                <c:pt idx="12">
                  <c:v>44.663912815672113</c:v>
                </c:pt>
                <c:pt idx="13">
                  <c:v>38.907230719429919</c:v>
                </c:pt>
                <c:pt idx="14">
                  <c:v>34.195808249498953</c:v>
                </c:pt>
                <c:pt idx="15">
                  <c:v>30.291096580871049</c:v>
                </c:pt>
                <c:pt idx="16">
                  <c:v>27.018910221826324</c:v>
                </c:pt>
                <c:pt idx="17">
                  <c:v>24.249659035655764</c:v>
                </c:pt>
                <c:pt idx="18">
                  <c:v>21.885317279679334</c:v>
                </c:pt>
              </c:numCache>
            </c:numRef>
          </c:xVal>
          <c:yVal>
            <c:numRef>
              <c:f>Sheet4!$F$10:$F$28</c:f>
              <c:numCache>
                <c:formatCode>0.00</c:formatCode>
                <c:ptCount val="19"/>
                <c:pt idx="0">
                  <c:v>1.9507835975579726</c:v>
                </c:pt>
                <c:pt idx="1">
                  <c:v>2.8173573522234903</c:v>
                </c:pt>
                <c:pt idx="2">
                  <c:v>3.7043523830765488</c:v>
                </c:pt>
                <c:pt idx="3">
                  <c:v>4.5999705464418641</c:v>
                </c:pt>
                <c:pt idx="4">
                  <c:v>5.5000008909554756</c:v>
                </c:pt>
                <c:pt idx="5">
                  <c:v>6.4025829861970562</c:v>
                </c:pt>
                <c:pt idx="6">
                  <c:v>7.3067712645203029</c:v>
                </c:pt>
                <c:pt idx="7">
                  <c:v>8.2120351954402793</c:v>
                </c:pt>
                <c:pt idx="8">
                  <c:v>9.1180544039027662</c:v>
                </c:pt>
                <c:pt idx="9">
                  <c:v>10.02462410747466</c:v>
                </c:pt>
                <c:pt idx="10">
                  <c:v>10.931607347597339</c:v>
                </c:pt>
                <c:pt idx="11">
                  <c:v>11.838909081084152</c:v>
                </c:pt>
                <c:pt idx="12">
                  <c:v>12.746461296397523</c:v>
                </c:pt>
                <c:pt idx="13">
                  <c:v>13.654214047435831</c:v>
                </c:pt>
                <c:pt idx="14">
                  <c:v>14.562129832139201</c:v>
                </c:pt>
                <c:pt idx="15">
                  <c:v>15.470179946116126</c:v>
                </c:pt>
                <c:pt idx="16">
                  <c:v>16.378342046880064</c:v>
                </c:pt>
                <c:pt idx="17">
                  <c:v>17.286598484555476</c:v>
                </c:pt>
                <c:pt idx="18">
                  <c:v>18.194935131792104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0-4D80-9A62-56E41923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04616"/>
        <c:axId val="684803960"/>
      </c:scatterChart>
      <c:valAx>
        <c:axId val="6848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R1b</a:t>
                </a:r>
                <a:r>
                  <a:rPr lang="en-IE" baseline="0"/>
                  <a:t> (ohms)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03960"/>
        <c:crosses val="autoZero"/>
        <c:crossBetween val="midCat"/>
      </c:valAx>
      <c:valAx>
        <c:axId val="6848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2</xdr:row>
      <xdr:rowOff>120652</xdr:rowOff>
    </xdr:from>
    <xdr:to>
      <xdr:col>11</xdr:col>
      <xdr:colOff>228600</xdr:colOff>
      <xdr:row>10</xdr:row>
      <xdr:rowOff>15833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D2662-9932-4FC4-9288-03CD8B7AB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0" y="488952"/>
          <a:ext cx="2590800" cy="1368381"/>
        </a:xfrm>
        <a:prstGeom prst="rect">
          <a:avLst/>
        </a:prstGeom>
      </xdr:spPr>
    </xdr:pic>
    <xdr:clientData/>
  </xdr:twoCellAnchor>
  <xdr:twoCellAnchor editAs="oneCell">
    <xdr:from>
      <xdr:col>6</xdr:col>
      <xdr:colOff>607986</xdr:colOff>
      <xdr:row>15</xdr:row>
      <xdr:rowOff>76200</xdr:rowOff>
    </xdr:from>
    <xdr:to>
      <xdr:col>14</xdr:col>
      <xdr:colOff>224017</xdr:colOff>
      <xdr:row>25</xdr:row>
      <xdr:rowOff>28055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9ADA2-C484-4DC9-8B66-1D26B4349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1236" y="2851150"/>
          <a:ext cx="4854781" cy="17933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1455423</xdr:colOff>
      <xdr:row>6</xdr:row>
      <xdr:rowOff>38100</xdr:rowOff>
    </xdr:from>
    <xdr:to>
      <xdr:col>6</xdr:col>
      <xdr:colOff>79129</xdr:colOff>
      <xdr:row>7</xdr:row>
      <xdr:rowOff>123735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8CDBDC-7975-4A5B-9E86-4F8C86EC3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4323" y="1143000"/>
          <a:ext cx="744606" cy="2697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65617</xdr:rowOff>
    </xdr:from>
    <xdr:to>
      <xdr:col>8</xdr:col>
      <xdr:colOff>136357</xdr:colOff>
      <xdr:row>7</xdr:row>
      <xdr:rowOff>130119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BC5211-4E39-41CA-9F31-390970935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9400" y="1170517"/>
          <a:ext cx="745957" cy="248652"/>
        </a:xfrm>
        <a:prstGeom prst="rect">
          <a:avLst/>
        </a:prstGeom>
      </xdr:spPr>
    </xdr:pic>
    <xdr:clientData/>
  </xdr:twoCellAnchor>
  <xdr:twoCellAnchor>
    <xdr:from>
      <xdr:col>10</xdr:col>
      <xdr:colOff>85725</xdr:colOff>
      <xdr:row>12</xdr:row>
      <xdr:rowOff>53975</xdr:rowOff>
    </xdr:from>
    <xdr:to>
      <xdr:col>17</xdr:col>
      <xdr:colOff>25400</xdr:colOff>
      <xdr:row>26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63296-AFAA-4B03-BD5F-0C84BFED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73025</xdr:colOff>
      <xdr:row>0</xdr:row>
      <xdr:rowOff>28575</xdr:rowOff>
    </xdr:from>
    <xdr:to>
      <xdr:col>17</xdr:col>
      <xdr:colOff>12700</xdr:colOff>
      <xdr:row>11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F4EC9C-EF97-49FA-A14E-85EBB4B0D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7A66-E990-46B9-8728-070F90CD0E51}">
  <dimension ref="A1:H48"/>
  <sheetViews>
    <sheetView topLeftCell="A36" workbookViewId="0">
      <selection activeCell="F12" sqref="F12"/>
    </sheetView>
  </sheetViews>
  <sheetFormatPr defaultRowHeight="14.5" x14ac:dyDescent="0.35"/>
  <cols>
    <col min="2" max="2" width="9.36328125" bestFit="1" customWidth="1"/>
    <col min="3" max="3" width="7.90625" customWidth="1"/>
    <col min="4" max="4" width="9.7265625" customWidth="1"/>
    <col min="5" max="5" width="13.26953125" customWidth="1"/>
    <col min="6" max="6" width="14.1796875" customWidth="1"/>
    <col min="8" max="8" width="10.81640625" customWidth="1"/>
    <col min="10" max="10" width="11.81640625" bestFit="1" customWidth="1"/>
  </cols>
  <sheetData>
    <row r="1" spans="1:8" x14ac:dyDescent="0.35">
      <c r="A1" s="27" t="s">
        <v>46</v>
      </c>
      <c r="B1" s="27"/>
      <c r="C1" s="27"/>
      <c r="D1" s="27"/>
      <c r="E1" s="27"/>
      <c r="F1" s="27"/>
    </row>
    <row r="2" spans="1:8" x14ac:dyDescent="0.35">
      <c r="C2" s="50" t="s">
        <v>45</v>
      </c>
      <c r="D2" s="50"/>
      <c r="E2" s="50"/>
    </row>
    <row r="3" spans="1:8" x14ac:dyDescent="0.35">
      <c r="A3" t="s">
        <v>21</v>
      </c>
    </row>
    <row r="4" spans="1:8" x14ac:dyDescent="0.35">
      <c r="A4" s="2" t="s">
        <v>0</v>
      </c>
      <c r="B4" s="3">
        <v>1100</v>
      </c>
      <c r="C4" s="4" t="s">
        <v>1</v>
      </c>
      <c r="D4" s="11" t="s">
        <v>48</v>
      </c>
      <c r="E4" s="28" t="s">
        <v>18</v>
      </c>
      <c r="F4" s="28">
        <f>2*PI()*B4</f>
        <v>6911.5038378975451</v>
      </c>
      <c r="G4" s="12" t="s">
        <v>13</v>
      </c>
    </row>
    <row r="5" spans="1:8" x14ac:dyDescent="0.35">
      <c r="A5" s="5" t="s">
        <v>2</v>
      </c>
      <c r="B5" s="6">
        <v>10</v>
      </c>
      <c r="C5" s="7"/>
      <c r="D5" s="51" t="s">
        <v>47</v>
      </c>
      <c r="E5" s="52"/>
      <c r="F5" s="52"/>
      <c r="G5" s="52"/>
    </row>
    <row r="6" spans="1:8" x14ac:dyDescent="0.35">
      <c r="A6" s="8" t="s">
        <v>3</v>
      </c>
      <c r="B6" s="9">
        <v>0</v>
      </c>
      <c r="C6" s="10" t="s">
        <v>4</v>
      </c>
      <c r="D6" s="27" t="s">
        <v>5</v>
      </c>
      <c r="E6" s="27"/>
    </row>
    <row r="9" spans="1:8" x14ac:dyDescent="0.35">
      <c r="A9" s="11" t="s">
        <v>58</v>
      </c>
      <c r="B9" s="26">
        <v>100</v>
      </c>
      <c r="C9" t="s">
        <v>7</v>
      </c>
      <c r="D9" t="s">
        <v>8</v>
      </c>
      <c r="E9">
        <f>B9*10^-9</f>
        <v>1.0000000000000001E-7</v>
      </c>
      <c r="F9" t="s">
        <v>6</v>
      </c>
    </row>
    <row r="13" spans="1:8" ht="15" thickBot="1" x14ac:dyDescent="0.4">
      <c r="A13" t="s">
        <v>16</v>
      </c>
      <c r="B13">
        <f>POWER(10,B6/20)</f>
        <v>1</v>
      </c>
      <c r="C13" t="s">
        <v>17</v>
      </c>
    </row>
    <row r="14" spans="1:8" ht="15" thickBot="1" x14ac:dyDescent="0.4">
      <c r="A14" s="23" t="s">
        <v>14</v>
      </c>
      <c r="B14" s="24">
        <f>POWER(10,B6/20)</f>
        <v>1</v>
      </c>
      <c r="C14" s="24" t="s">
        <v>15</v>
      </c>
      <c r="D14" s="25">
        <f>2*B5^2</f>
        <v>200</v>
      </c>
      <c r="E14" t="s">
        <v>56</v>
      </c>
    </row>
    <row r="15" spans="1:8" x14ac:dyDescent="0.35">
      <c r="B15" t="s">
        <v>19</v>
      </c>
      <c r="D15" t="s">
        <v>20</v>
      </c>
      <c r="H15" t="s">
        <v>59</v>
      </c>
    </row>
    <row r="18" spans="1:7" x14ac:dyDescent="0.35">
      <c r="A18" s="47" t="s">
        <v>55</v>
      </c>
      <c r="B18" s="47"/>
      <c r="C18" s="47"/>
    </row>
    <row r="19" spans="1:7" x14ac:dyDescent="0.35">
      <c r="A19" s="30" t="s">
        <v>9</v>
      </c>
      <c r="B19" s="34">
        <f>(2*B5)/(F4*E9)</f>
        <v>28937.262380344604</v>
      </c>
      <c r="C19" s="31" t="s">
        <v>10</v>
      </c>
      <c r="D19" s="34">
        <f>B19/1000</f>
        <v>28.937262380344603</v>
      </c>
      <c r="E19" s="16" t="s">
        <v>11</v>
      </c>
    </row>
    <row r="20" spans="1:7" x14ac:dyDescent="0.35">
      <c r="A20" s="17" t="s">
        <v>12</v>
      </c>
      <c r="B20" s="13">
        <f xml:space="preserve"> (B5)/(B13*F4*E9)</f>
        <v>14468.631190172302</v>
      </c>
      <c r="C20" s="13" t="s">
        <v>10</v>
      </c>
      <c r="D20" s="32">
        <f>B20/1000</f>
        <v>14.468631190172301</v>
      </c>
      <c r="E20" s="18" t="s">
        <v>11</v>
      </c>
    </row>
    <row r="21" spans="1:7" x14ac:dyDescent="0.35">
      <c r="A21" s="19" t="s">
        <v>41</v>
      </c>
      <c r="B21" s="29">
        <f>(B20)/((2*B5^2)/B13-1)</f>
        <v>72.706689397850766</v>
      </c>
      <c r="C21" s="20" t="s">
        <v>10</v>
      </c>
      <c r="D21" s="29">
        <f>B21/1000</f>
        <v>7.2706689397850771E-2</v>
      </c>
      <c r="E21" s="21" t="s">
        <v>11</v>
      </c>
    </row>
    <row r="25" spans="1:7" x14ac:dyDescent="0.35">
      <c r="A25" s="48" t="s">
        <v>25</v>
      </c>
      <c r="B25" s="49"/>
      <c r="C25" s="31"/>
      <c r="D25" s="31"/>
      <c r="E25" s="33" t="s">
        <v>28</v>
      </c>
      <c r="F25" s="16"/>
    </row>
    <row r="26" spans="1:7" x14ac:dyDescent="0.35">
      <c r="A26" s="17" t="s">
        <v>26</v>
      </c>
      <c r="B26" s="6">
        <v>200</v>
      </c>
      <c r="C26" s="13" t="s">
        <v>27</v>
      </c>
      <c r="D26" s="13" t="s">
        <v>8</v>
      </c>
      <c r="E26" s="32">
        <f>(B20)/( ((2*PI()*B26*E9)^2)*B19*(B20-1))</f>
        <v>2188.531727967933</v>
      </c>
      <c r="F26" s="18" t="s">
        <v>22</v>
      </c>
    </row>
    <row r="27" spans="1:7" x14ac:dyDescent="0.35">
      <c r="A27" s="19"/>
      <c r="B27" s="9">
        <v>2000</v>
      </c>
      <c r="C27" s="20" t="s">
        <v>27</v>
      </c>
      <c r="D27" s="20" t="s">
        <v>8</v>
      </c>
      <c r="E27" s="29">
        <f>(B20)/( ((2*PI()*B27*E9)^2)*B19*(B20-1))</f>
        <v>21.885317279679334</v>
      </c>
      <c r="F27" s="21" t="s">
        <v>22</v>
      </c>
    </row>
    <row r="28" spans="1:7" x14ac:dyDescent="0.35">
      <c r="E28" s="1"/>
    </row>
    <row r="31" spans="1:7" x14ac:dyDescent="0.35">
      <c r="A31" s="47" t="s">
        <v>60</v>
      </c>
      <c r="B31" s="47"/>
      <c r="C31" s="47"/>
    </row>
    <row r="32" spans="1:7" x14ac:dyDescent="0.35">
      <c r="A32" s="44" t="s">
        <v>50</v>
      </c>
      <c r="B32" s="45"/>
      <c r="C32" s="45"/>
      <c r="D32" s="45"/>
      <c r="E32" s="45"/>
      <c r="F32" s="45"/>
      <c r="G32" s="46"/>
    </row>
    <row r="33" spans="1:7" x14ac:dyDescent="0.35">
      <c r="A33" s="17" t="s">
        <v>24</v>
      </c>
      <c r="B33" s="6">
        <f>33*10^3</f>
        <v>33000</v>
      </c>
      <c r="C33" s="13" t="s">
        <v>22</v>
      </c>
      <c r="D33" s="13"/>
      <c r="E33" s="22" t="s">
        <v>54</v>
      </c>
      <c r="F33" s="6">
        <f>0.0000001</f>
        <v>9.9999999999999995E-8</v>
      </c>
      <c r="G33" s="18" t="s">
        <v>6</v>
      </c>
    </row>
    <row r="34" spans="1:7" x14ac:dyDescent="0.35">
      <c r="A34" s="17" t="s">
        <v>23</v>
      </c>
      <c r="B34" s="6">
        <f>14.72*10^3</f>
        <v>14720</v>
      </c>
      <c r="C34" s="13" t="s">
        <v>22</v>
      </c>
      <c r="D34" s="13"/>
      <c r="E34" s="13"/>
      <c r="F34" s="13"/>
      <c r="G34" s="18"/>
    </row>
    <row r="35" spans="1:7" x14ac:dyDescent="0.35">
      <c r="A35" s="17"/>
      <c r="B35" s="13"/>
      <c r="C35" s="13"/>
      <c r="D35" s="13"/>
      <c r="E35" s="13"/>
      <c r="F35" s="13"/>
      <c r="G35" s="18"/>
    </row>
    <row r="36" spans="1:7" x14ac:dyDescent="0.35">
      <c r="A36" s="17"/>
      <c r="B36" s="13"/>
      <c r="C36" s="13"/>
      <c r="D36" s="13"/>
      <c r="E36" s="13"/>
      <c r="F36" s="13"/>
      <c r="G36" s="18"/>
    </row>
    <row r="37" spans="1:7" x14ac:dyDescent="0.35">
      <c r="A37" s="19" t="s">
        <v>52</v>
      </c>
      <c r="B37" s="9">
        <v>150</v>
      </c>
      <c r="C37" s="20" t="s">
        <v>22</v>
      </c>
      <c r="D37" s="20" t="s">
        <v>8</v>
      </c>
      <c r="E37" s="29">
        <f>(1)/(SQRT(((B34*B37)/(B34+B37))*B33)*F33*2*PI())</f>
        <v>718.98381056076096</v>
      </c>
      <c r="F37" s="21" t="s">
        <v>53</v>
      </c>
      <c r="G37" s="21"/>
    </row>
    <row r="39" spans="1:7" x14ac:dyDescent="0.35">
      <c r="A39" s="47" t="s">
        <v>60</v>
      </c>
      <c r="B39" s="47"/>
      <c r="C39" s="47"/>
    </row>
    <row r="40" spans="1:7" x14ac:dyDescent="0.35">
      <c r="A40" s="41" t="s">
        <v>51</v>
      </c>
      <c r="B40" s="42"/>
      <c r="C40" s="42"/>
      <c r="D40" s="42"/>
      <c r="E40" s="42"/>
      <c r="F40" s="43"/>
    </row>
    <row r="41" spans="1:7" x14ac:dyDescent="0.35">
      <c r="A41" s="30"/>
      <c r="B41" s="31" t="s">
        <v>23</v>
      </c>
      <c r="C41" s="3">
        <f>14.72*10^3</f>
        <v>14720</v>
      </c>
      <c r="D41" s="31"/>
      <c r="E41" s="31"/>
      <c r="F41" s="16"/>
    </row>
    <row r="42" spans="1:7" x14ac:dyDescent="0.35">
      <c r="A42" s="17"/>
      <c r="B42" s="13" t="s">
        <v>24</v>
      </c>
      <c r="C42" s="6">
        <v>33000</v>
      </c>
      <c r="D42" s="13"/>
      <c r="E42" s="13"/>
      <c r="F42" s="18"/>
    </row>
    <row r="43" spans="1:7" x14ac:dyDescent="0.35">
      <c r="A43" s="17"/>
      <c r="B43" s="13"/>
      <c r="C43" s="13"/>
      <c r="D43" s="13"/>
      <c r="E43" s="13"/>
      <c r="F43" s="18"/>
    </row>
    <row r="44" spans="1:7" x14ac:dyDescent="0.35">
      <c r="A44" s="17"/>
      <c r="B44" s="13" t="s">
        <v>43</v>
      </c>
      <c r="C44" s="6">
        <f>95*10^-9</f>
        <v>9.5000000000000004E-8</v>
      </c>
      <c r="D44" s="13" t="s">
        <v>7</v>
      </c>
      <c r="E44" s="13"/>
      <c r="F44" s="18"/>
    </row>
    <row r="45" spans="1:7" x14ac:dyDescent="0.35">
      <c r="A45" s="17"/>
      <c r="B45" s="13" t="s">
        <v>44</v>
      </c>
      <c r="C45" s="6">
        <f>96.4*10^-9</f>
        <v>9.6400000000000016E-8</v>
      </c>
      <c r="D45" s="13" t="s">
        <v>7</v>
      </c>
      <c r="E45" s="13"/>
      <c r="F45" s="18"/>
    </row>
    <row r="46" spans="1:7" x14ac:dyDescent="0.35">
      <c r="A46" s="17"/>
      <c r="B46" s="13"/>
      <c r="C46" s="13"/>
      <c r="D46" s="13"/>
      <c r="E46" s="13"/>
      <c r="F46" s="18"/>
    </row>
    <row r="47" spans="1:7" x14ac:dyDescent="0.35">
      <c r="A47" s="17"/>
      <c r="B47" s="13"/>
      <c r="C47" s="13"/>
      <c r="D47" s="13"/>
      <c r="E47" s="13"/>
      <c r="F47" s="18"/>
    </row>
    <row r="48" spans="1:7" x14ac:dyDescent="0.35">
      <c r="A48" s="19"/>
      <c r="B48" s="19" t="s">
        <v>52</v>
      </c>
      <c r="C48" s="9">
        <v>150</v>
      </c>
      <c r="D48" s="20" t="s">
        <v>49</v>
      </c>
      <c r="E48" s="20">
        <f>(1)/  (SQRT(  ((C41*C48)/(C41+C48))*C42*C44*C45) *2*PI())</f>
        <v>751.30934688126365</v>
      </c>
      <c r="F48" s="21" t="s">
        <v>53</v>
      </c>
    </row>
  </sheetData>
  <mergeCells count="8">
    <mergeCell ref="C2:E2"/>
    <mergeCell ref="D5:G5"/>
    <mergeCell ref="A40:F40"/>
    <mergeCell ref="A32:G32"/>
    <mergeCell ref="A18:C18"/>
    <mergeCell ref="A31:C31"/>
    <mergeCell ref="A39:C39"/>
    <mergeCell ref="A25: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5429-EFB8-4CEA-9D1F-FCFF41C6385D}">
  <dimension ref="A1:I50"/>
  <sheetViews>
    <sheetView tabSelected="1" topLeftCell="A12" workbookViewId="0">
      <selection activeCell="E4" sqref="E4"/>
    </sheetView>
  </sheetViews>
  <sheetFormatPr defaultRowHeight="14.5" x14ac:dyDescent="0.35"/>
  <cols>
    <col min="1" max="1" width="11.54296875" customWidth="1"/>
    <col min="3" max="3" width="9.81640625" bestFit="1" customWidth="1"/>
    <col min="4" max="4" width="10.36328125" customWidth="1"/>
    <col min="5" max="5" width="21.6328125" customWidth="1"/>
  </cols>
  <sheetData>
    <row r="1" spans="1:9" ht="15" thickBot="1" x14ac:dyDescent="0.4">
      <c r="A1" s="36" t="s">
        <v>61</v>
      </c>
      <c r="B1" s="37"/>
      <c r="C1" s="37"/>
      <c r="D1" s="38"/>
      <c r="E1" s="14"/>
      <c r="F1" s="14"/>
      <c r="G1" s="14"/>
      <c r="H1" s="14"/>
      <c r="I1" s="14"/>
    </row>
    <row r="2" spans="1:9" x14ac:dyDescent="0.35">
      <c r="B2" s="39" t="s">
        <v>57</v>
      </c>
      <c r="C2" s="40"/>
      <c r="D2" s="12"/>
    </row>
    <row r="3" spans="1:9" x14ac:dyDescent="0.35">
      <c r="B3" s="17" t="s">
        <v>29</v>
      </c>
      <c r="C3" s="13">
        <f>Sheet1!B4</f>
        <v>1100</v>
      </c>
      <c r="D3" s="18" t="s">
        <v>27</v>
      </c>
    </row>
    <row r="4" spans="1:9" x14ac:dyDescent="0.35">
      <c r="B4" s="17" t="s">
        <v>34</v>
      </c>
      <c r="C4" s="13">
        <f>Sheet1!E9</f>
        <v>1.0000000000000001E-7</v>
      </c>
      <c r="D4" s="18" t="s">
        <v>6</v>
      </c>
    </row>
    <row r="5" spans="1:9" x14ac:dyDescent="0.35">
      <c r="B5" s="17" t="s">
        <v>32</v>
      </c>
      <c r="C5" s="32">
        <f>Sheet1!B19</f>
        <v>28937.262380344604</v>
      </c>
      <c r="D5" s="18" t="s">
        <v>22</v>
      </c>
    </row>
    <row r="6" spans="1:9" x14ac:dyDescent="0.35">
      <c r="B6" s="19" t="s">
        <v>33</v>
      </c>
      <c r="C6" s="29">
        <f>Sheet1!B20</f>
        <v>14468.631190172302</v>
      </c>
      <c r="D6" s="21" t="s">
        <v>22</v>
      </c>
    </row>
    <row r="8" spans="1:9" x14ac:dyDescent="0.35">
      <c r="A8" s="15" t="s">
        <v>42</v>
      </c>
    </row>
    <row r="9" spans="1:9" x14ac:dyDescent="0.35">
      <c r="A9" t="s">
        <v>31</v>
      </c>
      <c r="C9" t="s">
        <v>30</v>
      </c>
      <c r="D9" t="s">
        <v>40</v>
      </c>
      <c r="E9" t="s">
        <v>35</v>
      </c>
      <c r="F9" t="s">
        <v>2</v>
      </c>
      <c r="G9" t="s">
        <v>36</v>
      </c>
      <c r="H9" t="s">
        <v>38</v>
      </c>
      <c r="I9" t="s">
        <v>39</v>
      </c>
    </row>
    <row r="10" spans="1:9" x14ac:dyDescent="0.35">
      <c r="A10" s="35">
        <f>100</f>
        <v>100</v>
      </c>
      <c r="C10">
        <v>200</v>
      </c>
      <c r="D10" s="1">
        <f>($C$6)/( ((2*PI()*C10*$C$4)^2)*$C$5*($C$6-1))</f>
        <v>2188.531727967933</v>
      </c>
      <c r="E10" s="1">
        <f>($C$6*D10)/($C$6+D10)</f>
        <v>1900.9874956241292</v>
      </c>
      <c r="F10" s="1">
        <f>0.5*SQRT($C$5/E10)</f>
        <v>1.9507835975579726</v>
      </c>
      <c r="G10" s="1">
        <f>$C$3/F10</f>
        <v>563.87597341755418</v>
      </c>
      <c r="H10" s="1">
        <f>-2*F10^2</f>
        <v>-7.6111132890024518</v>
      </c>
      <c r="I10">
        <f>ABS(H10)</f>
        <v>7.6111132890024518</v>
      </c>
    </row>
    <row r="11" spans="1:9" x14ac:dyDescent="0.35">
      <c r="C11">
        <f>C10+$A$10</f>
        <v>300</v>
      </c>
      <c r="D11" s="1">
        <f t="shared" ref="D11:D28" si="0">($C$6)/( ((2*PI()*C11*$C$4)^2)*$C$5*($C$6-1))</f>
        <v>972.68076798574816</v>
      </c>
      <c r="E11" s="1">
        <f>($C$6*D11)/($C$6+D11)</f>
        <v>911.40955741937591</v>
      </c>
      <c r="F11" s="1">
        <f t="shared" ref="F11:F28" si="1">0.5*SQRT($C$5/E11)</f>
        <v>2.8173573522234903</v>
      </c>
      <c r="G11" s="1">
        <f t="shared" ref="G11:G28" si="2">$C$3/F11</f>
        <v>390.43680388356398</v>
      </c>
      <c r="H11" s="1">
        <f t="shared" ref="H11:H28" si="3">-2*F11^2</f>
        <v>-15.875004900255512</v>
      </c>
      <c r="I11">
        <f t="shared" ref="I11:I28" si="4">ABS(H11)</f>
        <v>15.875004900255512</v>
      </c>
    </row>
    <row r="12" spans="1:9" x14ac:dyDescent="0.35">
      <c r="C12">
        <f t="shared" ref="C12:C25" si="5">C11+$A$10</f>
        <v>400</v>
      </c>
      <c r="D12" s="1">
        <f t="shared" si="0"/>
        <v>547.13293199198324</v>
      </c>
      <c r="E12" s="1">
        <f>($C$6*D12)/($C$6+D12)</f>
        <v>527.19692055529072</v>
      </c>
      <c r="F12" s="1">
        <f t="shared" si="1"/>
        <v>3.7043523830765488</v>
      </c>
      <c r="G12" s="1">
        <f t="shared" si="2"/>
        <v>296.9479915100369</v>
      </c>
      <c r="H12" s="1">
        <f t="shared" si="3"/>
        <v>-27.444453156009811</v>
      </c>
      <c r="I12">
        <f t="shared" si="4"/>
        <v>27.444453156009811</v>
      </c>
    </row>
    <row r="13" spans="1:9" x14ac:dyDescent="0.35">
      <c r="C13">
        <f t="shared" si="5"/>
        <v>500</v>
      </c>
      <c r="D13" s="1">
        <f t="shared" si="0"/>
        <v>350.16507647486935</v>
      </c>
      <c r="E13" s="1">
        <f t="shared" ref="E13:E28" si="6">($C$6*D13)/($C$6+D13)</f>
        <v>341.89074848112915</v>
      </c>
      <c r="F13" s="1">
        <f t="shared" si="1"/>
        <v>4.5999705464418641</v>
      </c>
      <c r="G13" s="1">
        <f t="shared" si="2"/>
        <v>239.1319659320132</v>
      </c>
      <c r="H13" s="1">
        <f t="shared" si="3"/>
        <v>-42.319458056265326</v>
      </c>
      <c r="I13">
        <f t="shared" si="4"/>
        <v>42.319458056265326</v>
      </c>
    </row>
    <row r="14" spans="1:9" x14ac:dyDescent="0.35">
      <c r="C14">
        <f t="shared" si="5"/>
        <v>600</v>
      </c>
      <c r="D14" s="1">
        <f t="shared" si="0"/>
        <v>243.17019199643704</v>
      </c>
      <c r="E14" s="1">
        <f t="shared" si="6"/>
        <v>239.15085128216845</v>
      </c>
      <c r="F14" s="1">
        <f t="shared" si="1"/>
        <v>5.5000008909554756</v>
      </c>
      <c r="G14" s="1">
        <f t="shared" si="2"/>
        <v>199.99996760162432</v>
      </c>
      <c r="H14" s="1">
        <f t="shared" si="3"/>
        <v>-60.500019601022053</v>
      </c>
      <c r="I14">
        <f t="shared" si="4"/>
        <v>60.500019601022053</v>
      </c>
    </row>
    <row r="15" spans="1:9" x14ac:dyDescent="0.35">
      <c r="C15">
        <f t="shared" si="5"/>
        <v>700</v>
      </c>
      <c r="D15" s="1">
        <f t="shared" si="0"/>
        <v>178.65565126268845</v>
      </c>
      <c r="E15" s="1">
        <f t="shared" si="6"/>
        <v>176.47655542919904</v>
      </c>
      <c r="F15" s="1">
        <f t="shared" si="1"/>
        <v>6.4025829861970562</v>
      </c>
      <c r="G15" s="1">
        <f t="shared" si="2"/>
        <v>171.80566067967004</v>
      </c>
      <c r="H15" s="1">
        <f t="shared" si="3"/>
        <v>-81.986137790280026</v>
      </c>
      <c r="I15">
        <f t="shared" si="4"/>
        <v>81.986137790280026</v>
      </c>
    </row>
    <row r="16" spans="1:9" x14ac:dyDescent="0.35">
      <c r="C16">
        <f t="shared" si="5"/>
        <v>800</v>
      </c>
      <c r="D16" s="1">
        <f t="shared" si="0"/>
        <v>136.78323299799581</v>
      </c>
      <c r="E16" s="1">
        <f t="shared" si="6"/>
        <v>135.50222499046521</v>
      </c>
      <c r="F16" s="1">
        <f t="shared" si="1"/>
        <v>7.3067712645203029</v>
      </c>
      <c r="G16" s="1">
        <f t="shared" si="2"/>
        <v>150.54529013947669</v>
      </c>
      <c r="H16" s="1">
        <f t="shared" si="3"/>
        <v>-106.77781262403926</v>
      </c>
      <c r="I16">
        <f t="shared" si="4"/>
        <v>106.77781262403926</v>
      </c>
    </row>
    <row r="17" spans="2:9" x14ac:dyDescent="0.35">
      <c r="C17">
        <f t="shared" si="5"/>
        <v>900</v>
      </c>
      <c r="D17" s="1">
        <f t="shared" si="0"/>
        <v>108.0756408873053</v>
      </c>
      <c r="E17" s="1">
        <f t="shared" si="6"/>
        <v>107.27433889992406</v>
      </c>
      <c r="F17" s="1">
        <f t="shared" si="1"/>
        <v>8.2120351954402793</v>
      </c>
      <c r="G17" s="1">
        <f t="shared" si="2"/>
        <v>133.94974252068153</v>
      </c>
      <c r="H17" s="1">
        <f t="shared" si="3"/>
        <v>-134.87504410229974</v>
      </c>
      <c r="I17">
        <f t="shared" si="4"/>
        <v>134.87504410229974</v>
      </c>
    </row>
    <row r="18" spans="2:9" x14ac:dyDescent="0.35">
      <c r="C18">
        <f t="shared" si="5"/>
        <v>1000</v>
      </c>
      <c r="D18" s="1">
        <f t="shared" si="0"/>
        <v>87.541269118717338</v>
      </c>
      <c r="E18" s="1">
        <f t="shared" si="6"/>
        <v>87.014793232261056</v>
      </c>
      <c r="F18" s="1">
        <f t="shared" si="1"/>
        <v>9.1180544039027662</v>
      </c>
      <c r="G18" s="1">
        <f t="shared" si="2"/>
        <v>120.63977152068441</v>
      </c>
      <c r="H18" s="1">
        <f t="shared" si="3"/>
        <v>-166.27783222506125</v>
      </c>
      <c r="I18">
        <f t="shared" si="4"/>
        <v>166.27783222506125</v>
      </c>
    </row>
    <row r="19" spans="2:9" x14ac:dyDescent="0.35">
      <c r="B19" t="s">
        <v>37</v>
      </c>
      <c r="C19">
        <f t="shared" si="5"/>
        <v>1100</v>
      </c>
      <c r="D19" s="1">
        <f t="shared" si="0"/>
        <v>72.348156296460573</v>
      </c>
      <c r="E19" s="1">
        <f t="shared" si="6"/>
        <v>71.988190465082909</v>
      </c>
      <c r="F19" s="1">
        <f t="shared" si="1"/>
        <v>10.02462410747466</v>
      </c>
      <c r="G19" s="1">
        <f t="shared" si="2"/>
        <v>109.72980016076684</v>
      </c>
      <c r="H19" s="1">
        <f t="shared" si="3"/>
        <v>-200.98617699232423</v>
      </c>
      <c r="I19">
        <f t="shared" si="4"/>
        <v>200.98617699232423</v>
      </c>
    </row>
    <row r="20" spans="2:9" x14ac:dyDescent="0.35">
      <c r="C20">
        <f t="shared" si="5"/>
        <v>1200</v>
      </c>
      <c r="D20" s="1">
        <f t="shared" si="0"/>
        <v>60.79254799910926</v>
      </c>
      <c r="E20" s="1">
        <f t="shared" si="6"/>
        <v>60.538185957033591</v>
      </c>
      <c r="F20" s="1">
        <f t="shared" si="1"/>
        <v>10.931607347597339</v>
      </c>
      <c r="G20" s="1">
        <f t="shared" si="2"/>
        <v>100.62564131904804</v>
      </c>
      <c r="H20" s="1">
        <f t="shared" si="3"/>
        <v>-239.00007840408827</v>
      </c>
      <c r="I20">
        <f t="shared" si="4"/>
        <v>239.00007840408827</v>
      </c>
    </row>
    <row r="21" spans="2:9" x14ac:dyDescent="0.35">
      <c r="C21">
        <f t="shared" si="5"/>
        <v>1300</v>
      </c>
      <c r="D21" s="1">
        <f t="shared" si="0"/>
        <v>51.799567525868234</v>
      </c>
      <c r="E21" s="1">
        <f t="shared" si="6"/>
        <v>51.614779950303749</v>
      </c>
      <c r="F21" s="1">
        <f t="shared" si="1"/>
        <v>11.838909081084152</v>
      </c>
      <c r="G21" s="1">
        <f t="shared" si="2"/>
        <v>92.913966351641847</v>
      </c>
      <c r="H21" s="1">
        <f t="shared" si="3"/>
        <v>-280.31953646035362</v>
      </c>
      <c r="I21">
        <f t="shared" si="4"/>
        <v>280.31953646035362</v>
      </c>
    </row>
    <row r="22" spans="2:9" x14ac:dyDescent="0.35">
      <c r="C22">
        <f t="shared" si="5"/>
        <v>1400</v>
      </c>
      <c r="D22" s="1">
        <f t="shared" si="0"/>
        <v>44.663912815672113</v>
      </c>
      <c r="E22" s="1">
        <f t="shared" si="6"/>
        <v>44.526461940881092</v>
      </c>
      <c r="F22" s="1">
        <f t="shared" si="1"/>
        <v>12.746461296397523</v>
      </c>
      <c r="G22" s="1">
        <f t="shared" si="2"/>
        <v>86.298461543274612</v>
      </c>
      <c r="H22" s="1">
        <f t="shared" si="3"/>
        <v>-324.94455116112005</v>
      </c>
      <c r="I22">
        <f t="shared" si="4"/>
        <v>324.94455116112005</v>
      </c>
    </row>
    <row r="23" spans="2:9" x14ac:dyDescent="0.35">
      <c r="C23">
        <f t="shared" si="5"/>
        <v>1500</v>
      </c>
      <c r="D23" s="1">
        <f t="shared" si="0"/>
        <v>38.907230719429919</v>
      </c>
      <c r="E23" s="1">
        <f t="shared" si="6"/>
        <v>38.802886856374904</v>
      </c>
      <c r="F23" s="1">
        <f t="shared" si="1"/>
        <v>13.654214047435831</v>
      </c>
      <c r="G23" s="1">
        <f t="shared" si="2"/>
        <v>80.561209614739596</v>
      </c>
      <c r="H23" s="1">
        <f t="shared" si="3"/>
        <v>-372.87512250638792</v>
      </c>
      <c r="I23">
        <f t="shared" si="4"/>
        <v>372.87512250638792</v>
      </c>
    </row>
    <row r="24" spans="2:9" x14ac:dyDescent="0.35">
      <c r="C24">
        <f t="shared" si="5"/>
        <v>1600</v>
      </c>
      <c r="D24" s="1">
        <f t="shared" si="0"/>
        <v>34.195808249498953</v>
      </c>
      <c r="E24" s="1">
        <f t="shared" si="6"/>
        <v>34.115178914131185</v>
      </c>
      <c r="F24" s="1">
        <f t="shared" si="1"/>
        <v>14.562129832139201</v>
      </c>
      <c r="G24" s="1">
        <f t="shared" si="2"/>
        <v>75.538400816359712</v>
      </c>
      <c r="H24" s="1">
        <f t="shared" si="3"/>
        <v>-424.11125049615691</v>
      </c>
      <c r="I24">
        <f t="shared" si="4"/>
        <v>424.11125049615691</v>
      </c>
    </row>
    <row r="25" spans="2:9" x14ac:dyDescent="0.35">
      <c r="C25">
        <f t="shared" si="5"/>
        <v>1700</v>
      </c>
      <c r="D25" s="1">
        <f t="shared" si="0"/>
        <v>30.291096580871049</v>
      </c>
      <c r="E25" s="1">
        <f t="shared" si="6"/>
        <v>30.227812530241302</v>
      </c>
      <c r="F25" s="1">
        <f t="shared" si="1"/>
        <v>15.470179946116126</v>
      </c>
      <c r="G25" s="1">
        <f t="shared" si="2"/>
        <v>71.104538139271042</v>
      </c>
      <c r="H25" s="1">
        <f t="shared" si="3"/>
        <v>-478.65293513042707</v>
      </c>
      <c r="I25">
        <f t="shared" si="4"/>
        <v>478.65293513042707</v>
      </c>
    </row>
    <row r="26" spans="2:9" x14ac:dyDescent="0.35">
      <c r="C26">
        <f>C25+$A$10</f>
        <v>1800</v>
      </c>
      <c r="D26" s="1">
        <f t="shared" si="0"/>
        <v>27.018910221826324</v>
      </c>
      <c r="E26" s="1">
        <f t="shared" si="6"/>
        <v>26.96854880274411</v>
      </c>
      <c r="F26" s="1">
        <f t="shared" si="1"/>
        <v>16.378342046880064</v>
      </c>
      <c r="G26" s="1">
        <f t="shared" si="2"/>
        <v>67.161865154082591</v>
      </c>
      <c r="H26" s="1">
        <f t="shared" si="3"/>
        <v>-536.50017640919896</v>
      </c>
      <c r="I26">
        <f t="shared" si="4"/>
        <v>536.50017640919896</v>
      </c>
    </row>
    <row r="27" spans="2:9" x14ac:dyDescent="0.35">
      <c r="C27">
        <f>C26+$A$10</f>
        <v>1900</v>
      </c>
      <c r="D27" s="1">
        <f t="shared" si="0"/>
        <v>24.249659035655764</v>
      </c>
      <c r="E27" s="1">
        <f t="shared" si="6"/>
        <v>24.209084220374809</v>
      </c>
      <c r="F27" s="1">
        <f t="shared" si="1"/>
        <v>17.286598484555476</v>
      </c>
      <c r="G27" s="1">
        <f t="shared" si="2"/>
        <v>63.633108675647385</v>
      </c>
      <c r="H27" s="1">
        <f t="shared" si="3"/>
        <v>-597.65297433247133</v>
      </c>
      <c r="I27">
        <f t="shared" si="4"/>
        <v>597.65297433247133</v>
      </c>
    </row>
    <row r="28" spans="2:9" x14ac:dyDescent="0.35">
      <c r="C28">
        <f t="shared" ref="C28" si="7">C27+$A$10</f>
        <v>2000</v>
      </c>
      <c r="D28" s="1">
        <f t="shared" si="0"/>
        <v>21.885317279679334</v>
      </c>
      <c r="E28" s="1">
        <f t="shared" si="6"/>
        <v>21.852263446699268</v>
      </c>
      <c r="F28" s="1">
        <f t="shared" si="1"/>
        <v>18.194935131792104</v>
      </c>
      <c r="G28" s="1">
        <f t="shared" si="2"/>
        <v>60.456384814363219</v>
      </c>
      <c r="H28" s="1">
        <f t="shared" si="3"/>
        <v>-662.1113289002451</v>
      </c>
      <c r="I28">
        <f t="shared" si="4"/>
        <v>662.1113289002451</v>
      </c>
    </row>
    <row r="31" spans="2:9" x14ac:dyDescent="0.35">
      <c r="B31" s="14"/>
    </row>
    <row r="32" spans="2:9" x14ac:dyDescent="0.35">
      <c r="D32" s="1"/>
      <c r="E32" s="1"/>
      <c r="F32" s="1"/>
      <c r="G32" s="1"/>
    </row>
    <row r="33" spans="4:7" x14ac:dyDescent="0.35">
      <c r="D33" s="1"/>
      <c r="E33" s="1"/>
      <c r="F33" s="1"/>
      <c r="G33" s="1"/>
    </row>
    <row r="34" spans="4:7" x14ac:dyDescent="0.35">
      <c r="D34" s="1"/>
      <c r="E34" s="1"/>
      <c r="F34" s="1"/>
      <c r="G34" s="1"/>
    </row>
    <row r="35" spans="4:7" x14ac:dyDescent="0.35">
      <c r="D35" s="1"/>
      <c r="E35" s="1"/>
      <c r="F35" s="1"/>
      <c r="G35" s="1"/>
    </row>
    <row r="36" spans="4:7" x14ac:dyDescent="0.35">
      <c r="D36" s="1"/>
      <c r="E36" s="1"/>
      <c r="F36" s="1"/>
      <c r="G36" s="1"/>
    </row>
    <row r="37" spans="4:7" x14ac:dyDescent="0.35">
      <c r="D37" s="1"/>
      <c r="E37" s="1"/>
      <c r="F37" s="1"/>
      <c r="G37" s="1"/>
    </row>
    <row r="38" spans="4:7" x14ac:dyDescent="0.35">
      <c r="D38" s="1"/>
      <c r="E38" s="1"/>
      <c r="F38" s="1"/>
      <c r="G38" s="1"/>
    </row>
    <row r="39" spans="4:7" x14ac:dyDescent="0.35">
      <c r="D39" s="1"/>
      <c r="E39" s="1"/>
      <c r="F39" s="1"/>
      <c r="G39" s="1"/>
    </row>
    <row r="40" spans="4:7" x14ac:dyDescent="0.35">
      <c r="D40" s="1"/>
      <c r="E40" s="1"/>
      <c r="F40" s="1"/>
      <c r="G40" s="1"/>
    </row>
    <row r="41" spans="4:7" x14ac:dyDescent="0.35">
      <c r="D41" s="1"/>
      <c r="E41" s="1"/>
      <c r="F41" s="1"/>
      <c r="G41" s="1"/>
    </row>
    <row r="42" spans="4:7" x14ac:dyDescent="0.35">
      <c r="D42" s="1"/>
      <c r="E42" s="1"/>
      <c r="F42" s="1"/>
      <c r="G42" s="1"/>
    </row>
    <row r="43" spans="4:7" x14ac:dyDescent="0.35">
      <c r="D43" s="1"/>
      <c r="E43" s="1"/>
      <c r="F43" s="1"/>
      <c r="G43" s="1"/>
    </row>
    <row r="44" spans="4:7" x14ac:dyDescent="0.35">
      <c r="D44" s="1"/>
      <c r="E44" s="1"/>
      <c r="F44" s="1"/>
      <c r="G44" s="1"/>
    </row>
    <row r="45" spans="4:7" x14ac:dyDescent="0.35">
      <c r="D45" s="1"/>
      <c r="E45" s="1"/>
      <c r="F45" s="1"/>
      <c r="G45" s="1"/>
    </row>
    <row r="46" spans="4:7" x14ac:dyDescent="0.35">
      <c r="D46" s="1"/>
      <c r="E46" s="1"/>
      <c r="F46" s="1"/>
      <c r="G46" s="1"/>
    </row>
    <row r="47" spans="4:7" x14ac:dyDescent="0.35">
      <c r="D47" s="1"/>
      <c r="E47" s="1"/>
      <c r="F47" s="1"/>
      <c r="G47" s="1"/>
    </row>
    <row r="48" spans="4:7" x14ac:dyDescent="0.35">
      <c r="D48" s="1"/>
      <c r="E48" s="1"/>
      <c r="F48" s="1"/>
      <c r="G48" s="1"/>
    </row>
    <row r="49" spans="4:7" x14ac:dyDescent="0.35">
      <c r="D49" s="1"/>
      <c r="E49" s="1"/>
      <c r="F49" s="1"/>
      <c r="G49" s="1"/>
    </row>
    <row r="50" spans="4:7" x14ac:dyDescent="0.35">
      <c r="D50" s="1"/>
      <c r="E50" s="1"/>
      <c r="F50" s="1"/>
      <c r="G50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</dc:creator>
  <cp:lastModifiedBy>sajja</cp:lastModifiedBy>
  <dcterms:created xsi:type="dcterms:W3CDTF">2022-03-13T17:40:16Z</dcterms:created>
  <dcterms:modified xsi:type="dcterms:W3CDTF">2022-05-30T14:19:45Z</dcterms:modified>
</cp:coreProperties>
</file>