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glb" ContentType="model/gltf.binary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omments4.xml" ContentType="application/vnd.openxmlformats-officedocument.spreadsheetml.comments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omments5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12.xml" ContentType="application/vnd.openxmlformats-officedocument.drawing+xml"/>
  <Override PartName="/xl/comments6.xml" ContentType="application/vnd.openxmlformats-officedocument.spreadsheetml.comments+xml"/>
  <Override PartName="/xl/drawings/drawing13.xml" ContentType="application/vnd.openxmlformats-officedocument.drawing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HP 440\Desktop\archivos1\diseño\diseñodemampostería\"/>
    </mc:Choice>
  </mc:AlternateContent>
  <xr:revisionPtr revIDLastSave="0" documentId="8_{7B75C198-7B90-43E1-A23B-2ADE72C12381}" xr6:coauthVersionLast="47" xr6:coauthVersionMax="47" xr10:uidLastSave="{00000000-0000-0000-0000-000000000000}"/>
  <bookViews>
    <workbookView xWindow="-120" yWindow="-120" windowWidth="20730" windowHeight="11160" tabRatio="950" activeTab="1" xr2:uid="{00000000-000D-0000-FFFF-FFFF00000000}"/>
  </bookViews>
  <sheets>
    <sheet name="Presentación" sheetId="16" r:id="rId1"/>
    <sheet name="1. Datos generales." sheetId="9" r:id="rId2"/>
    <sheet name="2. Espesor mínimo de losa." sheetId="7" r:id="rId3"/>
    <sheet name="3. Análisis de torsión." sheetId="8" r:id="rId4"/>
    <sheet name="4. Geometría de la estructura." sheetId="10" r:id="rId5"/>
    <sheet name="5. Elementos confinantes." sheetId="14" r:id="rId6"/>
    <sheet name="6. Carga vertical." sheetId="4" r:id="rId7"/>
    <sheet name="7. Cortante basal." sheetId="6" r:id="rId8"/>
    <sheet name="8. Carga lateral." sheetId="5" r:id="rId9"/>
    <sheet name="9. Análisis y diseño de losa." sheetId="11" r:id="rId10"/>
    <sheet name="10. Diseño por flexión." sheetId="12" r:id="rId11"/>
    <sheet name="11. Diseño de cimentación." sheetId="13" r:id="rId12"/>
    <sheet name="12. Diseño de trabe." sheetId="15" r:id="rId13"/>
  </sheets>
  <externalReferences>
    <externalReference r:id="rId14"/>
    <externalReference r:id="rId1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7" i="14" l="1"/>
  <c r="G6" i="6"/>
  <c r="G4" i="6"/>
  <c r="G37" i="8"/>
  <c r="G36" i="8"/>
  <c r="G35" i="8"/>
  <c r="G34" i="8"/>
  <c r="G33" i="8"/>
  <c r="G32" i="8"/>
  <c r="G31" i="8"/>
  <c r="G30" i="8"/>
  <c r="G29" i="8"/>
  <c r="G28" i="8"/>
  <c r="G27" i="8"/>
  <c r="O37" i="8"/>
  <c r="O36" i="8"/>
  <c r="O35" i="8"/>
  <c r="O34" i="8"/>
  <c r="O33" i="8"/>
  <c r="O32" i="8"/>
  <c r="O31" i="8"/>
  <c r="O30" i="8"/>
  <c r="O29" i="8"/>
  <c r="O28" i="8"/>
  <c r="O27" i="8"/>
  <c r="W12" i="8"/>
  <c r="W11" i="8"/>
  <c r="W10" i="8"/>
  <c r="W9" i="8"/>
  <c r="W8" i="8"/>
  <c r="W7" i="8"/>
  <c r="W6" i="8"/>
  <c r="O13" i="8"/>
  <c r="O12" i="8"/>
  <c r="O11" i="8"/>
  <c r="O10" i="8"/>
  <c r="O9" i="8"/>
  <c r="O8" i="8"/>
  <c r="O7" i="8"/>
  <c r="O6" i="8"/>
  <c r="E11" i="9"/>
  <c r="H12" i="16"/>
  <c r="C28" i="16"/>
  <c r="F26" i="16"/>
  <c r="C24" i="16"/>
  <c r="F22" i="16"/>
  <c r="B18" i="16"/>
  <c r="H15" i="16"/>
  <c r="B15" i="16"/>
  <c r="F14" i="16"/>
  <c r="F11" i="16"/>
  <c r="O14" i="15" l="1"/>
  <c r="C32" i="15"/>
  <c r="D34" i="15" s="1"/>
  <c r="O16" i="15"/>
  <c r="G10" i="15" s="1"/>
  <c r="J8" i="15"/>
  <c r="B7" i="15"/>
  <c r="P43" i="15"/>
  <c r="N23" i="15"/>
  <c r="L28" i="15"/>
  <c r="J42" i="15"/>
  <c r="C36" i="15"/>
  <c r="D36" i="15" s="1"/>
  <c r="E45" i="15"/>
  <c r="C43" i="15"/>
  <c r="F42" i="15" s="1"/>
  <c r="D45" i="15" s="1"/>
  <c r="O43" i="15" s="1"/>
  <c r="C18" i="15"/>
  <c r="C19" i="15" s="1"/>
  <c r="C21" i="15" s="1"/>
  <c r="D27" i="15" s="1"/>
  <c r="B4" i="15"/>
  <c r="C41" i="14"/>
  <c r="F40" i="14" s="1"/>
  <c r="D38" i="14"/>
  <c r="E32" i="14"/>
  <c r="B7" i="14"/>
  <c r="C24" i="14" s="1"/>
  <c r="F23" i="14" s="1"/>
  <c r="E30" i="14" s="1"/>
  <c r="D17" i="14"/>
  <c r="H4" i="14"/>
  <c r="F4" i="14"/>
  <c r="F9" i="14"/>
  <c r="D9" i="14"/>
  <c r="B6" i="14"/>
  <c r="B5" i="14"/>
  <c r="B4" i="14"/>
  <c r="E9" i="14" s="1"/>
  <c r="B3" i="14"/>
  <c r="C31" i="13"/>
  <c r="F44" i="13" s="1"/>
  <c r="B44" i="13"/>
  <c r="C25" i="13"/>
  <c r="D25" i="13" s="1"/>
  <c r="D19" i="13"/>
  <c r="D22" i="13" s="1"/>
  <c r="C14" i="13"/>
  <c r="D14" i="13" s="1"/>
  <c r="F2" i="13"/>
  <c r="D8" i="13"/>
  <c r="E6" i="13"/>
  <c r="B8" i="13"/>
  <c r="D12" i="13" s="1"/>
  <c r="C38" i="15" l="1"/>
  <c r="I42" i="15" s="1"/>
  <c r="K42" i="15"/>
  <c r="C11" i="14"/>
  <c r="C15" i="14" s="1"/>
  <c r="C19" i="14" s="1"/>
  <c r="B34" i="14"/>
  <c r="G4" i="14"/>
  <c r="D31" i="13"/>
  <c r="G44" i="13" s="1"/>
  <c r="D26" i="13"/>
  <c r="A44" i="13" s="1"/>
  <c r="D15" i="13"/>
  <c r="B31" i="13" s="1"/>
  <c r="E44" i="13" s="1"/>
  <c r="C44" i="13"/>
  <c r="C10" i="7"/>
  <c r="C9" i="7"/>
  <c r="AO42" i="13"/>
  <c r="AN42" i="13"/>
  <c r="AT41" i="13"/>
  <c r="AS41" i="13"/>
  <c r="S40" i="13"/>
  <c r="R40" i="13"/>
  <c r="X39" i="13"/>
  <c r="W39" i="13"/>
  <c r="AU10" i="13"/>
  <c r="AN22" i="13"/>
  <c r="AQ25" i="13"/>
  <c r="AE43" i="13"/>
  <c r="AE33" i="13"/>
  <c r="AG20" i="13"/>
  <c r="AH25" i="13" s="1"/>
  <c r="AF12" i="13"/>
  <c r="AM22" i="13" l="1"/>
  <c r="AO6" i="13"/>
  <c r="AF14" i="13"/>
  <c r="J6" i="10"/>
  <c r="E22" i="9"/>
  <c r="F33" i="7" s="1"/>
  <c r="AD24" i="13" l="1"/>
  <c r="AH39" i="13"/>
  <c r="AP25" i="13"/>
  <c r="AF17" i="13"/>
  <c r="AD26" i="13" s="1"/>
  <c r="G20" i="10"/>
  <c r="D27" i="11"/>
  <c r="D24" i="11"/>
  <c r="D25" i="11"/>
  <c r="D26" i="11"/>
  <c r="D28" i="11"/>
  <c r="D29" i="11"/>
  <c r="D30" i="11"/>
  <c r="D31" i="11"/>
  <c r="D32" i="11"/>
  <c r="D33" i="11"/>
  <c r="D23" i="11"/>
  <c r="M20" i="13"/>
  <c r="N25" i="13" s="1"/>
  <c r="P12" i="5"/>
  <c r="AH29" i="13" l="1"/>
  <c r="AT10" i="13"/>
  <c r="AO4" i="13"/>
  <c r="AS5" i="13" s="1"/>
  <c r="C21" i="6"/>
  <c r="C20" i="6" s="1"/>
  <c r="P11" i="5"/>
  <c r="P10" i="5"/>
  <c r="P9" i="5"/>
  <c r="P8" i="5"/>
  <c r="P7" i="5"/>
  <c r="P6" i="5"/>
  <c r="P5" i="5"/>
  <c r="P33" i="5"/>
  <c r="P32" i="5"/>
  <c r="P31" i="5"/>
  <c r="P30" i="5"/>
  <c r="P29" i="5"/>
  <c r="P28" i="5"/>
  <c r="P27" i="5"/>
  <c r="H37" i="5"/>
  <c r="H36" i="5"/>
  <c r="H35" i="5"/>
  <c r="H34" i="5"/>
  <c r="H33" i="5"/>
  <c r="H32" i="5"/>
  <c r="H31" i="5"/>
  <c r="H30" i="5"/>
  <c r="H29" i="5"/>
  <c r="H28" i="5"/>
  <c r="H27" i="5"/>
  <c r="H6" i="5"/>
  <c r="H7" i="5"/>
  <c r="H8" i="5"/>
  <c r="H9" i="5"/>
  <c r="H10" i="5"/>
  <c r="H11" i="5"/>
  <c r="H12" i="5"/>
  <c r="H13" i="5"/>
  <c r="H14" i="5"/>
  <c r="H15" i="5"/>
  <c r="H5" i="5"/>
  <c r="AF41" i="13" l="1"/>
  <c r="AH43" i="13" s="1"/>
  <c r="AG45" i="13" s="1"/>
  <c r="AM42" i="13" s="1"/>
  <c r="AF31" i="13"/>
  <c r="AH33" i="13" s="1"/>
  <c r="AG36" i="13" s="1"/>
  <c r="AS42" i="13" s="1"/>
  <c r="P20" i="5"/>
  <c r="H42" i="5"/>
  <c r="H20" i="5"/>
  <c r="P42" i="5"/>
  <c r="G43" i="11" l="1"/>
  <c r="C45" i="11" s="1"/>
  <c r="L22" i="10"/>
  <c r="L19" i="10"/>
  <c r="M29" i="10" s="1"/>
  <c r="B28" i="4" l="1"/>
  <c r="F28" i="4"/>
  <c r="D28" i="4" s="1"/>
  <c r="B29" i="4"/>
  <c r="F29" i="4"/>
  <c r="D29" i="4" s="1"/>
  <c r="B30" i="4"/>
  <c r="F30" i="4"/>
  <c r="D30" i="4" s="1"/>
  <c r="B31" i="4"/>
  <c r="F31" i="4"/>
  <c r="D31" i="4" s="1"/>
  <c r="B32" i="4"/>
  <c r="F32" i="4"/>
  <c r="D32" i="4" s="1"/>
  <c r="B33" i="4"/>
  <c r="F33" i="4"/>
  <c r="D33" i="4" s="1"/>
  <c r="B34" i="4"/>
  <c r="F34" i="4"/>
  <c r="D34" i="4" s="1"/>
  <c r="B35" i="4"/>
  <c r="F35" i="4"/>
  <c r="D35" i="4" s="1"/>
  <c r="B36" i="4"/>
  <c r="F36" i="4"/>
  <c r="D36" i="4" s="1"/>
  <c r="B37" i="4"/>
  <c r="F37" i="4"/>
  <c r="D37" i="4" s="1"/>
  <c r="B38" i="4"/>
  <c r="F38" i="4"/>
  <c r="D38" i="4" s="1"/>
  <c r="AU22" i="13"/>
  <c r="AT22" i="13"/>
  <c r="AS22" i="13"/>
  <c r="AP13" i="13"/>
  <c r="AO13" i="13"/>
  <c r="U14" i="13"/>
  <c r="W22" i="13"/>
  <c r="AA19" i="13"/>
  <c r="Z19" i="13"/>
  <c r="Y19" i="13"/>
  <c r="S19" i="13"/>
  <c r="W10" i="13"/>
  <c r="V10" i="13"/>
  <c r="K33" i="13"/>
  <c r="K43" i="13"/>
  <c r="L12" i="13"/>
  <c r="R19" i="13" l="1"/>
  <c r="L14" i="13"/>
  <c r="D43" i="4"/>
  <c r="B43" i="4"/>
  <c r="D6" i="6" s="1"/>
  <c r="T6" i="13"/>
  <c r="J24" i="13" l="1"/>
  <c r="N39" i="13"/>
  <c r="V22" i="13"/>
  <c r="L17" i="13"/>
  <c r="T14" i="13" l="1"/>
  <c r="J26" i="13"/>
  <c r="N29" i="13" s="1"/>
  <c r="L41" i="13" s="1"/>
  <c r="T4" i="13"/>
  <c r="X5" i="13" s="1"/>
  <c r="A15" i="12"/>
  <c r="A16" i="12" s="1"/>
  <c r="A14" i="12"/>
  <c r="E9" i="12"/>
  <c r="E6" i="12"/>
  <c r="E5" i="12"/>
  <c r="L31" i="13" l="1"/>
  <c r="N33" i="13" s="1"/>
  <c r="M36" i="13" s="1"/>
  <c r="W40" i="13" s="1"/>
  <c r="N43" i="13"/>
  <c r="M45" i="13" s="1"/>
  <c r="Q40" i="13" s="1"/>
  <c r="E7" i="12"/>
  <c r="E8" i="12" s="1"/>
  <c r="E10" i="12" s="1"/>
  <c r="B15" i="12" s="1"/>
  <c r="D15" i="12" s="1"/>
  <c r="A17" i="12"/>
  <c r="A18" i="12" s="1"/>
  <c r="B13" i="12"/>
  <c r="B14" i="12" l="1"/>
  <c r="B16" i="12"/>
  <c r="C15" i="12"/>
  <c r="E15" i="12" s="1"/>
  <c r="B17" i="12"/>
  <c r="B18" i="12"/>
  <c r="A19" i="12"/>
  <c r="D16" i="12"/>
  <c r="C16" i="12"/>
  <c r="C13" i="12"/>
  <c r="D13" i="12"/>
  <c r="D14" i="12"/>
  <c r="C14" i="12"/>
  <c r="E14" i="12" l="1"/>
  <c r="E13" i="12"/>
  <c r="E16" i="12"/>
  <c r="A20" i="12"/>
  <c r="B19" i="12"/>
  <c r="C18" i="12"/>
  <c r="D18" i="12"/>
  <c r="D17" i="12"/>
  <c r="C17" i="12"/>
  <c r="E17" i="12" l="1"/>
  <c r="E18" i="12"/>
  <c r="D19" i="12"/>
  <c r="C19" i="12"/>
  <c r="A21" i="12"/>
  <c r="B20" i="12"/>
  <c r="E19" i="12" l="1"/>
  <c r="D20" i="12"/>
  <c r="C20" i="12"/>
  <c r="A22" i="12"/>
  <c r="B21" i="12"/>
  <c r="A23" i="12" l="1"/>
  <c r="B22" i="12"/>
  <c r="C21" i="12"/>
  <c r="D21" i="12"/>
  <c r="E20" i="12"/>
  <c r="E21" i="12" l="1"/>
  <c r="D22" i="12"/>
  <c r="C22" i="12"/>
  <c r="A24" i="12"/>
  <c r="B23" i="12"/>
  <c r="J28" i="5"/>
  <c r="J29" i="5"/>
  <c r="J30" i="5"/>
  <c r="J31" i="5"/>
  <c r="J32" i="5"/>
  <c r="J33" i="5"/>
  <c r="J27" i="5"/>
  <c r="B28" i="5"/>
  <c r="B29" i="5"/>
  <c r="B30" i="5"/>
  <c r="B31" i="5"/>
  <c r="B32" i="5"/>
  <c r="B33" i="5"/>
  <c r="B34" i="5"/>
  <c r="B35" i="5"/>
  <c r="B36" i="5"/>
  <c r="B37" i="5"/>
  <c r="B27" i="5"/>
  <c r="J6" i="5"/>
  <c r="J7" i="5"/>
  <c r="J8" i="5"/>
  <c r="J9" i="5"/>
  <c r="J10" i="5"/>
  <c r="J11" i="5"/>
  <c r="J12" i="5"/>
  <c r="J5" i="5"/>
  <c r="B6" i="5"/>
  <c r="B7" i="5"/>
  <c r="B8" i="5"/>
  <c r="B9" i="5"/>
  <c r="B10" i="5"/>
  <c r="B11" i="5"/>
  <c r="B12" i="5"/>
  <c r="B13" i="5"/>
  <c r="B14" i="5"/>
  <c r="B15" i="5"/>
  <c r="B5" i="5"/>
  <c r="E22" i="12" l="1"/>
  <c r="C23" i="12"/>
  <c r="D23" i="12"/>
  <c r="B24" i="12"/>
  <c r="A25" i="12"/>
  <c r="L42" i="5"/>
  <c r="J42" i="5"/>
  <c r="L20" i="5"/>
  <c r="J20" i="5"/>
  <c r="D42" i="5"/>
  <c r="B42" i="5"/>
  <c r="D20" i="5"/>
  <c r="B20" i="5"/>
  <c r="C20" i="10"/>
  <c r="G21" i="10" s="1"/>
  <c r="B42" i="8"/>
  <c r="C4" i="6" s="1"/>
  <c r="E4" i="6" s="1"/>
  <c r="J21" i="8"/>
  <c r="C5" i="6" s="1"/>
  <c r="E5" i="6" s="1"/>
  <c r="J42" i="8"/>
  <c r="C6" i="6" s="1"/>
  <c r="E6" i="6" s="1"/>
  <c r="R21" i="8"/>
  <c r="C7" i="6" s="1"/>
  <c r="E7" i="6" s="1"/>
  <c r="H29" i="6"/>
  <c r="A21" i="6"/>
  <c r="A20" i="6"/>
  <c r="O34" i="4"/>
  <c r="M34" i="4" s="1"/>
  <c r="K34" i="4"/>
  <c r="O33" i="4"/>
  <c r="M33" i="4" s="1"/>
  <c r="K33" i="4"/>
  <c r="O32" i="4"/>
  <c r="M32" i="4" s="1"/>
  <c r="K32" i="4"/>
  <c r="O31" i="4"/>
  <c r="M31" i="4" s="1"/>
  <c r="K31" i="4"/>
  <c r="O30" i="4"/>
  <c r="M30" i="4" s="1"/>
  <c r="K30" i="4"/>
  <c r="O29" i="4"/>
  <c r="M29" i="4" s="1"/>
  <c r="K29" i="4"/>
  <c r="O28" i="4"/>
  <c r="M28" i="4" s="1"/>
  <c r="K28" i="4"/>
  <c r="F15" i="4"/>
  <c r="D15" i="4" s="1"/>
  <c r="B15" i="4"/>
  <c r="F14" i="4"/>
  <c r="D14" i="4" s="1"/>
  <c r="B14" i="4"/>
  <c r="F13" i="4"/>
  <c r="D13" i="4" s="1"/>
  <c r="B13" i="4"/>
  <c r="O12" i="4"/>
  <c r="M12" i="4" s="1"/>
  <c r="K12" i="4"/>
  <c r="F12" i="4"/>
  <c r="D12" i="4" s="1"/>
  <c r="B12" i="4"/>
  <c r="O11" i="4"/>
  <c r="M11" i="4" s="1"/>
  <c r="K11" i="4"/>
  <c r="F11" i="4"/>
  <c r="D11" i="4" s="1"/>
  <c r="B11" i="4"/>
  <c r="O10" i="4"/>
  <c r="M10" i="4" s="1"/>
  <c r="K10" i="4"/>
  <c r="F10" i="4"/>
  <c r="D10" i="4" s="1"/>
  <c r="B10" i="4"/>
  <c r="O9" i="4"/>
  <c r="M9" i="4" s="1"/>
  <c r="K9" i="4"/>
  <c r="F9" i="4"/>
  <c r="D9" i="4" s="1"/>
  <c r="B9" i="4"/>
  <c r="O8" i="4"/>
  <c r="M8" i="4" s="1"/>
  <c r="K8" i="4"/>
  <c r="F8" i="4"/>
  <c r="D8" i="4" s="1"/>
  <c r="B8" i="4"/>
  <c r="O7" i="4"/>
  <c r="M7" i="4" s="1"/>
  <c r="K7" i="4"/>
  <c r="F7" i="4"/>
  <c r="D7" i="4" s="1"/>
  <c r="B7" i="4"/>
  <c r="O6" i="4"/>
  <c r="M6" i="4" s="1"/>
  <c r="K6" i="4"/>
  <c r="F6" i="4"/>
  <c r="D6" i="4" s="1"/>
  <c r="B6" i="4"/>
  <c r="O5" i="4"/>
  <c r="M5" i="4" s="1"/>
  <c r="K5" i="4"/>
  <c r="F5" i="4"/>
  <c r="D5" i="4" s="1"/>
  <c r="D20" i="4" s="1"/>
  <c r="B5" i="4"/>
  <c r="G42" i="10"/>
  <c r="C42" i="10"/>
  <c r="B37" i="10"/>
  <c r="A37" i="10"/>
  <c r="B36" i="10"/>
  <c r="A36" i="10"/>
  <c r="B35" i="10"/>
  <c r="A35" i="10"/>
  <c r="B34" i="10"/>
  <c r="A34" i="10"/>
  <c r="F33" i="10"/>
  <c r="B33" i="10"/>
  <c r="A33" i="10"/>
  <c r="F32" i="10"/>
  <c r="E32" i="10"/>
  <c r="B32" i="10"/>
  <c r="A32" i="10"/>
  <c r="F31" i="10"/>
  <c r="E31" i="10"/>
  <c r="B31" i="10"/>
  <c r="A31" i="10"/>
  <c r="F30" i="10"/>
  <c r="E30" i="10"/>
  <c r="B30" i="10"/>
  <c r="A30" i="10"/>
  <c r="F29" i="10"/>
  <c r="E29" i="10"/>
  <c r="B29" i="10"/>
  <c r="A29" i="10"/>
  <c r="F28" i="10"/>
  <c r="E28" i="10"/>
  <c r="B28" i="10"/>
  <c r="A28" i="10"/>
  <c r="F27" i="10"/>
  <c r="E27" i="10"/>
  <c r="B27" i="10"/>
  <c r="A27" i="10"/>
  <c r="B15" i="10"/>
  <c r="A15" i="10"/>
  <c r="B14" i="10"/>
  <c r="A14" i="10"/>
  <c r="B13" i="10"/>
  <c r="A13" i="10"/>
  <c r="M8" i="10"/>
  <c r="L15" i="10" s="1"/>
  <c r="F12" i="10"/>
  <c r="E12" i="10"/>
  <c r="B12" i="10"/>
  <c r="A12" i="10"/>
  <c r="K11" i="10"/>
  <c r="F11" i="10"/>
  <c r="E11" i="10"/>
  <c r="B11" i="10"/>
  <c r="A11" i="10"/>
  <c r="F10" i="10"/>
  <c r="E10" i="10"/>
  <c r="B10" i="10"/>
  <c r="A10" i="10"/>
  <c r="F9" i="10"/>
  <c r="E9" i="10"/>
  <c r="B9" i="10"/>
  <c r="A9" i="10"/>
  <c r="F8" i="10"/>
  <c r="E8" i="10"/>
  <c r="B8" i="10"/>
  <c r="A8" i="10"/>
  <c r="F7" i="10"/>
  <c r="E7" i="10"/>
  <c r="B7" i="10"/>
  <c r="A7" i="10"/>
  <c r="F6" i="10"/>
  <c r="E6" i="10"/>
  <c r="B6" i="10"/>
  <c r="A6" i="10"/>
  <c r="F5" i="10"/>
  <c r="E5" i="10"/>
  <c r="B5" i="10"/>
  <c r="A5" i="10"/>
  <c r="T45" i="8"/>
  <c r="W42" i="8"/>
  <c r="S42" i="8"/>
  <c r="L37" i="8"/>
  <c r="M37" i="8" s="1"/>
  <c r="D37" i="8"/>
  <c r="E37" i="8" s="1"/>
  <c r="F37" i="8" s="1"/>
  <c r="L36" i="8"/>
  <c r="M36" i="8" s="1"/>
  <c r="D36" i="8"/>
  <c r="E36" i="8" s="1"/>
  <c r="L35" i="8"/>
  <c r="M35" i="8" s="1"/>
  <c r="D35" i="8"/>
  <c r="E35" i="8" s="1"/>
  <c r="L34" i="8"/>
  <c r="M34" i="8" s="1"/>
  <c r="N34" i="8" s="1"/>
  <c r="D34" i="8"/>
  <c r="E34" i="8" s="1"/>
  <c r="R33" i="8"/>
  <c r="L33" i="8"/>
  <c r="M33" i="8" s="1"/>
  <c r="D33" i="8"/>
  <c r="E33" i="8" s="1"/>
  <c r="R32" i="8"/>
  <c r="L32" i="8"/>
  <c r="M32" i="8" s="1"/>
  <c r="D32" i="8"/>
  <c r="E32" i="8" s="1"/>
  <c r="L31" i="8"/>
  <c r="M31" i="8" s="1"/>
  <c r="D31" i="8"/>
  <c r="E31" i="8" s="1"/>
  <c r="L30" i="8"/>
  <c r="M30" i="8" s="1"/>
  <c r="N30" i="8" s="1"/>
  <c r="D30" i="8"/>
  <c r="E30" i="8" s="1"/>
  <c r="T29" i="8"/>
  <c r="S29" i="8"/>
  <c r="L29" i="8"/>
  <c r="M29" i="8" s="1"/>
  <c r="D29" i="8"/>
  <c r="E29" i="8" s="1"/>
  <c r="T28" i="8"/>
  <c r="S28" i="8"/>
  <c r="L28" i="8"/>
  <c r="M28" i="8" s="1"/>
  <c r="D28" i="8"/>
  <c r="E28" i="8" s="1"/>
  <c r="L27" i="8"/>
  <c r="M27" i="8" s="1"/>
  <c r="N27" i="8" s="1"/>
  <c r="D27" i="8"/>
  <c r="E27" i="8" s="1"/>
  <c r="M13" i="8"/>
  <c r="L13" i="8"/>
  <c r="T12" i="8"/>
  <c r="U12" i="8" s="1"/>
  <c r="L12" i="8"/>
  <c r="M12" i="8" s="1"/>
  <c r="N12" i="8" s="1"/>
  <c r="T11" i="8"/>
  <c r="U11" i="8" s="1"/>
  <c r="M11" i="8"/>
  <c r="N11" i="8" s="1"/>
  <c r="L11" i="8"/>
  <c r="T10" i="8"/>
  <c r="U10" i="8" s="1"/>
  <c r="L10" i="8"/>
  <c r="M10" i="8" s="1"/>
  <c r="T9" i="8"/>
  <c r="U9" i="8" s="1"/>
  <c r="L9" i="8"/>
  <c r="M9" i="8" s="1"/>
  <c r="T8" i="8"/>
  <c r="U8" i="8" s="1"/>
  <c r="M8" i="8"/>
  <c r="N8" i="8" s="1"/>
  <c r="L8" i="8"/>
  <c r="T7" i="8"/>
  <c r="U7" i="8" s="1"/>
  <c r="L7" i="8"/>
  <c r="M7" i="8" s="1"/>
  <c r="N7" i="8" s="1"/>
  <c r="T6" i="8"/>
  <c r="U6" i="8" s="1"/>
  <c r="M6" i="8"/>
  <c r="L6" i="8"/>
  <c r="C39" i="7"/>
  <c r="F35" i="7"/>
  <c r="F30" i="7"/>
  <c r="F29" i="7"/>
  <c r="F34" i="7" s="1"/>
  <c r="C28" i="7"/>
  <c r="F7" i="7"/>
  <c r="F8" i="7" s="1"/>
  <c r="F9" i="7" s="1"/>
  <c r="C27" i="7" s="1"/>
  <c r="G43" i="10" l="1"/>
  <c r="L23" i="10"/>
  <c r="N22" i="10" s="1"/>
  <c r="M30" i="10" s="1"/>
  <c r="L16" i="10"/>
  <c r="M43" i="4"/>
  <c r="N15" i="10"/>
  <c r="M28" i="10" s="1"/>
  <c r="F36" i="7"/>
  <c r="C31" i="7" s="1"/>
  <c r="C34" i="7" s="1"/>
  <c r="C40" i="7" s="1"/>
  <c r="C41" i="7" s="1"/>
  <c r="C42" i="7" s="1"/>
  <c r="F51" i="7" s="1"/>
  <c r="F56" i="7" s="1"/>
  <c r="C69" i="7" s="1"/>
  <c r="H26" i="6"/>
  <c r="M20" i="4"/>
  <c r="E23" i="12"/>
  <c r="A26" i="12"/>
  <c r="B25" i="12"/>
  <c r="D24" i="12"/>
  <c r="C24" i="12"/>
  <c r="N27" i="10"/>
  <c r="M27" i="10"/>
  <c r="B20" i="4"/>
  <c r="D4" i="6" s="1"/>
  <c r="K20" i="4"/>
  <c r="D5" i="6" s="1"/>
  <c r="K43" i="4"/>
  <c r="D7" i="6" s="1"/>
  <c r="F30" i="8"/>
  <c r="F29" i="8"/>
  <c r="F34" i="8"/>
  <c r="V6" i="8"/>
  <c r="V9" i="8"/>
  <c r="V12" i="8"/>
  <c r="N28" i="8"/>
  <c r="F35" i="8"/>
  <c r="F27" i="8"/>
  <c r="V8" i="8"/>
  <c r="V7" i="8"/>
  <c r="V11" i="8"/>
  <c r="V10" i="8"/>
  <c r="N9" i="8"/>
  <c r="N13" i="8"/>
  <c r="F32" i="8"/>
  <c r="F33" i="8"/>
  <c r="F36" i="8"/>
  <c r="N6" i="8"/>
  <c r="N10" i="8"/>
  <c r="F28" i="8"/>
  <c r="F31" i="8"/>
  <c r="N29" i="8"/>
  <c r="N31" i="8"/>
  <c r="N33" i="8"/>
  <c r="N32" i="8"/>
  <c r="E9" i="6"/>
  <c r="E8" i="6"/>
  <c r="N35" i="8"/>
  <c r="N36" i="8"/>
  <c r="N37" i="8"/>
  <c r="V21" i="8" l="1"/>
  <c r="C55" i="7"/>
  <c r="B13" i="11"/>
  <c r="C19" i="11" s="1"/>
  <c r="C51" i="7"/>
  <c r="C58" i="7" s="1"/>
  <c r="C62" i="7" s="1"/>
  <c r="N21" i="8"/>
  <c r="P10" i="8" s="1"/>
  <c r="N42" i="8"/>
  <c r="P37" i="8" s="1"/>
  <c r="E24" i="12"/>
  <c r="D25" i="12"/>
  <c r="C25" i="12"/>
  <c r="B26" i="12"/>
  <c r="A27" i="12"/>
  <c r="C72" i="7"/>
  <c r="C73" i="7"/>
  <c r="F4" i="6" s="1"/>
  <c r="F42" i="8"/>
  <c r="H37" i="8" s="1"/>
  <c r="X8" i="8"/>
  <c r="X10" i="8"/>
  <c r="X9" i="8"/>
  <c r="X6" i="8"/>
  <c r="X12" i="8"/>
  <c r="O42" i="8" l="1"/>
  <c r="P9" i="8"/>
  <c r="P6" i="8"/>
  <c r="P13" i="8"/>
  <c r="O21" i="8"/>
  <c r="U28" i="8" s="1"/>
  <c r="W28" i="8" s="1"/>
  <c r="W33" i="8" s="1"/>
  <c r="L8" i="4"/>
  <c r="N8" i="4" s="1"/>
  <c r="L9" i="4"/>
  <c r="N9" i="4" s="1"/>
  <c r="C11" i="4"/>
  <c r="L7" i="4"/>
  <c r="N7" i="4" s="1"/>
  <c r="C10" i="4"/>
  <c r="E10" i="4" s="1"/>
  <c r="L6" i="4"/>
  <c r="N6" i="4" s="1"/>
  <c r="C9" i="4"/>
  <c r="E9" i="4" s="1"/>
  <c r="L5" i="4"/>
  <c r="C6" i="4"/>
  <c r="E6" i="4" s="1"/>
  <c r="C13" i="4"/>
  <c r="E13" i="4" s="1"/>
  <c r="C12" i="4"/>
  <c r="E12" i="4" s="1"/>
  <c r="L12" i="4"/>
  <c r="N12" i="4" s="1"/>
  <c r="C5" i="4"/>
  <c r="E5" i="4" s="1"/>
  <c r="L10" i="4"/>
  <c r="N10" i="4" s="1"/>
  <c r="C8" i="4"/>
  <c r="E8" i="4" s="1"/>
  <c r="C15" i="4"/>
  <c r="E15" i="4" s="1"/>
  <c r="C7" i="4"/>
  <c r="E7" i="4" s="1"/>
  <c r="C14" i="4"/>
  <c r="E14" i="4" s="1"/>
  <c r="L11" i="4"/>
  <c r="N11" i="4" s="1"/>
  <c r="W21" i="8"/>
  <c r="U29" i="8" s="1"/>
  <c r="W29" i="8" s="1"/>
  <c r="U33" i="8" s="1"/>
  <c r="E25" i="12"/>
  <c r="A28" i="12"/>
  <c r="B27" i="12"/>
  <c r="D26" i="12"/>
  <c r="C26" i="12"/>
  <c r="C66" i="7"/>
  <c r="C65" i="7"/>
  <c r="B8" i="15" s="1"/>
  <c r="F5" i="6"/>
  <c r="B20" i="6" s="1"/>
  <c r="D20" i="6" s="1"/>
  <c r="G42" i="8"/>
  <c r="V28" i="8" s="1"/>
  <c r="X28" i="8" s="1"/>
  <c r="W34" i="8" s="1"/>
  <c r="H35" i="8"/>
  <c r="V29" i="8"/>
  <c r="H34" i="8"/>
  <c r="H33" i="8"/>
  <c r="H29" i="8"/>
  <c r="X7" i="8"/>
  <c r="H36" i="8"/>
  <c r="H30" i="8"/>
  <c r="X11" i="8"/>
  <c r="H31" i="8"/>
  <c r="H32" i="8"/>
  <c r="P8" i="8"/>
  <c r="P11" i="8"/>
  <c r="P12" i="8"/>
  <c r="P7" i="8"/>
  <c r="H27" i="8"/>
  <c r="H28" i="8"/>
  <c r="P31" i="8"/>
  <c r="P35" i="8"/>
  <c r="P30" i="8"/>
  <c r="P29" i="8"/>
  <c r="P28" i="8"/>
  <c r="P34" i="8"/>
  <c r="P33" i="8"/>
  <c r="P27" i="8"/>
  <c r="P32" i="8"/>
  <c r="P36" i="8"/>
  <c r="G4" i="15" l="1"/>
  <c r="G8" i="15"/>
  <c r="X29" i="8"/>
  <c r="U34" i="8" s="1"/>
  <c r="E31" i="11"/>
  <c r="E33" i="11"/>
  <c r="E24" i="11"/>
  <c r="E32" i="11"/>
  <c r="E23" i="11"/>
  <c r="E28" i="11"/>
  <c r="E25" i="11"/>
  <c r="E26" i="11"/>
  <c r="E27" i="11"/>
  <c r="E29" i="11"/>
  <c r="E30" i="11"/>
  <c r="L31" i="4"/>
  <c r="N31" i="4" s="1"/>
  <c r="C28" i="4"/>
  <c r="E28" i="4" s="1"/>
  <c r="L30" i="4"/>
  <c r="N30" i="4" s="1"/>
  <c r="C34" i="4"/>
  <c r="L29" i="4"/>
  <c r="N29" i="4" s="1"/>
  <c r="C35" i="4"/>
  <c r="E35" i="4" s="1"/>
  <c r="H35" i="4" s="1"/>
  <c r="L28" i="4"/>
  <c r="C29" i="4"/>
  <c r="E29" i="4" s="1"/>
  <c r="C28" i="5" s="1"/>
  <c r="C31" i="4"/>
  <c r="E31" i="4" s="1"/>
  <c r="L33" i="4"/>
  <c r="N33" i="4" s="1"/>
  <c r="L32" i="4"/>
  <c r="N32" i="4" s="1"/>
  <c r="C37" i="4"/>
  <c r="E37" i="4" s="1"/>
  <c r="C32" i="4"/>
  <c r="E32" i="4" s="1"/>
  <c r="H32" i="4" s="1"/>
  <c r="C36" i="4"/>
  <c r="E36" i="4" s="1"/>
  <c r="C33" i="4"/>
  <c r="E33" i="4" s="1"/>
  <c r="C30" i="4"/>
  <c r="E30" i="4" s="1"/>
  <c r="C38" i="4"/>
  <c r="E38" i="4" s="1"/>
  <c r="H38" i="4" s="1"/>
  <c r="L34" i="4"/>
  <c r="N34" i="4" s="1"/>
  <c r="E11" i="4"/>
  <c r="C11" i="5" s="1"/>
  <c r="E26" i="12"/>
  <c r="D27" i="12"/>
  <c r="C27" i="12"/>
  <c r="A29" i="12"/>
  <c r="B28" i="12"/>
  <c r="H15" i="4"/>
  <c r="C15" i="5"/>
  <c r="I15" i="4"/>
  <c r="R12" i="4"/>
  <c r="K12" i="5"/>
  <c r="Q12" i="4"/>
  <c r="H7" i="4"/>
  <c r="C7" i="5"/>
  <c r="I7" i="4"/>
  <c r="L20" i="4"/>
  <c r="N5" i="4"/>
  <c r="Q9" i="4"/>
  <c r="K9" i="5"/>
  <c r="R9" i="4"/>
  <c r="R10" i="4"/>
  <c r="K10" i="5"/>
  <c r="Q10" i="4"/>
  <c r="C13" i="5"/>
  <c r="I13" i="4"/>
  <c r="H13" i="4"/>
  <c r="C20" i="4"/>
  <c r="I10" i="4"/>
  <c r="C10" i="5"/>
  <c r="H10" i="4"/>
  <c r="I8" i="4"/>
  <c r="C8" i="5"/>
  <c r="H8" i="4"/>
  <c r="R11" i="4"/>
  <c r="K11" i="5"/>
  <c r="Q11" i="4"/>
  <c r="I14" i="4"/>
  <c r="C14" i="5"/>
  <c r="H14" i="4"/>
  <c r="R7" i="4"/>
  <c r="K7" i="5"/>
  <c r="Q7" i="4"/>
  <c r="K8" i="5"/>
  <c r="R8" i="4"/>
  <c r="Q8" i="4"/>
  <c r="K6" i="5"/>
  <c r="R6" i="4"/>
  <c r="Q6" i="4"/>
  <c r="H9" i="4"/>
  <c r="C9" i="5"/>
  <c r="I9" i="4"/>
  <c r="C12" i="5"/>
  <c r="I12" i="4"/>
  <c r="H12" i="4"/>
  <c r="I6" i="4"/>
  <c r="C6" i="5"/>
  <c r="H6" i="4"/>
  <c r="F7" i="6"/>
  <c r="F6" i="6"/>
  <c r="B21" i="6" l="1"/>
  <c r="B22" i="6" s="1"/>
  <c r="I31" i="4"/>
  <c r="H31" i="4"/>
  <c r="I28" i="4"/>
  <c r="H28" i="4"/>
  <c r="H37" i="4"/>
  <c r="I37" i="4"/>
  <c r="I32" i="4"/>
  <c r="H30" i="4"/>
  <c r="I30" i="4"/>
  <c r="H36" i="4"/>
  <c r="I36" i="4"/>
  <c r="I33" i="4"/>
  <c r="H33" i="4"/>
  <c r="H29" i="4"/>
  <c r="F33" i="11"/>
  <c r="G33" i="11"/>
  <c r="H33" i="11" s="1"/>
  <c r="I29" i="4"/>
  <c r="F27" i="11"/>
  <c r="G27" i="11"/>
  <c r="H27" i="11" s="1"/>
  <c r="F32" i="11"/>
  <c r="G32" i="11"/>
  <c r="H32" i="11" s="1"/>
  <c r="I35" i="4"/>
  <c r="F31" i="11"/>
  <c r="G31" i="11"/>
  <c r="H31" i="11" s="1"/>
  <c r="F24" i="11"/>
  <c r="G24" i="11"/>
  <c r="H24" i="11" s="1"/>
  <c r="F30" i="11"/>
  <c r="G30" i="11"/>
  <c r="H30" i="11" s="1"/>
  <c r="F29" i="11"/>
  <c r="G29" i="11"/>
  <c r="H29" i="11" s="1"/>
  <c r="F23" i="11"/>
  <c r="G23" i="11"/>
  <c r="H23" i="11" s="1"/>
  <c r="I38" i="4"/>
  <c r="F26" i="11"/>
  <c r="G26" i="11"/>
  <c r="H26" i="11" s="1"/>
  <c r="C43" i="4"/>
  <c r="F28" i="11"/>
  <c r="G28" i="11"/>
  <c r="H28" i="11" s="1"/>
  <c r="E34" i="4"/>
  <c r="I34" i="4" s="1"/>
  <c r="F25" i="11"/>
  <c r="G25" i="11"/>
  <c r="H25" i="11" s="1"/>
  <c r="I11" i="4"/>
  <c r="H11" i="4"/>
  <c r="E27" i="12"/>
  <c r="A30" i="12"/>
  <c r="B29" i="12"/>
  <c r="D28" i="12"/>
  <c r="C28" i="12"/>
  <c r="K28" i="5"/>
  <c r="R29" i="4"/>
  <c r="Q29" i="4"/>
  <c r="Q31" i="4"/>
  <c r="K30" i="5"/>
  <c r="R31" i="4"/>
  <c r="C34" i="5"/>
  <c r="C35" i="5"/>
  <c r="K29" i="5"/>
  <c r="R30" i="4"/>
  <c r="Q30" i="4"/>
  <c r="C37" i="5"/>
  <c r="C32" i="5"/>
  <c r="L43" i="4"/>
  <c r="N28" i="4"/>
  <c r="C31" i="5"/>
  <c r="K33" i="5"/>
  <c r="R34" i="4"/>
  <c r="Q34" i="4"/>
  <c r="Q32" i="4"/>
  <c r="K31" i="5"/>
  <c r="R32" i="4"/>
  <c r="C29" i="5"/>
  <c r="K5" i="5"/>
  <c r="R5" i="4"/>
  <c r="Q5" i="4"/>
  <c r="R33" i="4"/>
  <c r="K32" i="5"/>
  <c r="Q33" i="4"/>
  <c r="C27" i="5"/>
  <c r="C5" i="5"/>
  <c r="H5" i="4"/>
  <c r="I5" i="4"/>
  <c r="C36" i="5"/>
  <c r="C30" i="5"/>
  <c r="H34" i="4" l="1"/>
  <c r="C33" i="5"/>
  <c r="E28" i="12"/>
  <c r="C29" i="12"/>
  <c r="D29" i="12"/>
  <c r="A31" i="12"/>
  <c r="B30" i="12"/>
  <c r="D21" i="6"/>
  <c r="R28" i="4"/>
  <c r="K27" i="5"/>
  <c r="Q28" i="4"/>
  <c r="D22" i="6" l="1"/>
  <c r="E21" i="6" s="1"/>
  <c r="F28" i="6" s="1"/>
  <c r="D30" i="12"/>
  <c r="C30" i="12"/>
  <c r="A32" i="12"/>
  <c r="B31" i="12"/>
  <c r="E29" i="12"/>
  <c r="F41" i="6" l="1"/>
  <c r="E20" i="6"/>
  <c r="F20" i="6" s="1"/>
  <c r="B32" i="6"/>
  <c r="E30" i="12"/>
  <c r="B32" i="12"/>
  <c r="A33" i="12"/>
  <c r="D31" i="12"/>
  <c r="C31" i="12"/>
  <c r="F25" i="6" l="1"/>
  <c r="B29" i="6"/>
  <c r="F37" i="6"/>
  <c r="E31" i="12"/>
  <c r="D32" i="12"/>
  <c r="C32" i="12"/>
  <c r="A34" i="12"/>
  <c r="B33" i="12"/>
  <c r="F21" i="6" l="1"/>
  <c r="E31" i="5" s="1"/>
  <c r="E5" i="5"/>
  <c r="C39" i="6"/>
  <c r="M12" i="5"/>
  <c r="N12" i="5" s="1"/>
  <c r="E12" i="5"/>
  <c r="F12" i="5" s="1"/>
  <c r="M9" i="5"/>
  <c r="N9" i="5" s="1"/>
  <c r="E10" i="5"/>
  <c r="F10" i="5" s="1"/>
  <c r="M8" i="5"/>
  <c r="N8" i="5" s="1"/>
  <c r="E13" i="5"/>
  <c r="F13" i="5" s="1"/>
  <c r="M7" i="5"/>
  <c r="N7" i="5" s="1"/>
  <c r="M10" i="5"/>
  <c r="N10" i="5" s="1"/>
  <c r="M5" i="5"/>
  <c r="E11" i="5"/>
  <c r="F11" i="5" s="1"/>
  <c r="E9" i="5"/>
  <c r="F9" i="5" s="1"/>
  <c r="E15" i="5"/>
  <c r="F15" i="5" s="1"/>
  <c r="M11" i="5"/>
  <c r="N11" i="5" s="1"/>
  <c r="E14" i="5"/>
  <c r="F14" i="5" s="1"/>
  <c r="E8" i="5"/>
  <c r="F8" i="5" s="1"/>
  <c r="E6" i="5"/>
  <c r="F6" i="5" s="1"/>
  <c r="E7" i="5"/>
  <c r="F7" i="5" s="1"/>
  <c r="M6" i="5"/>
  <c r="N6" i="5" s="1"/>
  <c r="E32" i="12"/>
  <c r="B34" i="12"/>
  <c r="A35" i="12"/>
  <c r="D33" i="12"/>
  <c r="C33" i="12"/>
  <c r="N5" i="5" l="1"/>
  <c r="M20" i="5"/>
  <c r="F5" i="5"/>
  <c r="E20" i="5"/>
  <c r="C43" i="6"/>
  <c r="E34" i="5"/>
  <c r="F34" i="5" s="1"/>
  <c r="M31" i="5"/>
  <c r="N31" i="5" s="1"/>
  <c r="E28" i="5"/>
  <c r="F28" i="5" s="1"/>
  <c r="M33" i="5"/>
  <c r="N33" i="5" s="1"/>
  <c r="M27" i="5"/>
  <c r="E35" i="5"/>
  <c r="F35" i="5" s="1"/>
  <c r="M28" i="5"/>
  <c r="N28" i="5" s="1"/>
  <c r="F31" i="5"/>
  <c r="E27" i="5"/>
  <c r="E32" i="5"/>
  <c r="F32" i="5" s="1"/>
  <c r="M32" i="5"/>
  <c r="N32" i="5" s="1"/>
  <c r="M29" i="5"/>
  <c r="N29" i="5" s="1"/>
  <c r="E29" i="5"/>
  <c r="F29" i="5" s="1"/>
  <c r="E36" i="5"/>
  <c r="F36" i="5" s="1"/>
  <c r="E33" i="5"/>
  <c r="F33" i="5" s="1"/>
  <c r="E30" i="5"/>
  <c r="F30" i="5" s="1"/>
  <c r="E37" i="5"/>
  <c r="F37" i="5" s="1"/>
  <c r="M30" i="5"/>
  <c r="N30" i="5" s="1"/>
  <c r="C34" i="12"/>
  <c r="D34" i="12"/>
  <c r="E33" i="12"/>
  <c r="A36" i="12"/>
  <c r="B35" i="12"/>
  <c r="F27" i="5" l="1"/>
  <c r="E42" i="5"/>
  <c r="N27" i="5"/>
  <c r="M42" i="5"/>
  <c r="E34" i="12"/>
  <c r="D35" i="12"/>
  <c r="C35" i="12"/>
  <c r="A37" i="12"/>
  <c r="B36" i="12"/>
  <c r="E35" i="12" l="1"/>
  <c r="D36" i="12"/>
  <c r="C36" i="12"/>
  <c r="A38" i="12"/>
  <c r="B37" i="12"/>
  <c r="E36" i="12" l="1"/>
  <c r="C37" i="12"/>
  <c r="D37" i="12"/>
  <c r="A39" i="12"/>
  <c r="B38" i="12"/>
  <c r="E37" i="12" l="1"/>
  <c r="D38" i="12"/>
  <c r="C38" i="12"/>
  <c r="A40" i="12"/>
  <c r="B39" i="12"/>
  <c r="E38" i="12" l="1"/>
  <c r="B40" i="12"/>
  <c r="A41" i="12"/>
  <c r="C39" i="12"/>
  <c r="D39" i="12"/>
  <c r="E39" i="12" s="1"/>
  <c r="A42" i="12" l="1"/>
  <c r="B41" i="12"/>
  <c r="D40" i="12"/>
  <c r="C40" i="12"/>
  <c r="E40" i="12" l="1"/>
  <c r="D41" i="12"/>
  <c r="C41" i="12"/>
  <c r="B42" i="12"/>
  <c r="A43" i="12"/>
  <c r="B43" i="12" s="1"/>
  <c r="C42" i="12" l="1"/>
  <c r="D42" i="12"/>
  <c r="E42" i="12" s="1"/>
  <c r="E41" i="12"/>
  <c r="D43" i="12"/>
  <c r="C43" i="12"/>
  <c r="E43" i="1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hp</author>
    <author>AbsaAguirre</author>
  </authors>
  <commentList>
    <comment ref="B7" authorId="0" shapeId="0" xr:uid="{5B67A1F9-3C1F-45DD-A479-453099BEAFA1}">
      <text>
        <r>
          <rPr>
            <b/>
            <sz val="9"/>
            <color indexed="81"/>
            <rFont val="Tahoma"/>
            <family val="2"/>
          </rPr>
          <t xml:space="preserve">hp:
</t>
        </r>
        <r>
          <rPr>
            <sz val="9"/>
            <color indexed="81"/>
            <rFont val="Tahoma"/>
            <family val="2"/>
          </rPr>
          <t xml:space="preserve">RCMEG. Cap. VI Art. 205
RCMCH. Cap. X Art. 330
PRODISIS
</t>
        </r>
      </text>
    </comment>
    <comment ref="B8" authorId="0" shapeId="0" xr:uid="{5AFB883D-D30C-4175-B4A3-2BEBC2D4CD7D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RCMEG. Cap. VI. Art. 205
RCMCH. Cap. X. Art. 330</t>
        </r>
      </text>
    </comment>
    <comment ref="B9" authorId="0" shapeId="0" xr:uid="{F7D37C47-4630-4FD2-B170-115B3E4FBF16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RCMCH. Cap.VIII Art. 293
RCMEG. Cap. VI Art.206</t>
        </r>
      </text>
    </comment>
    <comment ref="B10" authorId="0" shapeId="0" xr:uid="{6DA49DC6-95CF-4B1C-A68B-71EFB8B69296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RCMCH. Cap. VIII Art.294</t>
        </r>
      </text>
    </comment>
    <comment ref="B20" authorId="0" shapeId="0" xr:uid="{2F9096DE-AD49-4B7B-BA4D-B9DF8B61D649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Valor minimo 20 kg/cm</t>
        </r>
        <r>
          <rPr>
            <vertAlign val="superscript"/>
            <sz val="9"/>
            <color indexed="81"/>
            <rFont val="Tahoma"/>
            <family val="2"/>
          </rPr>
          <t>2</t>
        </r>
      </text>
    </comment>
    <comment ref="B21" authorId="0" shapeId="0" xr:uid="{88AD6579-1035-4247-847E-C2BAF94533C9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NTC. =2
Valor maximo experimental en el estado de Gro. =4.5</t>
        </r>
      </text>
    </comment>
    <comment ref="B22" authorId="1" shapeId="0" xr:uid="{53ACEE4B-54E2-44B7-A5FA-37AEEB6592DC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270 kg/m</t>
        </r>
        <r>
          <rPr>
            <vertAlign val="superscript"/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Tahoma"/>
            <family val="2"/>
          </rPr>
          <t xml:space="preserve">
Diseño de casas habitación.
Pag. 46</t>
        </r>
      </text>
    </comment>
    <comment ref="B32" authorId="0" shapeId="0" xr:uid="{C1150747-E594-4D85-9C8C-0C4769352C85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Obtenido del plano en Autocad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uai</author>
    <author>hp</author>
  </authors>
  <commentList>
    <comment ref="B3" authorId="0" shapeId="0" xr:uid="{D14D64F6-F46D-4209-8AA2-9A3F05A491D0}">
      <text>
        <r>
          <rPr>
            <sz val="8"/>
            <color indexed="81"/>
            <rFont val="Tahoma"/>
            <family val="2"/>
          </rPr>
          <t>Incrementar el 50 % de longitud en lados discontinuos para colado no monolítico y 25% en lados discontinuos para colado monolítico</t>
        </r>
      </text>
    </comment>
    <comment ref="B4" authorId="0" shapeId="0" xr:uid="{22CA7390-55C7-46AA-BA75-678C60A03767}">
      <text>
        <r>
          <rPr>
            <sz val="8"/>
            <color indexed="81"/>
            <rFont val="Tahoma"/>
            <family val="2"/>
          </rPr>
          <t>Incrementar el 50 % de longitud en lados discontinuos para colado no monolítico y 25% en lados discontinuos para colado monolítico</t>
        </r>
      </text>
    </comment>
    <comment ref="C7" authorId="1" shapeId="0" xr:uid="{098BB544-2118-442C-A4A0-9D047218EDE7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Concreto Clase </t>
        </r>
        <r>
          <rPr>
            <b/>
            <sz val="9"/>
            <color indexed="81"/>
            <rFont val="Tahoma"/>
            <family val="2"/>
          </rPr>
          <t xml:space="preserve">1
</t>
        </r>
        <r>
          <rPr>
            <sz val="9"/>
            <color indexed="81"/>
            <rFont val="Tahoma"/>
            <family val="2"/>
          </rPr>
          <t xml:space="preserve">Concreto Clase </t>
        </r>
        <r>
          <rPr>
            <b/>
            <sz val="9"/>
            <color indexed="81"/>
            <rFont val="Tahoma"/>
            <family val="2"/>
          </rPr>
          <t>2</t>
        </r>
      </text>
    </comment>
    <comment ref="C8" authorId="1" shapeId="0" xr:uid="{3275D765-3B5A-4ED7-A31F-724B3B7B6DD8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CM= Colado Monolítico.
NM= Colado No Monolítico.</t>
        </r>
      </text>
    </comment>
    <comment ref="C11" authorId="1" shapeId="0" xr:uid="{FEE622A0-925A-46BF-8B1E-1B764D64A4EF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RCMEG. Cap. V Art. 199
Entrepiso 170kg/m2
Azotea 100kg/m2</t>
        </r>
      </text>
    </comment>
    <comment ref="C27" authorId="0" shapeId="0" xr:uid="{D776B9E9-109C-4A30-BBD5-201FA90AC594}">
      <text>
        <r>
          <rPr>
            <sz val="8"/>
            <color indexed="81"/>
            <rFont val="Tahoma"/>
            <family val="2"/>
          </rPr>
          <t>Peso específico 2400 kg/m3</t>
        </r>
      </text>
    </comment>
    <comment ref="C28" authorId="0" shapeId="0" xr:uid="{12A27DCE-0510-4935-BB9B-737B320E286D}">
      <text>
        <r>
          <rPr>
            <sz val="8"/>
            <color indexed="81"/>
            <rFont val="Tahoma"/>
            <family val="2"/>
          </rPr>
          <t>Peso específico 2200 kg/m3</t>
        </r>
      </text>
    </comment>
    <comment ref="C31" authorId="0" shapeId="0" xr:uid="{9C56AF44-62F5-49B0-8968-2219365926F9}">
      <text>
        <r>
          <rPr>
            <sz val="8"/>
            <color indexed="81"/>
            <rFont val="Tahoma"/>
            <family val="2"/>
          </rPr>
          <t>NTCC 2004.6.3.4</t>
        </r>
      </text>
    </comment>
    <comment ref="C32" authorId="0" shapeId="0" xr:uid="{B7A97705-B394-4D39-A5AA-63E37C362AF0}">
      <text>
        <r>
          <rPr>
            <sz val="9"/>
            <color indexed="81"/>
            <rFont val="Tahoma"/>
            <family val="2"/>
          </rPr>
          <t xml:space="preserve">RCMEG ART 197, NTCCADEE 2004 I 5
</t>
        </r>
      </text>
    </comment>
    <comment ref="C39" authorId="1" shapeId="0" xr:uid="{845EB9E1-C21F-4323-A6CD-F8BA9A8F9725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0.6fy</t>
        </r>
      </text>
    </comment>
    <comment ref="C51" authorId="0" shapeId="0" xr:uid="{91B3809E-0C69-4B6D-8D10-BF0B8280FE0E}">
      <text>
        <r>
          <rPr>
            <sz val="8"/>
            <color indexed="81"/>
            <rFont val="Tahoma"/>
            <family val="2"/>
          </rPr>
          <t>Peso específico 2400 kg/m3</t>
        </r>
      </text>
    </comment>
    <comment ref="F51" authorId="0" shapeId="0" xr:uid="{4435BBFB-477E-4ABE-B9B6-010CB268A0AA}">
      <text>
        <r>
          <rPr>
            <sz val="8"/>
            <color indexed="81"/>
            <rFont val="Tahoma"/>
            <family val="2"/>
          </rPr>
          <t>Peso específico 2400 kg/m3</t>
        </r>
      </text>
    </comment>
    <comment ref="C52" authorId="0" shapeId="0" xr:uid="{8E9D4788-7DDA-4F5A-B55F-EEC59E3D80CF}">
      <text>
        <r>
          <rPr>
            <sz val="8"/>
            <color indexed="81"/>
            <rFont val="Tahoma"/>
            <family val="2"/>
          </rPr>
          <t>Peso específico 2200 kg/m3</t>
        </r>
      </text>
    </comment>
    <comment ref="C55" authorId="0" shapeId="0" xr:uid="{FE7CA870-FEEF-4161-A96D-0EB3B06CEA98}">
      <text>
        <r>
          <rPr>
            <sz val="8"/>
            <color indexed="81"/>
            <rFont val="Tahoma"/>
            <family val="2"/>
          </rPr>
          <t>NTCC 2004.6.3.4</t>
        </r>
      </text>
    </comment>
    <comment ref="F55" authorId="0" shapeId="0" xr:uid="{3E73E611-78DF-41D4-A29A-8E3C721965A9}">
      <text>
        <r>
          <rPr>
            <sz val="9"/>
            <color indexed="81"/>
            <rFont val="Tahoma"/>
            <family val="2"/>
          </rPr>
          <t xml:space="preserve">RCMEG ART 197, NTCCADEE 2004 I 5
</t>
        </r>
      </text>
    </comment>
    <comment ref="C56" authorId="0" shapeId="0" xr:uid="{450222DD-2A74-433F-A3A1-6A2B9B060580}">
      <text>
        <r>
          <rPr>
            <sz val="9"/>
            <color indexed="81"/>
            <rFont val="Tahoma"/>
            <family val="2"/>
          </rPr>
          <t xml:space="preserve">RCMEG ART 197, NTCCADEE 2004 I 5
</t>
        </r>
      </text>
    </comment>
    <comment ref="C63" authorId="1" shapeId="0" xr:uid="{F813FFCE-3282-4D0E-8FB3-C4D0795ECB86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RCMEG. Cap. V Art. 199</t>
        </r>
      </text>
    </comment>
    <comment ref="C64" authorId="1" shapeId="0" xr:uid="{891D3D79-E6A3-435D-B495-4113B99DE1C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RCMEG. Cap. V Art. 199</t>
        </r>
      </text>
    </comment>
    <comment ref="C70" authorId="1" shapeId="0" xr:uid="{9B9A77F1-2165-4D2B-A33B-8C9A55A71EE3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RCMEG. Cap. V Art. 199</t>
        </r>
      </text>
    </comment>
    <comment ref="C71" authorId="1" shapeId="0" xr:uid="{FFE6C13F-115F-43A6-AA0B-7428D3048933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RCMEG. Cap. V Art. 199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hp</author>
  </authors>
  <commentList>
    <comment ref="M4" authorId="0" shapeId="0" xr:uid="{4C23C422-8BB5-4B84-8846-3A5B9353266D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Manual de Obras Civiles CFE
Pag.77 Ec. (3.6)</t>
        </r>
      </text>
    </comment>
    <comment ref="U4" authorId="0" shapeId="0" xr:uid="{885D6671-88D9-43A6-82A9-F1EEE6E96DC9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Manual de Obras Civiles CFE
Pag.77 Ec. (3.6)</t>
        </r>
      </text>
    </comment>
    <comment ref="E25" authorId="0" shapeId="0" xr:uid="{37B03239-FFBA-4D01-AEB3-664EEC1B3C19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Manual de Obras Civiles CFE
Pag.77 Ec. (3.6)</t>
        </r>
      </text>
    </comment>
    <comment ref="M25" authorId="0" shapeId="0" xr:uid="{A7C1C58A-1D7D-49AC-A4A6-66731C9C6DB9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Manual de Obras Civiles CFE
Pag.77 Ec. (3.6)</t>
        </r>
      </text>
    </comment>
    <comment ref="Q26" authorId="0" shapeId="0" xr:uid="{B1499E93-D070-44F5-9238-998BA77019E7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Manual de Obras Civiles CFE
Pag.77 Ec. (3.4)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AbsaAguirre</author>
  </authors>
  <commentList>
    <comment ref="G3" authorId="0" shapeId="0" xr:uid="{FEA60565-CE9E-4469-9AB3-9C2E0133831E}">
      <text>
        <r>
          <rPr>
            <sz val="9"/>
            <color indexed="81"/>
            <rFont val="Tahoma"/>
            <family val="2"/>
          </rPr>
          <t xml:space="preserve">Se obtiene de la hoja de excel PR 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sulpicio</author>
  </authors>
  <commentList>
    <comment ref="B6" authorId="0" shapeId="0" xr:uid="{C318E2F7-BBBB-49E8-838F-29A58ECE4401}">
      <text>
        <r>
          <rPr>
            <b/>
            <sz val="9"/>
            <color indexed="81"/>
            <rFont val="Tahoma"/>
            <family val="2"/>
          </rPr>
          <t>sulpicio:</t>
        </r>
        <r>
          <rPr>
            <sz val="9"/>
            <color indexed="81"/>
            <rFont val="Tahoma"/>
            <family val="2"/>
          </rPr>
          <t xml:space="preserve">
Si Q es 3 ó 4, bmin=25 cm</t>
        </r>
      </text>
    </comment>
    <comment ref="E12" authorId="0" shapeId="0" xr:uid="{DBEE0E18-CC28-4764-8F95-08EB881C6BDE}">
      <text>
        <r>
          <rPr>
            <b/>
            <sz val="9"/>
            <color indexed="81"/>
            <rFont val="Tahoma"/>
            <family val="2"/>
          </rPr>
          <t>sulpicio:</t>
        </r>
        <r>
          <rPr>
            <sz val="9"/>
            <color indexed="81"/>
            <rFont val="Tahoma"/>
            <family val="2"/>
          </rPr>
          <t xml:space="preserve">
Ecuación 5.1.3 pag 45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AbsaAguirre</author>
  </authors>
  <commentList>
    <comment ref="H1" authorId="0" shapeId="0" xr:uid="{E69554C7-9A5D-4172-BB20-C553D7F52547}">
      <text>
        <r>
          <rPr>
            <sz val="9"/>
            <color indexed="81"/>
            <rFont val="Tahoma"/>
            <family val="2"/>
          </rPr>
          <t>Ejemplo pag. 57
Diseño de casas habitación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AbsaAguirre</author>
  </authors>
  <commentList>
    <comment ref="L3" authorId="0" shapeId="0" xr:uid="{B51ABBDA-584F-455D-9B0E-EDDBBF83CC97}">
      <text>
        <r>
          <rPr>
            <sz val="9"/>
            <color indexed="81"/>
            <rFont val="Tahoma"/>
            <family val="2"/>
          </rPr>
          <t>W</t>
        </r>
        <r>
          <rPr>
            <vertAlign val="subscript"/>
            <sz val="9"/>
            <color indexed="81"/>
            <rFont val="Tahoma"/>
            <family val="2"/>
          </rPr>
          <t xml:space="preserve">1 </t>
        </r>
        <r>
          <rPr>
            <sz val="9"/>
            <color indexed="81"/>
            <rFont val="Tahoma"/>
            <family val="2"/>
          </rPr>
          <t xml:space="preserve"> o W</t>
        </r>
        <r>
          <rPr>
            <vertAlign val="subscript"/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Tahoma"/>
            <family val="2"/>
          </rPr>
          <t xml:space="preserve"> Según el claro de la trabe de análisis.
</t>
        </r>
      </text>
    </comment>
    <comment ref="G27" authorId="0" shapeId="0" xr:uid="{728DE561-5F50-474B-BB85-F321C8FCB763}">
      <text>
        <r>
          <rPr>
            <b/>
            <sz val="9"/>
            <color indexed="81"/>
            <rFont val="Tahoma"/>
            <family val="2"/>
          </rPr>
          <t>Redondeo a criterio propio</t>
        </r>
      </text>
    </comment>
  </commentList>
</comments>
</file>

<file path=xl/sharedStrings.xml><?xml version="1.0" encoding="utf-8"?>
<sst xmlns="http://schemas.openxmlformats.org/spreadsheetml/2006/main" count="900" uniqueCount="375">
  <si>
    <t>Concepto</t>
  </si>
  <si>
    <t>Losa de concreto reforzado, espesor 10 cm</t>
  </si>
  <si>
    <t>Aplanado inferior de yeso, espesor 1.5 cm</t>
  </si>
  <si>
    <t>CM</t>
  </si>
  <si>
    <t xml:space="preserve">Tipo de muro </t>
  </si>
  <si>
    <t>H (m)</t>
  </si>
  <si>
    <t>Entrepiso</t>
  </si>
  <si>
    <t>B</t>
  </si>
  <si>
    <t>D</t>
  </si>
  <si>
    <t>II</t>
  </si>
  <si>
    <t>X</t>
  </si>
  <si>
    <t>Y</t>
  </si>
  <si>
    <t>No</t>
  </si>
  <si>
    <t>1X</t>
  </si>
  <si>
    <t>2X</t>
  </si>
  <si>
    <t>3X</t>
  </si>
  <si>
    <t>4X</t>
  </si>
  <si>
    <t>5X</t>
  </si>
  <si>
    <t>6X</t>
  </si>
  <si>
    <t>7X</t>
  </si>
  <si>
    <t>8X</t>
  </si>
  <si>
    <t>9X</t>
  </si>
  <si>
    <t>10X</t>
  </si>
  <si>
    <t>11X</t>
  </si>
  <si>
    <t>1Y</t>
  </si>
  <si>
    <t>2Y</t>
  </si>
  <si>
    <t>3Y</t>
  </si>
  <si>
    <t>4Y</t>
  </si>
  <si>
    <t>5Y</t>
  </si>
  <si>
    <t>6Y</t>
  </si>
  <si>
    <t>7Y</t>
  </si>
  <si>
    <t>8Y</t>
  </si>
  <si>
    <t>Muros</t>
  </si>
  <si>
    <t>L (m)</t>
  </si>
  <si>
    <t>Pu/Pr</t>
  </si>
  <si>
    <t>ex</t>
  </si>
  <si>
    <t>ey</t>
  </si>
  <si>
    <t>m</t>
  </si>
  <si>
    <t>WH</t>
  </si>
  <si>
    <t>Altura, H (m)</t>
  </si>
  <si>
    <t>Clase de concreto</t>
  </si>
  <si>
    <t>Pre-análisis de carga losa de entrepiso</t>
  </si>
  <si>
    <t>Aplanado inferior, espesor 1.5 cm</t>
  </si>
  <si>
    <t>Carga adicional de muros</t>
  </si>
  <si>
    <t>Carga adicional Reglamento</t>
  </si>
  <si>
    <t>Otras cargas</t>
  </si>
  <si>
    <t xml:space="preserve">Carga total preliminar </t>
  </si>
  <si>
    <t>Cargas adicionales por muros intermedios</t>
  </si>
  <si>
    <t>Dimensiones del tablero</t>
  </si>
  <si>
    <t>Peso muro (kg/m)</t>
  </si>
  <si>
    <t>Coeficiente lado largo</t>
  </si>
  <si>
    <t>Coeficiente lado corto</t>
  </si>
  <si>
    <t>Modificación de peralte</t>
  </si>
  <si>
    <t>Firme de concreto simple, espesor 3 cm</t>
  </si>
  <si>
    <t>Acabado de loseta cerámica</t>
  </si>
  <si>
    <t>Plafón mortero, espesor 1.5 cm</t>
  </si>
  <si>
    <t xml:space="preserve">Carga total </t>
  </si>
  <si>
    <t>Ubicación</t>
  </si>
  <si>
    <t>Losa tipo</t>
  </si>
  <si>
    <t>∑</t>
  </si>
  <si>
    <r>
      <t xml:space="preserve">Y </t>
    </r>
    <r>
      <rPr>
        <sz val="9"/>
        <color theme="1"/>
        <rFont val="Calibri"/>
        <family val="2"/>
        <scheme val="minor"/>
      </rPr>
      <t>TOR</t>
    </r>
  </si>
  <si>
    <t>0.1Bn=</t>
  </si>
  <si>
    <t>0.1Ln=</t>
  </si>
  <si>
    <t>Ancho, dirección X (m)</t>
  </si>
  <si>
    <t>Largo, dirección Y (m)</t>
  </si>
  <si>
    <t>Tipo de estructura</t>
  </si>
  <si>
    <t>Tipo de suelo</t>
  </si>
  <si>
    <t>Peso (Kg/m)</t>
  </si>
  <si>
    <t>Ancho, a (m)</t>
  </si>
  <si>
    <r>
      <t xml:space="preserve">X </t>
    </r>
    <r>
      <rPr>
        <sz val="9"/>
        <color theme="1"/>
        <rFont val="Calibri"/>
        <family val="2"/>
        <scheme val="minor"/>
      </rPr>
      <t>TOR</t>
    </r>
  </si>
  <si>
    <t>Mampostería</t>
  </si>
  <si>
    <t>Largo, b (m)</t>
  </si>
  <si>
    <r>
      <t xml:space="preserve">h </t>
    </r>
    <r>
      <rPr>
        <b/>
        <i/>
        <vertAlign val="subscript"/>
        <sz val="11"/>
        <color theme="4"/>
        <rFont val="Calibri"/>
        <family val="2"/>
        <scheme val="minor"/>
      </rPr>
      <t>efectivo</t>
    </r>
    <r>
      <rPr>
        <b/>
        <i/>
        <sz val="11"/>
        <color theme="4"/>
        <rFont val="Calibri"/>
        <family val="2"/>
        <scheme val="minor"/>
      </rPr>
      <t xml:space="preserve"> &gt;= Perímetro del tablero/250 para concreto clase 1</t>
    </r>
  </si>
  <si>
    <r>
      <t xml:space="preserve">h </t>
    </r>
    <r>
      <rPr>
        <b/>
        <i/>
        <vertAlign val="subscript"/>
        <sz val="11"/>
        <color theme="4"/>
        <rFont val="Calibri"/>
        <family val="2"/>
        <scheme val="minor"/>
      </rPr>
      <t>efectivo</t>
    </r>
    <r>
      <rPr>
        <b/>
        <i/>
        <sz val="11"/>
        <color theme="4"/>
        <rFont val="Calibri"/>
        <family val="2"/>
        <scheme val="minor"/>
      </rPr>
      <t xml:space="preserve"> &gt;= Perímetro del tablero/170 para concreto clase 2</t>
    </r>
  </si>
  <si>
    <t>Tipo de colado de losa</t>
  </si>
  <si>
    <t>Perímetro lados continuos (m)</t>
  </si>
  <si>
    <t>Altura de entrepiso (m)</t>
  </si>
  <si>
    <r>
      <t>h</t>
    </r>
    <r>
      <rPr>
        <vertAlign val="subscript"/>
        <sz val="10"/>
        <color theme="1"/>
        <rFont val="Calibri"/>
        <family val="2"/>
        <scheme val="minor"/>
      </rPr>
      <t>total</t>
    </r>
    <r>
      <rPr>
        <sz val="10"/>
        <color theme="1"/>
        <rFont val="Calibri"/>
        <family val="2"/>
        <scheme val="minor"/>
      </rPr>
      <t>(cm)</t>
    </r>
  </si>
  <si>
    <t>Firme de concreto simple, espesor 2 cm</t>
  </si>
  <si>
    <t xml:space="preserve">Acabado de loseta </t>
  </si>
  <si>
    <t>Long de muro paralela al lado largo(m)</t>
  </si>
  <si>
    <t>Long de muro paralela al lado corto(m)</t>
  </si>
  <si>
    <t>Factor de correción</t>
  </si>
  <si>
    <t>Perímetro lados discontinuos (m)</t>
  </si>
  <si>
    <t>H=</t>
  </si>
  <si>
    <t>Losa de concreto reforzado</t>
  </si>
  <si>
    <t>Análisis de carga muerta para losa de azotea</t>
  </si>
  <si>
    <t>Impermeabilizante</t>
  </si>
  <si>
    <t>Análisis de carga muerta para losa de entrepiso</t>
  </si>
  <si>
    <t>Cargas de servicio</t>
  </si>
  <si>
    <t>Azotea</t>
  </si>
  <si>
    <t>Carga muerta, CM</t>
  </si>
  <si>
    <t>Carga viva máxima, Wm</t>
  </si>
  <si>
    <t>CM + Wa</t>
  </si>
  <si>
    <t>CM + Wm</t>
  </si>
  <si>
    <t>Donde:</t>
  </si>
  <si>
    <t>Factor de comportamiento sísmico  Q</t>
  </si>
  <si>
    <t>Longitud de muro (m)</t>
  </si>
  <si>
    <t xml:space="preserve">Condiciones para la aplicación del método de análisis sísmico simplificado </t>
  </si>
  <si>
    <t>Espesor, t (m)</t>
  </si>
  <si>
    <t>Longitud de muros (m)</t>
  </si>
  <si>
    <t>Dirección</t>
  </si>
  <si>
    <t>Peso de muro (t)</t>
  </si>
  <si>
    <t>Peso de losa (t)</t>
  </si>
  <si>
    <t>Peso de entrepiso (t)</t>
  </si>
  <si>
    <t>W (t)</t>
  </si>
  <si>
    <t>Fi (t)</t>
  </si>
  <si>
    <t>∑Wi=</t>
  </si>
  <si>
    <t>∑Wi*hi=</t>
  </si>
  <si>
    <t>Datos</t>
  </si>
  <si>
    <t>Cálculo del peralte efectivo</t>
  </si>
  <si>
    <t>Datos generales de la construcción</t>
  </si>
  <si>
    <t>Valores</t>
  </si>
  <si>
    <t>Propiedades de muro</t>
  </si>
  <si>
    <t>Datos de castillos</t>
  </si>
  <si>
    <t>Centros de masa</t>
  </si>
  <si>
    <t>Cálculo de peralte efectivo para no revisar deflexiones (NTCC2021- 7.5.1)</t>
  </si>
  <si>
    <t>Datos de muro</t>
  </si>
  <si>
    <t>Entrepiso 2</t>
  </si>
  <si>
    <t>Entrepiso 1</t>
  </si>
  <si>
    <t>Longitud de muro  (m)</t>
  </si>
  <si>
    <t>Centroide (m)</t>
  </si>
  <si>
    <t>Torsión</t>
  </si>
  <si>
    <t>Valores permisibles</t>
  </si>
  <si>
    <t>Cumplimiento de condiciones</t>
  </si>
  <si>
    <t>Áreas tributarias de muros</t>
  </si>
  <si>
    <t>Carga vertical</t>
  </si>
  <si>
    <t>Área total en planta 1=</t>
  </si>
  <si>
    <t>Área total en planta 2=</t>
  </si>
  <si>
    <t>Nivel</t>
  </si>
  <si>
    <t>Para realizar el cálculo de las fuerzas actuantes en cada nivel, se aplica la siguiente fórmula:</t>
  </si>
  <si>
    <t>L</t>
  </si>
  <si>
    <t>(cm)</t>
  </si>
  <si>
    <t>(t)</t>
  </si>
  <si>
    <t>Necesita malla</t>
  </si>
  <si>
    <t xml:space="preserve"> el muro</t>
  </si>
  <si>
    <t>Carga lateral</t>
  </si>
  <si>
    <t>Pu (t)</t>
  </si>
  <si>
    <t xml:space="preserve">Al menos el 75% de las cargas verticales estará soportada por muros </t>
  </si>
  <si>
    <t>Relación longitud-ancho de la estructura</t>
  </si>
  <si>
    <t xml:space="preserve">Altura máxima de la estructura </t>
  </si>
  <si>
    <t xml:space="preserve">Relación altura-dimensión mínima de la estructura </t>
  </si>
  <si>
    <t>Altura máxima de la estructura</t>
  </si>
  <si>
    <t>Relación altura-dimensión mínima de la estructura</t>
  </si>
  <si>
    <t>Pu</t>
  </si>
  <si>
    <t>Caso I Losa colada monolíticamente</t>
  </si>
  <si>
    <t>Tablero</t>
  </si>
  <si>
    <t>Carga W</t>
  </si>
  <si>
    <t>I</t>
  </si>
  <si>
    <t>III</t>
  </si>
  <si>
    <t>IV</t>
  </si>
  <si>
    <t>V</t>
  </si>
  <si>
    <t>VI</t>
  </si>
  <si>
    <t>VII</t>
  </si>
  <si>
    <t>VIII</t>
  </si>
  <si>
    <t>IX</t>
  </si>
  <si>
    <t>XI</t>
  </si>
  <si>
    <t>d=</t>
  </si>
  <si>
    <t>cm</t>
  </si>
  <si>
    <t>kg</t>
  </si>
  <si>
    <t>b=</t>
  </si>
  <si>
    <r>
      <t>kg/cm</t>
    </r>
    <r>
      <rPr>
        <vertAlign val="superscript"/>
        <sz val="11"/>
        <color theme="1"/>
        <rFont val="Calibri"/>
        <family val="2"/>
        <scheme val="minor"/>
      </rPr>
      <t>2</t>
    </r>
  </si>
  <si>
    <t>Losa de entrepiso</t>
  </si>
  <si>
    <t>h=</t>
  </si>
  <si>
    <r>
      <t>F=W*a</t>
    </r>
    <r>
      <rPr>
        <b/>
        <vertAlign val="subscript"/>
        <sz val="11"/>
        <color theme="1"/>
        <rFont val="Calibri"/>
        <family val="2"/>
        <scheme val="minor"/>
      </rPr>
      <t>1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/10000</t>
    </r>
  </si>
  <si>
    <t>kg*m</t>
  </si>
  <si>
    <r>
      <t>d</t>
    </r>
    <r>
      <rPr>
        <vertAlign val="subscript"/>
        <sz val="10"/>
        <color theme="1"/>
        <rFont val="Calibri"/>
        <family val="2"/>
        <scheme val="minor"/>
      </rPr>
      <t>efectivo</t>
    </r>
    <r>
      <rPr>
        <sz val="10"/>
        <color theme="1"/>
        <rFont val="Calibri"/>
        <family val="2"/>
        <scheme val="minor"/>
      </rPr>
      <t xml:space="preserve"> (cm)</t>
    </r>
  </si>
  <si>
    <r>
      <t>Mu</t>
    </r>
    <r>
      <rPr>
        <b/>
        <sz val="9"/>
        <color theme="1"/>
        <rFont val="Calibri"/>
        <family val="2"/>
        <scheme val="minor"/>
      </rPr>
      <t>máx</t>
    </r>
    <r>
      <rPr>
        <b/>
        <sz val="11"/>
        <color theme="1"/>
        <rFont val="Calibri"/>
        <family val="2"/>
        <scheme val="minor"/>
      </rPr>
      <t>=</t>
    </r>
  </si>
  <si>
    <t>Diagrama de flexión para una viga con acero en tensión</t>
  </si>
  <si>
    <t>Q=</t>
  </si>
  <si>
    <r>
      <rPr>
        <sz val="11"/>
        <color theme="1"/>
        <rFont val="Symbol"/>
        <family val="1"/>
        <charset val="2"/>
      </rPr>
      <t>b</t>
    </r>
    <r>
      <rPr>
        <vertAlign val="subscript"/>
        <sz val="11"/>
        <color theme="1"/>
        <rFont val="Calibri"/>
        <family val="2"/>
      </rPr>
      <t>1</t>
    </r>
    <r>
      <rPr>
        <sz val="11"/>
        <color theme="1"/>
        <rFont val="Calibri"/>
        <family val="2"/>
      </rPr>
      <t>=</t>
    </r>
  </si>
  <si>
    <t>f"c=</t>
  </si>
  <si>
    <t>r=</t>
  </si>
  <si>
    <r>
      <rPr>
        <sz val="11"/>
        <color theme="1"/>
        <rFont val="Symbol"/>
        <family val="1"/>
        <charset val="2"/>
      </rPr>
      <t>r</t>
    </r>
    <r>
      <rPr>
        <vertAlign val="subscript"/>
        <sz val="11"/>
        <color theme="1"/>
        <rFont val="Calibri"/>
        <family val="2"/>
      </rPr>
      <t xml:space="preserve">b </t>
    </r>
    <r>
      <rPr>
        <sz val="11"/>
        <color theme="1"/>
        <rFont val="Calibri"/>
        <family val="2"/>
      </rPr>
      <t>=</t>
    </r>
  </si>
  <si>
    <r>
      <rPr>
        <sz val="11"/>
        <color theme="1"/>
        <rFont val="Symbol"/>
        <family val="1"/>
        <charset val="2"/>
      </rPr>
      <t>r</t>
    </r>
    <r>
      <rPr>
        <vertAlign val="subscript"/>
        <sz val="11"/>
        <color theme="1"/>
        <rFont val="Calibri"/>
        <family val="2"/>
      </rPr>
      <t xml:space="preserve">max </t>
    </r>
    <r>
      <rPr>
        <sz val="11"/>
        <color theme="1"/>
        <rFont val="Calibri"/>
        <family val="2"/>
      </rPr>
      <t>=</t>
    </r>
  </si>
  <si>
    <r>
      <rPr>
        <sz val="11"/>
        <color theme="1"/>
        <rFont val="Symbol"/>
        <family val="1"/>
        <charset val="2"/>
      </rPr>
      <t>r</t>
    </r>
    <r>
      <rPr>
        <vertAlign val="subscript"/>
        <sz val="11"/>
        <color theme="1"/>
        <rFont val="Calibri"/>
        <family val="2"/>
      </rPr>
      <t xml:space="preserve">min </t>
    </r>
    <r>
      <rPr>
        <sz val="11"/>
        <color theme="1"/>
        <rFont val="Calibri"/>
        <family val="2"/>
      </rPr>
      <t>=</t>
    </r>
  </si>
  <si>
    <t>Intervalo</t>
  </si>
  <si>
    <t>#</t>
  </si>
  <si>
    <t>r</t>
  </si>
  <si>
    <t>q</t>
  </si>
  <si>
    <t>Mr (T m)</t>
  </si>
  <si>
    <t>As=</t>
  </si>
  <si>
    <t>S=</t>
  </si>
  <si>
    <t>Cálculos constantes</t>
  </si>
  <si>
    <t>Datos:</t>
  </si>
  <si>
    <t>Revisión por cortante:</t>
  </si>
  <si>
    <t>Pr (t)</t>
  </si>
  <si>
    <t>Ánalizando el momento crítico</t>
  </si>
  <si>
    <t>w=</t>
  </si>
  <si>
    <t>kg/m</t>
  </si>
  <si>
    <t>C=</t>
  </si>
  <si>
    <t>La carga sobre terreno equivale a:</t>
  </si>
  <si>
    <t>Ancho nominal de zapata:</t>
  </si>
  <si>
    <t>con plantilla</t>
  </si>
  <si>
    <t>sin plantilla</t>
  </si>
  <si>
    <t>h - r =</t>
  </si>
  <si>
    <t>L=</t>
  </si>
  <si>
    <t>kg-m</t>
  </si>
  <si>
    <t>Æ</t>
  </si>
  <si>
    <t>A</t>
  </si>
  <si>
    <t>#3</t>
  </si>
  <si>
    <t>#4</t>
  </si>
  <si>
    <t>Área de acero necesario:</t>
  </si>
  <si>
    <t>#5</t>
  </si>
  <si>
    <t>#6</t>
  </si>
  <si>
    <t>Separación de varilla:</t>
  </si>
  <si>
    <t>#8</t>
  </si>
  <si>
    <t>Var.</t>
  </si>
  <si>
    <t>La separación de la varilla transversal será @</t>
  </si>
  <si>
    <t>Revisión por cortante de la sección</t>
  </si>
  <si>
    <t>Análisis de zapata corrida intermedia</t>
  </si>
  <si>
    <t>P/L  (t/m)</t>
  </si>
  <si>
    <t>Esfuerzos efectivos de contacto:</t>
  </si>
  <si>
    <t>Área de acero mínimo</t>
  </si>
  <si>
    <t>La separación de la varilla longitudinal será @</t>
  </si>
  <si>
    <r>
      <t>V</t>
    </r>
    <r>
      <rPr>
        <b/>
        <sz val="8"/>
        <color theme="1"/>
        <rFont val="Calibri"/>
        <family val="2"/>
      </rPr>
      <t xml:space="preserve">R </t>
    </r>
    <r>
      <rPr>
        <b/>
        <sz val="11"/>
        <color theme="1"/>
        <rFont val="Calibri"/>
        <family val="2"/>
      </rPr>
      <t>≥ V</t>
    </r>
    <r>
      <rPr>
        <b/>
        <sz val="8"/>
        <color theme="1"/>
        <rFont val="Calibri"/>
        <family val="2"/>
      </rPr>
      <t>U</t>
    </r>
  </si>
  <si>
    <t>Análisis de zapata corrida extrema</t>
  </si>
  <si>
    <r>
      <t>f</t>
    </r>
    <r>
      <rPr>
        <b/>
        <vertAlign val="subscript"/>
        <sz val="11"/>
        <color theme="1"/>
        <rFont val="Calibri"/>
        <family val="2"/>
        <scheme val="minor"/>
      </rPr>
      <t>y</t>
    </r>
    <r>
      <rPr>
        <b/>
        <sz val="11"/>
        <color theme="1"/>
        <rFont val="Calibri"/>
        <family val="2"/>
        <scheme val="minor"/>
      </rPr>
      <t>=</t>
    </r>
  </si>
  <si>
    <r>
      <t>q</t>
    </r>
    <r>
      <rPr>
        <b/>
        <vertAlign val="subscript"/>
        <sz val="11"/>
        <color theme="1"/>
        <rFont val="Calibri"/>
        <family val="2"/>
        <scheme val="minor"/>
      </rPr>
      <t>R</t>
    </r>
    <r>
      <rPr>
        <b/>
        <sz val="11"/>
        <color theme="1"/>
        <rFont val="Calibri"/>
        <family val="2"/>
        <scheme val="minor"/>
      </rPr>
      <t>=</t>
    </r>
  </si>
  <si>
    <r>
      <t>f'</t>
    </r>
    <r>
      <rPr>
        <b/>
        <vertAlign val="subscript"/>
        <sz val="11"/>
        <color theme="1"/>
        <rFont val="Calibri"/>
        <family val="2"/>
        <scheme val="minor"/>
      </rPr>
      <t>c</t>
    </r>
    <r>
      <rPr>
        <b/>
        <sz val="11"/>
        <color theme="1"/>
        <rFont val="Calibri"/>
        <family val="2"/>
        <scheme val="minor"/>
      </rPr>
      <t>=</t>
    </r>
  </si>
  <si>
    <r>
      <t>cm</t>
    </r>
    <r>
      <rPr>
        <vertAlign val="superscript"/>
        <sz val="11"/>
        <color theme="1"/>
        <rFont val="Calibri"/>
        <family val="2"/>
        <scheme val="minor"/>
      </rPr>
      <t>2</t>
    </r>
  </si>
  <si>
    <r>
      <t>cm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/m</t>
    </r>
  </si>
  <si>
    <r>
      <t>L</t>
    </r>
    <r>
      <rPr>
        <b/>
        <vertAlign val="subscript"/>
        <sz val="11"/>
        <color theme="1"/>
        <rFont val="Calibri"/>
        <family val="2"/>
        <scheme val="minor"/>
      </rPr>
      <t>n</t>
    </r>
    <r>
      <rPr>
        <b/>
        <sz val="11"/>
        <color theme="1"/>
        <rFont val="Calibri"/>
        <family val="2"/>
        <scheme val="minor"/>
      </rPr>
      <t>=</t>
    </r>
  </si>
  <si>
    <r>
      <t>B</t>
    </r>
    <r>
      <rPr>
        <b/>
        <vertAlign val="subscript"/>
        <sz val="11"/>
        <color theme="1"/>
        <rFont val="Calibri"/>
        <family val="2"/>
        <scheme val="minor"/>
      </rPr>
      <t>n</t>
    </r>
    <r>
      <rPr>
        <b/>
        <sz val="11"/>
        <color theme="1"/>
        <rFont val="Calibri"/>
        <family val="2"/>
        <scheme val="minor"/>
      </rPr>
      <t>=</t>
    </r>
  </si>
  <si>
    <t>Muro 4Y Entrepiso 1</t>
  </si>
  <si>
    <t>t</t>
  </si>
  <si>
    <t>Peso de muro entrepiso 1 =</t>
  </si>
  <si>
    <t>Peso de muro entrepiso 2 =</t>
  </si>
  <si>
    <t>Factor de reducción de carga vertical. (Fr)</t>
  </si>
  <si>
    <t>Carga viva instantánea, Wa</t>
  </si>
  <si>
    <t>Carga viva iinstantánea, Wa</t>
  </si>
  <si>
    <t>Coeficiente sísmico reducido.</t>
  </si>
  <si>
    <t>=</t>
  </si>
  <si>
    <r>
      <t>B</t>
    </r>
    <r>
      <rPr>
        <b/>
        <vertAlign val="subscript"/>
        <sz val="11"/>
        <color theme="1"/>
        <rFont val="Calibri"/>
        <family val="2"/>
        <scheme val="minor"/>
      </rPr>
      <t>1</t>
    </r>
    <r>
      <rPr>
        <b/>
        <sz val="11"/>
        <color theme="1"/>
        <rFont val="Calibri"/>
        <family val="2"/>
        <scheme val="minor"/>
      </rPr>
      <t>=</t>
    </r>
  </si>
  <si>
    <r>
      <t>0.5(B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-C)=</t>
    </r>
  </si>
  <si>
    <r>
      <t>B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-C=</t>
    </r>
  </si>
  <si>
    <r>
      <t>h</t>
    </r>
    <r>
      <rPr>
        <b/>
        <vertAlign val="subscript"/>
        <sz val="11"/>
        <color theme="1"/>
        <rFont val="Calibri"/>
        <family val="2"/>
        <scheme val="minor"/>
      </rPr>
      <t>n</t>
    </r>
    <r>
      <rPr>
        <b/>
        <sz val="11"/>
        <color theme="1"/>
        <rFont val="Calibri"/>
        <family val="2"/>
        <scheme val="minor"/>
      </rPr>
      <t>/L</t>
    </r>
  </si>
  <si>
    <r>
      <t>F</t>
    </r>
    <r>
      <rPr>
        <b/>
        <vertAlign val="subscript"/>
        <sz val="11"/>
        <color theme="1"/>
        <rFont val="Calibri"/>
        <family val="2"/>
        <scheme val="minor"/>
      </rPr>
      <t>AE</t>
    </r>
  </si>
  <si>
    <r>
      <t>F</t>
    </r>
    <r>
      <rPr>
        <b/>
        <vertAlign val="subscript"/>
        <sz val="11"/>
        <color theme="1"/>
        <rFont val="Calibri"/>
        <family val="2"/>
        <scheme val="minor"/>
      </rPr>
      <t>AE</t>
    </r>
    <r>
      <rPr>
        <b/>
        <sz val="11"/>
        <color theme="1"/>
        <rFont val="Calibri"/>
        <family val="2"/>
        <scheme val="minor"/>
      </rPr>
      <t>*A</t>
    </r>
    <r>
      <rPr>
        <b/>
        <vertAlign val="subscript"/>
        <sz val="11"/>
        <color theme="1"/>
        <rFont val="Calibri"/>
        <family val="2"/>
        <scheme val="minor"/>
      </rPr>
      <t>T</t>
    </r>
  </si>
  <si>
    <r>
      <t>F</t>
    </r>
    <r>
      <rPr>
        <b/>
        <vertAlign val="subscript"/>
        <sz val="11"/>
        <color theme="1"/>
        <rFont val="Calibri"/>
        <family val="2"/>
        <scheme val="minor"/>
      </rPr>
      <t>AE</t>
    </r>
    <r>
      <rPr>
        <b/>
        <sz val="11"/>
        <color theme="1"/>
        <rFont val="Calibri"/>
        <family val="2"/>
        <scheme val="minor"/>
      </rPr>
      <t>*A</t>
    </r>
    <r>
      <rPr>
        <b/>
        <vertAlign val="subscript"/>
        <sz val="11"/>
        <color theme="1"/>
        <rFont val="Calibri"/>
        <family val="2"/>
        <scheme val="minor"/>
      </rPr>
      <t>T</t>
    </r>
    <r>
      <rPr>
        <b/>
        <sz val="11"/>
        <color theme="1"/>
        <rFont val="Calibri"/>
        <family val="2"/>
        <scheme val="minor"/>
      </rPr>
      <t>*d</t>
    </r>
  </si>
  <si>
    <r>
      <t>(∑F</t>
    </r>
    <r>
      <rPr>
        <b/>
        <vertAlign val="subscript"/>
        <sz val="11"/>
        <color theme="1"/>
        <rFont val="Calibri"/>
        <family val="2"/>
        <scheme val="minor"/>
      </rPr>
      <t>AE</t>
    </r>
    <r>
      <rPr>
        <b/>
        <sz val="11"/>
        <color theme="1"/>
        <rFont val="Calibri"/>
        <family val="2"/>
        <scheme val="minor"/>
      </rPr>
      <t>*A</t>
    </r>
    <r>
      <rPr>
        <b/>
        <vertAlign val="subscript"/>
        <sz val="11"/>
        <color theme="1"/>
        <rFont val="Calibri"/>
        <family val="2"/>
        <scheme val="minor"/>
      </rPr>
      <t>T</t>
    </r>
    <r>
      <rPr>
        <b/>
        <sz val="11"/>
        <color theme="1"/>
        <rFont val="Calibri"/>
        <family val="2"/>
        <scheme val="minor"/>
      </rPr>
      <t>)</t>
    </r>
  </si>
  <si>
    <r>
      <t>V</t>
    </r>
    <r>
      <rPr>
        <b/>
        <vertAlign val="subscript"/>
        <sz val="11"/>
        <rFont val="Calibri"/>
        <family val="2"/>
        <scheme val="minor"/>
      </rPr>
      <t>SR</t>
    </r>
  </si>
  <si>
    <r>
      <t>V</t>
    </r>
    <r>
      <rPr>
        <b/>
        <vertAlign val="subscript"/>
        <sz val="11"/>
        <rFont val="Calibri"/>
        <family val="2"/>
        <scheme val="minor"/>
      </rPr>
      <t>R</t>
    </r>
  </si>
  <si>
    <r>
      <t>V</t>
    </r>
    <r>
      <rPr>
        <b/>
        <vertAlign val="subscript"/>
        <sz val="9"/>
        <rFont val="Calibri"/>
        <family val="2"/>
        <scheme val="minor"/>
      </rPr>
      <t>SR</t>
    </r>
    <r>
      <rPr>
        <b/>
        <sz val="9"/>
        <rFont val="Calibri"/>
        <family val="2"/>
        <scheme val="minor"/>
      </rPr>
      <t xml:space="preserve"> (ME6x6 8/8-1S)</t>
    </r>
  </si>
  <si>
    <t>Muro 2X</t>
  </si>
  <si>
    <t>Coeficiente máximo=</t>
  </si>
  <si>
    <t>Carga puntual entrepiso 1</t>
  </si>
  <si>
    <t>Carga puntual entrepiso 2</t>
  </si>
  <si>
    <t>Peso de muro</t>
  </si>
  <si>
    <t>Peso de losa</t>
  </si>
  <si>
    <t xml:space="preserve">Áreas tributarias </t>
  </si>
  <si>
    <r>
      <t>Factor de resistencia. (F</t>
    </r>
    <r>
      <rPr>
        <vertAlign val="subscript"/>
        <sz val="10"/>
        <color theme="1"/>
        <rFont val="Calibri"/>
        <family val="2"/>
        <scheme val="minor"/>
      </rPr>
      <t>R</t>
    </r>
    <r>
      <rPr>
        <sz val="11"/>
        <color theme="1"/>
        <rFont val="Calibri"/>
        <family val="2"/>
        <scheme val="minor"/>
      </rPr>
      <t>)</t>
    </r>
  </si>
  <si>
    <t>Factor de carga. (F.C.)</t>
  </si>
  <si>
    <r>
      <t>Resistencia de concreto a compresión,   f'c (Kg/cm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</si>
  <si>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r>
      <t>Área del acero total, As (4#3 cm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</si>
  <si>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t>X (m)</t>
  </si>
  <si>
    <t>Y (m)</t>
  </si>
  <si>
    <r>
      <t>Carga viva máxima (kg/m</t>
    </r>
    <r>
      <rPr>
        <vertAlign val="superscript"/>
        <sz val="10"/>
        <color theme="1"/>
        <rFont val="Calibri"/>
        <family val="2"/>
        <scheme val="minor"/>
      </rPr>
      <t>2</t>
    </r>
    <r>
      <rPr>
        <sz val="10"/>
        <color theme="1"/>
        <rFont val="Calibri"/>
        <family val="2"/>
        <scheme val="minor"/>
      </rPr>
      <t>)</t>
    </r>
  </si>
  <si>
    <r>
      <t>Esfuerzo de fluencia acero (kg/cm</t>
    </r>
    <r>
      <rPr>
        <vertAlign val="superscript"/>
        <sz val="10"/>
        <color theme="1"/>
        <rFont val="Calibri"/>
        <family val="2"/>
        <scheme val="minor"/>
      </rPr>
      <t>2</t>
    </r>
    <r>
      <rPr>
        <sz val="10"/>
        <color theme="1"/>
        <rFont val="Calibri"/>
        <family val="2"/>
        <scheme val="minor"/>
      </rPr>
      <t>)</t>
    </r>
  </si>
  <si>
    <t>Perímetro total (m)</t>
  </si>
  <si>
    <r>
      <t>Peso (kg/m</t>
    </r>
    <r>
      <rPr>
        <vertAlign val="superscript"/>
        <sz val="9"/>
        <color theme="1"/>
        <rFont val="Calibri"/>
        <family val="2"/>
        <scheme val="minor"/>
      </rPr>
      <t>2</t>
    </r>
    <r>
      <rPr>
        <sz val="9"/>
        <color theme="1"/>
        <rFont val="Calibri"/>
        <family val="2"/>
        <scheme val="minor"/>
      </rPr>
      <t>)</t>
    </r>
  </si>
  <si>
    <r>
      <t>Area (m</t>
    </r>
    <r>
      <rPr>
        <vertAlign val="superscript"/>
        <sz val="9"/>
        <color theme="1"/>
        <rFont val="Calibri"/>
        <family val="2"/>
        <scheme val="minor"/>
      </rPr>
      <t>2</t>
    </r>
    <r>
      <rPr>
        <sz val="9"/>
        <color theme="1"/>
        <rFont val="Calibri"/>
        <family val="2"/>
        <scheme val="minor"/>
      </rPr>
      <t>)</t>
    </r>
  </si>
  <si>
    <r>
      <t>Carga adicional (kg/m</t>
    </r>
    <r>
      <rPr>
        <vertAlign val="superscript"/>
        <sz val="9"/>
        <color theme="1"/>
        <rFont val="Calibri"/>
        <family val="2"/>
        <scheme val="minor"/>
      </rPr>
      <t>2</t>
    </r>
    <r>
      <rPr>
        <sz val="9"/>
        <color theme="1"/>
        <rFont val="Calibri"/>
        <family val="2"/>
        <scheme val="minor"/>
      </rPr>
      <t>)</t>
    </r>
  </si>
  <si>
    <r>
      <t>Área tributaria de losa (m</t>
    </r>
    <r>
      <rPr>
        <b/>
        <vertAlign val="superscript"/>
        <sz val="10"/>
        <rFont val="Calibri"/>
        <family val="2"/>
        <scheme val="minor"/>
      </rPr>
      <t>2</t>
    </r>
    <r>
      <rPr>
        <b/>
        <sz val="10"/>
        <rFont val="Calibri"/>
        <family val="2"/>
        <scheme val="minor"/>
      </rPr>
      <t>)</t>
    </r>
  </si>
  <si>
    <r>
      <t>Área tributaría (m</t>
    </r>
    <r>
      <rPr>
        <b/>
        <vertAlign val="superscript"/>
        <sz val="10"/>
        <color theme="1"/>
        <rFont val="Calibri"/>
        <family val="2"/>
        <scheme val="minor"/>
      </rPr>
      <t>2</t>
    </r>
    <r>
      <rPr>
        <b/>
        <sz val="10"/>
        <color theme="1"/>
        <rFont val="Calibri"/>
        <family val="2"/>
        <scheme val="minor"/>
      </rPr>
      <t>)</t>
    </r>
  </si>
  <si>
    <r>
      <t>Resistencia a la compresión diagonal para diseño de la mampostería, v'</t>
    </r>
    <r>
      <rPr>
        <vertAlign val="subscript"/>
        <sz val="11"/>
        <color theme="1"/>
        <rFont val="Calibri"/>
        <family val="2"/>
        <scheme val="minor"/>
      </rPr>
      <t>m</t>
    </r>
    <r>
      <rPr>
        <sz val="11"/>
        <color theme="1"/>
        <rFont val="Calibri"/>
        <family val="2"/>
        <scheme val="minor"/>
      </rPr>
      <t xml:space="preserve"> (Kg/cm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</si>
  <si>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r>
      <t>Resistencia a la compresión para diseño de la mampostería, f'</t>
    </r>
    <r>
      <rPr>
        <vertAlign val="subscript"/>
        <sz val="11"/>
        <color theme="1"/>
        <rFont val="Calibri"/>
        <family val="2"/>
        <scheme val="minor"/>
      </rPr>
      <t>m</t>
    </r>
    <r>
      <rPr>
        <sz val="11"/>
        <color theme="1"/>
        <rFont val="Calibri"/>
        <family val="2"/>
        <scheme val="minor"/>
      </rPr>
      <t xml:space="preserve"> (Kg/cm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</si>
  <si>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r>
      <t>Esfuerzo de fluencia especificado del acero de refuerzo, f</t>
    </r>
    <r>
      <rPr>
        <vertAlign val="subscript"/>
        <sz val="11"/>
        <color theme="1"/>
        <rFont val="Calibri"/>
        <family val="2"/>
        <scheme val="minor"/>
      </rPr>
      <t>y</t>
    </r>
    <r>
      <rPr>
        <sz val="11"/>
        <color theme="1"/>
        <rFont val="Calibri"/>
        <family val="2"/>
        <scheme val="minor"/>
      </rPr>
      <t xml:space="preserve"> (Kg/cm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</si>
  <si>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r>
      <t>a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(m)</t>
    </r>
  </si>
  <si>
    <r>
      <t>a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(m)</t>
    </r>
  </si>
  <si>
    <r>
      <t>a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/a</t>
    </r>
    <r>
      <rPr>
        <vertAlign val="subscript"/>
        <sz val="11"/>
        <color theme="1"/>
        <rFont val="Calibri"/>
        <family val="2"/>
        <scheme val="minor"/>
      </rPr>
      <t>2</t>
    </r>
  </si>
  <si>
    <r>
      <t>Esf trabajo del acero (f</t>
    </r>
    <r>
      <rPr>
        <vertAlign val="subscript"/>
        <sz val="10"/>
        <color theme="1"/>
        <rFont val="Calibri"/>
        <family val="2"/>
        <scheme val="minor"/>
      </rPr>
      <t>s</t>
    </r>
    <r>
      <rPr>
        <sz val="10"/>
        <color theme="1"/>
        <rFont val="Calibri"/>
        <family val="2"/>
        <scheme val="minor"/>
      </rPr>
      <t>) (kg/cm</t>
    </r>
    <r>
      <rPr>
        <vertAlign val="superscript"/>
        <sz val="10"/>
        <color theme="1"/>
        <rFont val="Calibri"/>
        <family val="2"/>
        <scheme val="minor"/>
      </rPr>
      <t>2</t>
    </r>
    <r>
      <rPr>
        <sz val="10"/>
        <color theme="1"/>
        <rFont val="Calibri"/>
        <family val="2"/>
        <scheme val="minor"/>
      </rPr>
      <t>)</t>
    </r>
  </si>
  <si>
    <t>Entortado superior de mortero, espesor 2 cm</t>
  </si>
  <si>
    <r>
      <t>v</t>
    </r>
    <r>
      <rPr>
        <b/>
        <vertAlign val="subscript"/>
        <sz val="12"/>
        <rFont val="Calibri"/>
        <family val="2"/>
        <scheme val="minor"/>
      </rPr>
      <t>u</t>
    </r>
  </si>
  <si>
    <r>
      <t>a</t>
    </r>
    <r>
      <rPr>
        <b/>
        <vertAlign val="subscript"/>
        <sz val="12"/>
        <color theme="1"/>
        <rFont val="Calibri"/>
        <family val="2"/>
        <scheme val="minor"/>
      </rPr>
      <t>1</t>
    </r>
  </si>
  <si>
    <r>
      <t>a</t>
    </r>
    <r>
      <rPr>
        <b/>
        <vertAlign val="subscript"/>
        <sz val="12"/>
        <color theme="1"/>
        <rFont val="Calibri"/>
        <family val="2"/>
        <scheme val="minor"/>
      </rPr>
      <t>2</t>
    </r>
  </si>
  <si>
    <r>
      <t>a</t>
    </r>
    <r>
      <rPr>
        <b/>
        <vertAlign val="subscript"/>
        <sz val="12"/>
        <color theme="1"/>
        <rFont val="Calibri"/>
        <family val="2"/>
        <scheme val="minor"/>
      </rPr>
      <t>1</t>
    </r>
    <r>
      <rPr>
        <b/>
        <sz val="12"/>
        <color theme="1"/>
        <rFont val="Calibri"/>
        <family val="2"/>
        <scheme val="minor"/>
      </rPr>
      <t>/a</t>
    </r>
    <r>
      <rPr>
        <b/>
        <vertAlign val="subscript"/>
        <sz val="12"/>
        <color theme="1"/>
        <rFont val="Calibri"/>
        <family val="2"/>
        <scheme val="minor"/>
      </rPr>
      <t>2</t>
    </r>
  </si>
  <si>
    <r>
      <t>v</t>
    </r>
    <r>
      <rPr>
        <b/>
        <vertAlign val="subscript"/>
        <sz val="12"/>
        <color theme="1"/>
        <rFont val="Calibri"/>
        <family val="2"/>
        <scheme val="minor"/>
      </rPr>
      <t>CR</t>
    </r>
    <r>
      <rPr>
        <b/>
        <sz val="12"/>
        <color theme="1"/>
        <rFont val="Calibri"/>
        <family val="2"/>
        <scheme val="minor"/>
      </rPr>
      <t xml:space="preserve"> =</t>
    </r>
  </si>
  <si>
    <r>
      <t>F</t>
    </r>
    <r>
      <rPr>
        <vertAlign val="subscript"/>
        <sz val="11"/>
        <color theme="1"/>
        <rFont val="Calibri"/>
        <family val="2"/>
        <scheme val="minor"/>
      </rPr>
      <t>R</t>
    </r>
    <r>
      <rPr>
        <sz val="11"/>
        <color theme="1"/>
        <rFont val="Calibri"/>
        <family val="2"/>
        <scheme val="minor"/>
      </rPr>
      <t>=</t>
    </r>
  </si>
  <si>
    <r>
      <t>f'</t>
    </r>
    <r>
      <rPr>
        <vertAlign val="subscript"/>
        <sz val="11"/>
        <color theme="1"/>
        <rFont val="Calibri"/>
        <family val="2"/>
        <scheme val="minor"/>
      </rPr>
      <t>c</t>
    </r>
    <r>
      <rPr>
        <sz val="11"/>
        <color theme="1"/>
        <rFont val="Calibri"/>
        <family val="2"/>
        <scheme val="minor"/>
      </rPr>
      <t>=</t>
    </r>
  </si>
  <si>
    <r>
      <t>Utilizando varillas del #3; a</t>
    </r>
    <r>
      <rPr>
        <sz val="8"/>
        <color theme="1"/>
        <rFont val="Calibri"/>
        <family val="2"/>
        <scheme val="minor"/>
      </rPr>
      <t>s</t>
    </r>
    <r>
      <rPr>
        <sz val="11"/>
        <color theme="1"/>
        <rFont val="Calibri"/>
        <family val="2"/>
        <scheme val="minor"/>
      </rPr>
      <t>=0.71 cm</t>
    </r>
    <r>
      <rPr>
        <vertAlign val="superscript"/>
        <sz val="11"/>
        <color theme="1"/>
        <rFont val="Calibri"/>
        <family val="2"/>
        <scheme val="minor"/>
      </rPr>
      <t>2</t>
    </r>
  </si>
  <si>
    <r>
      <t>f</t>
    </r>
    <r>
      <rPr>
        <vertAlign val="subscript"/>
        <sz val="11"/>
        <color theme="1"/>
        <rFont val="Calibri"/>
        <family val="2"/>
        <scheme val="minor"/>
      </rPr>
      <t>y</t>
    </r>
    <r>
      <rPr>
        <sz val="11"/>
        <color theme="1"/>
        <rFont val="Calibri"/>
        <family val="2"/>
        <scheme val="minor"/>
      </rPr>
      <t xml:space="preserve"> =</t>
    </r>
  </si>
  <si>
    <r>
      <t>As (cm</t>
    </r>
    <r>
      <rPr>
        <vertAlign val="superscript"/>
        <sz val="11"/>
        <color theme="1"/>
        <rFont val="Calibri"/>
        <family val="2"/>
      </rPr>
      <t>2</t>
    </r>
    <r>
      <rPr>
        <sz val="11"/>
        <color theme="1"/>
        <rFont val="Calibri"/>
        <family val="1"/>
        <charset val="2"/>
      </rPr>
      <t>)</t>
    </r>
  </si>
  <si>
    <r>
      <t>kg/m</t>
    </r>
    <r>
      <rPr>
        <vertAlign val="superscript"/>
        <sz val="11"/>
        <color theme="1"/>
        <rFont val="Calibri"/>
        <family val="2"/>
        <scheme val="minor"/>
      </rPr>
      <t>2</t>
    </r>
  </si>
  <si>
    <t>j=</t>
  </si>
  <si>
    <r>
      <t xml:space="preserve">Se ocupará un área de acero </t>
    </r>
    <r>
      <rPr>
        <b/>
        <sz val="11"/>
        <color theme="1"/>
        <rFont val="Calibri"/>
        <family val="2"/>
        <scheme val="minor"/>
      </rPr>
      <t>As=</t>
    </r>
  </si>
  <si>
    <t>Armado transversal</t>
  </si>
  <si>
    <t xml:space="preserve">Armado longitudinal </t>
  </si>
  <si>
    <r>
      <t>P</t>
    </r>
    <r>
      <rPr>
        <b/>
        <vertAlign val="subscript"/>
        <sz val="14"/>
        <color rgb="FF00B0F0"/>
        <rFont val="Calibri"/>
        <family val="2"/>
        <scheme val="minor"/>
      </rPr>
      <t>u</t>
    </r>
  </si>
  <si>
    <r>
      <t>v</t>
    </r>
    <r>
      <rPr>
        <b/>
        <vertAlign val="subscript"/>
        <sz val="14"/>
        <color rgb="FFFF0000"/>
        <rFont val="Calibri"/>
        <family val="2"/>
        <scheme val="minor"/>
      </rPr>
      <t>u</t>
    </r>
  </si>
  <si>
    <t>Armado de zapata</t>
  </si>
  <si>
    <t>Dimensionamiento de zapata</t>
  </si>
  <si>
    <r>
      <t>d</t>
    </r>
    <r>
      <rPr>
        <vertAlign val="subscript"/>
        <sz val="11"/>
        <color theme="1"/>
        <rFont val="Calibri"/>
        <family val="2"/>
        <scheme val="minor"/>
      </rPr>
      <t xml:space="preserve"> efectivo</t>
    </r>
    <r>
      <rPr>
        <sz val="11"/>
        <color theme="1"/>
        <rFont val="Calibri"/>
        <family val="2"/>
        <scheme val="minor"/>
      </rPr>
      <t xml:space="preserve"> corregido (cm)</t>
    </r>
  </si>
  <si>
    <r>
      <t xml:space="preserve">X </t>
    </r>
    <r>
      <rPr>
        <sz val="9"/>
        <color theme="1"/>
        <rFont val="Calibri"/>
        <family val="2"/>
        <scheme val="minor"/>
      </rPr>
      <t>CM</t>
    </r>
  </si>
  <si>
    <r>
      <t xml:space="preserve">Y </t>
    </r>
    <r>
      <rPr>
        <sz val="9"/>
        <color theme="1"/>
        <rFont val="Calibri"/>
        <family val="2"/>
        <scheme val="minor"/>
      </rPr>
      <t>CM</t>
    </r>
  </si>
  <si>
    <r>
      <t>Área tributaria (m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)</t>
    </r>
  </si>
  <si>
    <t>Número de niveles</t>
  </si>
  <si>
    <t>Zona sísmica</t>
  </si>
  <si>
    <t>Coeficiente sísmico c</t>
  </si>
  <si>
    <t>Fórmulas:</t>
  </si>
  <si>
    <r>
      <t>V</t>
    </r>
    <r>
      <rPr>
        <b/>
        <vertAlign val="subscript"/>
        <sz val="11"/>
        <color theme="1"/>
        <rFont val="Calibri"/>
        <family val="2"/>
        <scheme val="minor"/>
      </rPr>
      <t>u</t>
    </r>
    <r>
      <rPr>
        <b/>
        <sz val="11"/>
        <color theme="1"/>
        <rFont val="Calibri"/>
        <family val="2"/>
        <scheme val="minor"/>
      </rPr>
      <t xml:space="preserve"> (t)</t>
    </r>
  </si>
  <si>
    <r>
      <t>v</t>
    </r>
    <r>
      <rPr>
        <b/>
        <vertAlign val="subscript"/>
        <sz val="12"/>
        <rFont val="Calibri"/>
        <family val="2"/>
        <scheme val="minor"/>
      </rPr>
      <t>mR</t>
    </r>
  </si>
  <si>
    <r>
      <t>V</t>
    </r>
    <r>
      <rPr>
        <b/>
        <vertAlign val="subscript"/>
        <sz val="11"/>
        <color theme="1"/>
        <rFont val="Calibri"/>
        <family val="2"/>
        <scheme val="minor"/>
      </rPr>
      <t>u</t>
    </r>
    <r>
      <rPr>
        <b/>
        <sz val="11"/>
        <color theme="1"/>
        <rFont val="Calibri"/>
        <family val="2"/>
        <scheme val="minor"/>
      </rPr>
      <t xml:space="preserve"> (kg)</t>
    </r>
  </si>
  <si>
    <r>
      <t>V</t>
    </r>
    <r>
      <rPr>
        <b/>
        <vertAlign val="subscript"/>
        <sz val="12"/>
        <color theme="1"/>
        <rFont val="Calibri"/>
        <family val="2"/>
        <scheme val="minor"/>
      </rPr>
      <t>u</t>
    </r>
    <r>
      <rPr>
        <b/>
        <sz val="12"/>
        <color theme="1"/>
        <rFont val="Calibri"/>
        <family val="2"/>
        <scheme val="minor"/>
      </rPr>
      <t xml:space="preserve"> &lt; V</t>
    </r>
    <r>
      <rPr>
        <b/>
        <vertAlign val="subscript"/>
        <sz val="12"/>
        <color theme="1"/>
        <rFont val="Calibri"/>
        <family val="2"/>
        <scheme val="minor"/>
      </rPr>
      <t>CR</t>
    </r>
  </si>
  <si>
    <r>
      <t>h</t>
    </r>
    <r>
      <rPr>
        <b/>
        <vertAlign val="subscript"/>
        <sz val="11"/>
        <color theme="1"/>
        <rFont val="Calibri"/>
        <family val="2"/>
        <scheme val="minor"/>
      </rPr>
      <t>c</t>
    </r>
    <r>
      <rPr>
        <b/>
        <sz val="11"/>
        <color theme="1"/>
        <rFont val="Calibri"/>
        <family val="2"/>
        <scheme val="minor"/>
      </rPr>
      <t>=</t>
    </r>
  </si>
  <si>
    <r>
      <t>ρ</t>
    </r>
    <r>
      <rPr>
        <b/>
        <vertAlign val="subscript"/>
        <sz val="11"/>
        <color theme="1"/>
        <rFont val="Calibri"/>
        <family val="2"/>
        <scheme val="minor"/>
      </rPr>
      <t>min</t>
    </r>
    <r>
      <rPr>
        <b/>
        <sz val="11"/>
        <color theme="1"/>
        <rFont val="Calibri"/>
        <family val="2"/>
        <scheme val="minor"/>
      </rPr>
      <t>=</t>
    </r>
  </si>
  <si>
    <t>Diseño de contratrabe</t>
  </si>
  <si>
    <t>Área de acero en contratrabe</t>
  </si>
  <si>
    <t>No de var. En cada lecho</t>
  </si>
  <si>
    <t>Acero por temperatura requerida</t>
  </si>
  <si>
    <t xml:space="preserve">No de var. </t>
  </si>
  <si>
    <t>Armado por temperatura</t>
  </si>
  <si>
    <t>E #2 @ 20 cm</t>
  </si>
  <si>
    <t>Muro 8Y</t>
  </si>
  <si>
    <t>hc=</t>
  </si>
  <si>
    <t>bc=</t>
  </si>
  <si>
    <t>f'c=</t>
  </si>
  <si>
    <t>fy=</t>
  </si>
  <si>
    <t>Área de concreto</t>
  </si>
  <si>
    <t xml:space="preserve">La sección requiere de </t>
  </si>
  <si>
    <t>var.</t>
  </si>
  <si>
    <t>t=</t>
  </si>
  <si>
    <r>
      <t xml:space="preserve">s </t>
    </r>
    <r>
      <rPr>
        <b/>
        <sz val="14"/>
        <color theme="1"/>
        <rFont val="Calibri"/>
        <family val="2"/>
      </rPr>
      <t>≤</t>
    </r>
  </si>
  <si>
    <t>Separación de estribos en castillos:</t>
  </si>
  <si>
    <t>Área de acero longitudinal para castillo y dala:</t>
  </si>
  <si>
    <t>Área de acero mínimo para refuerzo transversal (estribos):</t>
  </si>
  <si>
    <t>Considerando barras del #2 con fy=</t>
  </si>
  <si>
    <r>
      <t>y un A</t>
    </r>
    <r>
      <rPr>
        <vertAlign val="subscript"/>
        <sz val="11"/>
        <color theme="1"/>
        <rFont val="Calibri"/>
        <family val="2"/>
        <scheme val="minor"/>
      </rPr>
      <t>b</t>
    </r>
    <r>
      <rPr>
        <sz val="11"/>
        <color theme="1"/>
        <rFont val="Calibri"/>
        <family val="2"/>
        <scheme val="minor"/>
      </rPr>
      <t>=</t>
    </r>
  </si>
  <si>
    <t>჻   s =</t>
  </si>
  <si>
    <t>Diseño de castillos y dalas</t>
  </si>
  <si>
    <t>Separación de estribos en extremos de los elementos:</t>
  </si>
  <si>
    <t>1.5 t =</t>
  </si>
  <si>
    <t>Altura de entrepiso H=</t>
  </si>
  <si>
    <r>
      <t>჻   H</t>
    </r>
    <r>
      <rPr>
        <b/>
        <vertAlign val="subscript"/>
        <sz val="14"/>
        <color theme="1"/>
        <rFont val="Calibri"/>
        <family val="2"/>
      </rPr>
      <t xml:space="preserve">o </t>
    </r>
    <r>
      <rPr>
        <b/>
        <sz val="14"/>
        <color theme="1"/>
        <rFont val="Calibri"/>
        <family val="2"/>
      </rPr>
      <t>=</t>
    </r>
  </si>
  <si>
    <r>
      <t>H</t>
    </r>
    <r>
      <rPr>
        <b/>
        <vertAlign val="subscript"/>
        <sz val="11"/>
        <color theme="1"/>
        <rFont val="Calibri"/>
        <family val="2"/>
        <scheme val="minor"/>
      </rPr>
      <t>o</t>
    </r>
    <r>
      <rPr>
        <b/>
        <sz val="11"/>
        <color theme="1"/>
        <rFont val="Calibri"/>
        <family val="2"/>
      </rPr>
      <t>≥</t>
    </r>
  </si>
  <si>
    <t>Armado de contratabe para zapata intermedia y extrema</t>
  </si>
  <si>
    <t>Resistencia a compresión</t>
  </si>
  <si>
    <t xml:space="preserve">Factor de esbeltez </t>
  </si>
  <si>
    <t xml:space="preserve">Fuerza cortante resistente </t>
  </si>
  <si>
    <r>
      <rPr>
        <i/>
        <sz val="11"/>
        <color theme="1"/>
        <rFont val="Calibri"/>
        <family val="2"/>
        <scheme val="minor"/>
      </rPr>
      <t>f</t>
    </r>
    <r>
      <rPr>
        <sz val="11"/>
        <color theme="1"/>
        <rFont val="Calibri"/>
        <family val="2"/>
        <scheme val="minor"/>
      </rPr>
      <t xml:space="preserve"> en función de la esbeltez</t>
    </r>
  </si>
  <si>
    <t>Diseño de trabe</t>
  </si>
  <si>
    <r>
      <t>f</t>
    </r>
    <r>
      <rPr>
        <vertAlign val="subscript"/>
        <sz val="11"/>
        <color theme="1"/>
        <rFont val="Calibri"/>
        <family val="2"/>
        <scheme val="minor"/>
      </rPr>
      <t>y</t>
    </r>
    <r>
      <rPr>
        <sz val="11"/>
        <color theme="1"/>
        <rFont val="Calibri"/>
        <family val="2"/>
        <scheme val="minor"/>
      </rPr>
      <t>=</t>
    </r>
  </si>
  <si>
    <r>
      <t>a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=</t>
    </r>
  </si>
  <si>
    <r>
      <t>a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=</t>
    </r>
  </si>
  <si>
    <t>m=</t>
  </si>
  <si>
    <t>W=</t>
  </si>
  <si>
    <t>Si la trabe está en claro corto:</t>
  </si>
  <si>
    <t>V (kg)</t>
  </si>
  <si>
    <t>M (kg-m)</t>
  </si>
  <si>
    <t>Sí la trabe está en claro largo:</t>
  </si>
  <si>
    <t>Mu=</t>
  </si>
  <si>
    <r>
      <rPr>
        <i/>
        <sz val="11"/>
        <color theme="1"/>
        <rFont val="Calibri"/>
        <family val="2"/>
      </rPr>
      <t>р</t>
    </r>
    <r>
      <rPr>
        <sz val="11"/>
        <color theme="1"/>
        <rFont val="Calibri"/>
        <family val="2"/>
      </rPr>
      <t>=</t>
    </r>
  </si>
  <si>
    <t>Cuantia de diseño:</t>
  </si>
  <si>
    <t>Ancho propuesto:</t>
  </si>
  <si>
    <t>Dimensionamiento:</t>
  </si>
  <si>
    <r>
      <t>Igualando M</t>
    </r>
    <r>
      <rPr>
        <vertAlign val="subscript"/>
        <sz val="11"/>
        <color theme="1"/>
        <rFont val="Calibri"/>
        <family val="2"/>
        <scheme val="minor"/>
      </rPr>
      <t>R</t>
    </r>
    <r>
      <rPr>
        <sz val="11"/>
        <color theme="1"/>
        <rFont val="Calibri"/>
        <family val="2"/>
        <scheme val="minor"/>
      </rPr>
      <t>=M</t>
    </r>
    <r>
      <rPr>
        <vertAlign val="subscript"/>
        <sz val="11"/>
        <color theme="1"/>
        <rFont val="Calibri"/>
        <family val="2"/>
        <scheme val="minor"/>
      </rPr>
      <t>u</t>
    </r>
  </si>
  <si>
    <t>Despejando para tener un peralte d optimo:</t>
  </si>
  <si>
    <t>≈</t>
  </si>
  <si>
    <t>Área de acero para la sección:</t>
  </si>
  <si>
    <t>Separacón de estribos:</t>
  </si>
  <si>
    <r>
      <t xml:space="preserve">Se ocupará un área de acero   </t>
    </r>
    <r>
      <rPr>
        <b/>
        <sz val="11"/>
        <color theme="1"/>
        <rFont val="Calibri"/>
        <family val="2"/>
        <scheme val="minor"/>
      </rPr>
      <t>As=</t>
    </r>
  </si>
  <si>
    <t>Colocar estribos con la barra #2 @</t>
  </si>
  <si>
    <t>E #2 @</t>
  </si>
  <si>
    <t xml:space="preserve"> en lecho inferior</t>
  </si>
  <si>
    <t>2 var. #4 por armado</t>
  </si>
  <si>
    <r>
      <rPr>
        <i/>
        <sz val="11"/>
        <color theme="1"/>
        <rFont val="Calibri"/>
        <family val="2"/>
      </rPr>
      <t>рmáx</t>
    </r>
    <r>
      <rPr>
        <sz val="11"/>
        <color theme="1"/>
        <rFont val="Calibri"/>
        <family val="2"/>
      </rPr>
      <t>=</t>
    </r>
  </si>
  <si>
    <r>
      <rPr>
        <i/>
        <sz val="11"/>
        <color theme="1"/>
        <rFont val="Calibri"/>
        <family val="2"/>
      </rPr>
      <t>рmín</t>
    </r>
    <r>
      <rPr>
        <sz val="11"/>
        <color theme="1"/>
        <rFont val="Calibri"/>
        <family val="2"/>
      </rPr>
      <t>=</t>
    </r>
  </si>
  <si>
    <t>Propuesto:</t>
  </si>
  <si>
    <t>Hoja de cálculo para el diseño de construcciones de mampostería con baja altura utilizando el metódo simplificado (MDOC-CFE 2015)</t>
  </si>
  <si>
    <t>Profesor de la Maestría en Ingeniería para la Innovación y Desarrollo Tecnológico</t>
  </si>
  <si>
    <t>Universidad Autónoma de Guerrero</t>
  </si>
  <si>
    <t xml:space="preserve">Envía tus comentarios a: </t>
  </si>
  <si>
    <t>sstizapa@uagro.mx</t>
  </si>
  <si>
    <t>V 1.1</t>
  </si>
  <si>
    <t>© 2021. Dr. Sulpicio Sánchez Tizapa.  ISBN en trámite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</si>
</sst>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00"/>
    <numFmt numFmtId="165" formatCode="0.0000"/>
    <numFmt numFmtId="166" formatCode="0.0"/>
  </numFmts>
  <fonts count="8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sz val="8"/>
      <color theme="1"/>
      <name val="Arial"/>
      <family val="2"/>
    </font>
    <font>
      <b/>
      <sz val="10"/>
      <color theme="1"/>
      <name val="Arial"/>
      <family val="2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Arial"/>
      <family val="2"/>
    </font>
    <font>
      <b/>
      <sz val="12"/>
      <color theme="0"/>
      <name val="Arial"/>
      <family val="2"/>
    </font>
    <font>
      <b/>
      <sz val="8"/>
      <color theme="0"/>
      <name val="Arial"/>
      <family val="2"/>
    </font>
    <font>
      <sz val="12"/>
      <color theme="1"/>
      <name val="Calibri"/>
      <family val="2"/>
      <scheme val="minor"/>
    </font>
    <font>
      <b/>
      <sz val="9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11"/>
      <color theme="1"/>
      <name val="Symbol"/>
      <family val="1"/>
      <charset val="2"/>
    </font>
    <font>
      <sz val="11"/>
      <color theme="1"/>
      <name val="Calibri"/>
      <family val="1"/>
      <charset val="2"/>
      <scheme val="minor"/>
    </font>
    <font>
      <sz val="16"/>
      <color rgb="FFFF0000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1"/>
      <color theme="4"/>
      <name val="Calibri"/>
      <family val="2"/>
      <scheme val="minor"/>
    </font>
    <font>
      <b/>
      <i/>
      <vertAlign val="subscript"/>
      <sz val="11"/>
      <color theme="4"/>
      <name val="Calibri"/>
      <family val="2"/>
      <scheme val="minor"/>
    </font>
    <font>
      <vertAlign val="subscript"/>
      <sz val="10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11"/>
      <color theme="8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name val="Calibri"/>
      <family val="2"/>
      <scheme val="minor"/>
    </font>
    <font>
      <sz val="11"/>
      <color rgb="FFFF000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sz val="11"/>
      <color theme="1"/>
      <name val="Calibri"/>
      <family val="1"/>
      <charset val="2"/>
    </font>
    <font>
      <vertAlign val="subscript"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rgb="FFFF0000"/>
      <name val="Calibri"/>
      <family val="2"/>
    </font>
    <font>
      <sz val="14"/>
      <color rgb="FF0070C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8"/>
      <color theme="1"/>
      <name val="Calibri"/>
      <family val="2"/>
    </font>
    <font>
      <b/>
      <sz val="12"/>
      <name val="Calibri"/>
      <family val="2"/>
      <scheme val="minor"/>
    </font>
    <font>
      <b/>
      <vertAlign val="subscript"/>
      <sz val="11"/>
      <name val="Calibri"/>
      <family val="2"/>
      <scheme val="minor"/>
    </font>
    <font>
      <b/>
      <vertAlign val="subscript"/>
      <sz val="9"/>
      <name val="Calibri"/>
      <family val="2"/>
      <scheme val="minor"/>
    </font>
    <font>
      <b/>
      <sz val="11"/>
      <color rgb="FFFFC000"/>
      <name val="Calibri"/>
      <family val="2"/>
      <scheme val="minor"/>
    </font>
    <font>
      <vertAlign val="superscript"/>
      <sz val="9"/>
      <color indexed="81"/>
      <name val="Tahoma"/>
      <family val="2"/>
    </font>
    <font>
      <vertAlign val="superscript"/>
      <sz val="10"/>
      <color theme="1"/>
      <name val="Calibri"/>
      <family val="2"/>
      <scheme val="minor"/>
    </font>
    <font>
      <vertAlign val="superscript"/>
      <sz val="9"/>
      <color theme="1"/>
      <name val="Calibri"/>
      <family val="2"/>
      <scheme val="minor"/>
    </font>
    <font>
      <b/>
      <vertAlign val="superscript"/>
      <sz val="10"/>
      <name val="Calibri"/>
      <family val="2"/>
      <scheme val="minor"/>
    </font>
    <font>
      <b/>
      <vertAlign val="superscript"/>
      <sz val="10"/>
      <color theme="1"/>
      <name val="Calibri"/>
      <family val="2"/>
      <scheme val="minor"/>
    </font>
    <font>
      <b/>
      <vertAlign val="subscript"/>
      <sz val="12"/>
      <name val="Calibri"/>
      <family val="2"/>
      <scheme val="minor"/>
    </font>
    <font>
      <b/>
      <vertAlign val="subscript"/>
      <sz val="12"/>
      <color theme="1"/>
      <name val="Calibri"/>
      <family val="2"/>
      <scheme val="minor"/>
    </font>
    <font>
      <vertAlign val="superscript"/>
      <sz val="11"/>
      <color theme="1"/>
      <name val="Calibri"/>
      <family val="2"/>
    </font>
    <font>
      <b/>
      <vertAlign val="subscript"/>
      <sz val="14"/>
      <color rgb="FFFF0000"/>
      <name val="Calibri"/>
      <family val="2"/>
      <scheme val="minor"/>
    </font>
    <font>
      <b/>
      <sz val="14"/>
      <color rgb="FF00B0F0"/>
      <name val="Calibri"/>
      <family val="2"/>
      <scheme val="minor"/>
    </font>
    <font>
      <b/>
      <vertAlign val="subscript"/>
      <sz val="14"/>
      <color rgb="FF00B0F0"/>
      <name val="Calibri"/>
      <family val="2"/>
      <scheme val="minor"/>
    </font>
    <font>
      <sz val="12"/>
      <color rgb="FF0070C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Calibri"/>
      <family val="2"/>
    </font>
    <font>
      <b/>
      <vertAlign val="subscript"/>
      <sz val="14"/>
      <color theme="1"/>
      <name val="Calibri"/>
      <family val="2"/>
    </font>
    <font>
      <i/>
      <sz val="11"/>
      <color theme="1"/>
      <name val="Calibri"/>
      <family val="2"/>
      <scheme val="minor"/>
    </font>
    <font>
      <vertAlign val="subscript"/>
      <sz val="9"/>
      <color indexed="81"/>
      <name val="Tahoma"/>
      <family val="2"/>
    </font>
    <font>
      <i/>
      <sz val="11"/>
      <color theme="1"/>
      <name val="Calibri"/>
      <family val="2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A5A5A5"/>
      </patternFill>
    </fill>
  </fills>
  <borders count="7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theme="8"/>
      </bottom>
      <diagonal/>
    </border>
    <border>
      <left/>
      <right/>
      <top/>
      <bottom style="double">
        <color theme="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5" fillId="3" borderId="0" applyNumberFormat="0" applyBorder="0" applyAlignment="0" applyProtection="0"/>
    <xf numFmtId="0" fontId="46" fillId="4" borderId="60" applyNumberFormat="0" applyAlignment="0" applyProtection="0"/>
    <xf numFmtId="0" fontId="2" fillId="5" borderId="61" applyNumberFormat="0" applyAlignment="0" applyProtection="0"/>
    <xf numFmtId="0" fontId="3" fillId="0" borderId="62" applyNumberFormat="0" applyFill="0" applyAlignment="0" applyProtection="0"/>
    <xf numFmtId="0" fontId="77" fillId="0" borderId="0" applyNumberFormat="0" applyFill="0" applyBorder="0" applyAlignment="0" applyProtection="0"/>
  </cellStyleXfs>
  <cellXfs count="59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64" fontId="0" fillId="0" borderId="0" xfId="0" applyNumberFormat="1"/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2" fontId="0" fillId="0" borderId="0" xfId="0" applyNumberFormat="1" applyBorder="1" applyAlignment="1">
      <alignment horizontal="center"/>
    </xf>
    <xf numFmtId="0" fontId="0" fillId="0" borderId="0" xfId="0" applyBorder="1"/>
    <xf numFmtId="0" fontId="0" fillId="0" borderId="0" xfId="0" applyAlignment="1">
      <alignment horizontal="right"/>
    </xf>
    <xf numFmtId="165" fontId="0" fillId="0" borderId="0" xfId="0" applyNumberForma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4" fillId="0" borderId="0" xfId="0" applyFont="1"/>
    <xf numFmtId="0" fontId="5" fillId="0" borderId="0" xfId="0" applyFont="1" applyFill="1" applyBorder="1" applyAlignment="1"/>
    <xf numFmtId="0" fontId="0" fillId="0" borderId="0" xfId="0" applyAlignment="1">
      <alignment wrapText="1"/>
    </xf>
    <xf numFmtId="0" fontId="9" fillId="0" borderId="15" xfId="0" applyFont="1" applyFill="1" applyBorder="1" applyAlignment="1">
      <alignment horizontal="center" vertical="center"/>
    </xf>
    <xf numFmtId="0" fontId="9" fillId="0" borderId="21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26" xfId="0" applyBorder="1"/>
    <xf numFmtId="0" fontId="0" fillId="0" borderId="32" xfId="0" applyBorder="1" applyAlignment="1">
      <alignment horizontal="center" vertical="center"/>
    </xf>
    <xf numFmtId="0" fontId="0" fillId="0" borderId="31" xfId="0" applyBorder="1"/>
    <xf numFmtId="164" fontId="0" fillId="0" borderId="0" xfId="0" applyNumberFormat="1" applyBorder="1" applyAlignment="1">
      <alignment horizontal="center" vertical="center"/>
    </xf>
    <xf numFmtId="0" fontId="0" fillId="0" borderId="33" xfId="0" applyBorder="1" applyAlignment="1">
      <alignment horizontal="center"/>
    </xf>
    <xf numFmtId="0" fontId="0" fillId="0" borderId="0" xfId="0" applyBorder="1" applyAlignment="1"/>
    <xf numFmtId="0" fontId="0" fillId="0" borderId="0" xfId="0" applyBorder="1" applyAlignment="1">
      <alignment horizontal="right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3" fillId="0" borderId="0" xfId="0" applyFont="1" applyAlignment="1">
      <alignment horizontal="right"/>
    </xf>
    <xf numFmtId="0" fontId="3" fillId="2" borderId="9" xfId="0" applyFont="1" applyFill="1" applyBorder="1" applyAlignment="1">
      <alignment horizontal="center" vertical="center" wrapText="1"/>
    </xf>
    <xf numFmtId="0" fontId="0" fillId="0" borderId="25" xfId="0" applyBorder="1"/>
    <xf numFmtId="0" fontId="0" fillId="0" borderId="0" xfId="0"/>
    <xf numFmtId="0" fontId="0" fillId="0" borderId="0" xfId="0" applyFill="1" applyBorder="1"/>
    <xf numFmtId="0" fontId="5" fillId="0" borderId="0" xfId="0" applyFont="1" applyFill="1" applyBorder="1" applyAlignment="1">
      <alignment vertical="center"/>
    </xf>
    <xf numFmtId="0" fontId="3" fillId="0" borderId="0" xfId="0" applyFont="1" applyFill="1" applyBorder="1"/>
    <xf numFmtId="0" fontId="6" fillId="0" borderId="35" xfId="0" applyFont="1" applyFill="1" applyBorder="1"/>
    <xf numFmtId="0" fontId="6" fillId="0" borderId="25" xfId="0" applyFont="1" applyFill="1" applyBorder="1" applyAlignment="1" applyProtection="1">
      <alignment horizontal="center" vertical="center"/>
      <protection locked="0" hidden="1"/>
    </xf>
    <xf numFmtId="0" fontId="6" fillId="0" borderId="29" xfId="0" applyFont="1" applyFill="1" applyBorder="1"/>
    <xf numFmtId="0" fontId="6" fillId="0" borderId="30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/>
    <xf numFmtId="2" fontId="6" fillId="0" borderId="25" xfId="0" applyNumberFormat="1" applyFont="1" applyFill="1" applyBorder="1" applyAlignment="1" applyProtection="1">
      <alignment horizontal="center"/>
      <protection hidden="1"/>
    </xf>
    <xf numFmtId="0" fontId="10" fillId="0" borderId="29" xfId="0" applyFont="1" applyFill="1" applyBorder="1"/>
    <xf numFmtId="166" fontId="6" fillId="0" borderId="30" xfId="0" applyNumberFormat="1" applyFont="1" applyFill="1" applyBorder="1" applyAlignment="1" applyProtection="1">
      <alignment horizontal="center"/>
      <protection hidden="1"/>
    </xf>
    <xf numFmtId="166" fontId="6" fillId="0" borderId="30" xfId="0" applyNumberFormat="1" applyFont="1" applyFill="1" applyBorder="1" applyAlignment="1" applyProtection="1">
      <alignment horizontal="center"/>
      <protection locked="0"/>
    </xf>
    <xf numFmtId="0" fontId="10" fillId="0" borderId="26" xfId="0" applyFont="1" applyFill="1" applyBorder="1"/>
    <xf numFmtId="2" fontId="6" fillId="0" borderId="30" xfId="0" applyNumberFormat="1" applyFont="1" applyFill="1" applyBorder="1" applyAlignment="1" applyProtection="1">
      <alignment horizontal="center"/>
      <protection hidden="1"/>
    </xf>
    <xf numFmtId="2" fontId="6" fillId="0" borderId="28" xfId="0" applyNumberFormat="1" applyFont="1" applyFill="1" applyBorder="1" applyAlignment="1" applyProtection="1">
      <alignment horizontal="center"/>
      <protection hidden="1"/>
    </xf>
    <xf numFmtId="0" fontId="6" fillId="0" borderId="31" xfId="0" applyFont="1" applyFill="1" applyBorder="1"/>
    <xf numFmtId="0" fontId="0" fillId="0" borderId="29" xfId="0" applyFill="1" applyBorder="1"/>
    <xf numFmtId="0" fontId="9" fillId="0" borderId="14" xfId="0" applyFont="1" applyFill="1" applyBorder="1" applyAlignment="1">
      <alignment horizontal="center" vertical="center"/>
    </xf>
    <xf numFmtId="0" fontId="32" fillId="0" borderId="0" xfId="0" applyFont="1" applyFill="1" applyBorder="1" applyAlignment="1"/>
    <xf numFmtId="0" fontId="0" fillId="0" borderId="0" xfId="0"/>
    <xf numFmtId="0" fontId="0" fillId="0" borderId="0" xfId="0"/>
    <xf numFmtId="0" fontId="32" fillId="0" borderId="0" xfId="0" applyFont="1" applyAlignment="1"/>
    <xf numFmtId="0" fontId="32" fillId="0" borderId="0" xfId="0" applyFont="1" applyBorder="1" applyAlignment="1"/>
    <xf numFmtId="166" fontId="9" fillId="0" borderId="28" xfId="0" applyNumberFormat="1" applyFont="1" applyFill="1" applyBorder="1" applyAlignment="1" applyProtection="1">
      <alignment horizontal="center"/>
      <protection hidden="1"/>
    </xf>
    <xf numFmtId="0" fontId="10" fillId="0" borderId="0" xfId="0" applyFont="1" applyFill="1" applyBorder="1"/>
    <xf numFmtId="166" fontId="6" fillId="0" borderId="0" xfId="0" applyNumberFormat="1" applyFont="1" applyFill="1" applyBorder="1" applyAlignment="1" applyProtection="1">
      <alignment horizontal="center"/>
      <protection locked="0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0" fontId="8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 wrapText="1"/>
    </xf>
    <xf numFmtId="1" fontId="0" fillId="0" borderId="30" xfId="0" applyNumberFormat="1" applyBorder="1" applyAlignment="1">
      <alignment horizontal="center"/>
    </xf>
    <xf numFmtId="1" fontId="0" fillId="0" borderId="28" xfId="0" applyNumberFormat="1" applyBorder="1" applyAlignment="1">
      <alignment horizontal="center"/>
    </xf>
    <xf numFmtId="1" fontId="0" fillId="0" borderId="28" xfId="0" applyNumberFormat="1" applyFill="1" applyBorder="1" applyAlignment="1">
      <alignment horizontal="center"/>
    </xf>
    <xf numFmtId="165" fontId="0" fillId="0" borderId="0" xfId="0" applyNumberForma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1" fontId="5" fillId="0" borderId="0" xfId="0" applyNumberFormat="1" applyFont="1" applyFill="1" applyBorder="1" applyAlignment="1">
      <alignment horizontal="center" vertical="center" wrapText="1"/>
    </xf>
    <xf numFmtId="0" fontId="6" fillId="0" borderId="0" xfId="0" applyFont="1" applyFill="1" applyBorder="1" applyAlignment="1"/>
    <xf numFmtId="0" fontId="5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0" xfId="0"/>
    <xf numFmtId="2" fontId="25" fillId="0" borderId="0" xfId="0" applyNumberFormat="1" applyFont="1" applyBorder="1" applyAlignment="1">
      <alignment horizontal="center" vertical="center"/>
    </xf>
    <xf numFmtId="164" fontId="25" fillId="0" borderId="0" xfId="0" applyNumberFormat="1" applyFont="1" applyBorder="1" applyAlignment="1">
      <alignment horizontal="center" vertical="center"/>
    </xf>
    <xf numFmtId="0" fontId="10" fillId="0" borderId="31" xfId="0" applyFont="1" applyFill="1" applyBorder="1" applyAlignment="1">
      <alignment horizontal="center" vertical="center"/>
    </xf>
    <xf numFmtId="0" fontId="10" fillId="0" borderId="35" xfId="0" applyFont="1" applyFill="1" applyBorder="1" applyAlignment="1">
      <alignment horizontal="center" vertical="center"/>
    </xf>
    <xf numFmtId="1" fontId="0" fillId="0" borderId="30" xfId="0" applyNumberFormat="1" applyBorder="1" applyAlignment="1">
      <alignment horizontal="center" wrapText="1"/>
    </xf>
    <xf numFmtId="0" fontId="35" fillId="0" borderId="35" xfId="0" applyFont="1" applyFill="1" applyBorder="1" applyAlignment="1">
      <alignment horizontal="center" vertical="center"/>
    </xf>
    <xf numFmtId="0" fontId="35" fillId="0" borderId="29" xfId="0" applyFont="1" applyFill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 wrapText="1"/>
    </xf>
    <xf numFmtId="0" fontId="10" fillId="0" borderId="30" xfId="0" applyFont="1" applyFill="1" applyBorder="1" applyAlignment="1">
      <alignment horizontal="center" vertical="center" wrapText="1"/>
    </xf>
    <xf numFmtId="0" fontId="10" fillId="0" borderId="32" xfId="0" applyFont="1" applyFill="1" applyBorder="1" applyAlignment="1">
      <alignment horizontal="center" vertical="center" wrapText="1"/>
    </xf>
    <xf numFmtId="2" fontId="0" fillId="0" borderId="30" xfId="0" applyNumberFormat="1" applyBorder="1" applyAlignment="1">
      <alignment horizontal="center" vertical="center"/>
    </xf>
    <xf numFmtId="0" fontId="26" fillId="0" borderId="0" xfId="0" applyFont="1"/>
    <xf numFmtId="2" fontId="6" fillId="0" borderId="30" xfId="0" applyNumberFormat="1" applyFont="1" applyFill="1" applyBorder="1" applyAlignment="1" applyProtection="1">
      <alignment horizontal="center" vertical="center"/>
      <protection locked="0" hidden="1"/>
    </xf>
    <xf numFmtId="2" fontId="6" fillId="0" borderId="28" xfId="0" applyNumberFormat="1" applyFont="1" applyFill="1" applyBorder="1" applyAlignment="1">
      <alignment horizontal="center"/>
    </xf>
    <xf numFmtId="2" fontId="6" fillId="0" borderId="30" xfId="0" applyNumberFormat="1" applyFont="1" applyFill="1" applyBorder="1" applyAlignment="1" applyProtection="1">
      <alignment horizontal="center"/>
      <protection locked="0"/>
    </xf>
    <xf numFmtId="0" fontId="0" fillId="0" borderId="0" xfId="0" applyAlignment="1">
      <alignment horizontal="center"/>
    </xf>
    <xf numFmtId="0" fontId="0" fillId="0" borderId="0" xfId="0" applyAlignment="1"/>
    <xf numFmtId="2" fontId="0" fillId="0" borderId="22" xfId="0" applyNumberForma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0" xfId="0" applyFill="1" applyBorder="1" applyAlignment="1"/>
    <xf numFmtId="0" fontId="3" fillId="0" borderId="0" xfId="0" applyFont="1" applyFill="1" applyBorder="1" applyAlignment="1">
      <alignment horizontal="right"/>
    </xf>
    <xf numFmtId="1" fontId="0" fillId="0" borderId="0" xfId="2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4" fontId="11" fillId="0" borderId="0" xfId="0" applyNumberFormat="1" applyFont="1" applyBorder="1" applyAlignment="1">
      <alignment horizontal="center" vertical="center"/>
    </xf>
    <xf numFmtId="0" fontId="0" fillId="0" borderId="16" xfId="0" applyBorder="1" applyAlignment="1">
      <alignment horizontal="center"/>
    </xf>
    <xf numFmtId="0" fontId="0" fillId="0" borderId="0" xfId="0"/>
    <xf numFmtId="2" fontId="0" fillId="0" borderId="0" xfId="0" applyNumberForma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/>
    </xf>
    <xf numFmtId="2" fontId="3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/>
    <xf numFmtId="0" fontId="4" fillId="0" borderId="0" xfId="0" applyFont="1" applyFill="1" applyBorder="1" applyAlignment="1">
      <alignment vertical="center" wrapText="1"/>
    </xf>
    <xf numFmtId="0" fontId="0" fillId="0" borderId="0" xfId="0" applyFill="1" applyBorder="1" applyAlignment="1">
      <alignment horizontal="center" vertical="center"/>
    </xf>
    <xf numFmtId="0" fontId="0" fillId="0" borderId="8" xfId="0" applyBorder="1" applyAlignment="1">
      <alignment horizontal="center"/>
    </xf>
    <xf numFmtId="2" fontId="0" fillId="0" borderId="8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2" fontId="0" fillId="0" borderId="13" xfId="0" applyNumberFormat="1" applyBorder="1" applyAlignment="1">
      <alignment horizontal="center"/>
    </xf>
    <xf numFmtId="0" fontId="9" fillId="0" borderId="6" xfId="0" applyFont="1" applyFill="1" applyBorder="1" applyAlignment="1">
      <alignment horizontal="right" vertical="center"/>
    </xf>
    <xf numFmtId="0" fontId="0" fillId="0" borderId="1" xfId="0" applyBorder="1" applyAlignment="1">
      <alignment horizontal="center"/>
    </xf>
    <xf numFmtId="2" fontId="0" fillId="0" borderId="8" xfId="0" applyNumberForma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0" xfId="0" applyFill="1"/>
    <xf numFmtId="2" fontId="0" fillId="0" borderId="0" xfId="0" applyNumberFormat="1" applyFill="1" applyAlignment="1">
      <alignment horizontal="center" vertical="center"/>
    </xf>
    <xf numFmtId="0" fontId="0" fillId="0" borderId="0" xfId="0" applyFill="1" applyAlignment="1">
      <alignment wrapText="1"/>
    </xf>
    <xf numFmtId="0" fontId="4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 wrapText="1"/>
    </xf>
    <xf numFmtId="0" fontId="0" fillId="0" borderId="0" xfId="0" applyFill="1" applyAlignment="1">
      <alignment horizontal="center"/>
    </xf>
    <xf numFmtId="165" fontId="0" fillId="0" borderId="0" xfId="0" applyNumberFormat="1" applyFill="1" applyAlignment="1">
      <alignment horizontal="center"/>
    </xf>
    <xf numFmtId="165" fontId="0" fillId="0" borderId="0" xfId="0" applyNumberFormat="1" applyFill="1" applyAlignment="1">
      <alignment horizontal="center" wrapText="1"/>
    </xf>
    <xf numFmtId="0" fontId="22" fillId="0" borderId="0" xfId="0" applyFont="1" applyFill="1" applyAlignment="1">
      <alignment horizontal="center"/>
    </xf>
    <xf numFmtId="0" fontId="0" fillId="0" borderId="0" xfId="0" applyFill="1" applyAlignment="1">
      <alignment horizontal="center" wrapText="1"/>
    </xf>
    <xf numFmtId="0" fontId="23" fillId="0" borderId="0" xfId="0" applyFont="1" applyFill="1"/>
    <xf numFmtId="0" fontId="0" fillId="0" borderId="0" xfId="0" applyFill="1" applyBorder="1" applyAlignment="1">
      <alignment horizontal="center"/>
    </xf>
    <xf numFmtId="0" fontId="0" fillId="0" borderId="2" xfId="0" applyBorder="1" applyAlignment="1">
      <alignment horizontal="center" vertical="center"/>
    </xf>
    <xf numFmtId="164" fontId="0" fillId="0" borderId="0" xfId="0" applyNumberFormat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2" fontId="0" fillId="0" borderId="52" xfId="0" applyNumberFormat="1" applyBorder="1" applyAlignment="1">
      <alignment horizontal="center" vertical="center"/>
    </xf>
    <xf numFmtId="2" fontId="0" fillId="0" borderId="53" xfId="0" applyNumberFormat="1" applyBorder="1" applyAlignment="1">
      <alignment horizontal="center" vertical="center"/>
    </xf>
    <xf numFmtId="2" fontId="0" fillId="0" borderId="54" xfId="0" applyNumberFormat="1" applyBorder="1" applyAlignment="1">
      <alignment horizontal="center" vertical="center"/>
    </xf>
    <xf numFmtId="164" fontId="0" fillId="0" borderId="0" xfId="0" applyNumberFormat="1" applyFill="1" applyBorder="1" applyAlignment="1">
      <alignment horizontal="center" vertical="center"/>
    </xf>
    <xf numFmtId="9" fontId="0" fillId="0" borderId="0" xfId="2" applyFont="1" applyFill="1" applyBorder="1" applyAlignment="1">
      <alignment horizontal="center"/>
    </xf>
    <xf numFmtId="0" fontId="3" fillId="2" borderId="34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 vertical="center" wrapText="1"/>
    </xf>
    <xf numFmtId="0" fontId="3" fillId="2" borderId="55" xfId="0" applyFont="1" applyFill="1" applyBorder="1" applyAlignment="1">
      <alignment horizontal="center" vertical="top"/>
    </xf>
    <xf numFmtId="2" fontId="0" fillId="0" borderId="50" xfId="0" applyNumberFormat="1" applyBorder="1" applyAlignment="1">
      <alignment horizontal="center"/>
    </xf>
    <xf numFmtId="0" fontId="3" fillId="2" borderId="37" xfId="0" applyFont="1" applyFill="1" applyBorder="1" applyAlignment="1">
      <alignment horizontal="center"/>
    </xf>
    <xf numFmtId="2" fontId="0" fillId="0" borderId="53" xfId="0" applyNumberFormat="1" applyBorder="1" applyAlignment="1">
      <alignment horizontal="center"/>
    </xf>
    <xf numFmtId="2" fontId="0" fillId="0" borderId="52" xfId="0" applyNumberFormat="1" applyBorder="1" applyAlignment="1">
      <alignment horizontal="center"/>
    </xf>
    <xf numFmtId="0" fontId="0" fillId="0" borderId="0" xfId="0" applyFill="1" applyBorder="1" applyAlignment="1">
      <alignment horizontal="left"/>
    </xf>
    <xf numFmtId="2" fontId="3" fillId="0" borderId="13" xfId="0" applyNumberFormat="1" applyFont="1" applyBorder="1" applyAlignment="1">
      <alignment horizontal="center"/>
    </xf>
    <xf numFmtId="2" fontId="0" fillId="0" borderId="10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0" fontId="9" fillId="0" borderId="17" xfId="0" applyFont="1" applyFill="1" applyBorder="1" applyAlignment="1">
      <alignment horizontal="center" vertical="center"/>
    </xf>
    <xf numFmtId="0" fontId="0" fillId="0" borderId="18" xfId="0" applyBorder="1"/>
    <xf numFmtId="0" fontId="9" fillId="0" borderId="1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2" fontId="0" fillId="0" borderId="10" xfId="0" applyNumberFormat="1" applyFont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 wrapText="1"/>
    </xf>
    <xf numFmtId="0" fontId="0" fillId="0" borderId="13" xfId="0" applyBorder="1"/>
    <xf numFmtId="2" fontId="0" fillId="0" borderId="4" xfId="0" applyNumberFormat="1" applyBorder="1" applyAlignment="1">
      <alignment horizontal="center"/>
    </xf>
    <xf numFmtId="2" fontId="0" fillId="0" borderId="22" xfId="0" applyNumberFormat="1" applyFont="1" applyBorder="1" applyAlignment="1">
      <alignment horizontal="center" vertical="center"/>
    </xf>
    <xf numFmtId="2" fontId="0" fillId="0" borderId="2" xfId="0" applyNumberFormat="1" applyBorder="1" applyAlignment="1">
      <alignment horizontal="center"/>
    </xf>
    <xf numFmtId="0" fontId="3" fillId="2" borderId="33" xfId="0" applyFont="1" applyFill="1" applyBorder="1" applyAlignment="1">
      <alignment horizontal="center"/>
    </xf>
    <xf numFmtId="0" fontId="3" fillId="2" borderId="33" xfId="0" applyFont="1" applyFill="1" applyBorder="1" applyAlignment="1">
      <alignment horizontal="center" vertical="center" wrapText="1"/>
    </xf>
    <xf numFmtId="0" fontId="9" fillId="0" borderId="6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vertical="center"/>
    </xf>
    <xf numFmtId="0" fontId="13" fillId="0" borderId="0" xfId="0" applyFont="1" applyFill="1" applyBorder="1" applyAlignment="1">
      <alignment vertical="center" wrapText="1"/>
    </xf>
    <xf numFmtId="0" fontId="14" fillId="0" borderId="0" xfId="0" applyFont="1" applyFill="1" applyBorder="1" applyAlignment="1">
      <alignment vertical="center" wrapText="1"/>
    </xf>
    <xf numFmtId="2" fontId="0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2" fontId="12" fillId="0" borderId="0" xfId="0" applyNumberFormat="1" applyFont="1" applyFill="1" applyBorder="1"/>
    <xf numFmtId="0" fontId="12" fillId="0" borderId="0" xfId="0" applyFont="1" applyFill="1" applyBorder="1" applyAlignment="1">
      <alignment vertical="center"/>
    </xf>
    <xf numFmtId="2" fontId="7" fillId="0" borderId="0" xfId="0" applyNumberFormat="1" applyFont="1" applyFill="1" applyBorder="1"/>
    <xf numFmtId="164" fontId="16" fillId="0" borderId="0" xfId="0" applyNumberFormat="1" applyFont="1" applyFill="1" applyBorder="1"/>
    <xf numFmtId="0" fontId="36" fillId="2" borderId="23" xfId="0" applyFont="1" applyFill="1" applyBorder="1" applyAlignment="1">
      <alignment horizontal="center"/>
    </xf>
    <xf numFmtId="0" fontId="36" fillId="2" borderId="8" xfId="0" applyFont="1" applyFill="1" applyBorder="1" applyAlignment="1">
      <alignment horizontal="center"/>
    </xf>
    <xf numFmtId="0" fontId="36" fillId="2" borderId="55" xfId="0" applyFont="1" applyFill="1" applyBorder="1" applyAlignment="1">
      <alignment horizontal="center"/>
    </xf>
    <xf numFmtId="0" fontId="36" fillId="2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wrapText="1"/>
    </xf>
    <xf numFmtId="0" fontId="4" fillId="0" borderId="0" xfId="0" applyFont="1" applyFill="1" applyBorder="1" applyAlignment="1">
      <alignment wrapText="1"/>
    </xf>
    <xf numFmtId="43" fontId="9" fillId="0" borderId="0" xfId="1" applyFont="1" applyFill="1" applyBorder="1" applyAlignment="1">
      <alignment horizontal="center" vertical="center"/>
    </xf>
    <xf numFmtId="165" fontId="0" fillId="0" borderId="0" xfId="0" applyNumberFormat="1" applyFill="1" applyBorder="1"/>
    <xf numFmtId="166" fontId="8" fillId="0" borderId="0" xfId="0" applyNumberFormat="1" applyFont="1" applyFill="1" applyBorder="1"/>
    <xf numFmtId="2" fontId="8" fillId="0" borderId="0" xfId="0" applyNumberFormat="1" applyFont="1" applyFill="1" applyBorder="1"/>
    <xf numFmtId="2" fontId="15" fillId="0" borderId="0" xfId="0" applyNumberFormat="1" applyFont="1" applyFill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horizontal="center" vertical="center"/>
    </xf>
    <xf numFmtId="1" fontId="0" fillId="0" borderId="8" xfId="0" applyNumberFormat="1" applyBorder="1" applyAlignment="1">
      <alignment horizontal="center" vertical="center"/>
    </xf>
    <xf numFmtId="1" fontId="0" fillId="0" borderId="9" xfId="0" applyNumberFormat="1" applyBorder="1" applyAlignment="1">
      <alignment horizontal="center"/>
    </xf>
    <xf numFmtId="0" fontId="36" fillId="2" borderId="8" xfId="0" applyFont="1" applyFill="1" applyBorder="1" applyAlignment="1">
      <alignment horizontal="center"/>
    </xf>
    <xf numFmtId="0" fontId="3" fillId="0" borderId="59" xfId="0" applyFont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33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0" xfId="0" applyAlignment="1">
      <alignment horizontal="center"/>
    </xf>
    <xf numFmtId="2" fontId="0" fillId="0" borderId="16" xfId="0" applyNumberFormat="1" applyBorder="1" applyAlignment="1">
      <alignment horizontal="center" vertical="center"/>
    </xf>
    <xf numFmtId="0" fontId="3" fillId="2" borderId="6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left"/>
    </xf>
    <xf numFmtId="0" fontId="3" fillId="0" borderId="0" xfId="0" applyFont="1" applyAlignment="1">
      <alignment horizontal="center"/>
    </xf>
    <xf numFmtId="166" fontId="3" fillId="0" borderId="0" xfId="0" applyNumberFormat="1" applyFont="1" applyAlignment="1">
      <alignment horizontal="center"/>
    </xf>
    <xf numFmtId="0" fontId="6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2" fontId="0" fillId="0" borderId="0" xfId="0" applyNumberFormat="1"/>
    <xf numFmtId="0" fontId="3" fillId="0" borderId="0" xfId="0" applyFont="1"/>
    <xf numFmtId="1" fontId="3" fillId="0" borderId="0" xfId="0" applyNumberFormat="1" applyFont="1" applyAlignment="1">
      <alignment horizontal="center"/>
    </xf>
    <xf numFmtId="0" fontId="0" fillId="0" borderId="0" xfId="0" applyFill="1" applyAlignment="1">
      <alignment horizontal="right"/>
    </xf>
    <xf numFmtId="0" fontId="0" fillId="0" borderId="0" xfId="0" applyFill="1" applyAlignment="1">
      <alignment horizontal="left"/>
    </xf>
    <xf numFmtId="165" fontId="0" fillId="0" borderId="0" xfId="0" applyNumberFormat="1" applyFill="1" applyAlignment="1">
      <alignment horizontal="left"/>
    </xf>
    <xf numFmtId="0" fontId="42" fillId="0" borderId="0" xfId="0" applyFont="1" applyFill="1" applyAlignment="1">
      <alignment horizontal="right"/>
    </xf>
    <xf numFmtId="0" fontId="0" fillId="2" borderId="6" xfId="0" applyFill="1" applyBorder="1" applyAlignment="1">
      <alignment horizontal="center" vertical="center"/>
    </xf>
    <xf numFmtId="0" fontId="22" fillId="2" borderId="9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42" fillId="2" borderId="9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165" fontId="0" fillId="0" borderId="8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5" fontId="0" fillId="0" borderId="13" xfId="0" applyNumberFormat="1" applyBorder="1" applyAlignment="1">
      <alignment horizontal="center"/>
    </xf>
    <xf numFmtId="2" fontId="0" fillId="0" borderId="18" xfId="0" applyNumberFormat="1" applyBorder="1" applyAlignment="1">
      <alignment horizontal="center"/>
    </xf>
    <xf numFmtId="0" fontId="0" fillId="0" borderId="0" xfId="0" applyAlignment="1">
      <alignment vertical="top"/>
    </xf>
    <xf numFmtId="1" fontId="3" fillId="0" borderId="0" xfId="0" applyNumberFormat="1" applyFont="1" applyBorder="1" applyAlignment="1">
      <alignment horizontal="left"/>
    </xf>
    <xf numFmtId="0" fontId="0" fillId="0" borderId="2" xfId="0" applyBorder="1"/>
    <xf numFmtId="0" fontId="0" fillId="0" borderId="4" xfId="0" applyBorder="1"/>
    <xf numFmtId="2" fontId="0" fillId="0" borderId="10" xfId="0" applyNumberFormat="1" applyBorder="1" applyAlignment="1">
      <alignment horizontal="center"/>
    </xf>
    <xf numFmtId="1" fontId="0" fillId="0" borderId="10" xfId="0" applyNumberFormat="1" applyBorder="1" applyAlignment="1">
      <alignment horizontal="center"/>
    </xf>
    <xf numFmtId="2" fontId="0" fillId="0" borderId="22" xfId="0" applyNumberFormat="1" applyBorder="1" applyAlignment="1">
      <alignment horizontal="center"/>
    </xf>
    <xf numFmtId="2" fontId="0" fillId="0" borderId="16" xfId="0" applyNumberFormat="1" applyBorder="1" applyAlignment="1">
      <alignment horizontal="center"/>
    </xf>
    <xf numFmtId="1" fontId="0" fillId="0" borderId="16" xfId="0" applyNumberFormat="1" applyBorder="1" applyAlignment="1">
      <alignment horizontal="center"/>
    </xf>
    <xf numFmtId="0" fontId="0" fillId="0" borderId="49" xfId="0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/>
    </xf>
    <xf numFmtId="0" fontId="3" fillId="2" borderId="49" xfId="0" applyFont="1" applyFill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36" fillId="0" borderId="0" xfId="5" applyFont="1" applyFill="1" applyBorder="1" applyAlignment="1">
      <alignment horizontal="right"/>
    </xf>
    <xf numFmtId="0" fontId="49" fillId="0" borderId="0" xfId="0" applyFont="1" applyAlignment="1">
      <alignment horizontal="right" vertical="center"/>
    </xf>
    <xf numFmtId="0" fontId="50" fillId="0" borderId="0" xfId="0" applyFont="1" applyAlignment="1">
      <alignment horizontal="center" vertical="center"/>
    </xf>
    <xf numFmtId="0" fontId="49" fillId="0" borderId="0" xfId="0" applyFont="1" applyAlignment="1">
      <alignment horizontal="left" vertical="center"/>
    </xf>
    <xf numFmtId="1" fontId="11" fillId="0" borderId="0" xfId="4" applyNumberFormat="1" applyFont="1" applyFill="1" applyBorder="1" applyAlignment="1">
      <alignment horizontal="center" vertical="center"/>
    </xf>
    <xf numFmtId="0" fontId="3" fillId="0" borderId="0" xfId="6" applyBorder="1" applyAlignment="1">
      <alignment horizontal="center" vertical="center"/>
    </xf>
    <xf numFmtId="0" fontId="36" fillId="0" borderId="0" xfId="5" applyFont="1" applyFill="1" applyBorder="1" applyAlignment="1">
      <alignment horizontal="left" vertical="center"/>
    </xf>
    <xf numFmtId="2" fontId="3" fillId="0" borderId="0" xfId="6" applyNumberFormat="1" applyBorder="1" applyAlignment="1">
      <alignment horizontal="center"/>
    </xf>
    <xf numFmtId="0" fontId="0" fillId="0" borderId="0" xfId="0" applyFont="1"/>
    <xf numFmtId="1" fontId="3" fillId="0" borderId="0" xfId="6" applyNumberFormat="1" applyBorder="1" applyAlignment="1">
      <alignment horizontal="center" vertical="center"/>
    </xf>
    <xf numFmtId="2" fontId="3" fillId="0" borderId="0" xfId="6" applyNumberFormat="1" applyBorder="1" applyAlignment="1">
      <alignment horizontal="center" vertical="center"/>
    </xf>
    <xf numFmtId="1" fontId="3" fillId="0" borderId="0" xfId="6" applyNumberFormat="1" applyBorder="1" applyAlignment="1">
      <alignment horizontal="center"/>
    </xf>
    <xf numFmtId="0" fontId="52" fillId="0" borderId="0" xfId="0" applyFont="1"/>
    <xf numFmtId="1" fontId="36" fillId="2" borderId="62" xfId="6" applyNumberFormat="1" applyFont="1" applyFill="1" applyAlignment="1">
      <alignment horizontal="center" vertical="center"/>
    </xf>
    <xf numFmtId="0" fontId="11" fillId="0" borderId="0" xfId="0" applyFont="1" applyAlignment="1">
      <alignment horizontal="center" vertical="center"/>
    </xf>
    <xf numFmtId="1" fontId="48" fillId="0" borderId="0" xfId="6" applyNumberFormat="1" applyFont="1" applyBorder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1" fontId="3" fillId="2" borderId="62" xfId="6" applyNumberFormat="1" applyFill="1" applyAlignment="1">
      <alignment horizontal="center" vertical="center"/>
    </xf>
    <xf numFmtId="1" fontId="3" fillId="0" borderId="0" xfId="6" applyNumberFormat="1" applyFill="1" applyBorder="1" applyAlignment="1">
      <alignment horizontal="center" vertical="center"/>
    </xf>
    <xf numFmtId="1" fontId="11" fillId="0" borderId="8" xfId="4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right" vertical="center"/>
    </xf>
    <xf numFmtId="0" fontId="3" fillId="0" borderId="3" xfId="0" applyFont="1" applyBorder="1" applyAlignment="1">
      <alignment horizontal="right"/>
    </xf>
    <xf numFmtId="0" fontId="3" fillId="0" borderId="17" xfId="0" applyFont="1" applyBorder="1" applyAlignment="1">
      <alignment horizontal="right"/>
    </xf>
    <xf numFmtId="0" fontId="3" fillId="0" borderId="0" xfId="6" applyFill="1" applyBorder="1" applyAlignment="1">
      <alignment horizontal="center" vertical="center"/>
    </xf>
    <xf numFmtId="0" fontId="53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3" fillId="0" borderId="0" xfId="0" applyNumberFormat="1" applyFont="1" applyAlignment="1">
      <alignment horizontal="left"/>
    </xf>
    <xf numFmtId="0" fontId="6" fillId="0" borderId="0" xfId="0" applyFont="1" applyAlignment="1">
      <alignment vertical="top"/>
    </xf>
    <xf numFmtId="164" fontId="0" fillId="0" borderId="0" xfId="0" applyNumberFormat="1" applyAlignment="1">
      <alignment horizontal="center" vertical="center"/>
    </xf>
    <xf numFmtId="164" fontId="6" fillId="0" borderId="0" xfId="0" applyNumberFormat="1" applyFont="1" applyAlignment="1">
      <alignment horizontal="center" vertical="top"/>
    </xf>
    <xf numFmtId="0" fontId="0" fillId="0" borderId="0" xfId="0" applyFill="1" applyAlignment="1">
      <alignment vertical="center"/>
    </xf>
    <xf numFmtId="0" fontId="0" fillId="0" borderId="0" xfId="0" applyAlignment="1">
      <alignment horizontal="right" indent="1"/>
    </xf>
    <xf numFmtId="0" fontId="0" fillId="0" borderId="0" xfId="0" applyAlignment="1">
      <alignment horizontal="center" wrapText="1"/>
    </xf>
    <xf numFmtId="2" fontId="0" fillId="0" borderId="0" xfId="0" applyNumberFormat="1" applyAlignment="1">
      <alignment horizontal="left" indent="2"/>
    </xf>
    <xf numFmtId="0" fontId="25" fillId="0" borderId="0" xfId="0" applyFont="1" applyBorder="1" applyAlignment="1">
      <alignment horizontal="center"/>
    </xf>
    <xf numFmtId="2" fontId="55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left"/>
    </xf>
    <xf numFmtId="0" fontId="36" fillId="0" borderId="0" xfId="0" applyFont="1"/>
    <xf numFmtId="2" fontId="3" fillId="0" borderId="0" xfId="0" applyNumberFormat="1" applyFont="1" applyFill="1" applyBorder="1" applyAlignment="1">
      <alignment horizontal="left" vertical="center"/>
    </xf>
    <xf numFmtId="0" fontId="2" fillId="0" borderId="0" xfId="0" applyFont="1" applyFill="1" applyBorder="1" applyAlignment="1"/>
    <xf numFmtId="0" fontId="14" fillId="0" borderId="0" xfId="0" applyFont="1" applyFill="1" applyBorder="1" applyAlignment="1">
      <alignment vertical="center"/>
    </xf>
    <xf numFmtId="2" fontId="12" fillId="0" borderId="0" xfId="0" applyNumberFormat="1" applyFont="1" applyFill="1" applyBorder="1" applyAlignment="1"/>
    <xf numFmtId="2" fontId="7" fillId="0" borderId="0" xfId="0" applyNumberFormat="1" applyFont="1" applyFill="1" applyBorder="1" applyAlignment="1"/>
    <xf numFmtId="166" fontId="8" fillId="0" borderId="0" xfId="0" applyNumberFormat="1" applyFont="1" applyFill="1" applyBorder="1" applyAlignment="1"/>
    <xf numFmtId="2" fontId="8" fillId="0" borderId="0" xfId="0" applyNumberFormat="1" applyFont="1" applyFill="1" applyBorder="1" applyAlignment="1"/>
    <xf numFmtId="0" fontId="0" fillId="0" borderId="0" xfId="0" applyAlignment="1">
      <alignment horizontal="center"/>
    </xf>
    <xf numFmtId="0" fontId="0" fillId="0" borderId="0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8" xfId="0" applyBorder="1" applyAlignment="1">
      <alignment horizontal="center" wrapText="1"/>
    </xf>
    <xf numFmtId="0" fontId="0" fillId="0" borderId="24" xfId="0" applyBorder="1" applyAlignment="1">
      <alignment horizontal="center" wrapText="1"/>
    </xf>
    <xf numFmtId="2" fontId="3" fillId="0" borderId="0" xfId="0" applyNumberFormat="1" applyFont="1" applyAlignment="1">
      <alignment horizontal="left"/>
    </xf>
    <xf numFmtId="0" fontId="3" fillId="0" borderId="21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6" fillId="0" borderId="15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1" fontId="0" fillId="0" borderId="0" xfId="0" applyNumberFormat="1" applyAlignment="1">
      <alignment horizontal="center"/>
    </xf>
    <xf numFmtId="0" fontId="36" fillId="2" borderId="23" xfId="0" applyFont="1" applyFill="1" applyBorder="1" applyAlignment="1">
      <alignment horizontal="center" vertical="center"/>
    </xf>
    <xf numFmtId="0" fontId="36" fillId="2" borderId="55" xfId="0" applyFont="1" applyFill="1" applyBorder="1" applyAlignment="1">
      <alignment horizontal="center" vertical="center"/>
    </xf>
    <xf numFmtId="43" fontId="9" fillId="0" borderId="21" xfId="1" applyFont="1" applyFill="1" applyBorder="1" applyAlignment="1">
      <alignment horizontal="center" vertical="center"/>
    </xf>
    <xf numFmtId="43" fontId="9" fillId="0" borderId="15" xfId="1" applyFont="1" applyFill="1" applyBorder="1" applyAlignment="1">
      <alignment horizontal="center" vertical="center"/>
    </xf>
    <xf numFmtId="43" fontId="9" fillId="0" borderId="14" xfId="1" applyFont="1" applyFill="1" applyBorder="1" applyAlignment="1">
      <alignment horizontal="center" vertical="center"/>
    </xf>
    <xf numFmtId="0" fontId="37" fillId="2" borderId="23" xfId="0" applyFont="1" applyFill="1" applyBorder="1" applyAlignment="1">
      <alignment horizontal="center" vertical="center"/>
    </xf>
    <xf numFmtId="0" fontId="38" fillId="0" borderId="0" xfId="0" applyFont="1" applyAlignment="1">
      <alignment horizontal="center"/>
    </xf>
    <xf numFmtId="9" fontId="0" fillId="0" borderId="0" xfId="2" applyFont="1" applyBorder="1" applyAlignment="1">
      <alignment horizontal="center" vertical="center"/>
    </xf>
    <xf numFmtId="9" fontId="0" fillId="0" borderId="0" xfId="2" applyFont="1" applyBorder="1" applyAlignment="1">
      <alignment horizontal="center"/>
    </xf>
    <xf numFmtId="0" fontId="58" fillId="0" borderId="0" xfId="0" applyFont="1" applyFill="1" applyAlignment="1">
      <alignment horizontal="right" indent="2"/>
    </xf>
    <xf numFmtId="0" fontId="58" fillId="0" borderId="0" xfId="0" applyFont="1" applyFill="1" applyAlignment="1">
      <alignment horizontal="left" indent="1"/>
    </xf>
    <xf numFmtId="0" fontId="3" fillId="2" borderId="1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2" fontId="11" fillId="0" borderId="28" xfId="0" applyNumberFormat="1" applyFont="1" applyBorder="1" applyAlignment="1">
      <alignment horizontal="center" vertical="center"/>
    </xf>
    <xf numFmtId="2" fontId="0" fillId="0" borderId="32" xfId="0" applyNumberFormat="1" applyFill="1" applyBorder="1" applyAlignment="1">
      <alignment horizontal="center"/>
    </xf>
    <xf numFmtId="2" fontId="0" fillId="0" borderId="30" xfId="0" applyNumberFormat="1" applyFill="1" applyBorder="1" applyAlignment="1">
      <alignment horizontal="center"/>
    </xf>
    <xf numFmtId="2" fontId="0" fillId="0" borderId="30" xfId="0" applyNumberFormat="1" applyBorder="1" applyAlignment="1">
      <alignment horizontal="center"/>
    </xf>
    <xf numFmtId="2" fontId="11" fillId="0" borderId="30" xfId="0" applyNumberFormat="1" applyFont="1" applyBorder="1" applyAlignment="1">
      <alignment horizontal="center"/>
    </xf>
    <xf numFmtId="2" fontId="0" fillId="0" borderId="28" xfId="0" applyNumberFormat="1" applyBorder="1" applyAlignment="1">
      <alignment horizontal="center"/>
    </xf>
    <xf numFmtId="2" fontId="11" fillId="0" borderId="30" xfId="0" applyNumberFormat="1" applyFont="1" applyBorder="1" applyAlignment="1">
      <alignment horizontal="center" vertical="center" wrapText="1"/>
    </xf>
    <xf numFmtId="2" fontId="0" fillId="0" borderId="25" xfId="0" applyNumberFormat="1" applyFont="1" applyFill="1" applyBorder="1" applyAlignment="1">
      <alignment horizontal="center" vertical="center"/>
    </xf>
    <xf numFmtId="2" fontId="11" fillId="0" borderId="30" xfId="0" applyNumberFormat="1" applyFont="1" applyBorder="1" applyAlignment="1">
      <alignment horizontal="center" vertical="center"/>
    </xf>
    <xf numFmtId="2" fontId="0" fillId="0" borderId="30" xfId="0" applyNumberFormat="1" applyBorder="1" applyAlignment="1">
      <alignment horizontal="center" vertical="center" wrapText="1"/>
    </xf>
    <xf numFmtId="2" fontId="0" fillId="0" borderId="28" xfId="0" applyNumberFormat="1" applyBorder="1" applyAlignment="1">
      <alignment horizontal="center" vertical="center"/>
    </xf>
    <xf numFmtId="4" fontId="0" fillId="0" borderId="27" xfId="0" applyNumberFormat="1" applyBorder="1" applyAlignment="1">
      <alignment horizontal="center" vertical="center"/>
    </xf>
    <xf numFmtId="4" fontId="0" fillId="0" borderId="28" xfId="0" applyNumberFormat="1" applyBorder="1" applyAlignment="1">
      <alignment horizontal="center" vertical="center"/>
    </xf>
    <xf numFmtId="2" fontId="34" fillId="0" borderId="30" xfId="0" applyNumberFormat="1" applyFont="1" applyFill="1" applyBorder="1" applyAlignment="1" applyProtection="1">
      <alignment horizontal="center"/>
      <protection locked="0"/>
    </xf>
    <xf numFmtId="2" fontId="6" fillId="0" borderId="30" xfId="0" applyNumberFormat="1" applyFont="1" applyFill="1" applyBorder="1" applyAlignment="1" applyProtection="1">
      <alignment horizontal="center"/>
      <protection locked="0" hidden="1"/>
    </xf>
    <xf numFmtId="2" fontId="6" fillId="0" borderId="32" xfId="0" applyNumberFormat="1" applyFont="1" applyFill="1" applyBorder="1" applyAlignment="1" applyProtection="1">
      <alignment horizontal="center"/>
      <protection hidden="1"/>
    </xf>
    <xf numFmtId="2" fontId="0" fillId="0" borderId="13" xfId="0" applyNumberFormat="1" applyBorder="1" applyAlignment="1">
      <alignment horizontal="center" vertical="center"/>
    </xf>
    <xf numFmtId="2" fontId="25" fillId="0" borderId="13" xfId="0" applyNumberFormat="1" applyFont="1" applyBorder="1" applyAlignment="1">
      <alignment horizontal="center" vertical="center"/>
    </xf>
    <xf numFmtId="2" fontId="0" fillId="0" borderId="18" xfId="0" applyNumberFormat="1" applyBorder="1"/>
    <xf numFmtId="2" fontId="11" fillId="0" borderId="8" xfId="0" applyNumberFormat="1" applyFont="1" applyBorder="1" applyAlignment="1">
      <alignment horizontal="center" vertical="center"/>
    </xf>
    <xf numFmtId="2" fontId="11" fillId="0" borderId="0" xfId="0" applyNumberFormat="1" applyFont="1" applyBorder="1" applyAlignment="1">
      <alignment horizontal="center" vertical="center"/>
    </xf>
    <xf numFmtId="2" fontId="0" fillId="0" borderId="37" xfId="0" applyNumberFormat="1" applyBorder="1" applyAlignment="1">
      <alignment horizontal="center"/>
    </xf>
    <xf numFmtId="2" fontId="0" fillId="0" borderId="13" xfId="0" applyNumberFormat="1" applyBorder="1"/>
    <xf numFmtId="2" fontId="0" fillId="0" borderId="8" xfId="0" applyNumberFormat="1" applyFont="1" applyBorder="1" applyAlignment="1">
      <alignment horizontal="center" vertical="center"/>
    </xf>
    <xf numFmtId="2" fontId="0" fillId="0" borderId="0" xfId="0" applyNumberFormat="1" applyFont="1" applyBorder="1" applyAlignment="1">
      <alignment horizontal="center" vertical="center"/>
    </xf>
    <xf numFmtId="2" fontId="0" fillId="0" borderId="18" xfId="0" applyNumberFormat="1" applyBorder="1" applyAlignment="1">
      <alignment horizontal="center" vertical="center"/>
    </xf>
    <xf numFmtId="2" fontId="3" fillId="0" borderId="0" xfId="0" applyNumberFormat="1" applyFont="1" applyBorder="1" applyAlignment="1">
      <alignment horizontal="center"/>
    </xf>
    <xf numFmtId="2" fontId="0" fillId="0" borderId="49" xfId="0" applyNumberFormat="1" applyBorder="1" applyAlignment="1">
      <alignment horizontal="center" vertical="center"/>
    </xf>
    <xf numFmtId="2" fontId="0" fillId="0" borderId="50" xfId="0" applyNumberFormat="1" applyBorder="1" applyAlignment="1">
      <alignment horizontal="center" vertical="center"/>
    </xf>
    <xf numFmtId="2" fontId="0" fillId="0" borderId="37" xfId="0" applyNumberFormat="1" applyBorder="1" applyAlignment="1">
      <alignment horizontal="center" vertical="center"/>
    </xf>
    <xf numFmtId="2" fontId="0" fillId="0" borderId="0" xfId="0" applyNumberFormat="1" applyAlignment="1">
      <alignment horizontal="left" vertical="top"/>
    </xf>
    <xf numFmtId="2" fontId="0" fillId="0" borderId="4" xfId="0" applyNumberFormat="1" applyBorder="1"/>
    <xf numFmtId="2" fontId="0" fillId="0" borderId="54" xfId="0" applyNumberFormat="1" applyBorder="1" applyAlignment="1">
      <alignment horizontal="center"/>
    </xf>
    <xf numFmtId="2" fontId="0" fillId="0" borderId="4" xfId="0" applyNumberFormat="1" applyFill="1" applyBorder="1" applyAlignment="1">
      <alignment horizontal="center" vertical="center"/>
    </xf>
    <xf numFmtId="2" fontId="0" fillId="0" borderId="0" xfId="0" applyNumberFormat="1" applyBorder="1"/>
    <xf numFmtId="2" fontId="0" fillId="0" borderId="0" xfId="0" applyNumberFormat="1" applyBorder="1" applyAlignment="1">
      <alignment horizontal="left" vertical="center"/>
    </xf>
    <xf numFmtId="2" fontId="11" fillId="0" borderId="0" xfId="0" applyNumberFormat="1" applyFont="1" applyAlignment="1">
      <alignment horizontal="left"/>
    </xf>
    <xf numFmtId="2" fontId="11" fillId="0" borderId="0" xfId="0" applyNumberFormat="1" applyFont="1" applyFill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 wrapText="1"/>
    </xf>
    <xf numFmtId="2" fontId="0" fillId="0" borderId="13" xfId="0" applyNumberFormat="1" applyBorder="1" applyAlignment="1">
      <alignment horizontal="center" vertical="center" wrapText="1"/>
    </xf>
    <xf numFmtId="2" fontId="0" fillId="0" borderId="0" xfId="0" applyNumberFormat="1" applyAlignment="1">
      <alignment horizontal="left"/>
    </xf>
    <xf numFmtId="2" fontId="0" fillId="0" borderId="2" xfId="0" applyNumberFormat="1" applyBorder="1" applyAlignment="1">
      <alignment horizontal="center" vertical="center" wrapText="1"/>
    </xf>
    <xf numFmtId="2" fontId="0" fillId="0" borderId="4" xfId="0" applyNumberFormat="1" applyBorder="1" applyAlignment="1">
      <alignment horizontal="center" vertical="center" wrapText="1"/>
    </xf>
    <xf numFmtId="2" fontId="0" fillId="0" borderId="9" xfId="0" applyNumberFormat="1" applyBorder="1" applyAlignment="1">
      <alignment horizontal="left"/>
    </xf>
    <xf numFmtId="2" fontId="9" fillId="0" borderId="9" xfId="0" applyNumberFormat="1" applyFont="1" applyFill="1" applyBorder="1" applyAlignment="1">
      <alignment horizontal="right" vertical="center"/>
    </xf>
    <xf numFmtId="2" fontId="0" fillId="0" borderId="9" xfId="0" applyNumberFormat="1" applyBorder="1"/>
    <xf numFmtId="2" fontId="0" fillId="0" borderId="7" xfId="0" applyNumberFormat="1" applyBorder="1" applyAlignment="1">
      <alignment wrapText="1"/>
    </xf>
    <xf numFmtId="2" fontId="6" fillId="0" borderId="0" xfId="0" applyNumberFormat="1" applyFont="1" applyAlignment="1">
      <alignment horizontal="center"/>
    </xf>
    <xf numFmtId="2" fontId="0" fillId="0" borderId="0" xfId="0" applyNumberFormat="1" applyAlignment="1"/>
    <xf numFmtId="2" fontId="0" fillId="0" borderId="0" xfId="0" applyNumberFormat="1" applyAlignment="1">
      <alignment horizontal="right"/>
    </xf>
    <xf numFmtId="2" fontId="0" fillId="0" borderId="0" xfId="0" applyNumberFormat="1" applyFill="1" applyAlignment="1">
      <alignment horizontal="right"/>
    </xf>
    <xf numFmtId="2" fontId="0" fillId="0" borderId="22" xfId="0" applyNumberFormat="1" applyFill="1" applyBorder="1" applyAlignment="1">
      <alignment horizontal="center"/>
    </xf>
    <xf numFmtId="2" fontId="0" fillId="0" borderId="2" xfId="0" applyNumberFormat="1" applyFill="1" applyBorder="1" applyAlignment="1">
      <alignment horizontal="center"/>
    </xf>
    <xf numFmtId="2" fontId="0" fillId="0" borderId="10" xfId="0" applyNumberFormat="1" applyFill="1" applyBorder="1" applyAlignment="1">
      <alignment horizontal="center"/>
    </xf>
    <xf numFmtId="2" fontId="0" fillId="0" borderId="4" xfId="0" applyNumberFormat="1" applyFill="1" applyBorder="1" applyAlignment="1">
      <alignment horizontal="center"/>
    </xf>
    <xf numFmtId="2" fontId="0" fillId="0" borderId="10" xfId="0" applyNumberFormat="1" applyFill="1" applyBorder="1"/>
    <xf numFmtId="2" fontId="0" fillId="0" borderId="16" xfId="0" applyNumberFormat="1" applyFill="1" applyBorder="1"/>
    <xf numFmtId="2" fontId="0" fillId="0" borderId="18" xfId="0" applyNumberFormat="1" applyFill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11" fillId="0" borderId="10" xfId="0" applyNumberFormat="1" applyFont="1" applyBorder="1" applyAlignment="1">
      <alignment horizontal="center" vertical="center"/>
    </xf>
    <xf numFmtId="1" fontId="11" fillId="0" borderId="22" xfId="0" applyNumberFormat="1" applyFont="1" applyBorder="1" applyAlignment="1">
      <alignment horizontal="center"/>
    </xf>
    <xf numFmtId="2" fontId="3" fillId="0" borderId="22" xfId="0" applyNumberFormat="1" applyFont="1" applyBorder="1" applyAlignment="1">
      <alignment horizontal="center"/>
    </xf>
    <xf numFmtId="0" fontId="6" fillId="0" borderId="29" xfId="0" applyFont="1" applyFill="1" applyBorder="1" applyAlignment="1">
      <alignment vertical="center"/>
    </xf>
    <xf numFmtId="0" fontId="0" fillId="0" borderId="29" xfId="0" applyFont="1" applyFill="1" applyBorder="1"/>
    <xf numFmtId="0" fontId="55" fillId="2" borderId="8" xfId="0" applyFont="1" applyFill="1" applyBorder="1" applyAlignment="1">
      <alignment horizontal="center"/>
    </xf>
    <xf numFmtId="0" fontId="55" fillId="2" borderId="23" xfId="0" applyFont="1" applyFill="1" applyBorder="1" applyAlignment="1">
      <alignment horizontal="center"/>
    </xf>
    <xf numFmtId="0" fontId="26" fillId="2" borderId="22" xfId="0" applyFont="1" applyFill="1" applyBorder="1" applyAlignment="1">
      <alignment horizontal="center" vertical="center"/>
    </xf>
    <xf numFmtId="0" fontId="26" fillId="2" borderId="23" xfId="0" applyFont="1" applyFill="1" applyBorder="1" applyAlignment="1">
      <alignment horizontal="center" vertical="center"/>
    </xf>
    <xf numFmtId="0" fontId="26" fillId="0" borderId="0" xfId="0" applyFont="1" applyBorder="1" applyAlignment="1">
      <alignment horizontal="right"/>
    </xf>
    <xf numFmtId="2" fontId="36" fillId="0" borderId="0" xfId="6" applyNumberFormat="1" applyFont="1" applyBorder="1" applyAlignment="1">
      <alignment horizontal="center" vertical="center"/>
    </xf>
    <xf numFmtId="0" fontId="0" fillId="0" borderId="0" xfId="0" applyAlignment="1">
      <alignment horizontal="left" indent="3"/>
    </xf>
    <xf numFmtId="1" fontId="3" fillId="0" borderId="0" xfId="0" applyNumberFormat="1" applyFont="1" applyAlignment="1">
      <alignment horizontal="left"/>
    </xf>
    <xf numFmtId="0" fontId="36" fillId="0" borderId="0" xfId="0" applyFont="1" applyFill="1" applyAlignment="1">
      <alignment vertical="center"/>
    </xf>
    <xf numFmtId="0" fontId="11" fillId="0" borderId="63" xfId="0" applyFont="1" applyBorder="1" applyAlignment="1">
      <alignment horizontal="center"/>
    </xf>
    <xf numFmtId="0" fontId="11" fillId="0" borderId="0" xfId="0" applyFont="1"/>
    <xf numFmtId="0" fontId="68" fillId="0" borderId="0" xfId="0" applyFont="1" applyAlignment="1">
      <alignment horizontal="left"/>
    </xf>
    <xf numFmtId="1" fontId="0" fillId="0" borderId="0" xfId="0" applyNumberFormat="1"/>
    <xf numFmtId="0" fontId="3" fillId="0" borderId="1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17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right"/>
    </xf>
    <xf numFmtId="0" fontId="0" fillId="0" borderId="0" xfId="0" applyFont="1" applyFill="1" applyBorder="1" applyAlignment="1">
      <alignment horizontal="left"/>
    </xf>
    <xf numFmtId="2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indent="2"/>
    </xf>
    <xf numFmtId="0" fontId="36" fillId="0" borderId="0" xfId="0" applyFont="1" applyAlignment="1">
      <alignment horizontal="center" vertical="center"/>
    </xf>
    <xf numFmtId="0" fontId="3" fillId="0" borderId="0" xfId="0" applyFont="1" applyAlignment="1">
      <alignment horizontal="left" indent="1"/>
    </xf>
    <xf numFmtId="0" fontId="3" fillId="2" borderId="65" xfId="0" applyFont="1" applyFill="1" applyBorder="1" applyAlignment="1">
      <alignment horizontal="center"/>
    </xf>
    <xf numFmtId="0" fontId="3" fillId="0" borderId="0" xfId="0" applyFont="1" applyFill="1" applyAlignment="1">
      <alignment horizontal="center" vertical="center"/>
    </xf>
    <xf numFmtId="0" fontId="3" fillId="2" borderId="65" xfId="0" applyFont="1" applyFill="1" applyBorder="1"/>
    <xf numFmtId="0" fontId="52" fillId="0" borderId="0" xfId="0" applyFont="1" applyBorder="1"/>
    <xf numFmtId="0" fontId="3" fillId="2" borderId="1" xfId="0" applyFont="1" applyFill="1" applyBorder="1" applyAlignment="1">
      <alignment horizontal="right"/>
    </xf>
    <xf numFmtId="0" fontId="0" fillId="2" borderId="8" xfId="0" applyFill="1" applyBorder="1"/>
    <xf numFmtId="0" fontId="0" fillId="2" borderId="2" xfId="0" applyFill="1" applyBorder="1"/>
    <xf numFmtId="0" fontId="3" fillId="0" borderId="17" xfId="0" applyFont="1" applyFill="1" applyBorder="1" applyAlignment="1">
      <alignment horizontal="right"/>
    </xf>
    <xf numFmtId="0" fontId="0" fillId="0" borderId="18" xfId="0" applyFill="1" applyBorder="1"/>
    <xf numFmtId="0" fontId="44" fillId="0" borderId="0" xfId="0" applyFont="1" applyAlignment="1">
      <alignment vertical="center"/>
    </xf>
    <xf numFmtId="2" fontId="3" fillId="0" borderId="0" xfId="0" applyNumberFormat="1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19" fillId="0" borderId="0" xfId="0" applyFont="1" applyAlignment="1">
      <alignment horizontal="left"/>
    </xf>
    <xf numFmtId="0" fontId="0" fillId="0" borderId="1" xfId="0" applyBorder="1" applyAlignment="1">
      <alignment horizontal="right"/>
    </xf>
    <xf numFmtId="2" fontId="0" fillId="0" borderId="2" xfId="0" applyNumberFormat="1" applyBorder="1"/>
    <xf numFmtId="0" fontId="0" fillId="0" borderId="3" xfId="0" applyBorder="1" applyAlignment="1">
      <alignment horizontal="righ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3" xfId="0" applyFill="1" applyBorder="1" applyAlignment="1">
      <alignment horizontal="right"/>
    </xf>
    <xf numFmtId="0" fontId="0" fillId="0" borderId="4" xfId="0" applyFill="1" applyBorder="1"/>
    <xf numFmtId="0" fontId="3" fillId="2" borderId="1" xfId="0" applyFont="1" applyFill="1" applyBorder="1"/>
    <xf numFmtId="0" fontId="3" fillId="2" borderId="8" xfId="0" applyFont="1" applyFill="1" applyBorder="1"/>
    <xf numFmtId="0" fontId="3" fillId="2" borderId="2" xfId="0" applyFont="1" applyFill="1" applyBorder="1"/>
    <xf numFmtId="0" fontId="0" fillId="0" borderId="17" xfId="0" applyFill="1" applyBorder="1" applyAlignment="1">
      <alignment horizontal="right"/>
    </xf>
    <xf numFmtId="0" fontId="44" fillId="0" borderId="0" xfId="0" applyFont="1" applyAlignment="1">
      <alignment horizontal="right"/>
    </xf>
    <xf numFmtId="2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/>
    </xf>
    <xf numFmtId="0" fontId="3" fillId="2" borderId="66" xfId="0" applyFont="1" applyFill="1" applyBorder="1" applyAlignment="1">
      <alignment horizontal="center"/>
    </xf>
    <xf numFmtId="0" fontId="3" fillId="0" borderId="0" xfId="0" applyFont="1" applyFill="1" applyAlignment="1">
      <alignment horizontal="center"/>
    </xf>
    <xf numFmtId="0" fontId="3" fillId="0" borderId="0" xfId="0" applyFont="1" applyAlignment="1">
      <alignment horizontal="right" indent="2"/>
    </xf>
    <xf numFmtId="2" fontId="0" fillId="0" borderId="0" xfId="0" applyNumberFormat="1" applyAlignment="1">
      <alignment horizontal="center"/>
    </xf>
    <xf numFmtId="164" fontId="3" fillId="0" borderId="0" xfId="0" applyNumberFormat="1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78" fillId="0" borderId="0" xfId="0" applyFont="1"/>
    <xf numFmtId="0" fontId="5" fillId="0" borderId="0" xfId="0" applyFont="1" applyAlignment="1">
      <alignment vertical="center"/>
    </xf>
    <xf numFmtId="0" fontId="79" fillId="0" borderId="0" xfId="0" applyFont="1"/>
    <xf numFmtId="0" fontId="77" fillId="0" borderId="0" xfId="7" applyBorder="1" applyAlignment="1">
      <alignment horizontal="center"/>
    </xf>
    <xf numFmtId="0" fontId="77" fillId="0" borderId="0" xfId="7" applyBorder="1"/>
    <xf numFmtId="0" fontId="71" fillId="0" borderId="0" xfId="0" applyFont="1" applyAlignment="1">
      <alignment horizontal="justify" vertical="center" wrapText="1"/>
    </xf>
    <xf numFmtId="0" fontId="3" fillId="0" borderId="0" xfId="0" applyFont="1" applyAlignment="1">
      <alignment horizontal="justify" wrapText="1"/>
    </xf>
    <xf numFmtId="0" fontId="0" fillId="0" borderId="0" xfId="0" applyAlignment="1">
      <alignment horizontal="justify" wrapText="1"/>
    </xf>
    <xf numFmtId="0" fontId="0" fillId="0" borderId="42" xfId="0" applyBorder="1" applyAlignment="1">
      <alignment horizontal="left"/>
    </xf>
    <xf numFmtId="0" fontId="0" fillId="0" borderId="43" xfId="0" applyBorder="1" applyAlignment="1">
      <alignment horizontal="left"/>
    </xf>
    <xf numFmtId="0" fontId="0" fillId="0" borderId="44" xfId="0" applyBorder="1" applyAlignment="1">
      <alignment horizontal="left"/>
    </xf>
    <xf numFmtId="0" fontId="11" fillId="0" borderId="40" xfId="0" applyFont="1" applyBorder="1" applyAlignment="1">
      <alignment horizontal="left"/>
    </xf>
    <xf numFmtId="0" fontId="11" fillId="0" borderId="27" xfId="0" applyFont="1" applyBorder="1" applyAlignment="1">
      <alignment horizontal="left"/>
    </xf>
    <xf numFmtId="0" fontId="11" fillId="0" borderId="41" xfId="0" applyFont="1" applyBorder="1" applyAlignment="1">
      <alignment horizontal="left"/>
    </xf>
    <xf numFmtId="0" fontId="0" fillId="0" borderId="35" xfId="0" applyBorder="1" applyAlignment="1">
      <alignment horizontal="left" vertical="top"/>
    </xf>
    <xf numFmtId="0" fontId="0" fillId="0" borderId="36" xfId="0" applyBorder="1" applyAlignment="1">
      <alignment horizontal="left" vertical="top"/>
    </xf>
    <xf numFmtId="0" fontId="0" fillId="0" borderId="29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3" fillId="2" borderId="1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40" xfId="0" applyFont="1" applyFill="1" applyBorder="1" applyAlignment="1">
      <alignment horizontal="center"/>
    </xf>
    <xf numFmtId="0" fontId="3" fillId="2" borderId="46" xfId="0" applyFont="1" applyFill="1" applyBorder="1" applyAlignment="1">
      <alignment horizontal="center"/>
    </xf>
    <xf numFmtId="0" fontId="3" fillId="2" borderId="41" xfId="0" applyFont="1" applyFill="1" applyBorder="1" applyAlignment="1">
      <alignment horizontal="center"/>
    </xf>
    <xf numFmtId="0" fontId="0" fillId="0" borderId="47" xfId="0" applyBorder="1" applyAlignment="1">
      <alignment horizontal="left"/>
    </xf>
    <xf numFmtId="0" fontId="0" fillId="0" borderId="48" xfId="0" applyBorder="1" applyAlignment="1">
      <alignment horizontal="left"/>
    </xf>
    <xf numFmtId="0" fontId="0" fillId="0" borderId="12" xfId="0" applyBorder="1" applyAlignment="1">
      <alignment horizontal="left"/>
    </xf>
    <xf numFmtId="0" fontId="3" fillId="2" borderId="38" xfId="0" applyFont="1" applyFill="1" applyBorder="1" applyAlignment="1">
      <alignment horizontal="center"/>
    </xf>
    <xf numFmtId="0" fontId="3" fillId="2" borderId="45" xfId="0" applyFont="1" applyFill="1" applyBorder="1" applyAlignment="1">
      <alignment horizontal="center"/>
    </xf>
    <xf numFmtId="0" fontId="3" fillId="2" borderId="39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0" fillId="0" borderId="29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0" borderId="26" xfId="0" applyBorder="1" applyAlignment="1">
      <alignment horizontal="left" vertical="top"/>
    </xf>
    <xf numFmtId="0" fontId="0" fillId="0" borderId="27" xfId="0" applyBorder="1" applyAlignment="1">
      <alignment horizontal="left" vertical="top"/>
    </xf>
    <xf numFmtId="0" fontId="0" fillId="0" borderId="35" xfId="0" applyFont="1" applyFill="1" applyBorder="1" applyAlignment="1">
      <alignment horizontal="left" vertical="top" wrapText="1"/>
    </xf>
    <xf numFmtId="0" fontId="0" fillId="0" borderId="36" xfId="0" applyFont="1" applyFill="1" applyBorder="1" applyAlignment="1">
      <alignment horizontal="left" vertical="top" wrapText="1"/>
    </xf>
    <xf numFmtId="0" fontId="0" fillId="0" borderId="29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29" xfId="0" applyBorder="1" applyAlignment="1">
      <alignment horizontal="left" wrapText="1"/>
    </xf>
    <xf numFmtId="0" fontId="0" fillId="0" borderId="5" xfId="0" applyBorder="1" applyAlignment="1">
      <alignment horizontal="left" wrapText="1"/>
    </xf>
    <xf numFmtId="0" fontId="0" fillId="0" borderId="26" xfId="0" applyBorder="1" applyAlignment="1">
      <alignment horizontal="left" vertical="center" wrapText="1"/>
    </xf>
    <xf numFmtId="0" fontId="0" fillId="0" borderId="27" xfId="0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27" fillId="0" borderId="0" xfId="0" applyFont="1"/>
    <xf numFmtId="0" fontId="33" fillId="2" borderId="19" xfId="0" applyFont="1" applyFill="1" applyBorder="1" applyAlignment="1">
      <alignment horizontal="left"/>
    </xf>
    <xf numFmtId="0" fontId="33" fillId="2" borderId="20" xfId="0" applyFont="1" applyFill="1" applyBorder="1" applyAlignment="1">
      <alignment horizontal="left"/>
    </xf>
    <xf numFmtId="0" fontId="9" fillId="2" borderId="35" xfId="0" applyFont="1" applyFill="1" applyBorder="1" applyAlignment="1">
      <alignment horizontal="left"/>
    </xf>
    <xf numFmtId="0" fontId="9" fillId="2" borderId="25" xfId="0" applyFont="1" applyFill="1" applyBorder="1" applyAlignment="1">
      <alignment horizontal="left"/>
    </xf>
    <xf numFmtId="0" fontId="9" fillId="2" borderId="19" xfId="0" applyFont="1" applyFill="1" applyBorder="1" applyAlignment="1">
      <alignment horizontal="left"/>
    </xf>
    <xf numFmtId="0" fontId="9" fillId="2" borderId="20" xfId="0" applyFont="1" applyFill="1" applyBorder="1" applyAlignment="1">
      <alignment horizontal="left"/>
    </xf>
    <xf numFmtId="0" fontId="6" fillId="0" borderId="38" xfId="0" applyFont="1" applyFill="1" applyBorder="1" applyAlignment="1">
      <alignment horizontal="center" vertical="center"/>
    </xf>
    <xf numFmtId="0" fontId="6" fillId="0" borderId="39" xfId="0" applyFont="1" applyFill="1" applyBorder="1" applyAlignment="1">
      <alignment horizontal="center" vertical="center"/>
    </xf>
    <xf numFmtId="0" fontId="32" fillId="0" borderId="0" xfId="0" applyFont="1" applyBorder="1" applyAlignment="1">
      <alignment horizontal="center"/>
    </xf>
    <xf numFmtId="0" fontId="32" fillId="0" borderId="13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3" fillId="2" borderId="17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3" fillId="2" borderId="18" xfId="0" applyFont="1" applyFill="1" applyBorder="1" applyAlignment="1">
      <alignment horizontal="center"/>
    </xf>
    <xf numFmtId="0" fontId="3" fillId="2" borderId="34" xfId="0" applyFont="1" applyFill="1" applyBorder="1" applyAlignment="1">
      <alignment horizontal="center" vertical="center"/>
    </xf>
    <xf numFmtId="0" fontId="3" fillId="2" borderId="56" xfId="0" applyFont="1" applyFill="1" applyBorder="1" applyAlignment="1">
      <alignment horizontal="center" vertical="center"/>
    </xf>
    <xf numFmtId="0" fontId="9" fillId="2" borderId="34" xfId="0" applyFont="1" applyFill="1" applyBorder="1" applyAlignment="1">
      <alignment horizontal="center" vertical="center" wrapText="1"/>
    </xf>
    <xf numFmtId="0" fontId="9" fillId="2" borderId="56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0" fontId="3" fillId="2" borderId="55" xfId="0" applyFont="1" applyFill="1" applyBorder="1" applyAlignment="1">
      <alignment horizontal="center" vertical="center"/>
    </xf>
    <xf numFmtId="2" fontId="3" fillId="0" borderId="0" xfId="0" applyNumberFormat="1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3" fillId="0" borderId="9" xfId="0" applyFont="1" applyBorder="1" applyAlignment="1">
      <alignment horizontal="center"/>
    </xf>
    <xf numFmtId="0" fontId="0" fillId="0" borderId="6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17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0" borderId="18" xfId="0" applyBorder="1" applyAlignment="1">
      <alignment horizontal="left" vertical="center" wrapText="1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/>
    </xf>
    <xf numFmtId="0" fontId="72" fillId="0" borderId="0" xfId="0" applyFont="1" applyAlignment="1">
      <alignment horizontal="right" vertical="center"/>
    </xf>
    <xf numFmtId="0" fontId="71" fillId="0" borderId="0" xfId="0" applyFont="1" applyAlignment="1">
      <alignment horizontal="right" vertical="center"/>
    </xf>
    <xf numFmtId="1" fontId="3" fillId="0" borderId="0" xfId="0" applyNumberFormat="1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70" fillId="0" borderId="0" xfId="3" applyFont="1" applyFill="1" applyBorder="1" applyAlignment="1">
      <alignment horizontal="left"/>
    </xf>
    <xf numFmtId="0" fontId="71" fillId="0" borderId="0" xfId="0" applyFont="1" applyAlignment="1">
      <alignment horizontal="center" vertical="center"/>
    </xf>
    <xf numFmtId="0" fontId="36" fillId="0" borderId="5" xfId="0" applyFont="1" applyFill="1" applyBorder="1" applyAlignment="1">
      <alignment horizontal="center" vertical="center" wrapText="1"/>
    </xf>
    <xf numFmtId="0" fontId="36" fillId="0" borderId="57" xfId="0" applyFont="1" applyFill="1" applyBorder="1" applyAlignment="1">
      <alignment horizontal="center" vertical="center" wrapText="1"/>
    </xf>
    <xf numFmtId="0" fontId="36" fillId="0" borderId="30" xfId="0" applyFont="1" applyFill="1" applyBorder="1" applyAlignment="1">
      <alignment horizontal="center" vertical="center" wrapText="1"/>
    </xf>
    <xf numFmtId="0" fontId="36" fillId="0" borderId="51" xfId="0" applyFont="1" applyFill="1" applyBorder="1" applyAlignment="1">
      <alignment horizontal="center" vertical="center" wrapText="1"/>
    </xf>
    <xf numFmtId="0" fontId="36" fillId="2" borderId="35" xfId="0" applyFont="1" applyFill="1" applyBorder="1" applyAlignment="1">
      <alignment horizontal="center"/>
    </xf>
    <xf numFmtId="0" fontId="36" fillId="2" borderId="36" xfId="0" applyFont="1" applyFill="1" applyBorder="1" applyAlignment="1">
      <alignment horizontal="center"/>
    </xf>
    <xf numFmtId="0" fontId="36" fillId="2" borderId="25" xfId="0" applyFont="1" applyFill="1" applyBorder="1" applyAlignment="1">
      <alignment horizontal="center"/>
    </xf>
    <xf numFmtId="0" fontId="36" fillId="2" borderId="29" xfId="0" applyFont="1" applyFill="1" applyBorder="1" applyAlignment="1">
      <alignment horizontal="center"/>
    </xf>
    <xf numFmtId="0" fontId="36" fillId="2" borderId="5" xfId="0" applyFont="1" applyFill="1" applyBorder="1" applyAlignment="1">
      <alignment horizontal="center"/>
    </xf>
    <xf numFmtId="0" fontId="36" fillId="2" borderId="30" xfId="0" applyFont="1" applyFill="1" applyBorder="1" applyAlignment="1">
      <alignment horizontal="center"/>
    </xf>
    <xf numFmtId="0" fontId="36" fillId="0" borderId="29" xfId="0" applyFont="1" applyFill="1" applyBorder="1" applyAlignment="1">
      <alignment horizontal="center" vertical="center" wrapText="1"/>
    </xf>
    <xf numFmtId="0" fontId="36" fillId="0" borderId="58" xfId="0" applyFont="1" applyFill="1" applyBorder="1" applyAlignment="1">
      <alignment horizontal="center" vertical="center" wrapText="1"/>
    </xf>
    <xf numFmtId="0" fontId="33" fillId="0" borderId="5" xfId="0" applyFont="1" applyFill="1" applyBorder="1" applyAlignment="1">
      <alignment horizontal="center" wrapText="1"/>
    </xf>
    <xf numFmtId="0" fontId="33" fillId="0" borderId="57" xfId="0" applyFont="1" applyFill="1" applyBorder="1" applyAlignment="1">
      <alignment horizontal="center" wrapText="1"/>
    </xf>
    <xf numFmtId="0" fontId="36" fillId="0" borderId="16" xfId="0" applyFont="1" applyFill="1" applyBorder="1" applyAlignment="1">
      <alignment horizontal="center" vertical="center" wrapText="1"/>
    </xf>
    <xf numFmtId="0" fontId="36" fillId="0" borderId="37" xfId="0" applyFont="1" applyFill="1" applyBorder="1" applyAlignment="1">
      <alignment horizontal="center" vertical="center" wrapText="1"/>
    </xf>
    <xf numFmtId="0" fontId="36" fillId="0" borderId="14" xfId="0" applyFont="1" applyFill="1" applyBorder="1" applyAlignment="1">
      <alignment horizontal="center" vertical="center" wrapText="1"/>
    </xf>
    <xf numFmtId="0" fontId="36" fillId="2" borderId="38" xfId="0" applyFont="1" applyFill="1" applyBorder="1" applyAlignment="1">
      <alignment horizontal="center"/>
    </xf>
    <xf numFmtId="0" fontId="36" fillId="2" borderId="45" xfId="0" applyFont="1" applyFill="1" applyBorder="1" applyAlignment="1">
      <alignment horizontal="center"/>
    </xf>
    <xf numFmtId="0" fontId="36" fillId="2" borderId="39" xfId="0" applyFont="1" applyFill="1" applyBorder="1" applyAlignment="1">
      <alignment horizontal="center"/>
    </xf>
    <xf numFmtId="0" fontId="36" fillId="2" borderId="42" xfId="0" applyFont="1" applyFill="1" applyBorder="1" applyAlignment="1">
      <alignment horizontal="center"/>
    </xf>
    <xf numFmtId="0" fontId="36" fillId="2" borderId="43" xfId="0" applyFont="1" applyFill="1" applyBorder="1" applyAlignment="1">
      <alignment horizontal="center"/>
    </xf>
    <xf numFmtId="0" fontId="36" fillId="2" borderId="64" xfId="0" applyFont="1" applyFill="1" applyBorder="1" applyAlignment="1">
      <alignment horizontal="center"/>
    </xf>
    <xf numFmtId="0" fontId="3" fillId="2" borderId="23" xfId="0" applyFont="1" applyFill="1" applyBorder="1" applyAlignment="1">
      <alignment horizontal="center" wrapText="1"/>
    </xf>
    <xf numFmtId="0" fontId="3" fillId="2" borderId="24" xfId="0" applyFont="1" applyFill="1" applyBorder="1" applyAlignment="1">
      <alignment horizontal="center" wrapText="1"/>
    </xf>
    <xf numFmtId="2" fontId="0" fillId="0" borderId="2" xfId="0" applyNumberFormat="1" applyBorder="1" applyAlignment="1">
      <alignment horizontal="center" vertical="center"/>
    </xf>
    <xf numFmtId="2" fontId="0" fillId="0" borderId="18" xfId="0" applyNumberFormat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0" fontId="3" fillId="2" borderId="24" xfId="0" applyFont="1" applyFill="1" applyBorder="1" applyAlignment="1">
      <alignment horizontal="center" vertical="center"/>
    </xf>
    <xf numFmtId="0" fontId="9" fillId="2" borderId="23" xfId="0" applyFont="1" applyFill="1" applyBorder="1" applyAlignment="1">
      <alignment horizontal="center" wrapText="1"/>
    </xf>
    <xf numFmtId="0" fontId="9" fillId="2" borderId="24" xfId="0" applyFont="1" applyFill="1" applyBorder="1" applyAlignment="1">
      <alignment horizontal="center" wrapText="1"/>
    </xf>
    <xf numFmtId="0" fontId="3" fillId="2" borderId="8" xfId="0" applyFont="1" applyFill="1" applyBorder="1" applyAlignment="1">
      <alignment horizontal="center" wrapText="1"/>
    </xf>
    <xf numFmtId="0" fontId="3" fillId="2" borderId="13" xfId="0" applyFont="1" applyFill="1" applyBorder="1" applyAlignment="1">
      <alignment horizontal="center" wrapText="1"/>
    </xf>
    <xf numFmtId="0" fontId="36" fillId="2" borderId="34" xfId="0" applyFont="1" applyFill="1" applyBorder="1" applyAlignment="1">
      <alignment horizontal="center" vertical="center" wrapText="1"/>
    </xf>
    <xf numFmtId="0" fontId="36" fillId="2" borderId="56" xfId="0" applyFont="1" applyFill="1" applyBorder="1" applyAlignment="1">
      <alignment horizontal="center" vertical="center" wrapText="1"/>
    </xf>
    <xf numFmtId="0" fontId="36" fillId="2" borderId="1" xfId="0" applyFont="1" applyFill="1" applyBorder="1" applyAlignment="1">
      <alignment horizontal="center"/>
    </xf>
    <xf numFmtId="0" fontId="36" fillId="2" borderId="8" xfId="0" applyFont="1" applyFill="1" applyBorder="1" applyAlignment="1">
      <alignment horizontal="center"/>
    </xf>
    <xf numFmtId="0" fontId="36" fillId="2" borderId="2" xfId="0" applyFont="1" applyFill="1" applyBorder="1" applyAlignment="1">
      <alignment horizontal="center"/>
    </xf>
    <xf numFmtId="0" fontId="36" fillId="2" borderId="17" xfId="0" applyFont="1" applyFill="1" applyBorder="1" applyAlignment="1">
      <alignment horizontal="center"/>
    </xf>
    <xf numFmtId="0" fontId="36" fillId="2" borderId="13" xfId="0" applyFont="1" applyFill="1" applyBorder="1" applyAlignment="1">
      <alignment horizontal="center"/>
    </xf>
    <xf numFmtId="0" fontId="36" fillId="2" borderId="18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51" fillId="0" borderId="0" xfId="3" applyFont="1" applyFill="1" applyBorder="1" applyAlignment="1">
      <alignment horizontal="right"/>
    </xf>
    <xf numFmtId="0" fontId="36" fillId="2" borderId="9" xfId="0" applyFont="1" applyFill="1" applyBorder="1" applyAlignment="1">
      <alignment horizontal="center"/>
    </xf>
    <xf numFmtId="0" fontId="36" fillId="2" borderId="7" xfId="0" applyFont="1" applyFill="1" applyBorder="1" applyAlignment="1">
      <alignment horizontal="center"/>
    </xf>
    <xf numFmtId="2" fontId="0" fillId="0" borderId="67" xfId="0" applyNumberFormat="1" applyFont="1" applyBorder="1" applyAlignment="1">
      <alignment horizontal="center" vertical="center"/>
    </xf>
    <xf numFmtId="2" fontId="0" fillId="0" borderId="68" xfId="0" applyNumberFormat="1" applyFont="1" applyBorder="1" applyAlignment="1">
      <alignment horizontal="center" vertical="center"/>
    </xf>
    <xf numFmtId="2" fontId="0" fillId="0" borderId="68" xfId="0" applyNumberFormat="1" applyBorder="1" applyAlignment="1">
      <alignment horizontal="center" vertical="center"/>
    </xf>
    <xf numFmtId="0" fontId="3" fillId="2" borderId="69" xfId="0" applyFont="1" applyFill="1" applyBorder="1" applyAlignment="1">
      <alignment horizontal="center" vertical="center"/>
    </xf>
    <xf numFmtId="2" fontId="0" fillId="0" borderId="67" xfId="0" applyNumberFormat="1" applyBorder="1" applyAlignment="1">
      <alignment horizontal="center" vertical="center"/>
    </xf>
    <xf numFmtId="2" fontId="0" fillId="0" borderId="68" xfId="0" applyNumberFormat="1" applyBorder="1" applyAlignment="1">
      <alignment horizontal="center"/>
    </xf>
  </cellXfs>
  <cellStyles count="8">
    <cellStyle name="Celda de comprobación" xfId="5" builtinId="23"/>
    <cellStyle name="Entrada" xfId="4" builtinId="20"/>
    <cellStyle name="Hipervínculo" xfId="7" builtinId="8"/>
    <cellStyle name="Incorrecto" xfId="3" builtinId="27"/>
    <cellStyle name="Millares" xfId="1" builtinId="3"/>
    <cellStyle name="Normal" xfId="0" builtinId="0"/>
    <cellStyle name="Porcentaje" xfId="2" builtinId="5"/>
    <cellStyle name="Total" xfId="6" builtinId="25"/>
  </cellStyles>
  <dxfs count="15">
    <dxf>
      <font>
        <b/>
        <i val="0"/>
        <color rgb="FFFF0000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9C0006"/>
      </font>
    </dxf>
    <dxf>
      <font>
        <b/>
        <i val="0"/>
        <color rgb="FF00B050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colors>
    <mruColors>
      <color rgb="FFFFFFC9"/>
      <color rgb="FFF9DDFF"/>
      <color rgb="FFCDF6FB"/>
      <color rgb="FFFEE6E2"/>
      <color rgb="FF6CE4F4"/>
      <color rgb="FFFA8976"/>
      <color rgb="FFF5C9FF"/>
      <color rgb="FFFFFF99"/>
      <color rgb="FFFDC4B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[2]Hoja3!$D$13:$D$43</c:f>
              <c:numCache>
                <c:formatCode>General</c:formatCode>
                <c:ptCount val="31"/>
                <c:pt idx="0">
                  <c:v>1.712900399257872</c:v>
                </c:pt>
                <c:pt idx="1">
                  <c:v>2.1974703859492761</c:v>
                </c:pt>
                <c:pt idx="2">
                  <c:v>2.6820403726406807</c:v>
                </c:pt>
                <c:pt idx="3">
                  <c:v>3.1666103593320849</c:v>
                </c:pt>
                <c:pt idx="4">
                  <c:v>3.6511803460234895</c:v>
                </c:pt>
                <c:pt idx="5">
                  <c:v>4.1357503327148937</c:v>
                </c:pt>
                <c:pt idx="6">
                  <c:v>4.6203203194062965</c:v>
                </c:pt>
                <c:pt idx="7">
                  <c:v>5.1048903060977011</c:v>
                </c:pt>
                <c:pt idx="8">
                  <c:v>5.5894602927891057</c:v>
                </c:pt>
                <c:pt idx="9">
                  <c:v>6.0740302794805103</c:v>
                </c:pt>
                <c:pt idx="10">
                  <c:v>6.5586002661719149</c:v>
                </c:pt>
                <c:pt idx="11">
                  <c:v>7.0431702528633187</c:v>
                </c:pt>
                <c:pt idx="12">
                  <c:v>7.5277402395547224</c:v>
                </c:pt>
                <c:pt idx="13">
                  <c:v>8.012310226246127</c:v>
                </c:pt>
                <c:pt idx="14">
                  <c:v>8.4968802129375298</c:v>
                </c:pt>
                <c:pt idx="15">
                  <c:v>8.9814501996289362</c:v>
                </c:pt>
                <c:pt idx="16">
                  <c:v>9.4660201863203408</c:v>
                </c:pt>
                <c:pt idx="17">
                  <c:v>9.9505901730117436</c:v>
                </c:pt>
                <c:pt idx="18">
                  <c:v>10.43516015970315</c:v>
                </c:pt>
                <c:pt idx="19">
                  <c:v>10.919730146394555</c:v>
                </c:pt>
                <c:pt idx="20">
                  <c:v>11.404300133085959</c:v>
                </c:pt>
                <c:pt idx="21">
                  <c:v>11.888870119777364</c:v>
                </c:pt>
                <c:pt idx="22">
                  <c:v>12.373440106468768</c:v>
                </c:pt>
                <c:pt idx="23">
                  <c:v>12.858010093160171</c:v>
                </c:pt>
                <c:pt idx="24">
                  <c:v>13.342580079851576</c:v>
                </c:pt>
                <c:pt idx="25">
                  <c:v>13.827150066542977</c:v>
                </c:pt>
                <c:pt idx="26">
                  <c:v>14.311720053234383</c:v>
                </c:pt>
                <c:pt idx="27">
                  <c:v>14.796290039925788</c:v>
                </c:pt>
                <c:pt idx="28">
                  <c:v>15.280860026617193</c:v>
                </c:pt>
                <c:pt idx="29">
                  <c:v>15.765430013308597</c:v>
                </c:pt>
                <c:pt idx="30">
                  <c:v>16.25</c:v>
                </c:pt>
              </c:numCache>
            </c:numRef>
          </c:xVal>
          <c:yVal>
            <c:numRef>
              <c:f>[2]Hoja3!$E$13:$E$43</c:f>
              <c:numCache>
                <c:formatCode>General</c:formatCode>
                <c:ptCount val="31"/>
                <c:pt idx="0">
                  <c:v>0.40989948103883572</c:v>
                </c:pt>
                <c:pt idx="1">
                  <c:v>0.52188006514116259</c:v>
                </c:pt>
                <c:pt idx="2">
                  <c:v>0.63210638432532251</c:v>
                </c:pt>
                <c:pt idx="3">
                  <c:v>0.74057843859131489</c:v>
                </c:pt>
                <c:pt idx="4">
                  <c:v>0.84729622793914039</c:v>
                </c:pt>
                <c:pt idx="5">
                  <c:v>0.95225975236879823</c:v>
                </c:pt>
                <c:pt idx="6">
                  <c:v>1.0554690118802887</c:v>
                </c:pt>
                <c:pt idx="7">
                  <c:v>1.1569240064736124</c:v>
                </c:pt>
                <c:pt idx="8">
                  <c:v>1.2566247361487681</c:v>
                </c:pt>
                <c:pt idx="9">
                  <c:v>1.3545712009057571</c:v>
                </c:pt>
                <c:pt idx="10">
                  <c:v>1.4507634007445789</c:v>
                </c:pt>
                <c:pt idx="11">
                  <c:v>1.545201335665233</c:v>
                </c:pt>
                <c:pt idx="12">
                  <c:v>1.6378850056677201</c:v>
                </c:pt>
                <c:pt idx="13">
                  <c:v>1.7288144107520398</c:v>
                </c:pt>
                <c:pt idx="14">
                  <c:v>1.8179895509181916</c:v>
                </c:pt>
                <c:pt idx="15">
                  <c:v>1.9054104261661777</c:v>
                </c:pt>
                <c:pt idx="16">
                  <c:v>1.991077036495996</c:v>
                </c:pt>
                <c:pt idx="17">
                  <c:v>2.0749893819076459</c:v>
                </c:pt>
                <c:pt idx="18">
                  <c:v>2.1571474624011295</c:v>
                </c:pt>
                <c:pt idx="19">
                  <c:v>2.2375512779764457</c:v>
                </c:pt>
                <c:pt idx="20">
                  <c:v>2.3162008286335944</c:v>
                </c:pt>
                <c:pt idx="21">
                  <c:v>2.3930961143725766</c:v>
                </c:pt>
                <c:pt idx="22">
                  <c:v>2.4682371351933905</c:v>
                </c:pt>
                <c:pt idx="23">
                  <c:v>2.5416238910960369</c:v>
                </c:pt>
                <c:pt idx="24">
                  <c:v>2.6132563820805172</c:v>
                </c:pt>
                <c:pt idx="25">
                  <c:v>2.6831346081468288</c:v>
                </c:pt>
                <c:pt idx="26">
                  <c:v>2.7512585692949743</c:v>
                </c:pt>
                <c:pt idx="27">
                  <c:v>2.8176282655249523</c:v>
                </c:pt>
                <c:pt idx="28">
                  <c:v>2.8822436968367633</c:v>
                </c:pt>
                <c:pt idx="29">
                  <c:v>2.945104863230406</c:v>
                </c:pt>
                <c:pt idx="30">
                  <c:v>3.0062117647058826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D3-4287-A877-14A6F23C94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8786463"/>
        <c:axId val="718795615"/>
      </c:scatterChart>
      <c:valAx>
        <c:axId val="718786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AS,</a:t>
                </a:r>
                <a:r>
                  <a:rPr lang="es-MX" baseline="0"/>
                  <a:t> cm2</a:t>
                </a:r>
                <a:endParaRPr lang="es-MX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18795615"/>
        <c:crosses val="autoZero"/>
        <c:crossBetween val="midCat"/>
      </c:valAx>
      <c:valAx>
        <c:axId val="718795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Mr</a:t>
                </a:r>
                <a:r>
                  <a:rPr lang="es-MX" baseline="0"/>
                  <a:t> en t m</a:t>
                </a:r>
                <a:endParaRPr lang="es-MX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187864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21.png"/><Relationship Id="rId2" Type="http://schemas.openxmlformats.org/officeDocument/2006/relationships/image" Target="../media/image20.png"/><Relationship Id="rId1" Type="http://schemas.openxmlformats.org/officeDocument/2006/relationships/image" Target="../media/image19.png"/><Relationship Id="rId6" Type="http://schemas.openxmlformats.org/officeDocument/2006/relationships/image" Target="../media/image24.png"/><Relationship Id="rId5" Type="http://schemas.openxmlformats.org/officeDocument/2006/relationships/image" Target="../media/image23.png"/><Relationship Id="rId4" Type="http://schemas.openxmlformats.org/officeDocument/2006/relationships/image" Target="../media/image22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5.emf"/><Relationship Id="rId1" Type="http://schemas.openxmlformats.org/officeDocument/2006/relationships/chart" Target="../charts/chart1.xml"/></Relationships>
</file>

<file path=xl/drawings/_rels/drawing12.xml.rels><?xml version="1.0" encoding="UTF-8" standalone="yes"?>
<Relationships xmlns="http://schemas.openxmlformats.org/package/2006/relationships"><Relationship Id="rId8" Type="http://schemas.microsoft.com/office/2007/relationships/hdphoto" Target="../media/hdphoto5.wdp"/><Relationship Id="rId3" Type="http://schemas.openxmlformats.org/officeDocument/2006/relationships/image" Target="../media/image27.png"/><Relationship Id="rId7" Type="http://schemas.openxmlformats.org/officeDocument/2006/relationships/image" Target="../media/image30.png"/><Relationship Id="rId2" Type="http://schemas.microsoft.com/office/2007/relationships/hdphoto" Target="../media/hdphoto3.wdp"/><Relationship Id="rId1" Type="http://schemas.openxmlformats.org/officeDocument/2006/relationships/image" Target="../media/image26.png"/><Relationship Id="rId6" Type="http://schemas.openxmlformats.org/officeDocument/2006/relationships/image" Target="../media/image29.png"/><Relationship Id="rId5" Type="http://schemas.openxmlformats.org/officeDocument/2006/relationships/image" Target="../media/image28.png"/><Relationship Id="rId10" Type="http://schemas.microsoft.com/office/2007/relationships/hdphoto" Target="../media/hdphoto6.wdp"/><Relationship Id="rId4" Type="http://schemas.microsoft.com/office/2007/relationships/hdphoto" Target="../media/hdphoto4.wdp"/><Relationship Id="rId9" Type="http://schemas.openxmlformats.org/officeDocument/2006/relationships/image" Target="../media/image31.png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4.png"/><Relationship Id="rId2" Type="http://schemas.openxmlformats.org/officeDocument/2006/relationships/image" Target="../media/image33.png"/><Relationship Id="rId1" Type="http://schemas.openxmlformats.org/officeDocument/2006/relationships/image" Target="../media/image32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microsoft.com/office/2007/relationships/hdphoto" Target="../media/hdphoto1.wdp"/><Relationship Id="rId1" Type="http://schemas.openxmlformats.org/officeDocument/2006/relationships/image" Target="../media/image7.png"/><Relationship Id="rId4" Type="http://schemas.openxmlformats.org/officeDocument/2006/relationships/image" Target="../media/image9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microsoft.com/office/2007/relationships/hdphoto" Target="../media/hdphoto1.wdp"/><Relationship Id="rId1" Type="http://schemas.openxmlformats.org/officeDocument/2006/relationships/image" Target="../media/image7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png"/><Relationship Id="rId2" Type="http://schemas.openxmlformats.org/officeDocument/2006/relationships/image" Target="../media/image12.png"/><Relationship Id="rId1" Type="http://schemas.openxmlformats.org/officeDocument/2006/relationships/image" Target="../media/image11.png"/></Relationships>
</file>

<file path=xl/drawings/_rels/drawing7.xml.rels><?xml version="1.0" encoding="UTF-8" standalone="yes"?>
<Relationships xmlns="http://schemas.openxmlformats.org/package/2006/relationships"><Relationship Id="rId2" Type="http://schemas.microsoft.com/office/2007/relationships/hdphoto" Target="../media/hdphoto2.wdp"/><Relationship Id="rId1" Type="http://schemas.openxmlformats.org/officeDocument/2006/relationships/image" Target="../media/image14.png"/></Relationships>
</file>

<file path=xl/drawings/_rels/drawing8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16.png"/><Relationship Id="rId7" Type="http://schemas.openxmlformats.org/officeDocument/2006/relationships/image" Target="../media/image18.png"/><Relationship Id="rId2" Type="http://schemas.microsoft.com/office/2017/06/relationships/model3d" Target="../media/model3d1.glb"/><Relationship Id="rId1" Type="http://schemas.openxmlformats.org/officeDocument/2006/relationships/image" Target="../media/image15.png"/><Relationship Id="rId6" Type="http://schemas.microsoft.com/office/2017/06/relationships/model3d" Target="../media/model3d3.glb"/><Relationship Id="rId5" Type="http://schemas.openxmlformats.org/officeDocument/2006/relationships/image" Target="../media/image17.png"/><Relationship Id="rId4" Type="http://schemas.microsoft.com/office/2017/06/relationships/model3d" Target="../media/model3d2.glb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361450</xdr:colOff>
      <xdr:row>9</xdr:row>
      <xdr:rowOff>79764</xdr:rowOff>
    </xdr:from>
    <xdr:to>
      <xdr:col>5</xdr:col>
      <xdr:colOff>242082</xdr:colOff>
      <xdr:row>20</xdr:row>
      <xdr:rowOff>45943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D51B173B-F112-4523-BCA0-B11B565686D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357" b="98139" l="3915" r="97617">
                      <a14:foregroundMark x1="50383" y1="12531" x2="50383" y2="12531"/>
                      <a14:foregroundMark x1="56681" y1="11290" x2="45617" y2="15757"/>
                      <a14:foregroundMark x1="80170" y1="9181" x2="78638" y2="9181"/>
                      <a14:foregroundMark x1="80340" y1="4342" x2="57277" y2="16873"/>
                      <a14:foregroundMark x1="85872" y1="24069" x2="85872" y2="30893"/>
                      <a14:foregroundMark x1="74128" y1="2481" x2="74128" y2="2481"/>
                      <a14:backgroundMark x1="28340" y1="91315" x2="38894" y2="92432"/>
                      <a14:backgroundMark x1="5106" y1="98263" x2="4170" y2="98263"/>
                      <a14:backgroundMark x1="4681" y1="97519" x2="5277" y2="99876"/>
                      <a14:backgroundMark x1="5787" y1="97270" x2="14723" y2="92060"/>
                      <a14:backgroundMark x1="13191" y1="92060" x2="18979" y2="85980"/>
                      <a14:backgroundMark x1="20511" y1="84491" x2="20255" y2="89702"/>
                      <a14:backgroundMark x1="20936" y1="88213" x2="24851" y2="87345"/>
                      <a14:backgroundMark x1="26383" y1="86973" x2="44511" y2="87841"/>
                      <a14:backgroundMark x1="45106" y1="87097" x2="50383" y2="87097"/>
                      <a14:backgroundMark x1="83064" y1="55707" x2="83660" y2="58313"/>
                      <a14:backgroundMark x1="83064" y1="56824" x2="83064" y2="60174"/>
                      <a14:backgroundMark x1="82894" y1="59677" x2="77872" y2="64268"/>
                      <a14:backgroundMark x1="77617" y1="64268" x2="66809" y2="73945"/>
                      <a14:backgroundMark x1="66723" y1="73201" x2="61787" y2="78040"/>
                      <a14:backgroundMark x1="61362" y1="78412" x2="53872" y2="85732"/>
                      <a14:backgroundMark x1="54128" y1="83871" x2="50043" y2="87593"/>
                      <a14:backgroundMark x1="27915" y1="91687" x2="22553" y2="89082"/>
                      <a14:backgroundMark x1="20851" y1="92060" x2="30468" y2="90323"/>
                      <a14:backgroundMark x1="50213" y1="98883" x2="3574" y2="98263"/>
                      <a14:backgroundMark x1="40170" y1="93424" x2="42723" y2="88834"/>
                      <a14:backgroundMark x1="38383" y1="92556" x2="56255" y2="86352"/>
                      <a14:backgroundMark x1="48340" y1="93672" x2="49447" y2="95658"/>
                      <a14:backgroundMark x1="48340" y1="94293" x2="48936" y2="95037"/>
                      <a14:backgroundMark x1="51234" y1="98015" x2="50043" y2="95658"/>
                      <a14:backgroundMark x1="51489" y1="94665" x2="48936" y2="95533"/>
                      <a14:backgroundMark x1="60511" y1="79032" x2="64000" y2="75682"/>
                      <a14:backgroundMark x1="63489" y1="81638" x2="72766" y2="70471"/>
                      <a14:backgroundMark x1="67064" y1="79901" x2="81617" y2="62655"/>
                      <a14:backgroundMark x1="80766" y1="67494" x2="92340" y2="57444"/>
                      <a14:backgroundMark x1="82043" y1="66005" x2="88681" y2="56203"/>
                      <a14:backgroundMark x1="82383" y1="64640" x2="87149" y2="56948"/>
                      <a14:backgroundMark x1="80426" y1="65509" x2="83149" y2="62035"/>
                      <a14:backgroundMark x1="85191" y1="58313" x2="86809" y2="60794"/>
                      <a14:backgroundMark x1="80766" y1="65509" x2="79745" y2="66377"/>
                      <a14:backgroundMark x1="93787" y1="57444" x2="98383" y2="55707"/>
                    </a14:backgroundRemoval>
                  </a14:imgEffect>
                </a14:imgLayer>
              </a14:imgProps>
            </a:ext>
          </a:extLst>
        </a:blip>
        <a:srcRect l="-230" t="1002" r="-646" b="-1002"/>
        <a:stretch/>
      </xdr:blipFill>
      <xdr:spPr>
        <a:xfrm>
          <a:off x="942475" y="4566039"/>
          <a:ext cx="2928632" cy="2061679"/>
        </a:xfrm>
        <a:prstGeom prst="rect">
          <a:avLst/>
        </a:prstGeom>
      </xdr:spPr>
    </xdr:pic>
    <xdr:clientData/>
  </xdr:twoCellAnchor>
  <xdr:twoCellAnchor>
    <xdr:from>
      <xdr:col>2</xdr:col>
      <xdr:colOff>89501</xdr:colOff>
      <xdr:row>12</xdr:row>
      <xdr:rowOff>107468</xdr:rowOff>
    </xdr:from>
    <xdr:to>
      <xdr:col>2</xdr:col>
      <xdr:colOff>674380</xdr:colOff>
      <xdr:row>14</xdr:row>
      <xdr:rowOff>35946</xdr:rowOff>
    </xdr:to>
    <xdr:cxnSp macro="">
      <xdr:nvCxnSpPr>
        <xdr:cNvPr id="4" name="Conector recto de flecha 3">
          <a:extLst>
            <a:ext uri="{FF2B5EF4-FFF2-40B4-BE49-F238E27FC236}">
              <a16:creationId xmlns:a16="http://schemas.microsoft.com/office/drawing/2014/main" id="{218E6DCE-E353-4F02-A8AD-8417095B79AD}"/>
            </a:ext>
          </a:extLst>
        </xdr:cNvPr>
        <xdr:cNvCxnSpPr/>
      </xdr:nvCxnSpPr>
      <xdr:spPr>
        <a:xfrm flipV="1">
          <a:off x="1299176" y="5165243"/>
          <a:ext cx="584879" cy="309478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132246</xdr:colOff>
      <xdr:row>15</xdr:row>
      <xdr:rowOff>87732</xdr:rowOff>
    </xdr:from>
    <xdr:to>
      <xdr:col>2</xdr:col>
      <xdr:colOff>718532</xdr:colOff>
      <xdr:row>17</xdr:row>
      <xdr:rowOff>15037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60D412D1-E100-42EE-897C-96CF81F2145C}"/>
            </a:ext>
          </a:extLst>
        </xdr:cNvPr>
        <xdr:cNvCxnSpPr/>
      </xdr:nvCxnSpPr>
      <xdr:spPr>
        <a:xfrm flipV="1">
          <a:off x="1341921" y="5717007"/>
          <a:ext cx="586286" cy="308305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0</xdr:col>
      <xdr:colOff>398586</xdr:colOff>
      <xdr:row>14</xdr:row>
      <xdr:rowOff>24644</xdr:rowOff>
    </xdr:from>
    <xdr:ext cx="313868" cy="140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E6760A8A-FDD2-41B4-BBCB-2D6CB4690A7D}"/>
                </a:ext>
              </a:extLst>
            </xdr:cNvPr>
            <xdr:cNvSpPr txBox="1"/>
          </xdr:nvSpPr>
          <xdr:spPr>
            <a:xfrm>
              <a:off x="398586" y="5463419"/>
              <a:ext cx="313868" cy="140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MX" sz="9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s-MX" sz="900" b="0" i="0">
                            <a:latin typeface="Cambria Math" panose="02040503050406030204" pitchFamily="18" charset="0"/>
                          </a:rPr>
                          <m:t>F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es-MX" sz="900" b="0" i="0">
                            <a:latin typeface="Cambria Math" panose="02040503050406030204" pitchFamily="18" charset="0"/>
                          </a:rPr>
                          <m:t>Y</m:t>
                        </m:r>
                        <m:r>
                          <a:rPr lang="es-MX" sz="900" b="0" i="0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s-MX" sz="900" b="0" i="0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MX" sz="1100" i="0"/>
            </a:p>
          </xdr:txBody>
        </xdr:sp>
      </mc:Choice>
      <mc:Fallback xmlns="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E6760A8A-FDD2-41B4-BBCB-2D6CB4690A7D}"/>
                </a:ext>
              </a:extLst>
            </xdr:cNvPr>
            <xdr:cNvSpPr txBox="1"/>
          </xdr:nvSpPr>
          <xdr:spPr>
            <a:xfrm>
              <a:off x="398586" y="5463419"/>
              <a:ext cx="313868" cy="140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900" b="0" i="0">
                  <a:latin typeface="Cambria Math" panose="02040503050406030204" pitchFamily="18" charset="0"/>
                </a:rPr>
                <a:t>F_Y2=</a:t>
              </a:r>
              <a:endParaRPr lang="es-MX" sz="1100" i="0"/>
            </a:p>
          </xdr:txBody>
        </xdr:sp>
      </mc:Fallback>
    </mc:AlternateContent>
    <xdr:clientData/>
  </xdr:oneCellAnchor>
  <xdr:oneCellAnchor>
    <xdr:from>
      <xdr:col>0</xdr:col>
      <xdr:colOff>404447</xdr:colOff>
      <xdr:row>17</xdr:row>
      <xdr:rowOff>36192</xdr:rowOff>
    </xdr:from>
    <xdr:ext cx="313868" cy="140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1DFA2833-54D1-485B-8A2E-C00B58A8AA62}"/>
                </a:ext>
              </a:extLst>
            </xdr:cNvPr>
            <xdr:cNvSpPr txBox="1"/>
          </xdr:nvSpPr>
          <xdr:spPr>
            <a:xfrm>
              <a:off x="404447" y="6046467"/>
              <a:ext cx="313868" cy="140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MX" sz="9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s-MX" sz="900" b="0" i="0">
                            <a:latin typeface="Cambria Math" panose="02040503050406030204" pitchFamily="18" charset="0"/>
                          </a:rPr>
                          <m:t>F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es-MX" sz="900" b="0" i="0">
                            <a:latin typeface="Cambria Math" panose="02040503050406030204" pitchFamily="18" charset="0"/>
                          </a:rPr>
                          <m:t>Y</m:t>
                        </m:r>
                        <m:r>
                          <a:rPr lang="es-MX" sz="900" b="0" i="0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s-MX" sz="900" b="0" i="0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MX" sz="1100" i="0"/>
            </a:p>
          </xdr:txBody>
        </xdr:sp>
      </mc:Choice>
      <mc:Fallback xmlns="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1DFA2833-54D1-485B-8A2E-C00B58A8AA62}"/>
                </a:ext>
              </a:extLst>
            </xdr:cNvPr>
            <xdr:cNvSpPr txBox="1"/>
          </xdr:nvSpPr>
          <xdr:spPr>
            <a:xfrm>
              <a:off x="404447" y="6046467"/>
              <a:ext cx="313868" cy="140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900" b="0" i="0">
                  <a:latin typeface="Cambria Math" panose="02040503050406030204" pitchFamily="18" charset="0"/>
                </a:rPr>
                <a:t>F_Y1=</a:t>
              </a:r>
              <a:endParaRPr lang="es-MX" sz="1100" i="0"/>
            </a:p>
          </xdr:txBody>
        </xdr:sp>
      </mc:Fallback>
    </mc:AlternateContent>
    <xdr:clientData/>
  </xdr:oneCellAnchor>
  <xdr:oneCellAnchor>
    <xdr:from>
      <xdr:col>4</xdr:col>
      <xdr:colOff>682088</xdr:colOff>
      <xdr:row>25</xdr:row>
      <xdr:rowOff>24516</xdr:rowOff>
    </xdr:from>
    <xdr:ext cx="31431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AF90F5F3-E220-467D-84F4-4A96C409632C}"/>
                </a:ext>
              </a:extLst>
            </xdr:cNvPr>
            <xdr:cNvSpPr txBox="1"/>
          </xdr:nvSpPr>
          <xdr:spPr>
            <a:xfrm>
              <a:off x="3568163" y="7825491"/>
              <a:ext cx="31431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MX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s-MX" sz="1100" b="0" i="0">
                            <a:latin typeface="Cambria Math" panose="02040503050406030204" pitchFamily="18" charset="0"/>
                          </a:rPr>
                          <m:t>F</m:t>
                        </m:r>
                      </m:e>
                      <m:sub>
                        <m:r>
                          <a:rPr lang="es-MX" sz="1100" b="0" i="0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s-MX" sz="1100" b="0" i="0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MX" sz="1400" i="0"/>
            </a:p>
          </xdr:txBody>
        </xdr:sp>
      </mc:Choice>
      <mc:Fallback xmlns="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AF90F5F3-E220-467D-84F4-4A96C409632C}"/>
                </a:ext>
              </a:extLst>
            </xdr:cNvPr>
            <xdr:cNvSpPr txBox="1"/>
          </xdr:nvSpPr>
          <xdr:spPr>
            <a:xfrm>
              <a:off x="3568163" y="7825491"/>
              <a:ext cx="31431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1100" b="0" i="0">
                  <a:latin typeface="Cambria Math" panose="02040503050406030204" pitchFamily="18" charset="0"/>
                </a:rPr>
                <a:t>F_1=</a:t>
              </a:r>
              <a:endParaRPr lang="es-MX" sz="1400" i="0"/>
            </a:p>
          </xdr:txBody>
        </xdr:sp>
      </mc:Fallback>
    </mc:AlternateContent>
    <xdr:clientData/>
  </xdr:oneCellAnchor>
  <xdr:oneCellAnchor>
    <xdr:from>
      <xdr:col>4</xdr:col>
      <xdr:colOff>669909</xdr:colOff>
      <xdr:row>21</xdr:row>
      <xdr:rowOff>99163</xdr:rowOff>
    </xdr:from>
    <xdr:ext cx="31758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2B7E1C90-8DA6-4D2F-A805-EE6E98DD1F56}"/>
                </a:ext>
              </a:extLst>
            </xdr:cNvPr>
            <xdr:cNvSpPr txBox="1"/>
          </xdr:nvSpPr>
          <xdr:spPr>
            <a:xfrm>
              <a:off x="3555984" y="7061938"/>
              <a:ext cx="31758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MX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s-MX" sz="1100" b="0" i="0">
                            <a:latin typeface="Cambria Math" panose="02040503050406030204" pitchFamily="18" charset="0"/>
                          </a:rPr>
                          <m:t>F</m:t>
                        </m:r>
                      </m:e>
                      <m:sub>
                        <m:r>
                          <a:rPr lang="es-MX" sz="1100" b="0" i="0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s-MX" sz="1100" b="0" i="0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MX" sz="1600" i="0"/>
            </a:p>
          </xdr:txBody>
        </xdr:sp>
      </mc:Choice>
      <mc:Fallback xmlns="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2B7E1C90-8DA6-4D2F-A805-EE6E98DD1F56}"/>
                </a:ext>
              </a:extLst>
            </xdr:cNvPr>
            <xdr:cNvSpPr txBox="1"/>
          </xdr:nvSpPr>
          <xdr:spPr>
            <a:xfrm>
              <a:off x="3555984" y="7061938"/>
              <a:ext cx="31758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1100" b="0" i="0">
                  <a:latin typeface="Cambria Math" panose="02040503050406030204" pitchFamily="18" charset="0"/>
                </a:rPr>
                <a:t>F_2=</a:t>
              </a:r>
              <a:endParaRPr lang="es-MX" sz="1600" i="0"/>
            </a:p>
          </xdr:txBody>
        </xdr:sp>
      </mc:Fallback>
    </mc:AlternateContent>
    <xdr:clientData/>
  </xdr:oneCellAnchor>
  <xdr:oneCellAnchor>
    <xdr:from>
      <xdr:col>2</xdr:col>
      <xdr:colOff>9678</xdr:colOff>
      <xdr:row>23</xdr:row>
      <xdr:rowOff>2890</xdr:rowOff>
    </xdr:from>
    <xdr:ext cx="31463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CuadroTexto 9">
              <a:extLst>
                <a:ext uri="{FF2B5EF4-FFF2-40B4-BE49-F238E27FC236}">
                  <a16:creationId xmlns:a16="http://schemas.microsoft.com/office/drawing/2014/main" id="{7FF1673D-EE07-478A-80E7-93D3E24D4CCC}"/>
                </a:ext>
              </a:extLst>
            </xdr:cNvPr>
            <xdr:cNvSpPr txBox="1"/>
          </xdr:nvSpPr>
          <xdr:spPr>
            <a:xfrm>
              <a:off x="1219353" y="7422865"/>
              <a:ext cx="3146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MX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s-MX" sz="1100" b="0" i="0">
                            <a:latin typeface="Cambria Math" panose="02040503050406030204" pitchFamily="18" charset="0"/>
                          </a:rPr>
                          <m:t>V</m:t>
                        </m:r>
                      </m:e>
                      <m:sub>
                        <m:r>
                          <a:rPr lang="es-MX" sz="1100" b="0" i="0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s-MX" sz="1100" b="0" i="0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MX" sz="1600" i="0"/>
            </a:p>
          </xdr:txBody>
        </xdr:sp>
      </mc:Choice>
      <mc:Fallback xmlns="">
        <xdr:sp macro="" textlink="">
          <xdr:nvSpPr>
            <xdr:cNvPr id="10" name="CuadroTexto 9">
              <a:extLst>
                <a:ext uri="{FF2B5EF4-FFF2-40B4-BE49-F238E27FC236}">
                  <a16:creationId xmlns:a16="http://schemas.microsoft.com/office/drawing/2014/main" id="{7FF1673D-EE07-478A-80E7-93D3E24D4CCC}"/>
                </a:ext>
              </a:extLst>
            </xdr:cNvPr>
            <xdr:cNvSpPr txBox="1"/>
          </xdr:nvSpPr>
          <xdr:spPr>
            <a:xfrm>
              <a:off x="1219353" y="7422865"/>
              <a:ext cx="3146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1100" b="0" i="0">
                  <a:latin typeface="Cambria Math" panose="02040503050406030204" pitchFamily="18" charset="0"/>
                </a:rPr>
                <a:t>V_2=</a:t>
              </a:r>
              <a:endParaRPr lang="es-MX" sz="1600" i="0"/>
            </a:p>
          </xdr:txBody>
        </xdr:sp>
      </mc:Fallback>
    </mc:AlternateContent>
    <xdr:clientData/>
  </xdr:oneCellAnchor>
  <xdr:oneCellAnchor>
    <xdr:from>
      <xdr:col>1</xdr:col>
      <xdr:colOff>646661</xdr:colOff>
      <xdr:row>27</xdr:row>
      <xdr:rowOff>43799</xdr:rowOff>
    </xdr:from>
    <xdr:ext cx="31136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0207B234-ABFA-44CC-B7BE-21C1FA2D6D09}"/>
                </a:ext>
              </a:extLst>
            </xdr:cNvPr>
            <xdr:cNvSpPr txBox="1"/>
          </xdr:nvSpPr>
          <xdr:spPr>
            <a:xfrm>
              <a:off x="1208636" y="8225774"/>
              <a:ext cx="31136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MX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s-MX" sz="1100" b="0" i="0">
                            <a:latin typeface="Cambria Math" panose="02040503050406030204" pitchFamily="18" charset="0"/>
                          </a:rPr>
                          <m:t>V</m:t>
                        </m:r>
                      </m:e>
                      <m:sub>
                        <m:r>
                          <a:rPr lang="es-MX" sz="1100" b="0" i="0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s-MX" sz="1100" b="0" i="0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MX" sz="1600" i="0"/>
            </a:p>
          </xdr:txBody>
        </xdr:sp>
      </mc:Choice>
      <mc:Fallback xmlns=""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0207B234-ABFA-44CC-B7BE-21C1FA2D6D09}"/>
                </a:ext>
              </a:extLst>
            </xdr:cNvPr>
            <xdr:cNvSpPr txBox="1"/>
          </xdr:nvSpPr>
          <xdr:spPr>
            <a:xfrm>
              <a:off x="1208636" y="8225774"/>
              <a:ext cx="31136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1100" b="0" i="0">
                  <a:latin typeface="Cambria Math" panose="02040503050406030204" pitchFamily="18" charset="0"/>
                </a:rPr>
                <a:t>V_1=</a:t>
              </a:r>
              <a:endParaRPr lang="es-MX" sz="1600" i="0"/>
            </a:p>
          </xdr:txBody>
        </xdr:sp>
      </mc:Fallback>
    </mc:AlternateContent>
    <xdr:clientData/>
  </xdr:oneCellAnchor>
  <xdr:twoCellAnchor>
    <xdr:from>
      <xdr:col>4</xdr:col>
      <xdr:colOff>135089</xdr:colOff>
      <xdr:row>10</xdr:row>
      <xdr:rowOff>132085</xdr:rowOff>
    </xdr:from>
    <xdr:to>
      <xdr:col>4</xdr:col>
      <xdr:colOff>675686</xdr:colOff>
      <xdr:row>10</xdr:row>
      <xdr:rowOff>137578</xdr:rowOff>
    </xdr:to>
    <xdr:cxnSp macro="">
      <xdr:nvCxnSpPr>
        <xdr:cNvPr id="12" name="Conector recto de flecha 11">
          <a:extLst>
            <a:ext uri="{FF2B5EF4-FFF2-40B4-BE49-F238E27FC236}">
              <a16:creationId xmlns:a16="http://schemas.microsoft.com/office/drawing/2014/main" id="{0908AF15-CAF0-4088-9946-4E58AA5CB7BE}"/>
            </a:ext>
          </a:extLst>
        </xdr:cNvPr>
        <xdr:cNvCxnSpPr/>
      </xdr:nvCxnSpPr>
      <xdr:spPr>
        <a:xfrm flipH="1" flipV="1">
          <a:off x="3021164" y="4808860"/>
          <a:ext cx="540597" cy="5493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144540</xdr:colOff>
      <xdr:row>13</xdr:row>
      <xdr:rowOff>103107</xdr:rowOff>
    </xdr:from>
    <xdr:to>
      <xdr:col>4</xdr:col>
      <xdr:colOff>644997</xdr:colOff>
      <xdr:row>13</xdr:row>
      <xdr:rowOff>104274</xdr:rowOff>
    </xdr:to>
    <xdr:cxnSp macro="">
      <xdr:nvCxnSpPr>
        <xdr:cNvPr id="13" name="Conector recto de flecha 12">
          <a:extLst>
            <a:ext uri="{FF2B5EF4-FFF2-40B4-BE49-F238E27FC236}">
              <a16:creationId xmlns:a16="http://schemas.microsoft.com/office/drawing/2014/main" id="{B0F59D35-7D7D-40E5-8B1E-01468280A0E7}"/>
            </a:ext>
          </a:extLst>
        </xdr:cNvPr>
        <xdr:cNvCxnSpPr/>
      </xdr:nvCxnSpPr>
      <xdr:spPr>
        <a:xfrm flipH="1" flipV="1">
          <a:off x="3030615" y="5351382"/>
          <a:ext cx="500457" cy="1167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</xdr:col>
      <xdr:colOff>680237</xdr:colOff>
      <xdr:row>10</xdr:row>
      <xdr:rowOff>49217</xdr:rowOff>
    </xdr:from>
    <xdr:ext cx="305981" cy="140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CuadroTexto 13">
              <a:extLst>
                <a:ext uri="{FF2B5EF4-FFF2-40B4-BE49-F238E27FC236}">
                  <a16:creationId xmlns:a16="http://schemas.microsoft.com/office/drawing/2014/main" id="{30C8914D-3F4C-4391-9CD1-736572A64EA0}"/>
                </a:ext>
              </a:extLst>
            </xdr:cNvPr>
            <xdr:cNvSpPr txBox="1"/>
          </xdr:nvSpPr>
          <xdr:spPr>
            <a:xfrm>
              <a:off x="3566312" y="4725992"/>
              <a:ext cx="305981" cy="140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MX" sz="9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s-MX" sz="900" b="0" i="0">
                            <a:latin typeface="Cambria Math" panose="02040503050406030204" pitchFamily="18" charset="0"/>
                          </a:rPr>
                          <m:t>F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es-MX" sz="900" b="0" i="0">
                            <a:latin typeface="Cambria Math" panose="02040503050406030204" pitchFamily="18" charset="0"/>
                          </a:rPr>
                          <m:t>x</m:t>
                        </m:r>
                        <m:r>
                          <a:rPr lang="es-MX" sz="900" b="0" i="0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s-MX" sz="900" b="0" i="0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MX" sz="1100" i="0"/>
            </a:p>
          </xdr:txBody>
        </xdr:sp>
      </mc:Choice>
      <mc:Fallback xmlns="">
        <xdr:sp macro="" textlink="">
          <xdr:nvSpPr>
            <xdr:cNvPr id="14" name="CuadroTexto 13">
              <a:extLst>
                <a:ext uri="{FF2B5EF4-FFF2-40B4-BE49-F238E27FC236}">
                  <a16:creationId xmlns:a16="http://schemas.microsoft.com/office/drawing/2014/main" id="{30C8914D-3F4C-4391-9CD1-736572A64EA0}"/>
                </a:ext>
              </a:extLst>
            </xdr:cNvPr>
            <xdr:cNvSpPr txBox="1"/>
          </xdr:nvSpPr>
          <xdr:spPr>
            <a:xfrm>
              <a:off x="3566312" y="4725992"/>
              <a:ext cx="305981" cy="140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900" b="0" i="0">
                  <a:latin typeface="Cambria Math" panose="02040503050406030204" pitchFamily="18" charset="0"/>
                </a:rPr>
                <a:t>F_x2=</a:t>
              </a:r>
              <a:endParaRPr lang="es-MX" sz="1100" i="0"/>
            </a:p>
          </xdr:txBody>
        </xdr:sp>
      </mc:Fallback>
    </mc:AlternateContent>
    <xdr:clientData/>
  </xdr:oneCellAnchor>
  <xdr:oneCellAnchor>
    <xdr:from>
      <xdr:col>4</xdr:col>
      <xdr:colOff>642557</xdr:colOff>
      <xdr:row>13</xdr:row>
      <xdr:rowOff>41598</xdr:rowOff>
    </xdr:from>
    <xdr:ext cx="305981" cy="140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CuadroTexto 14">
              <a:extLst>
                <a:ext uri="{FF2B5EF4-FFF2-40B4-BE49-F238E27FC236}">
                  <a16:creationId xmlns:a16="http://schemas.microsoft.com/office/drawing/2014/main" id="{1B6322A7-AEB8-49EA-8A60-0FABE3609006}"/>
                </a:ext>
              </a:extLst>
            </xdr:cNvPr>
            <xdr:cNvSpPr txBox="1"/>
          </xdr:nvSpPr>
          <xdr:spPr>
            <a:xfrm>
              <a:off x="3528632" y="5289873"/>
              <a:ext cx="305981" cy="140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MX" sz="9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s-MX" sz="900" b="0" i="0">
                            <a:latin typeface="Cambria Math" panose="02040503050406030204" pitchFamily="18" charset="0"/>
                          </a:rPr>
                          <m:t>F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es-MX" sz="900" b="0" i="0">
                            <a:latin typeface="Cambria Math" panose="02040503050406030204" pitchFamily="18" charset="0"/>
                          </a:rPr>
                          <m:t>x</m:t>
                        </m:r>
                        <m:r>
                          <a:rPr lang="es-MX" sz="900" b="0" i="0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s-MX" sz="900" b="0" i="0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MX" sz="1100" i="0"/>
            </a:p>
          </xdr:txBody>
        </xdr:sp>
      </mc:Choice>
      <mc:Fallback xmlns="">
        <xdr:sp macro="" textlink="">
          <xdr:nvSpPr>
            <xdr:cNvPr id="15" name="CuadroTexto 14">
              <a:extLst>
                <a:ext uri="{FF2B5EF4-FFF2-40B4-BE49-F238E27FC236}">
                  <a16:creationId xmlns:a16="http://schemas.microsoft.com/office/drawing/2014/main" id="{1B6322A7-AEB8-49EA-8A60-0FABE3609006}"/>
                </a:ext>
              </a:extLst>
            </xdr:cNvPr>
            <xdr:cNvSpPr txBox="1"/>
          </xdr:nvSpPr>
          <xdr:spPr>
            <a:xfrm>
              <a:off x="3528632" y="5289873"/>
              <a:ext cx="305981" cy="140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900" b="0" i="0">
                  <a:latin typeface="Cambria Math" panose="02040503050406030204" pitchFamily="18" charset="0"/>
                </a:rPr>
                <a:t>F_x1=</a:t>
              </a:r>
              <a:endParaRPr lang="es-MX" sz="1100" i="0"/>
            </a:p>
          </xdr:txBody>
        </xdr:sp>
      </mc:Fallback>
    </mc:AlternateContent>
    <xdr:clientData/>
  </xdr:oneCellAnchor>
  <xdr:twoCellAnchor>
    <xdr:from>
      <xdr:col>1</xdr:col>
      <xdr:colOff>142270</xdr:colOff>
      <xdr:row>18</xdr:row>
      <xdr:rowOff>164408</xdr:rowOff>
    </xdr:from>
    <xdr:to>
      <xdr:col>2</xdr:col>
      <xdr:colOff>316727</xdr:colOff>
      <xdr:row>20</xdr:row>
      <xdr:rowOff>93090</xdr:rowOff>
    </xdr:to>
    <xdr:grpSp>
      <xdr:nvGrpSpPr>
        <xdr:cNvPr id="16" name="Grupo 15">
          <a:extLst>
            <a:ext uri="{FF2B5EF4-FFF2-40B4-BE49-F238E27FC236}">
              <a16:creationId xmlns:a16="http://schemas.microsoft.com/office/drawing/2014/main" id="{6FB63070-9C72-4BA6-8F7F-8E64035AA9F9}"/>
            </a:ext>
          </a:extLst>
        </xdr:cNvPr>
        <xdr:cNvGrpSpPr/>
      </xdr:nvGrpSpPr>
      <xdr:grpSpPr>
        <a:xfrm>
          <a:off x="963801" y="3593408"/>
          <a:ext cx="995989" cy="309682"/>
          <a:chOff x="1961148" y="5310121"/>
          <a:chExt cx="826168" cy="300606"/>
        </a:xfrm>
      </xdr:grpSpPr>
      <xdr:cxnSp macro="">
        <xdr:nvCxnSpPr>
          <xdr:cNvPr id="17" name="Conector recto de flecha 16">
            <a:extLst>
              <a:ext uri="{FF2B5EF4-FFF2-40B4-BE49-F238E27FC236}">
                <a16:creationId xmlns:a16="http://schemas.microsoft.com/office/drawing/2014/main" id="{A412F28F-0B8F-7CBE-6369-A407700EED79}"/>
              </a:ext>
            </a:extLst>
          </xdr:cNvPr>
          <xdr:cNvCxnSpPr/>
        </xdr:nvCxnSpPr>
        <xdr:spPr>
          <a:xfrm flipV="1">
            <a:off x="1961461" y="5310121"/>
            <a:ext cx="586636" cy="297319"/>
          </a:xfrm>
          <a:prstGeom prst="straightConnector1">
            <a:avLst/>
          </a:prstGeom>
          <a:ln w="28575">
            <a:solidFill>
              <a:srgbClr val="FFC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8" name="Conector recto de flecha 17">
            <a:extLst>
              <a:ext uri="{FF2B5EF4-FFF2-40B4-BE49-F238E27FC236}">
                <a16:creationId xmlns:a16="http://schemas.microsoft.com/office/drawing/2014/main" id="{F5BD53E0-9E62-07EF-CBD7-C2F216EAE0E1}"/>
              </a:ext>
            </a:extLst>
          </xdr:cNvPr>
          <xdr:cNvCxnSpPr/>
        </xdr:nvCxnSpPr>
        <xdr:spPr>
          <a:xfrm flipV="1">
            <a:off x="1961148" y="5610726"/>
            <a:ext cx="826168" cy="1"/>
          </a:xfrm>
          <a:prstGeom prst="straightConnector1">
            <a:avLst/>
          </a:prstGeom>
          <a:ln w="28575">
            <a:solidFill>
              <a:srgbClr val="FFC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oneCellAnchor>
    <xdr:from>
      <xdr:col>7</xdr:col>
      <xdr:colOff>14085</xdr:colOff>
      <xdr:row>14</xdr:row>
      <xdr:rowOff>28200</xdr:rowOff>
    </xdr:from>
    <xdr:ext cx="274498" cy="140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CuadroTexto 18">
              <a:extLst>
                <a:ext uri="{FF2B5EF4-FFF2-40B4-BE49-F238E27FC236}">
                  <a16:creationId xmlns:a16="http://schemas.microsoft.com/office/drawing/2014/main" id="{C9EC084F-87FD-4804-BCF5-01D40B23893F}"/>
                </a:ext>
              </a:extLst>
            </xdr:cNvPr>
            <xdr:cNvSpPr txBox="1"/>
          </xdr:nvSpPr>
          <xdr:spPr>
            <a:xfrm>
              <a:off x="5205210" y="5466975"/>
              <a:ext cx="274498" cy="140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MX" sz="9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s-MX" sz="900" b="0" i="0">
                            <a:latin typeface="Cambria Math" panose="02040503050406030204" pitchFamily="18" charset="0"/>
                          </a:rPr>
                          <m:t>H</m:t>
                        </m:r>
                      </m:e>
                      <m:sub>
                        <m:r>
                          <a:rPr lang="es-MX" sz="900" b="0" i="0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s-MX" sz="900" b="0" i="0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MX" sz="1100" i="0"/>
            </a:p>
          </xdr:txBody>
        </xdr:sp>
      </mc:Choice>
      <mc:Fallback xmlns="">
        <xdr:sp macro="" textlink="">
          <xdr:nvSpPr>
            <xdr:cNvPr id="19" name="CuadroTexto 18">
              <a:extLst>
                <a:ext uri="{FF2B5EF4-FFF2-40B4-BE49-F238E27FC236}">
                  <a16:creationId xmlns:a16="http://schemas.microsoft.com/office/drawing/2014/main" id="{C9EC084F-87FD-4804-BCF5-01D40B23893F}"/>
                </a:ext>
              </a:extLst>
            </xdr:cNvPr>
            <xdr:cNvSpPr txBox="1"/>
          </xdr:nvSpPr>
          <xdr:spPr>
            <a:xfrm>
              <a:off x="5205210" y="5466975"/>
              <a:ext cx="274498" cy="140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900" b="0" i="0">
                  <a:latin typeface="Cambria Math" panose="02040503050406030204" pitchFamily="18" charset="0"/>
                </a:rPr>
                <a:t>H_1=</a:t>
              </a:r>
              <a:endParaRPr lang="es-MX" sz="1100" i="0"/>
            </a:p>
          </xdr:txBody>
        </xdr:sp>
      </mc:Fallback>
    </mc:AlternateContent>
    <xdr:clientData/>
  </xdr:oneCellAnchor>
  <xdr:oneCellAnchor>
    <xdr:from>
      <xdr:col>7</xdr:col>
      <xdr:colOff>624554</xdr:colOff>
      <xdr:row>14</xdr:row>
      <xdr:rowOff>51644</xdr:rowOff>
    </xdr:from>
    <xdr:ext cx="148332" cy="14429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" name="CuadroTexto 19">
              <a:extLst>
                <a:ext uri="{FF2B5EF4-FFF2-40B4-BE49-F238E27FC236}">
                  <a16:creationId xmlns:a16="http://schemas.microsoft.com/office/drawing/2014/main" id="{F142B17A-479D-44B3-8458-3BEB2F751D9A}"/>
                </a:ext>
              </a:extLst>
            </xdr:cNvPr>
            <xdr:cNvSpPr txBox="1"/>
          </xdr:nvSpPr>
          <xdr:spPr>
            <a:xfrm>
              <a:off x="5815679" y="5490419"/>
              <a:ext cx="148332" cy="1442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s-MX" sz="900" b="0" i="0">
                        <a:latin typeface="Cambria Math" panose="02040503050406030204" pitchFamily="18" charset="0"/>
                      </a:rPr>
                      <m:t>m</m:t>
                    </m:r>
                  </m:oMath>
                </m:oMathPara>
              </a14:m>
              <a:endParaRPr lang="es-MX" sz="1100" i="0"/>
            </a:p>
          </xdr:txBody>
        </xdr:sp>
      </mc:Choice>
      <mc:Fallback xmlns="">
        <xdr:sp macro="" textlink="">
          <xdr:nvSpPr>
            <xdr:cNvPr id="20" name="CuadroTexto 19">
              <a:extLst>
                <a:ext uri="{FF2B5EF4-FFF2-40B4-BE49-F238E27FC236}">
                  <a16:creationId xmlns:a16="http://schemas.microsoft.com/office/drawing/2014/main" id="{F142B17A-479D-44B3-8458-3BEB2F751D9A}"/>
                </a:ext>
              </a:extLst>
            </xdr:cNvPr>
            <xdr:cNvSpPr txBox="1"/>
          </xdr:nvSpPr>
          <xdr:spPr>
            <a:xfrm>
              <a:off x="5815679" y="5490419"/>
              <a:ext cx="148332" cy="1442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MX" sz="900" b="0" i="0">
                  <a:latin typeface="Cambria Math" panose="02040503050406030204" pitchFamily="18" charset="0"/>
                </a:rPr>
                <a:t>m</a:t>
              </a:r>
              <a:endParaRPr lang="es-MX" sz="1100" i="0"/>
            </a:p>
          </xdr:txBody>
        </xdr:sp>
      </mc:Fallback>
    </mc:AlternateContent>
    <xdr:clientData/>
  </xdr:oneCellAnchor>
  <xdr:twoCellAnchor>
    <xdr:from>
      <xdr:col>4</xdr:col>
      <xdr:colOff>463062</xdr:colOff>
      <xdr:row>9</xdr:row>
      <xdr:rowOff>99731</xdr:rowOff>
    </xdr:from>
    <xdr:to>
      <xdr:col>7</xdr:col>
      <xdr:colOff>5443</xdr:colOff>
      <xdr:row>16</xdr:row>
      <xdr:rowOff>0</xdr:rowOff>
    </xdr:to>
    <xdr:grpSp>
      <xdr:nvGrpSpPr>
        <xdr:cNvPr id="21" name="Grupo 20">
          <a:extLst>
            <a:ext uri="{FF2B5EF4-FFF2-40B4-BE49-F238E27FC236}">
              <a16:creationId xmlns:a16="http://schemas.microsoft.com/office/drawing/2014/main" id="{BEF7DD4D-5C34-43BE-B7DA-71E49A0CFECA}"/>
            </a:ext>
          </a:extLst>
        </xdr:cNvPr>
        <xdr:cNvGrpSpPr/>
      </xdr:nvGrpSpPr>
      <xdr:grpSpPr>
        <a:xfrm>
          <a:off x="3749187" y="1814231"/>
          <a:ext cx="2006975" cy="1233769"/>
          <a:chOff x="3440724" y="3827669"/>
          <a:chExt cx="1910442" cy="1172223"/>
        </a:xfrm>
      </xdr:grpSpPr>
      <xdr:sp macro="" textlink="">
        <xdr:nvSpPr>
          <xdr:cNvPr id="22" name="Elipse 21">
            <a:extLst>
              <a:ext uri="{FF2B5EF4-FFF2-40B4-BE49-F238E27FC236}">
                <a16:creationId xmlns:a16="http://schemas.microsoft.com/office/drawing/2014/main" id="{F4C9BACB-6A46-9771-E1DA-E91901BF8D1B}"/>
              </a:ext>
            </a:extLst>
          </xdr:cNvPr>
          <xdr:cNvSpPr/>
        </xdr:nvSpPr>
        <xdr:spPr>
          <a:xfrm>
            <a:off x="4947448" y="3827669"/>
            <a:ext cx="257600" cy="181623"/>
          </a:xfrm>
          <a:prstGeom prst="ellipse">
            <a:avLst/>
          </a:prstGeom>
          <a:gradFill flip="none" rotWithShape="1">
            <a:gsLst>
              <a:gs pos="0">
                <a:schemeClr val="accent1">
                  <a:lumMod val="60000"/>
                  <a:lumOff val="40000"/>
                  <a:tint val="66000"/>
                  <a:satMod val="160000"/>
                </a:schemeClr>
              </a:gs>
              <a:gs pos="50000">
                <a:schemeClr val="accent1">
                  <a:lumMod val="60000"/>
                  <a:lumOff val="40000"/>
                  <a:tint val="44500"/>
                  <a:satMod val="160000"/>
                </a:schemeClr>
              </a:gs>
              <a:gs pos="100000">
                <a:schemeClr val="accent1">
                  <a:lumMod val="60000"/>
                  <a:lumOff val="40000"/>
                  <a:tint val="23500"/>
                  <a:satMod val="160000"/>
                </a:schemeClr>
              </a:gs>
            </a:gsLst>
            <a:path path="circle">
              <a:fillToRect l="50000" t="50000" r="50000" b="50000"/>
            </a:path>
            <a:tileRect/>
          </a:gradFill>
          <a:ln>
            <a:solidFill>
              <a:srgbClr val="00B0F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MX" sz="1100"/>
          </a:p>
        </xdr:txBody>
      </xdr:sp>
      <xdr:cxnSp macro="">
        <xdr:nvCxnSpPr>
          <xdr:cNvPr id="23" name="Conector recto 22">
            <a:extLst>
              <a:ext uri="{FF2B5EF4-FFF2-40B4-BE49-F238E27FC236}">
                <a16:creationId xmlns:a16="http://schemas.microsoft.com/office/drawing/2014/main" id="{40B9FABF-B75E-F1D4-D047-2860BB7B4889}"/>
              </a:ext>
            </a:extLst>
          </xdr:cNvPr>
          <xdr:cNvCxnSpPr>
            <a:endCxn id="22" idx="2"/>
          </xdr:cNvCxnSpPr>
        </xdr:nvCxnSpPr>
        <xdr:spPr>
          <a:xfrm>
            <a:off x="3459966" y="3910011"/>
            <a:ext cx="1487482" cy="6795"/>
          </a:xfrm>
          <a:prstGeom prst="line">
            <a:avLst/>
          </a:prstGeom>
          <a:ln>
            <a:solidFill>
              <a:schemeClr val="accent1">
                <a:lumMod val="60000"/>
                <a:lumOff val="40000"/>
              </a:schemeClr>
            </a:solidFill>
            <a:prstDash val="lg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" name="Conector recto 23">
            <a:extLst>
              <a:ext uri="{FF2B5EF4-FFF2-40B4-BE49-F238E27FC236}">
                <a16:creationId xmlns:a16="http://schemas.microsoft.com/office/drawing/2014/main" id="{4EAC42D7-9C38-0BCF-6207-046128B51791}"/>
              </a:ext>
            </a:extLst>
          </xdr:cNvPr>
          <xdr:cNvCxnSpPr>
            <a:cxnSpLocks/>
            <a:stCxn id="22" idx="4"/>
            <a:endCxn id="25" idx="0"/>
          </xdr:cNvCxnSpPr>
        </xdr:nvCxnSpPr>
        <xdr:spPr>
          <a:xfrm flipH="1">
            <a:off x="5076072" y="4009292"/>
            <a:ext cx="176" cy="896026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5" name="Rectángulo 24">
            <a:extLst>
              <a:ext uri="{FF2B5EF4-FFF2-40B4-BE49-F238E27FC236}">
                <a16:creationId xmlns:a16="http://schemas.microsoft.com/office/drawing/2014/main" id="{66694D7A-9502-EAD8-F957-EB9C9A7F6EC5}"/>
              </a:ext>
            </a:extLst>
          </xdr:cNvPr>
          <xdr:cNvSpPr/>
        </xdr:nvSpPr>
        <xdr:spPr>
          <a:xfrm>
            <a:off x="4848960" y="4905318"/>
            <a:ext cx="454224" cy="86948"/>
          </a:xfrm>
          <a:prstGeom prst="rect">
            <a:avLst/>
          </a:prstGeom>
          <a:gradFill flip="none" rotWithShape="1">
            <a:gsLst>
              <a:gs pos="0">
                <a:schemeClr val="accent1">
                  <a:lumMod val="60000"/>
                  <a:lumOff val="40000"/>
                  <a:tint val="66000"/>
                  <a:satMod val="160000"/>
                </a:schemeClr>
              </a:gs>
              <a:gs pos="50000">
                <a:schemeClr val="accent1">
                  <a:lumMod val="60000"/>
                  <a:lumOff val="40000"/>
                  <a:tint val="44500"/>
                  <a:satMod val="160000"/>
                </a:schemeClr>
              </a:gs>
              <a:gs pos="100000">
                <a:schemeClr val="accent1">
                  <a:lumMod val="60000"/>
                  <a:lumOff val="40000"/>
                  <a:tint val="23500"/>
                  <a:satMod val="160000"/>
                </a:schemeClr>
              </a:gs>
            </a:gsLst>
            <a:path path="circle">
              <a:fillToRect l="50000" t="50000" r="50000" b="50000"/>
            </a:path>
            <a:tileRect/>
          </a:gradFill>
          <a:ln>
            <a:solidFill>
              <a:srgbClr val="00B0F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MX" sz="1100"/>
          </a:p>
        </xdr:txBody>
      </xdr:sp>
      <xdr:cxnSp macro="">
        <xdr:nvCxnSpPr>
          <xdr:cNvPr id="26" name="Conector recto 25">
            <a:extLst>
              <a:ext uri="{FF2B5EF4-FFF2-40B4-BE49-F238E27FC236}">
                <a16:creationId xmlns:a16="http://schemas.microsoft.com/office/drawing/2014/main" id="{C213AFBB-DBCB-3452-B044-02FD51F513BA}"/>
              </a:ext>
            </a:extLst>
          </xdr:cNvPr>
          <xdr:cNvCxnSpPr>
            <a:endCxn id="28" idx="2"/>
          </xdr:cNvCxnSpPr>
        </xdr:nvCxnSpPr>
        <xdr:spPr>
          <a:xfrm flipV="1">
            <a:off x="3442381" y="4447694"/>
            <a:ext cx="1505068" cy="1579"/>
          </a:xfrm>
          <a:prstGeom prst="line">
            <a:avLst/>
          </a:prstGeom>
          <a:ln>
            <a:solidFill>
              <a:schemeClr val="accent1">
                <a:lumMod val="60000"/>
                <a:lumOff val="40000"/>
              </a:schemeClr>
            </a:solidFill>
            <a:prstDash val="lg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" name="Conector recto 26">
            <a:extLst>
              <a:ext uri="{FF2B5EF4-FFF2-40B4-BE49-F238E27FC236}">
                <a16:creationId xmlns:a16="http://schemas.microsoft.com/office/drawing/2014/main" id="{4BC22232-C7B6-0FA9-B5E1-81402AF24AE2}"/>
              </a:ext>
            </a:extLst>
          </xdr:cNvPr>
          <xdr:cNvCxnSpPr>
            <a:endCxn id="25" idx="1"/>
          </xdr:cNvCxnSpPr>
        </xdr:nvCxnSpPr>
        <xdr:spPr>
          <a:xfrm flipV="1">
            <a:off x="3440724" y="4948792"/>
            <a:ext cx="1408236" cy="10069"/>
          </a:xfrm>
          <a:prstGeom prst="line">
            <a:avLst/>
          </a:prstGeom>
          <a:ln>
            <a:solidFill>
              <a:schemeClr val="accent1">
                <a:lumMod val="60000"/>
                <a:lumOff val="40000"/>
              </a:schemeClr>
            </a:solidFill>
            <a:prstDash val="lg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8" name="Elipse 27">
            <a:extLst>
              <a:ext uri="{FF2B5EF4-FFF2-40B4-BE49-F238E27FC236}">
                <a16:creationId xmlns:a16="http://schemas.microsoft.com/office/drawing/2014/main" id="{2D374B04-F2D8-188C-6AB7-71B39AA36AED}"/>
              </a:ext>
            </a:extLst>
          </xdr:cNvPr>
          <xdr:cNvSpPr/>
        </xdr:nvSpPr>
        <xdr:spPr>
          <a:xfrm>
            <a:off x="4947449" y="4355208"/>
            <a:ext cx="257600" cy="181622"/>
          </a:xfrm>
          <a:prstGeom prst="ellipse">
            <a:avLst/>
          </a:prstGeom>
          <a:gradFill flip="none" rotWithShape="1">
            <a:gsLst>
              <a:gs pos="0">
                <a:schemeClr val="accent1">
                  <a:lumMod val="60000"/>
                  <a:lumOff val="40000"/>
                  <a:tint val="66000"/>
                  <a:satMod val="160000"/>
                </a:schemeClr>
              </a:gs>
              <a:gs pos="50000">
                <a:schemeClr val="accent1">
                  <a:lumMod val="60000"/>
                  <a:lumOff val="40000"/>
                  <a:tint val="44500"/>
                  <a:satMod val="160000"/>
                </a:schemeClr>
              </a:gs>
              <a:gs pos="100000">
                <a:schemeClr val="accent1">
                  <a:lumMod val="60000"/>
                  <a:lumOff val="40000"/>
                  <a:tint val="23500"/>
                  <a:satMod val="160000"/>
                </a:schemeClr>
              </a:gs>
            </a:gsLst>
            <a:path path="circle">
              <a:fillToRect l="50000" t="50000" r="50000" b="50000"/>
            </a:path>
            <a:tileRect/>
          </a:gradFill>
          <a:ln>
            <a:solidFill>
              <a:srgbClr val="00B0F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MX" sz="1100"/>
          </a:p>
        </xdr:txBody>
      </xdr:sp>
      <xdr:cxnSp macro="">
        <xdr:nvCxnSpPr>
          <xdr:cNvPr id="29" name="Conector recto de flecha 28">
            <a:extLst>
              <a:ext uri="{FF2B5EF4-FFF2-40B4-BE49-F238E27FC236}">
                <a16:creationId xmlns:a16="http://schemas.microsoft.com/office/drawing/2014/main" id="{206C44B1-6212-7DE1-87A3-15126D538E59}"/>
              </a:ext>
            </a:extLst>
          </xdr:cNvPr>
          <xdr:cNvCxnSpPr/>
        </xdr:nvCxnSpPr>
        <xdr:spPr>
          <a:xfrm flipH="1">
            <a:off x="5344048" y="4436348"/>
            <a:ext cx="7118" cy="556008"/>
          </a:xfrm>
          <a:prstGeom prst="straightConnector1">
            <a:avLst/>
          </a:prstGeom>
          <a:ln>
            <a:headEnd type="triangle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" name="Conector recto de flecha 29">
            <a:extLst>
              <a:ext uri="{FF2B5EF4-FFF2-40B4-BE49-F238E27FC236}">
                <a16:creationId xmlns:a16="http://schemas.microsoft.com/office/drawing/2014/main" id="{29A79467-6C92-3261-ECA0-1152AF034989}"/>
              </a:ext>
            </a:extLst>
          </xdr:cNvPr>
          <xdr:cNvCxnSpPr/>
        </xdr:nvCxnSpPr>
        <xdr:spPr>
          <a:xfrm flipH="1">
            <a:off x="5262406" y="3909646"/>
            <a:ext cx="5442" cy="1090246"/>
          </a:xfrm>
          <a:prstGeom prst="straightConnector1">
            <a:avLst/>
          </a:prstGeom>
          <a:ln>
            <a:headEnd type="triangle"/>
            <a:tailEnd type="triangle"/>
          </a:ln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</xdr:grpSp>
    <xdr:clientData/>
  </xdr:twoCellAnchor>
  <xdr:oneCellAnchor>
    <xdr:from>
      <xdr:col>6</xdr:col>
      <xdr:colOff>818764</xdr:colOff>
      <xdr:row>11</xdr:row>
      <xdr:rowOff>22107</xdr:rowOff>
    </xdr:from>
    <xdr:ext cx="277192" cy="140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1" name="CuadroTexto 30">
              <a:extLst>
                <a:ext uri="{FF2B5EF4-FFF2-40B4-BE49-F238E27FC236}">
                  <a16:creationId xmlns:a16="http://schemas.microsoft.com/office/drawing/2014/main" id="{FE053DEB-BE5B-4D14-94B4-5A2A56D532EF}"/>
                </a:ext>
              </a:extLst>
            </xdr:cNvPr>
            <xdr:cNvSpPr txBox="1"/>
          </xdr:nvSpPr>
          <xdr:spPr>
            <a:xfrm>
              <a:off x="5171689" y="4889382"/>
              <a:ext cx="277192" cy="140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MX" sz="9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s-MX" sz="900" b="0" i="0">
                            <a:latin typeface="Cambria Math" panose="02040503050406030204" pitchFamily="18" charset="0"/>
                          </a:rPr>
                          <m:t>H</m:t>
                        </m:r>
                      </m:e>
                      <m:sub>
                        <m:r>
                          <a:rPr lang="es-MX" sz="900" b="0" i="0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s-MX" sz="900" b="0" i="0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MX" sz="1100" i="0"/>
            </a:p>
          </xdr:txBody>
        </xdr:sp>
      </mc:Choice>
      <mc:Fallback xmlns="">
        <xdr:sp macro="" textlink="">
          <xdr:nvSpPr>
            <xdr:cNvPr id="31" name="CuadroTexto 30">
              <a:extLst>
                <a:ext uri="{FF2B5EF4-FFF2-40B4-BE49-F238E27FC236}">
                  <a16:creationId xmlns:a16="http://schemas.microsoft.com/office/drawing/2014/main" id="{FE053DEB-BE5B-4D14-94B4-5A2A56D532EF}"/>
                </a:ext>
              </a:extLst>
            </xdr:cNvPr>
            <xdr:cNvSpPr txBox="1"/>
          </xdr:nvSpPr>
          <xdr:spPr>
            <a:xfrm>
              <a:off x="5171689" y="4889382"/>
              <a:ext cx="277192" cy="140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900" b="0" i="0">
                  <a:latin typeface="Cambria Math" panose="02040503050406030204" pitchFamily="18" charset="0"/>
                </a:rPr>
                <a:t>H_2=</a:t>
              </a:r>
              <a:endParaRPr lang="es-MX" sz="1100" i="0"/>
            </a:p>
          </xdr:txBody>
        </xdr:sp>
      </mc:Fallback>
    </mc:AlternateContent>
    <xdr:clientData/>
  </xdr:oneCellAnchor>
  <xdr:oneCellAnchor>
    <xdr:from>
      <xdr:col>7</xdr:col>
      <xdr:colOff>532026</xdr:colOff>
      <xdr:row>11</xdr:row>
      <xdr:rowOff>46202</xdr:rowOff>
    </xdr:from>
    <xdr:ext cx="148332" cy="14429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2" name="CuadroTexto 31">
              <a:extLst>
                <a:ext uri="{FF2B5EF4-FFF2-40B4-BE49-F238E27FC236}">
                  <a16:creationId xmlns:a16="http://schemas.microsoft.com/office/drawing/2014/main" id="{3EB74102-567A-4CFE-95D2-8B9A1ED58FA9}"/>
                </a:ext>
              </a:extLst>
            </xdr:cNvPr>
            <xdr:cNvSpPr txBox="1"/>
          </xdr:nvSpPr>
          <xdr:spPr>
            <a:xfrm>
              <a:off x="5723151" y="4913477"/>
              <a:ext cx="148332" cy="1442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s-MX" sz="900" b="0" i="0">
                        <a:latin typeface="Cambria Math" panose="02040503050406030204" pitchFamily="18" charset="0"/>
                      </a:rPr>
                      <m:t>m</m:t>
                    </m:r>
                  </m:oMath>
                </m:oMathPara>
              </a14:m>
              <a:endParaRPr lang="es-MX" sz="1100" i="0"/>
            </a:p>
          </xdr:txBody>
        </xdr:sp>
      </mc:Choice>
      <mc:Fallback xmlns="">
        <xdr:sp macro="" textlink="">
          <xdr:nvSpPr>
            <xdr:cNvPr id="32" name="CuadroTexto 31">
              <a:extLst>
                <a:ext uri="{FF2B5EF4-FFF2-40B4-BE49-F238E27FC236}">
                  <a16:creationId xmlns:a16="http://schemas.microsoft.com/office/drawing/2014/main" id="{3EB74102-567A-4CFE-95D2-8B9A1ED58FA9}"/>
                </a:ext>
              </a:extLst>
            </xdr:cNvPr>
            <xdr:cNvSpPr txBox="1"/>
          </xdr:nvSpPr>
          <xdr:spPr>
            <a:xfrm>
              <a:off x="5723151" y="4913477"/>
              <a:ext cx="148332" cy="1442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MX" sz="900" b="0" i="0">
                  <a:latin typeface="Cambria Math" panose="02040503050406030204" pitchFamily="18" charset="0"/>
                </a:rPr>
                <a:t>m</a:t>
              </a:r>
              <a:endParaRPr lang="es-MX" sz="1100" i="0"/>
            </a:p>
          </xdr:txBody>
        </xdr:sp>
      </mc:Fallback>
    </mc:AlternateContent>
    <xdr:clientData/>
  </xdr:oneCellAnchor>
  <xdr:twoCellAnchor>
    <xdr:from>
      <xdr:col>3</xdr:col>
      <xdr:colOff>425669</xdr:colOff>
      <xdr:row>21</xdr:row>
      <xdr:rowOff>20700</xdr:rowOff>
    </xdr:from>
    <xdr:to>
      <xdr:col>4</xdr:col>
      <xdr:colOff>569967</xdr:colOff>
      <xdr:row>29</xdr:row>
      <xdr:rowOff>84083</xdr:rowOff>
    </xdr:to>
    <xdr:grpSp>
      <xdr:nvGrpSpPr>
        <xdr:cNvPr id="33" name="Grupo 32">
          <a:extLst>
            <a:ext uri="{FF2B5EF4-FFF2-40B4-BE49-F238E27FC236}">
              <a16:creationId xmlns:a16="http://schemas.microsoft.com/office/drawing/2014/main" id="{58DF6D6C-0FC7-4722-853A-BDFB510C8E43}"/>
            </a:ext>
          </a:extLst>
        </xdr:cNvPr>
        <xdr:cNvGrpSpPr/>
      </xdr:nvGrpSpPr>
      <xdr:grpSpPr>
        <a:xfrm>
          <a:off x="2890263" y="4021200"/>
          <a:ext cx="965829" cy="1587383"/>
          <a:chOff x="3400097" y="6316397"/>
          <a:chExt cx="969360" cy="1666210"/>
        </a:xfrm>
      </xdr:grpSpPr>
      <xdr:cxnSp macro="">
        <xdr:nvCxnSpPr>
          <xdr:cNvPr id="34" name="Conector recto de flecha 33">
            <a:extLst>
              <a:ext uri="{FF2B5EF4-FFF2-40B4-BE49-F238E27FC236}">
                <a16:creationId xmlns:a16="http://schemas.microsoft.com/office/drawing/2014/main" id="{77C62CA7-7CB8-4036-8C10-C0725A0EE82C}"/>
              </a:ext>
            </a:extLst>
          </xdr:cNvPr>
          <xdr:cNvCxnSpPr>
            <a:endCxn id="38" idx="6"/>
          </xdr:cNvCxnSpPr>
        </xdr:nvCxnSpPr>
        <xdr:spPr>
          <a:xfrm flipH="1" flipV="1">
            <a:off x="3962914" y="6446424"/>
            <a:ext cx="406543" cy="1017"/>
          </a:xfrm>
          <a:prstGeom prst="straightConnector1">
            <a:avLst/>
          </a:prstGeom>
          <a:ln w="28575"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5" name="Conector recto de flecha 34">
            <a:extLst>
              <a:ext uri="{FF2B5EF4-FFF2-40B4-BE49-F238E27FC236}">
                <a16:creationId xmlns:a16="http://schemas.microsoft.com/office/drawing/2014/main" id="{0E3CE427-5DB3-F475-40B1-D225EF4EA44D}"/>
              </a:ext>
            </a:extLst>
          </xdr:cNvPr>
          <xdr:cNvCxnSpPr>
            <a:endCxn id="41" idx="6"/>
          </xdr:cNvCxnSpPr>
        </xdr:nvCxnSpPr>
        <xdr:spPr>
          <a:xfrm flipH="1">
            <a:off x="3962916" y="7199586"/>
            <a:ext cx="383112" cy="2484"/>
          </a:xfrm>
          <a:prstGeom prst="straightConnector1">
            <a:avLst/>
          </a:prstGeom>
          <a:ln w="28575"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6" name="Conector recto de flecha 35">
            <a:extLst>
              <a:ext uri="{FF2B5EF4-FFF2-40B4-BE49-F238E27FC236}">
                <a16:creationId xmlns:a16="http://schemas.microsoft.com/office/drawing/2014/main" id="{36013F4A-B241-FD6A-345C-46302F5B0B28}"/>
              </a:ext>
            </a:extLst>
          </xdr:cNvPr>
          <xdr:cNvCxnSpPr/>
        </xdr:nvCxnSpPr>
        <xdr:spPr>
          <a:xfrm flipV="1">
            <a:off x="3400097" y="6849046"/>
            <a:ext cx="399660" cy="1804"/>
          </a:xfrm>
          <a:prstGeom prst="straightConnector1">
            <a:avLst/>
          </a:prstGeom>
          <a:ln w="28575"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7" name="Conector recto de flecha 36">
            <a:extLst>
              <a:ext uri="{FF2B5EF4-FFF2-40B4-BE49-F238E27FC236}">
                <a16:creationId xmlns:a16="http://schemas.microsoft.com/office/drawing/2014/main" id="{61A949D4-E386-7DED-C838-5AC2B363A1C0}"/>
              </a:ext>
            </a:extLst>
          </xdr:cNvPr>
          <xdr:cNvCxnSpPr/>
        </xdr:nvCxnSpPr>
        <xdr:spPr>
          <a:xfrm>
            <a:off x="3415863" y="7617355"/>
            <a:ext cx="382403" cy="2206"/>
          </a:xfrm>
          <a:prstGeom prst="straightConnector1">
            <a:avLst/>
          </a:prstGeom>
          <a:ln w="28575"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8" name="Elipse 37">
            <a:extLst>
              <a:ext uri="{FF2B5EF4-FFF2-40B4-BE49-F238E27FC236}">
                <a16:creationId xmlns:a16="http://schemas.microsoft.com/office/drawing/2014/main" id="{717C954F-DA09-4BEF-D18A-09E8E13BA0E3}"/>
              </a:ext>
            </a:extLst>
          </xdr:cNvPr>
          <xdr:cNvSpPr/>
        </xdr:nvSpPr>
        <xdr:spPr>
          <a:xfrm>
            <a:off x="3660786" y="6316397"/>
            <a:ext cx="302128" cy="260053"/>
          </a:xfrm>
          <a:prstGeom prst="ellipse">
            <a:avLst/>
          </a:prstGeom>
          <a:gradFill flip="none" rotWithShape="1">
            <a:gsLst>
              <a:gs pos="0">
                <a:schemeClr val="accent1">
                  <a:lumMod val="60000"/>
                  <a:lumOff val="40000"/>
                  <a:tint val="66000"/>
                  <a:satMod val="160000"/>
                </a:schemeClr>
              </a:gs>
              <a:gs pos="50000">
                <a:schemeClr val="accent1">
                  <a:lumMod val="60000"/>
                  <a:lumOff val="40000"/>
                  <a:tint val="44500"/>
                  <a:satMod val="160000"/>
                </a:schemeClr>
              </a:gs>
              <a:gs pos="100000">
                <a:schemeClr val="accent1">
                  <a:lumMod val="60000"/>
                  <a:lumOff val="40000"/>
                  <a:tint val="23500"/>
                  <a:satMod val="160000"/>
                </a:schemeClr>
              </a:gs>
            </a:gsLst>
            <a:path path="circle">
              <a:fillToRect l="50000" t="50000" r="50000" b="50000"/>
            </a:path>
            <a:tileRect/>
          </a:gradFill>
          <a:ln>
            <a:solidFill>
              <a:srgbClr val="00B0F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MX" sz="1100"/>
          </a:p>
        </xdr:txBody>
      </xdr:sp>
      <xdr:cxnSp macro="">
        <xdr:nvCxnSpPr>
          <xdr:cNvPr id="39" name="Conector recto 38">
            <a:extLst>
              <a:ext uri="{FF2B5EF4-FFF2-40B4-BE49-F238E27FC236}">
                <a16:creationId xmlns:a16="http://schemas.microsoft.com/office/drawing/2014/main" id="{68515C45-D7C7-2817-C6F9-7652DF19FD26}"/>
              </a:ext>
            </a:extLst>
          </xdr:cNvPr>
          <xdr:cNvCxnSpPr>
            <a:cxnSpLocks/>
            <a:stCxn id="38" idx="4"/>
            <a:endCxn id="40" idx="0"/>
          </xdr:cNvCxnSpPr>
        </xdr:nvCxnSpPr>
        <xdr:spPr>
          <a:xfrm flipH="1">
            <a:off x="3811644" y="6576450"/>
            <a:ext cx="206" cy="1283167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0" name="Rectángulo 39">
            <a:extLst>
              <a:ext uri="{FF2B5EF4-FFF2-40B4-BE49-F238E27FC236}">
                <a16:creationId xmlns:a16="http://schemas.microsoft.com/office/drawing/2014/main" id="{EBDCAF53-BC04-6D25-87A3-25121E79AF0D}"/>
              </a:ext>
            </a:extLst>
          </xdr:cNvPr>
          <xdr:cNvSpPr/>
        </xdr:nvSpPr>
        <xdr:spPr>
          <a:xfrm>
            <a:off x="3545274" y="7859618"/>
            <a:ext cx="532740" cy="122989"/>
          </a:xfrm>
          <a:prstGeom prst="rect">
            <a:avLst/>
          </a:prstGeom>
          <a:gradFill flip="none" rotWithShape="1">
            <a:gsLst>
              <a:gs pos="0">
                <a:schemeClr val="accent1">
                  <a:lumMod val="60000"/>
                  <a:lumOff val="40000"/>
                  <a:tint val="66000"/>
                  <a:satMod val="160000"/>
                </a:schemeClr>
              </a:gs>
              <a:gs pos="50000">
                <a:schemeClr val="accent1">
                  <a:lumMod val="60000"/>
                  <a:lumOff val="40000"/>
                  <a:tint val="44500"/>
                  <a:satMod val="160000"/>
                </a:schemeClr>
              </a:gs>
              <a:gs pos="100000">
                <a:schemeClr val="accent1">
                  <a:lumMod val="60000"/>
                  <a:lumOff val="40000"/>
                  <a:tint val="23500"/>
                  <a:satMod val="160000"/>
                </a:schemeClr>
              </a:gs>
            </a:gsLst>
            <a:path path="circle">
              <a:fillToRect l="50000" t="50000" r="50000" b="50000"/>
            </a:path>
            <a:tileRect/>
          </a:gradFill>
          <a:ln>
            <a:solidFill>
              <a:srgbClr val="00B0F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MX" sz="1100"/>
          </a:p>
        </xdr:txBody>
      </xdr:sp>
      <xdr:sp macro="" textlink="">
        <xdr:nvSpPr>
          <xdr:cNvPr id="41" name="Elipse 40">
            <a:extLst>
              <a:ext uri="{FF2B5EF4-FFF2-40B4-BE49-F238E27FC236}">
                <a16:creationId xmlns:a16="http://schemas.microsoft.com/office/drawing/2014/main" id="{42D767A1-F270-FDA2-2A7D-5EDD9EB570C2}"/>
              </a:ext>
            </a:extLst>
          </xdr:cNvPr>
          <xdr:cNvSpPr/>
        </xdr:nvSpPr>
        <xdr:spPr>
          <a:xfrm>
            <a:off x="3660788" y="7072043"/>
            <a:ext cx="302128" cy="260053"/>
          </a:xfrm>
          <a:prstGeom prst="ellipse">
            <a:avLst/>
          </a:prstGeom>
          <a:gradFill flip="none" rotWithShape="1">
            <a:gsLst>
              <a:gs pos="0">
                <a:schemeClr val="accent1">
                  <a:lumMod val="60000"/>
                  <a:lumOff val="40000"/>
                  <a:tint val="66000"/>
                  <a:satMod val="160000"/>
                </a:schemeClr>
              </a:gs>
              <a:gs pos="50000">
                <a:schemeClr val="accent1">
                  <a:lumMod val="60000"/>
                  <a:lumOff val="40000"/>
                  <a:tint val="44500"/>
                  <a:satMod val="160000"/>
                </a:schemeClr>
              </a:gs>
              <a:gs pos="100000">
                <a:schemeClr val="accent1">
                  <a:lumMod val="60000"/>
                  <a:lumOff val="40000"/>
                  <a:tint val="23500"/>
                  <a:satMod val="160000"/>
                </a:schemeClr>
              </a:gs>
            </a:gsLst>
            <a:path path="circle">
              <a:fillToRect l="50000" t="50000" r="50000" b="50000"/>
            </a:path>
            <a:tileRect/>
          </a:gradFill>
          <a:ln>
            <a:solidFill>
              <a:srgbClr val="00B0F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MX" sz="1100"/>
          </a:p>
        </xdr:txBody>
      </xdr:sp>
    </xdr:grpSp>
    <xdr:clientData/>
  </xdr:twoCellAnchor>
  <xdr:oneCellAnchor>
    <xdr:from>
      <xdr:col>6</xdr:col>
      <xdr:colOff>324678</xdr:colOff>
      <xdr:row>8</xdr:row>
      <xdr:rowOff>130557</xdr:rowOff>
    </xdr:from>
    <xdr:ext cx="21249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2" name="CuadroTexto 41">
              <a:extLst>
                <a:ext uri="{FF2B5EF4-FFF2-40B4-BE49-F238E27FC236}">
                  <a16:creationId xmlns:a16="http://schemas.microsoft.com/office/drawing/2014/main" id="{98D08AA0-CD0A-4DD1-A99F-773391D9846C}"/>
                </a:ext>
              </a:extLst>
            </xdr:cNvPr>
            <xdr:cNvSpPr txBox="1"/>
          </xdr:nvSpPr>
          <xdr:spPr>
            <a:xfrm>
              <a:off x="4677603" y="4426332"/>
              <a:ext cx="21249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MX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𝑊</m:t>
                        </m:r>
                      </m:e>
                      <m:sub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42" name="CuadroTexto 41">
              <a:extLst>
                <a:ext uri="{FF2B5EF4-FFF2-40B4-BE49-F238E27FC236}">
                  <a16:creationId xmlns:a16="http://schemas.microsoft.com/office/drawing/2014/main" id="{98D08AA0-CD0A-4DD1-A99F-773391D9846C}"/>
                </a:ext>
              </a:extLst>
            </xdr:cNvPr>
            <xdr:cNvSpPr txBox="1"/>
          </xdr:nvSpPr>
          <xdr:spPr>
            <a:xfrm>
              <a:off x="4677603" y="4426332"/>
              <a:ext cx="21249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1100" b="0" i="0">
                  <a:latin typeface="Cambria Math" panose="02040503050406030204" pitchFamily="18" charset="0"/>
                </a:rPr>
                <a:t>𝑊_2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6</xdr:col>
      <xdr:colOff>311426</xdr:colOff>
      <xdr:row>11</xdr:row>
      <xdr:rowOff>130558</xdr:rowOff>
    </xdr:from>
    <xdr:ext cx="20922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3" name="CuadroTexto 42">
              <a:extLst>
                <a:ext uri="{FF2B5EF4-FFF2-40B4-BE49-F238E27FC236}">
                  <a16:creationId xmlns:a16="http://schemas.microsoft.com/office/drawing/2014/main" id="{D1B1F28A-EC2A-4F07-84B8-36CF4A466CDB}"/>
                </a:ext>
              </a:extLst>
            </xdr:cNvPr>
            <xdr:cNvSpPr txBox="1"/>
          </xdr:nvSpPr>
          <xdr:spPr>
            <a:xfrm>
              <a:off x="4664351" y="4997833"/>
              <a:ext cx="20922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MX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𝑊</m:t>
                        </m:r>
                      </m:e>
                      <m:sub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43" name="CuadroTexto 42">
              <a:extLst>
                <a:ext uri="{FF2B5EF4-FFF2-40B4-BE49-F238E27FC236}">
                  <a16:creationId xmlns:a16="http://schemas.microsoft.com/office/drawing/2014/main" id="{D1B1F28A-EC2A-4F07-84B8-36CF4A466CDB}"/>
                </a:ext>
              </a:extLst>
            </xdr:cNvPr>
            <xdr:cNvSpPr txBox="1"/>
          </xdr:nvSpPr>
          <xdr:spPr>
            <a:xfrm>
              <a:off x="4664351" y="4997833"/>
              <a:ext cx="20922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1100" b="0" i="0">
                  <a:latin typeface="Cambria Math" panose="02040503050406030204" pitchFamily="18" charset="0"/>
                </a:rPr>
                <a:t>𝑊_1</a:t>
              </a:r>
              <a:endParaRPr lang="es-MX" sz="1100"/>
            </a:p>
          </xdr:txBody>
        </xdr:sp>
      </mc:Fallback>
    </mc:AlternateContent>
    <xdr:clientData/>
  </xdr:oneCellAnchor>
  <xdr:twoCellAnchor>
    <xdr:from>
      <xdr:col>6</xdr:col>
      <xdr:colOff>54578</xdr:colOff>
      <xdr:row>11</xdr:row>
      <xdr:rowOff>92242</xdr:rowOff>
    </xdr:from>
    <xdr:to>
      <xdr:col>6</xdr:col>
      <xdr:colOff>725905</xdr:colOff>
      <xdr:row>11</xdr:row>
      <xdr:rowOff>98172</xdr:rowOff>
    </xdr:to>
    <xdr:cxnSp macro="">
      <xdr:nvCxnSpPr>
        <xdr:cNvPr id="44" name="Conector recto 43">
          <a:extLst>
            <a:ext uri="{FF2B5EF4-FFF2-40B4-BE49-F238E27FC236}">
              <a16:creationId xmlns:a16="http://schemas.microsoft.com/office/drawing/2014/main" id="{3A56A905-D5AD-402F-B068-A5AB85C52F6E}"/>
            </a:ext>
          </a:extLst>
        </xdr:cNvPr>
        <xdr:cNvCxnSpPr/>
      </xdr:nvCxnSpPr>
      <xdr:spPr>
        <a:xfrm flipV="1">
          <a:off x="4407503" y="4959517"/>
          <a:ext cx="671327" cy="5930"/>
        </a:xfrm>
        <a:prstGeom prst="line">
          <a:avLst/>
        </a:prstGeom>
        <a:ln>
          <a:prstDash val="dash"/>
        </a:ln>
      </xdr:spPr>
      <xdr:style>
        <a:lnRef idx="2">
          <a:schemeClr val="accent3"/>
        </a:lnRef>
        <a:fillRef idx="0">
          <a:schemeClr val="accent3"/>
        </a:fillRef>
        <a:effectRef idx="1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6</xdr:col>
      <xdr:colOff>58589</xdr:colOff>
      <xdr:row>14</xdr:row>
      <xdr:rowOff>48127</xdr:rowOff>
    </xdr:from>
    <xdr:to>
      <xdr:col>6</xdr:col>
      <xdr:colOff>729916</xdr:colOff>
      <xdr:row>14</xdr:row>
      <xdr:rowOff>54057</xdr:rowOff>
    </xdr:to>
    <xdr:cxnSp macro="">
      <xdr:nvCxnSpPr>
        <xdr:cNvPr id="45" name="Conector recto 44">
          <a:extLst>
            <a:ext uri="{FF2B5EF4-FFF2-40B4-BE49-F238E27FC236}">
              <a16:creationId xmlns:a16="http://schemas.microsoft.com/office/drawing/2014/main" id="{CB692FCB-16F5-4307-AD86-36AB596559BA}"/>
            </a:ext>
          </a:extLst>
        </xdr:cNvPr>
        <xdr:cNvCxnSpPr/>
      </xdr:nvCxnSpPr>
      <xdr:spPr>
        <a:xfrm flipV="1">
          <a:off x="4411514" y="5486902"/>
          <a:ext cx="671327" cy="5930"/>
        </a:xfrm>
        <a:prstGeom prst="line">
          <a:avLst/>
        </a:prstGeom>
        <a:ln>
          <a:prstDash val="dash"/>
        </a:ln>
      </xdr:spPr>
      <xdr:style>
        <a:lnRef idx="2">
          <a:schemeClr val="accent3"/>
        </a:lnRef>
        <a:fillRef idx="0">
          <a:schemeClr val="accent3"/>
        </a:fillRef>
        <a:effectRef idx="1">
          <a:schemeClr val="accent3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167640</xdr:colOff>
      <xdr:row>34</xdr:row>
      <xdr:rowOff>179070</xdr:rowOff>
    </xdr:from>
    <xdr:ext cx="328602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FEBF59F6-0806-4A69-8FB4-370F11EF720E}"/>
                </a:ext>
              </a:extLst>
            </xdr:cNvPr>
            <xdr:cNvSpPr txBox="1"/>
          </xdr:nvSpPr>
          <xdr:spPr>
            <a:xfrm>
              <a:off x="167640" y="5772150"/>
              <a:ext cx="328602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100" b="0" i="1">
                        <a:latin typeface="Cambria Math" panose="02040503050406030204" pitchFamily="18" charset="0"/>
                      </a:rPr>
                      <m:t>𝑀𝑢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=1.4(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𝐹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∗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𝐶𝑜𝑒𝑓𝑖𝑐𝑖𝑒𝑛𝑡𝑒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𝑑𝑒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𝑚𝑜𝑚𝑒𝑛𝑡𝑜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𝑓𝑙𝑒𝑥𝑖𝑜𝑛𝑎𝑛𝑡𝑒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FEBF59F6-0806-4A69-8FB4-370F11EF720E}"/>
                </a:ext>
              </a:extLst>
            </xdr:cNvPr>
            <xdr:cNvSpPr txBox="1"/>
          </xdr:nvSpPr>
          <xdr:spPr>
            <a:xfrm>
              <a:off x="167640" y="5772150"/>
              <a:ext cx="328602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1100" b="0" i="0">
                  <a:latin typeface="Cambria Math" panose="02040503050406030204" pitchFamily="18" charset="0"/>
                </a:rPr>
                <a:t>𝑀𝑢=1.4(𝐹∗𝐶𝑜𝑒𝑓𝑖𝑐𝑖𝑒𝑛𝑡𝑒 𝑑𝑒 𝑚𝑜𝑚𝑒𝑛𝑡𝑜 𝑓𝑙𝑒𝑥𝑖𝑜𝑛𝑎𝑛𝑡𝑒)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5</xdr:col>
      <xdr:colOff>297180</xdr:colOff>
      <xdr:row>41</xdr:row>
      <xdr:rowOff>140970</xdr:rowOff>
    </xdr:from>
    <xdr:ext cx="776495" cy="34996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1B83FF45-FFA6-467D-B314-852D07062D82}"/>
                </a:ext>
              </a:extLst>
            </xdr:cNvPr>
            <xdr:cNvSpPr txBox="1"/>
          </xdr:nvSpPr>
          <xdr:spPr>
            <a:xfrm>
              <a:off x="3025140" y="7898130"/>
              <a:ext cx="776495" cy="34996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s-MX" sz="1100" b="0" i="0">
                        <a:latin typeface="Cambria Math" panose="02040503050406030204" pitchFamily="18" charset="0"/>
                      </a:rPr>
                      <m:t>S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𝑏</m:t>
                        </m:r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sSub>
                          <m:sSubPr>
                            <m:ctrlPr>
                              <a:rPr lang="es-MX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𝑎</m:t>
                            </m:r>
                          </m:e>
                          <m:sub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s-MX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𝐴</m:t>
                            </m:r>
                          </m:e>
                          <m:sub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</m:den>
                    </m:f>
                    <m:r>
                      <a:rPr lang="es-MX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1B83FF45-FFA6-467D-B314-852D07062D82}"/>
                </a:ext>
              </a:extLst>
            </xdr:cNvPr>
            <xdr:cNvSpPr txBox="1"/>
          </xdr:nvSpPr>
          <xdr:spPr>
            <a:xfrm>
              <a:off x="3025140" y="7898130"/>
              <a:ext cx="776495" cy="34996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1100" b="0" i="0">
                  <a:latin typeface="Cambria Math" panose="02040503050406030204" pitchFamily="18" charset="0"/>
                </a:rPr>
                <a:t>S=(𝑏∗𝑎_𝑠)/𝐴_𝑠 =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3</xdr:col>
      <xdr:colOff>60960</xdr:colOff>
      <xdr:row>0</xdr:row>
      <xdr:rowOff>118110</xdr:rowOff>
    </xdr:from>
    <xdr:ext cx="1084592" cy="65768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0DADE00F-3028-4594-A96F-9E2453A53C83}"/>
                </a:ext>
              </a:extLst>
            </xdr:cNvPr>
            <xdr:cNvSpPr txBox="1"/>
          </xdr:nvSpPr>
          <xdr:spPr>
            <a:xfrm>
              <a:off x="1592580" y="118110"/>
              <a:ext cx="1084592" cy="6576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MX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𝑉</m:t>
                        </m:r>
                      </m:e>
                      <m:sub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𝑢</m:t>
                        </m:r>
                      </m:sub>
                    </m:sSub>
                    <m:r>
                      <a:rPr lang="es-MX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d>
                          <m:dPr>
                            <m:ctrlPr>
                              <a:rPr lang="es-MX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s-MX" sz="11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sSub>
                                  <m:sSubPr>
                                    <m:ctrlPr>
                                      <a:rPr lang="es-MX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s-MX" sz="1100" b="0" i="1">
                                        <a:latin typeface="Cambria Math" panose="02040503050406030204" pitchFamily="18" charset="0"/>
                                      </a:rPr>
                                      <m:t>𝑎</m:t>
                                    </m:r>
                                  </m:e>
                                  <m:sub>
                                    <m:r>
                                      <a:rPr lang="es-MX" sz="1100" b="0" i="1">
                                        <a:latin typeface="Cambria Math" panose="02040503050406030204" pitchFamily="18" charset="0"/>
                                      </a:rPr>
                                      <m:t>1</m:t>
                                    </m:r>
                                  </m:sub>
                                </m:sSub>
                              </m:num>
                              <m:den>
                                <m:sSub>
                                  <m:sSubPr>
                                    <m:ctrlPr>
                                      <a:rPr lang="es-MX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s-MX" sz="1100" b="0" i="1">
                                        <a:latin typeface="Cambria Math" panose="02040503050406030204" pitchFamily="18" charset="0"/>
                                      </a:rPr>
                                      <m:t>𝑎</m:t>
                                    </m:r>
                                  </m:e>
                                  <m:sub>
                                    <m:r>
                                      <a:rPr lang="es-MX" sz="1100" b="0" i="1"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</m:sub>
                                </m:sSub>
                              </m:den>
                            </m:f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𝑑</m:t>
                            </m:r>
                          </m:e>
                        </m:d>
                        <m:sSub>
                          <m:sSubPr>
                            <m:ctrlPr>
                              <a:rPr lang="es-MX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𝑊</m:t>
                            </m:r>
                          </m:e>
                          <m:sub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</m:sub>
                        </m:sSub>
                      </m:num>
                      <m:den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1+</m:t>
                        </m:r>
                        <m:sSup>
                          <m:sSupPr>
                            <m:ctrlPr>
                              <a:rPr lang="es-MX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s-MX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es-MX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fPr>
                                  <m:num>
                                    <m:sSub>
                                      <m:sSubPr>
                                        <m:ctrlPr>
                                          <a:rPr lang="es-MX" sz="1100" b="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s-MX" sz="1100" b="0" i="1">
                                            <a:latin typeface="Cambria Math" panose="02040503050406030204" pitchFamily="18" charset="0"/>
                                          </a:rPr>
                                          <m:t>𝑎</m:t>
                                        </m:r>
                                      </m:e>
                                      <m:sub>
                                        <m:r>
                                          <a:rPr lang="es-MX" sz="1100" b="0" i="1">
                                            <a:latin typeface="Cambria Math" panose="02040503050406030204" pitchFamily="18" charset="0"/>
                                          </a:rPr>
                                          <m:t>1</m:t>
                                        </m:r>
                                      </m:sub>
                                    </m:sSub>
                                  </m:num>
                                  <m:den>
                                    <m:sSub>
                                      <m:sSubPr>
                                        <m:ctrlPr>
                                          <a:rPr lang="es-MX" sz="1100" b="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s-MX" sz="1100" b="0" i="1">
                                            <a:latin typeface="Cambria Math" panose="02040503050406030204" pitchFamily="18" charset="0"/>
                                          </a:rPr>
                                          <m:t>𝑎</m:t>
                                        </m:r>
                                      </m:e>
                                      <m:sub>
                                        <m:r>
                                          <a:rPr lang="es-MX" sz="1100" b="0" i="1">
                                            <a:latin typeface="Cambria Math" panose="02040503050406030204" pitchFamily="18" charset="0"/>
                                          </a:rPr>
                                          <m:t>2</m:t>
                                        </m:r>
                                      </m:sub>
                                    </m:sSub>
                                  </m:den>
                                </m:f>
                              </m:e>
                            </m:d>
                          </m:e>
                          <m:sup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6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0DADE00F-3028-4594-A96F-9E2453A53C83}"/>
                </a:ext>
              </a:extLst>
            </xdr:cNvPr>
            <xdr:cNvSpPr txBox="1"/>
          </xdr:nvSpPr>
          <xdr:spPr>
            <a:xfrm>
              <a:off x="1592580" y="118110"/>
              <a:ext cx="1084592" cy="6576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1100" b="0" i="0">
                  <a:latin typeface="Cambria Math" panose="02040503050406030204" pitchFamily="18" charset="0"/>
                </a:rPr>
                <a:t>𝑉_𝑢=((𝑎_1/𝑎_2 −𝑑) 𝑊_𝑢)/(1+(𝑎_1/𝑎_2 )^6 )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2</xdr:col>
      <xdr:colOff>7620</xdr:colOff>
      <xdr:row>7</xdr:row>
      <xdr:rowOff>11430</xdr:rowOff>
    </xdr:from>
    <xdr:ext cx="139179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E416DC8C-5236-45CC-9618-49146E6784CF}"/>
                </a:ext>
              </a:extLst>
            </xdr:cNvPr>
            <xdr:cNvSpPr txBox="1"/>
          </xdr:nvSpPr>
          <xdr:spPr>
            <a:xfrm>
              <a:off x="1028700" y="1291590"/>
              <a:ext cx="139179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MX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𝑉</m:t>
                        </m:r>
                      </m:e>
                      <m:sub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𝑢</m:t>
                        </m:r>
                      </m:sub>
                    </m:sSub>
                    <m:r>
                      <a:rPr lang="es-MX" sz="1100" b="0" i="1">
                        <a:latin typeface="Cambria Math" panose="02040503050406030204" pitchFamily="18" charset="0"/>
                      </a:rPr>
                      <m:t>: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𝐶𝑜𝑟𝑡𝑎𝑛𝑡𝑒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𝑎𝑐𝑡𝑢𝑎𝑛𝑡𝑒</m:t>
                    </m:r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E416DC8C-5236-45CC-9618-49146E6784CF}"/>
                </a:ext>
              </a:extLst>
            </xdr:cNvPr>
            <xdr:cNvSpPr txBox="1"/>
          </xdr:nvSpPr>
          <xdr:spPr>
            <a:xfrm>
              <a:off x="1028700" y="1291590"/>
              <a:ext cx="139179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1100" b="0" i="0">
                  <a:latin typeface="Cambria Math" panose="02040503050406030204" pitchFamily="18" charset="0"/>
                </a:rPr>
                <a:t>𝑉_𝑢:𝐶𝑜𝑟𝑡𝑎𝑛𝑡𝑒 𝑎𝑐𝑡𝑢𝑎𝑛𝑡𝑒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2</xdr:col>
      <xdr:colOff>0</xdr:colOff>
      <xdr:row>8</xdr:row>
      <xdr:rowOff>11430</xdr:rowOff>
    </xdr:from>
    <xdr:ext cx="160986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3DB5F95B-5C46-48B5-AF4F-C06D51676BCA}"/>
                </a:ext>
              </a:extLst>
            </xdr:cNvPr>
            <xdr:cNvSpPr txBox="1"/>
          </xdr:nvSpPr>
          <xdr:spPr>
            <a:xfrm>
              <a:off x="1021080" y="1474470"/>
              <a:ext cx="160986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MX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𝑉</m:t>
                        </m:r>
                      </m:e>
                      <m:sub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𝐶𝑅</m:t>
                        </m:r>
                      </m:sub>
                    </m:sSub>
                    <m:r>
                      <a:rPr lang="es-MX" sz="1100" b="0" i="1">
                        <a:latin typeface="Cambria Math" panose="02040503050406030204" pitchFamily="18" charset="0"/>
                      </a:rPr>
                      <m:t>: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𝐶𝑜𝑟𝑡𝑎𝑛𝑡𝑒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𝑟𝑒𝑠𝑖𝑠𝑡𝑒𝑛𝑡𝑒</m:t>
                    </m:r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3DB5F95B-5C46-48B5-AF4F-C06D51676BCA}"/>
                </a:ext>
              </a:extLst>
            </xdr:cNvPr>
            <xdr:cNvSpPr txBox="1"/>
          </xdr:nvSpPr>
          <xdr:spPr>
            <a:xfrm>
              <a:off x="1021080" y="1474470"/>
              <a:ext cx="160986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1100" b="0" i="0">
                  <a:latin typeface="Cambria Math" panose="02040503050406030204" pitchFamily="18" charset="0"/>
                </a:rPr>
                <a:t>𝑉_𝐶𝑅:𝐶𝑜𝑟𝑡𝑎𝑛𝑡𝑒 𝑟𝑒𝑠𝑖𝑠𝑡𝑒𝑛𝑡𝑒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3</xdr:col>
      <xdr:colOff>2540</xdr:colOff>
      <xdr:row>4</xdr:row>
      <xdr:rowOff>171450</xdr:rowOff>
    </xdr:from>
    <xdr:ext cx="1152431" cy="2066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D463ABF9-A3FE-44A0-89CD-169BA0DB5AD4}"/>
                </a:ext>
              </a:extLst>
            </xdr:cNvPr>
            <xdr:cNvSpPr txBox="1"/>
          </xdr:nvSpPr>
          <xdr:spPr>
            <a:xfrm>
              <a:off x="1526540" y="916517"/>
              <a:ext cx="1152431" cy="2066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MX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𝑉</m:t>
                        </m:r>
                      </m:e>
                      <m:sub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𝐶𝑅</m:t>
                        </m:r>
                      </m:sub>
                    </m:sSub>
                    <m:r>
                      <a:rPr lang="es-MX" sz="1100" b="0" i="1">
                        <a:latin typeface="Cambria Math" panose="02040503050406030204" pitchFamily="18" charset="0"/>
                      </a:rPr>
                      <m:t>=0.5</m:t>
                    </m:r>
                    <m:sSub>
                      <m:sSub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𝑅</m:t>
                        </m:r>
                      </m:sub>
                    </m:sSub>
                    <m:r>
                      <a:rPr lang="es-MX" sz="1100" b="0" i="1">
                        <a:latin typeface="Cambria Math" panose="02040503050406030204" pitchFamily="18" charset="0"/>
                      </a:rPr>
                      <m:t>𝑏𝑑</m:t>
                    </m:r>
                    <m:rad>
                      <m:radPr>
                        <m:degHide m:val="on"/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bSup>
                          <m:sSubSupPr>
                            <m:ctrlPr>
                              <a:rPr lang="es-MX" sz="1100" b="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𝑓</m:t>
                            </m:r>
                          </m:e>
                          <m:sub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𝑐</m:t>
                            </m:r>
                          </m:sub>
                          <m:sup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′</m:t>
                            </m:r>
                          </m:sup>
                        </m:sSubSup>
                      </m:e>
                    </m:rad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D463ABF9-A3FE-44A0-89CD-169BA0DB5AD4}"/>
                </a:ext>
              </a:extLst>
            </xdr:cNvPr>
            <xdr:cNvSpPr txBox="1"/>
          </xdr:nvSpPr>
          <xdr:spPr>
            <a:xfrm>
              <a:off x="1526540" y="916517"/>
              <a:ext cx="1152431" cy="2066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1100" b="0" i="0">
                  <a:latin typeface="Cambria Math" panose="02040503050406030204" pitchFamily="18" charset="0"/>
                </a:rPr>
                <a:t>𝑉_𝐶𝑅=0.5𝐹_𝑅 𝑏𝑑√(𝑓_𝑐^′ )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2</xdr:col>
      <xdr:colOff>30480</xdr:colOff>
      <xdr:row>9</xdr:row>
      <xdr:rowOff>34290</xdr:rowOff>
    </xdr:from>
    <xdr:ext cx="57387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26143619-B80E-47EA-BB9C-BCDCF7CCC1D1}"/>
                </a:ext>
              </a:extLst>
            </xdr:cNvPr>
            <xdr:cNvSpPr txBox="1"/>
          </xdr:nvSpPr>
          <xdr:spPr>
            <a:xfrm>
              <a:off x="2880360" y="1703070"/>
              <a:ext cx="57387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s-MX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s-MX" sz="1100" b="0" i="1">
                          <a:latin typeface="Cambria Math" panose="02040503050406030204" pitchFamily="18" charset="0"/>
                        </a:rPr>
                        <m:t>𝐹</m:t>
                      </m:r>
                    </m:e>
                    <m:sub>
                      <m:r>
                        <a:rPr lang="es-MX" sz="1100" b="0" i="1">
                          <a:latin typeface="Cambria Math" panose="02040503050406030204" pitchFamily="18" charset="0"/>
                        </a:rPr>
                        <m:t>𝑅</m:t>
                      </m:r>
                    </m:sub>
                  </m:sSub>
                  <m:r>
                    <a:rPr lang="es-MX" sz="1100" b="0" i="1">
                      <a:latin typeface="Cambria Math" panose="02040503050406030204" pitchFamily="18" charset="0"/>
                    </a:rPr>
                    <m:t>=</m:t>
                  </m:r>
                </m:oMath>
              </a14:m>
              <a:r>
                <a:rPr lang="es-MX" sz="1100"/>
                <a:t> 0.75</a:t>
              </a:r>
            </a:p>
          </xdr:txBody>
        </xdr:sp>
      </mc:Choice>
      <mc:Fallback xmlns="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26143619-B80E-47EA-BB9C-BCDCF7CCC1D1}"/>
                </a:ext>
              </a:extLst>
            </xdr:cNvPr>
            <xdr:cNvSpPr txBox="1"/>
          </xdr:nvSpPr>
          <xdr:spPr>
            <a:xfrm>
              <a:off x="2880360" y="1703070"/>
              <a:ext cx="57387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100" b="0" i="0">
                  <a:latin typeface="Cambria Math" panose="02040503050406030204" pitchFamily="18" charset="0"/>
                </a:rPr>
                <a:t>𝐹_𝑅=</a:t>
              </a:r>
              <a:r>
                <a:rPr lang="es-MX" sz="1100"/>
                <a:t> 0.75</a:t>
              </a:r>
            </a:p>
          </xdr:txBody>
        </xdr:sp>
      </mc:Fallback>
    </mc:AlternateContent>
    <xdr:clientData/>
  </xdr:oneCellAnchor>
  <xdr:oneCellAnchor>
    <xdr:from>
      <xdr:col>2</xdr:col>
      <xdr:colOff>403860</xdr:colOff>
      <xdr:row>18</xdr:row>
      <xdr:rowOff>3810</xdr:rowOff>
    </xdr:from>
    <xdr:ext cx="251460" cy="172227"/>
    <xdr:sp macro="" textlink="">
      <xdr:nvSpPr>
        <xdr:cNvPr id="10" name="CuadroTexto 9">
          <a:extLst>
            <a:ext uri="{FF2B5EF4-FFF2-40B4-BE49-F238E27FC236}">
              <a16:creationId xmlns:a16="http://schemas.microsoft.com/office/drawing/2014/main" id="{593BD789-4576-4889-8FCF-C682B568869E}"/>
            </a:ext>
          </a:extLst>
        </xdr:cNvPr>
        <xdr:cNvSpPr txBox="1"/>
      </xdr:nvSpPr>
      <xdr:spPr>
        <a:xfrm>
          <a:off x="5593080" y="4842510"/>
          <a:ext cx="251460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t">
          <a:spAutoFit/>
        </a:bodyPr>
        <a:lstStyle/>
        <a:p>
          <a:r>
            <a:rPr lang="es-MX" sz="1100">
              <a:latin typeface="+mn-lt"/>
            </a:rPr>
            <a:t>kg</a:t>
          </a:r>
        </a:p>
      </xdr:txBody>
    </xdr:sp>
    <xdr:clientData/>
  </xdr:oneCellAnchor>
  <xdr:twoCellAnchor editAs="oneCell">
    <xdr:from>
      <xdr:col>4</xdr:col>
      <xdr:colOff>487680</xdr:colOff>
      <xdr:row>5</xdr:row>
      <xdr:rowOff>11263</xdr:rowOff>
    </xdr:from>
    <xdr:to>
      <xdr:col>7</xdr:col>
      <xdr:colOff>1463040</xdr:colOff>
      <xdr:row>19</xdr:row>
      <xdr:rowOff>12221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4870B344-F2EC-4656-B59F-5283AE576B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05100" y="925663"/>
          <a:ext cx="3162300" cy="2721298"/>
        </a:xfrm>
        <a:prstGeom prst="rect">
          <a:avLst/>
        </a:prstGeom>
      </xdr:spPr>
    </xdr:pic>
    <xdr:clientData/>
  </xdr:twoCellAnchor>
  <xdr:twoCellAnchor editAs="oneCell">
    <xdr:from>
      <xdr:col>8</xdr:col>
      <xdr:colOff>255554</xdr:colOff>
      <xdr:row>2</xdr:row>
      <xdr:rowOff>95246</xdr:rowOff>
    </xdr:from>
    <xdr:to>
      <xdr:col>14</xdr:col>
      <xdr:colOff>658048</xdr:colOff>
      <xdr:row>37</xdr:row>
      <xdr:rowOff>3810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53DD89C0-5B73-4B60-A894-C9DA74229B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16200000">
          <a:off x="5819374" y="1141776"/>
          <a:ext cx="6762754" cy="5431694"/>
        </a:xfrm>
        <a:prstGeom prst="rect">
          <a:avLst/>
        </a:prstGeom>
      </xdr:spPr>
    </xdr:pic>
    <xdr:clientData/>
  </xdr:twoCellAnchor>
  <xdr:twoCellAnchor editAs="oneCell">
    <xdr:from>
      <xdr:col>15</xdr:col>
      <xdr:colOff>77054</xdr:colOff>
      <xdr:row>2</xdr:row>
      <xdr:rowOff>10886</xdr:rowOff>
    </xdr:from>
    <xdr:to>
      <xdr:col>21</xdr:col>
      <xdr:colOff>656796</xdr:colOff>
      <xdr:row>34</xdr:row>
      <xdr:rowOff>166247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1BF3D958-9A58-48A8-9B85-48BA2EFB3C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16200000">
          <a:off x="11697473" y="767524"/>
          <a:ext cx="6316676" cy="5543628"/>
        </a:xfrm>
        <a:prstGeom prst="rect">
          <a:avLst/>
        </a:prstGeom>
      </xdr:spPr>
    </xdr:pic>
    <xdr:clientData/>
  </xdr:twoCellAnchor>
  <xdr:twoCellAnchor editAs="oneCell">
    <xdr:from>
      <xdr:col>22</xdr:col>
      <xdr:colOff>153340</xdr:colOff>
      <xdr:row>3</xdr:row>
      <xdr:rowOff>76196</xdr:rowOff>
    </xdr:from>
    <xdr:to>
      <xdr:col>28</xdr:col>
      <xdr:colOff>714761</xdr:colOff>
      <xdr:row>36</xdr:row>
      <xdr:rowOff>150977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E5AFA171-07FD-452A-AC95-7EAEAC0E22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rot="16200000">
          <a:off x="17503560" y="1079290"/>
          <a:ext cx="6421153" cy="5525307"/>
        </a:xfrm>
        <a:prstGeom prst="rect">
          <a:avLst/>
        </a:prstGeom>
      </xdr:spPr>
    </xdr:pic>
    <xdr:clientData/>
  </xdr:twoCellAnchor>
  <xdr:twoCellAnchor editAs="oneCell">
    <xdr:from>
      <xdr:col>29</xdr:col>
      <xdr:colOff>286905</xdr:colOff>
      <xdr:row>3</xdr:row>
      <xdr:rowOff>10390</xdr:rowOff>
    </xdr:from>
    <xdr:to>
      <xdr:col>35</xdr:col>
      <xdr:colOff>601931</xdr:colOff>
      <xdr:row>36</xdr:row>
      <xdr:rowOff>76200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5006F52D-85C2-43B7-88B3-7BAA2BFED6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16200000">
          <a:off x="23538213" y="1162132"/>
          <a:ext cx="6504710" cy="5344226"/>
        </a:xfrm>
        <a:prstGeom prst="rect">
          <a:avLst/>
        </a:prstGeom>
      </xdr:spPr>
    </xdr:pic>
    <xdr:clientData/>
  </xdr:twoCellAnchor>
  <xdr:twoCellAnchor editAs="oneCell">
    <xdr:from>
      <xdr:col>36</xdr:col>
      <xdr:colOff>685800</xdr:colOff>
      <xdr:row>6</xdr:row>
      <xdr:rowOff>47756</xdr:rowOff>
    </xdr:from>
    <xdr:to>
      <xdr:col>42</xdr:col>
      <xdr:colOff>419100</xdr:colOff>
      <xdr:row>24</xdr:row>
      <xdr:rowOff>32291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F25480A1-301F-406F-A9A7-B530FC19AA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0159960" y="1145036"/>
          <a:ext cx="4716780" cy="3504975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350520</xdr:colOff>
      <xdr:row>1</xdr:row>
      <xdr:rowOff>167640</xdr:rowOff>
    </xdr:from>
    <xdr:to>
      <xdr:col>13</xdr:col>
      <xdr:colOff>289560</xdr:colOff>
      <xdr:row>23</xdr:row>
      <xdr:rowOff>45720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4DE6F38-58F2-49E9-BE2D-CC178A9B50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664685</xdr:colOff>
      <xdr:row>23</xdr:row>
      <xdr:rowOff>156808</xdr:rowOff>
    </xdr:from>
    <xdr:to>
      <xdr:col>12</xdr:col>
      <xdr:colOff>217171</xdr:colOff>
      <xdr:row>43</xdr:row>
      <xdr:rowOff>137160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2BF063B8-D913-4B2F-BB32-3E98864651E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8419" t="6041" r="37903" b="22369"/>
        <a:stretch/>
      </xdr:blipFill>
      <xdr:spPr bwMode="auto">
        <a:xfrm>
          <a:off x="7309325" y="4424008"/>
          <a:ext cx="2874806" cy="36455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502920</xdr:colOff>
      <xdr:row>11</xdr:row>
      <xdr:rowOff>3810</xdr:rowOff>
    </xdr:from>
    <xdr:ext cx="84645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12914372-7E39-4C1D-892E-72C5B3DF58A6}"/>
                </a:ext>
              </a:extLst>
            </xdr:cNvPr>
            <xdr:cNvSpPr txBox="1"/>
          </xdr:nvSpPr>
          <xdr:spPr>
            <a:xfrm>
              <a:off x="2034540" y="2076450"/>
              <a:ext cx="84645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MX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𝑤</m:t>
                        </m:r>
                      </m:e>
                      <m:sub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s-MX" sz="1100" b="0" i="1">
                        <a:latin typeface="Cambria Math" panose="02040503050406030204" pitchFamily="18" charset="0"/>
                      </a:rPr>
                      <m:t>=1.1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𝑊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12914372-7E39-4C1D-892E-72C5B3DF58A6}"/>
                </a:ext>
              </a:extLst>
            </xdr:cNvPr>
            <xdr:cNvSpPr txBox="1"/>
          </xdr:nvSpPr>
          <xdr:spPr>
            <a:xfrm>
              <a:off x="2034540" y="2076450"/>
              <a:ext cx="84645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100" b="0" i="0">
                  <a:latin typeface="Cambria Math" panose="02040503050406030204" pitchFamily="18" charset="0"/>
                </a:rPr>
                <a:t>𝑤_1=1.1𝑊=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10</xdr:col>
      <xdr:colOff>0</xdr:colOff>
      <xdr:row>12</xdr:row>
      <xdr:rowOff>118110</xdr:rowOff>
    </xdr:from>
    <xdr:ext cx="855491" cy="34650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FD89D67C-883F-4BC7-B11F-DE7113E33F27}"/>
                </a:ext>
              </a:extLst>
            </xdr:cNvPr>
            <xdr:cNvSpPr txBox="1"/>
          </xdr:nvSpPr>
          <xdr:spPr>
            <a:xfrm>
              <a:off x="2065020" y="2106930"/>
              <a:ext cx="855491" cy="3465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𝐵</m:t>
                        </m:r>
                      </m:e>
                      <m:sub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s-MX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1.4</m:t>
                        </m:r>
                        <m:sSub>
                          <m:sSubPr>
                            <m:ctrlPr>
                              <a:rPr lang="es-MX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𝑤</m:t>
                            </m:r>
                          </m:e>
                          <m:sub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s-MX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𝑞</m:t>
                            </m:r>
                          </m:e>
                          <m:sub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𝑅</m:t>
                            </m:r>
                          </m:sub>
                        </m:sSub>
                      </m:den>
                    </m:f>
                    <m:r>
                      <a:rPr lang="es-MX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FD89D67C-883F-4BC7-B11F-DE7113E33F27}"/>
                </a:ext>
              </a:extLst>
            </xdr:cNvPr>
            <xdr:cNvSpPr txBox="1"/>
          </xdr:nvSpPr>
          <xdr:spPr>
            <a:xfrm>
              <a:off x="2065020" y="2106930"/>
              <a:ext cx="855491" cy="3465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1100" b="0" i="0">
                  <a:latin typeface="Cambria Math" panose="02040503050406030204" pitchFamily="18" charset="0"/>
                </a:rPr>
                <a:t>𝐵_1=(1.4𝑤_1)/𝑞_𝑅 =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9</xdr:col>
      <xdr:colOff>525780</xdr:colOff>
      <xdr:row>15</xdr:row>
      <xdr:rowOff>106680</xdr:rowOff>
    </xdr:from>
    <xdr:ext cx="854658" cy="3456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068CBF35-9741-42B1-A857-DD4EA089C09A}"/>
                </a:ext>
              </a:extLst>
            </xdr:cNvPr>
            <xdr:cNvSpPr txBox="1"/>
          </xdr:nvSpPr>
          <xdr:spPr>
            <a:xfrm>
              <a:off x="2057400" y="2910840"/>
              <a:ext cx="854658" cy="3456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MX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𝑞</m:t>
                        </m:r>
                      </m:e>
                      <m:sub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𝑢</m:t>
                        </m:r>
                      </m:sub>
                    </m:sSub>
                    <m:r>
                      <a:rPr lang="es-MX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1.4</m:t>
                        </m:r>
                        <m:sSub>
                          <m:sSubPr>
                            <m:ctrlPr>
                              <a:rPr lang="es-MX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𝑤</m:t>
                            </m:r>
                          </m:e>
                          <m:sub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s-MX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𝐵</m:t>
                            </m:r>
                          </m:e>
                          <m:sub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</m:den>
                    </m:f>
                    <m:r>
                      <a:rPr lang="es-MX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068CBF35-9741-42B1-A857-DD4EA089C09A}"/>
                </a:ext>
              </a:extLst>
            </xdr:cNvPr>
            <xdr:cNvSpPr txBox="1"/>
          </xdr:nvSpPr>
          <xdr:spPr>
            <a:xfrm>
              <a:off x="2057400" y="2910840"/>
              <a:ext cx="854658" cy="3456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100" b="0" i="0">
                  <a:latin typeface="Cambria Math" panose="02040503050406030204" pitchFamily="18" charset="0"/>
                </a:rPr>
                <a:t>𝑞_𝑢=(1.4𝑤_1)/𝐵_1 =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7</xdr:col>
      <xdr:colOff>411480</xdr:colOff>
      <xdr:row>24</xdr:row>
      <xdr:rowOff>91440</xdr:rowOff>
    </xdr:from>
    <xdr:ext cx="763671" cy="33861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12644880-80F3-4355-A168-5DF872CC5E04}"/>
                </a:ext>
              </a:extLst>
            </xdr:cNvPr>
            <xdr:cNvSpPr txBox="1"/>
          </xdr:nvSpPr>
          <xdr:spPr>
            <a:xfrm>
              <a:off x="411480" y="4541520"/>
              <a:ext cx="763671" cy="3386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100" b="0" i="1">
                        <a:latin typeface="Cambria Math" panose="02040503050406030204" pitchFamily="18" charset="0"/>
                      </a:rPr>
                      <m:t>𝑀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s-MX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𝑞</m:t>
                            </m:r>
                          </m:e>
                          <m:sub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</m:sub>
                        </m:sSub>
                        <m:sSup>
                          <m:sSupPr>
                            <m:ctrlPr>
                              <a:rPr lang="es-MX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𝐿</m:t>
                            </m:r>
                          </m:e>
                          <m:sup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num>
                      <m:den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  <m:r>
                      <a:rPr lang="es-MX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12644880-80F3-4355-A168-5DF872CC5E04}"/>
                </a:ext>
              </a:extLst>
            </xdr:cNvPr>
            <xdr:cNvSpPr txBox="1"/>
          </xdr:nvSpPr>
          <xdr:spPr>
            <a:xfrm>
              <a:off x="411480" y="4541520"/>
              <a:ext cx="763671" cy="3386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100" b="0" i="0">
                  <a:latin typeface="Cambria Math" panose="02040503050406030204" pitchFamily="18" charset="0"/>
                </a:rPr>
                <a:t>𝑀=(𝑞_𝑢 𝐿^2)/2=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11</xdr:col>
      <xdr:colOff>57150</xdr:colOff>
      <xdr:row>23</xdr:row>
      <xdr:rowOff>57150</xdr:rowOff>
    </xdr:from>
    <xdr:ext cx="1333378" cy="4138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98C26956-683F-43D9-80A8-539A9557A473}"/>
                </a:ext>
              </a:extLst>
            </xdr:cNvPr>
            <xdr:cNvSpPr txBox="1"/>
          </xdr:nvSpPr>
          <xdr:spPr>
            <a:xfrm>
              <a:off x="2952750" y="4324350"/>
              <a:ext cx="1333378" cy="4138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MX" sz="11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b="1" i="0">
                            <a:latin typeface="Cambria Math" panose="02040503050406030204" pitchFamily="18" charset="0"/>
                          </a:rPr>
                          <m:t>𝐀</m:t>
                        </m:r>
                      </m:e>
                      <m:sub>
                        <m:r>
                          <a:rPr lang="es-MX" sz="1100" b="1" i="0">
                            <a:latin typeface="Cambria Math" panose="02040503050406030204" pitchFamily="18" charset="0"/>
                          </a:rPr>
                          <m:t>𝐬𝐦𝐢𝐧</m:t>
                        </m:r>
                      </m:sub>
                    </m:sSub>
                    <m:r>
                      <a:rPr lang="es-MX" sz="1100" b="0" i="1">
                        <a:latin typeface="Cambria Math" panose="02040503050406030204" pitchFamily="18" charset="0"/>
                      </a:rPr>
                      <m:t>=0.7</m:t>
                    </m:r>
                    <m:f>
                      <m:f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ad>
                          <m:radPr>
                            <m:degHide m:val="on"/>
                            <m:ctrlPr>
                              <a:rPr lang="es-MX" sz="1100" b="0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sSubSup>
                              <m:sSubSupPr>
                                <m:ctrlPr>
                                  <a:rPr lang="es-MX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SupPr>
                              <m:e>
                                <m:r>
                                  <a:rPr lang="es-MX" sz="1100" b="0" i="1">
                                    <a:latin typeface="Cambria Math" panose="02040503050406030204" pitchFamily="18" charset="0"/>
                                  </a:rPr>
                                  <m:t>𝑓</m:t>
                                </m:r>
                              </m:e>
                              <m:sub>
                                <m:r>
                                  <a:rPr lang="es-MX" sz="1100" b="0" i="1">
                                    <a:latin typeface="Cambria Math" panose="02040503050406030204" pitchFamily="18" charset="0"/>
                                  </a:rPr>
                                  <m:t>𝑐</m:t>
                                </m:r>
                              </m:sub>
                              <m:sup>
                                <m:r>
                                  <a:rPr lang="es-MX" sz="1100" b="0" i="1">
                                    <a:latin typeface="Cambria Math" panose="02040503050406030204" pitchFamily="18" charset="0"/>
                                  </a:rPr>
                                  <m:t>′</m:t>
                                </m:r>
                              </m:sup>
                            </m:sSubSup>
                          </m:e>
                        </m:rad>
                      </m:num>
                      <m:den>
                        <m:sSub>
                          <m:sSubPr>
                            <m:ctrlPr>
                              <a:rPr lang="es-MX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𝑓</m:t>
                            </m:r>
                          </m:e>
                          <m:sub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sub>
                        </m:sSub>
                      </m:den>
                    </m:f>
                    <m:r>
                      <a:rPr lang="es-MX" sz="1100" b="0" i="1">
                        <a:latin typeface="Cambria Math" panose="02040503050406030204" pitchFamily="18" charset="0"/>
                      </a:rPr>
                      <m:t>𝑏𝑑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98C26956-683F-43D9-80A8-539A9557A473}"/>
                </a:ext>
              </a:extLst>
            </xdr:cNvPr>
            <xdr:cNvSpPr txBox="1"/>
          </xdr:nvSpPr>
          <xdr:spPr>
            <a:xfrm>
              <a:off x="2952750" y="4324350"/>
              <a:ext cx="1333378" cy="4138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100" b="1" i="0">
                  <a:latin typeface="Cambria Math" panose="02040503050406030204" pitchFamily="18" charset="0"/>
                </a:rPr>
                <a:t>𝐀_𝐬𝐦𝐢𝐧</a:t>
              </a:r>
              <a:r>
                <a:rPr lang="es-MX" sz="1100" b="0" i="0">
                  <a:latin typeface="Cambria Math" panose="02040503050406030204" pitchFamily="18" charset="0"/>
                </a:rPr>
                <a:t>=0.7 √(𝑓_𝑐^′ )/𝑓_𝑦  𝑏𝑑=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11</xdr:col>
      <xdr:colOff>156210</xdr:colOff>
      <xdr:row>27</xdr:row>
      <xdr:rowOff>80010</xdr:rowOff>
    </xdr:from>
    <xdr:ext cx="922560" cy="36439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16A217BE-0D39-488E-A764-E2D8653EB2C0}"/>
                </a:ext>
              </a:extLst>
            </xdr:cNvPr>
            <xdr:cNvSpPr txBox="1"/>
          </xdr:nvSpPr>
          <xdr:spPr>
            <a:xfrm>
              <a:off x="3051810" y="4857750"/>
              <a:ext cx="922560" cy="36439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MX" sz="11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b="1" i="0">
                            <a:latin typeface="Cambria Math" panose="02040503050406030204" pitchFamily="18" charset="0"/>
                          </a:rPr>
                          <m:t>𝐀</m:t>
                        </m:r>
                      </m:e>
                      <m:sub>
                        <m:r>
                          <a:rPr lang="es-MX" sz="1100" b="1" i="0">
                            <a:latin typeface="Cambria Math" panose="02040503050406030204" pitchFamily="18" charset="0"/>
                          </a:rPr>
                          <m:t>𝐬</m:t>
                        </m:r>
                      </m:sub>
                    </m:sSub>
                    <m:r>
                      <a:rPr lang="es-MX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s-MX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𝑀</m:t>
                            </m:r>
                          </m:e>
                          <m:sub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s-MX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𝐹</m:t>
                            </m:r>
                          </m:e>
                          <m:sub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𝑅</m:t>
                            </m:r>
                          </m:sub>
                        </m:sSub>
                        <m:sSub>
                          <m:sSubPr>
                            <m:ctrlPr>
                              <a:rPr lang="es-MX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𝑓</m:t>
                            </m:r>
                          </m:e>
                          <m:sub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sub>
                        </m:sSub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𝑗𝑑</m:t>
                        </m:r>
                      </m:den>
                    </m:f>
                    <m:r>
                      <a:rPr lang="es-MX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16A217BE-0D39-488E-A764-E2D8653EB2C0}"/>
                </a:ext>
              </a:extLst>
            </xdr:cNvPr>
            <xdr:cNvSpPr txBox="1"/>
          </xdr:nvSpPr>
          <xdr:spPr>
            <a:xfrm>
              <a:off x="3051810" y="4857750"/>
              <a:ext cx="922560" cy="36439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1100" b="1" i="0">
                  <a:latin typeface="Cambria Math" panose="02040503050406030204" pitchFamily="18" charset="0"/>
                </a:rPr>
                <a:t>𝐀_𝐬</a:t>
              </a:r>
              <a:r>
                <a:rPr lang="es-MX" sz="1100" b="0" i="0">
                  <a:latin typeface="Cambria Math" panose="02040503050406030204" pitchFamily="18" charset="0"/>
                </a:rPr>
                <a:t>=𝑀_𝑢/(𝐹_𝑅 𝑓_𝑦 𝑗𝑑)=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11</xdr:col>
      <xdr:colOff>407670</xdr:colOff>
      <xdr:row>31</xdr:row>
      <xdr:rowOff>80010</xdr:rowOff>
    </xdr:from>
    <xdr:ext cx="919290" cy="38036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CuadroTexto 9">
              <a:extLst>
                <a:ext uri="{FF2B5EF4-FFF2-40B4-BE49-F238E27FC236}">
                  <a16:creationId xmlns:a16="http://schemas.microsoft.com/office/drawing/2014/main" id="{F3069CC2-CABF-447E-BF02-4E3529E5CF4C}"/>
                </a:ext>
              </a:extLst>
            </xdr:cNvPr>
            <xdr:cNvSpPr txBox="1"/>
          </xdr:nvSpPr>
          <xdr:spPr>
            <a:xfrm>
              <a:off x="3303270" y="5627370"/>
              <a:ext cx="919290" cy="380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MX" sz="11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b="1" i="0">
                            <a:latin typeface="Cambria Math" panose="02040503050406030204" pitchFamily="18" charset="0"/>
                          </a:rPr>
                          <m:t>𝐒</m:t>
                        </m:r>
                      </m:e>
                      <m:sub>
                        <m:r>
                          <a:rPr lang="es-MX" sz="1100" b="1" i="0">
                            <a:latin typeface="Cambria Math" panose="02040503050406030204" pitchFamily="18" charset="0"/>
                          </a:rPr>
                          <m:t>𝟏</m:t>
                        </m:r>
                      </m:sub>
                    </m:sSub>
                    <m:r>
                      <a:rPr lang="es-MX" sz="1100" b="0" i="1">
                        <a:latin typeface="Cambria Math" panose="02040503050406030204" pitchFamily="18" charset="0"/>
                      </a:rPr>
                      <m:t>=</m:t>
                    </m:r>
                    <m:d>
                      <m:d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s-MX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es-MX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s-MX" sz="1100" b="0" i="1">
                                    <a:latin typeface="Cambria Math" panose="02040503050406030204" pitchFamily="18" charset="0"/>
                                  </a:rPr>
                                  <m:t>𝑎</m:t>
                                </m:r>
                              </m:e>
                              <m:sub>
                                <m:r>
                                  <a:rPr lang="es-MX" sz="1100" b="0" i="1">
                                    <a:latin typeface="Cambria Math" panose="02040503050406030204" pitchFamily="18" charset="0"/>
                                  </a:rPr>
                                  <m:t>𝑠</m:t>
                                </m:r>
                              </m:sub>
                            </m:sSub>
                          </m:num>
                          <m:den>
                            <m:sSub>
                              <m:sSubPr>
                                <m:ctrlPr>
                                  <a:rPr lang="es-MX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s-MX" sz="1100" b="0" i="1">
                                    <a:latin typeface="Cambria Math" panose="02040503050406030204" pitchFamily="18" charset="0"/>
                                  </a:rPr>
                                  <m:t>𝐴</m:t>
                                </m:r>
                              </m:e>
                              <m:sub>
                                <m:r>
                                  <a:rPr lang="es-MX" sz="1100" b="0" i="1">
                                    <a:latin typeface="Cambria Math" panose="02040503050406030204" pitchFamily="18" charset="0"/>
                                  </a:rPr>
                                  <m:t>𝑠</m:t>
                                </m:r>
                              </m:sub>
                            </m:sSub>
                          </m:den>
                        </m:f>
                      </m:e>
                    </m:d>
                    <m:r>
                      <a:rPr lang="es-MX" sz="1100" b="0" i="1">
                        <a:latin typeface="Cambria Math" panose="02040503050406030204" pitchFamily="18" charset="0"/>
                      </a:rPr>
                      <m:t>𝑏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10" name="CuadroTexto 9">
              <a:extLst>
                <a:ext uri="{FF2B5EF4-FFF2-40B4-BE49-F238E27FC236}">
                  <a16:creationId xmlns:a16="http://schemas.microsoft.com/office/drawing/2014/main" id="{F3069CC2-CABF-447E-BF02-4E3529E5CF4C}"/>
                </a:ext>
              </a:extLst>
            </xdr:cNvPr>
            <xdr:cNvSpPr txBox="1"/>
          </xdr:nvSpPr>
          <xdr:spPr>
            <a:xfrm>
              <a:off x="3303270" y="5627370"/>
              <a:ext cx="919290" cy="380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100" b="1" i="0">
                  <a:latin typeface="Cambria Math" panose="02040503050406030204" pitchFamily="18" charset="0"/>
                </a:rPr>
                <a:t>𝐒_𝟏</a:t>
              </a:r>
              <a:r>
                <a:rPr lang="es-MX" sz="1100" b="0" i="0">
                  <a:latin typeface="Cambria Math" panose="02040503050406030204" pitchFamily="18" charset="0"/>
                </a:rPr>
                <a:t>=(𝑎_𝑠/𝐴_𝑠 )𝑏=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11</xdr:col>
      <xdr:colOff>218515</xdr:colOff>
      <xdr:row>37</xdr:row>
      <xdr:rowOff>70373</xdr:rowOff>
    </xdr:from>
    <xdr:ext cx="1395767" cy="42364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CuadroTexto 12">
              <a:extLst>
                <a:ext uri="{FF2B5EF4-FFF2-40B4-BE49-F238E27FC236}">
                  <a16:creationId xmlns:a16="http://schemas.microsoft.com/office/drawing/2014/main" id="{27BC3678-B0E9-4BE8-B35C-DFA30D5E5344}"/>
                </a:ext>
              </a:extLst>
            </xdr:cNvPr>
            <xdr:cNvSpPr txBox="1"/>
          </xdr:nvSpPr>
          <xdr:spPr>
            <a:xfrm>
              <a:off x="3123080" y="7224208"/>
              <a:ext cx="1395767" cy="42364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MX" sz="11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b="1" i="0">
                            <a:latin typeface="Cambria Math" panose="02040503050406030204" pitchFamily="18" charset="0"/>
                          </a:rPr>
                          <m:t>𝐀</m:t>
                        </m:r>
                      </m:e>
                      <m:sub>
                        <m:r>
                          <a:rPr lang="es-MX" sz="1100" b="1" i="0">
                            <a:latin typeface="Cambria Math" panose="02040503050406030204" pitchFamily="18" charset="0"/>
                          </a:rPr>
                          <m:t>𝐬𝐦𝐢𝐧</m:t>
                        </m:r>
                      </m:sub>
                    </m:sSub>
                    <m:r>
                      <a:rPr lang="es-MX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MX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0.7</m:t>
                    </m:r>
                    <m:f>
                      <m:fPr>
                        <m:ctrlP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ad>
                          <m:radPr>
                            <m:degHide m:val="on"/>
                            <m:ctrlP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radPr>
                          <m:deg/>
                          <m:e>
                            <m:sSubSup>
                              <m:sSubSupPr>
                                <m:ctrlPr>
                                  <a:rPr lang="es-MX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SupPr>
                              <m:e>
                                <m:r>
                                  <a:rPr lang="es-MX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𝑓</m:t>
                                </m:r>
                              </m:e>
                              <m:sub>
                                <m:r>
                                  <a:rPr lang="es-MX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𝑐</m:t>
                                </m:r>
                              </m:sub>
                              <m:sup>
                                <m:r>
                                  <a:rPr lang="es-MX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′</m:t>
                                </m:r>
                              </m:sup>
                            </m:sSubSup>
                          </m:e>
                        </m:rad>
                      </m:num>
                      <m:den>
                        <m:sSub>
                          <m:sSubPr>
                            <m:ctrlP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𝑓</m:t>
                            </m:r>
                          </m:e>
                          <m:sub>
                            <m: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𝑦</m:t>
                            </m:r>
                          </m:sub>
                        </m:sSub>
                      </m:den>
                    </m:f>
                    <m:sSub>
                      <m:sSub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𝐵</m:t>
                        </m:r>
                      </m:e>
                      <m:sub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s-MX" sz="1100" b="0" i="1">
                        <a:latin typeface="Cambria Math" panose="02040503050406030204" pitchFamily="18" charset="0"/>
                      </a:rPr>
                      <m:t>𝑑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13" name="CuadroTexto 12">
              <a:extLst>
                <a:ext uri="{FF2B5EF4-FFF2-40B4-BE49-F238E27FC236}">
                  <a16:creationId xmlns:a16="http://schemas.microsoft.com/office/drawing/2014/main" id="{27BC3678-B0E9-4BE8-B35C-DFA30D5E5344}"/>
                </a:ext>
              </a:extLst>
            </xdr:cNvPr>
            <xdr:cNvSpPr txBox="1"/>
          </xdr:nvSpPr>
          <xdr:spPr>
            <a:xfrm>
              <a:off x="3123080" y="7224208"/>
              <a:ext cx="1395767" cy="42364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1100" b="1" i="0">
                  <a:latin typeface="Cambria Math" panose="02040503050406030204" pitchFamily="18" charset="0"/>
                </a:rPr>
                <a:t>𝐀_𝐬𝐦𝐢𝐧</a:t>
              </a:r>
              <a:r>
                <a:rPr lang="es-MX" sz="1100" b="0" i="0">
                  <a:latin typeface="Cambria Math" panose="02040503050406030204" pitchFamily="18" charset="0"/>
                </a:rPr>
                <a:t>=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0.7 √(𝑓_𝑐^′ )/𝑓_𝑦  </a:t>
              </a:r>
              <a:r>
                <a:rPr lang="es-MX" sz="1100" b="0" i="0">
                  <a:latin typeface="Cambria Math" panose="02040503050406030204" pitchFamily="18" charset="0"/>
                </a:rPr>
                <a:t>𝐵_1 𝑑=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11</xdr:col>
      <xdr:colOff>384810</xdr:colOff>
      <xdr:row>41</xdr:row>
      <xdr:rowOff>80010</xdr:rowOff>
    </xdr:from>
    <xdr:ext cx="915635" cy="38036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CuadroTexto 13">
              <a:extLst>
                <a:ext uri="{FF2B5EF4-FFF2-40B4-BE49-F238E27FC236}">
                  <a16:creationId xmlns:a16="http://schemas.microsoft.com/office/drawing/2014/main" id="{238EC5A3-263F-413F-9999-062030A63746}"/>
                </a:ext>
              </a:extLst>
            </xdr:cNvPr>
            <xdr:cNvSpPr txBox="1"/>
          </xdr:nvSpPr>
          <xdr:spPr>
            <a:xfrm>
              <a:off x="3280410" y="7738110"/>
              <a:ext cx="915635" cy="380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100" b="1" i="0">
                        <a:latin typeface="Cambria Math" panose="02040503050406030204" pitchFamily="18" charset="0"/>
                      </a:rPr>
                      <m:t>𝐒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=</m:t>
                    </m:r>
                    <m:d>
                      <m:d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s-MX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es-MX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s-MX" sz="1100" b="0" i="1">
                                    <a:latin typeface="Cambria Math" panose="02040503050406030204" pitchFamily="18" charset="0"/>
                                  </a:rPr>
                                  <m:t>𝑎</m:t>
                                </m:r>
                              </m:e>
                              <m:sub>
                                <m:r>
                                  <a:rPr lang="es-MX" sz="1100" b="0" i="1">
                                    <a:latin typeface="Cambria Math" panose="02040503050406030204" pitchFamily="18" charset="0"/>
                                  </a:rPr>
                                  <m:t>𝑠</m:t>
                                </m:r>
                              </m:sub>
                            </m:sSub>
                          </m:num>
                          <m:den>
                            <m:sSub>
                              <m:sSubPr>
                                <m:ctrlPr>
                                  <a:rPr lang="es-MX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s-MX" sz="1100" b="0" i="1">
                                    <a:latin typeface="Cambria Math" panose="02040503050406030204" pitchFamily="18" charset="0"/>
                                  </a:rPr>
                                  <m:t>𝐴</m:t>
                                </m:r>
                              </m:e>
                              <m:sub>
                                <m:r>
                                  <a:rPr lang="es-MX" sz="1100" b="0" i="1">
                                    <a:latin typeface="Cambria Math" panose="02040503050406030204" pitchFamily="18" charset="0"/>
                                  </a:rPr>
                                  <m:t>𝑠</m:t>
                                </m:r>
                              </m:sub>
                            </m:sSub>
                          </m:den>
                        </m:f>
                      </m:e>
                    </m:d>
                    <m:sSub>
                      <m:sSub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𝐵</m:t>
                        </m:r>
                      </m:e>
                      <m:sub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s-MX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14" name="CuadroTexto 13">
              <a:extLst>
                <a:ext uri="{FF2B5EF4-FFF2-40B4-BE49-F238E27FC236}">
                  <a16:creationId xmlns:a16="http://schemas.microsoft.com/office/drawing/2014/main" id="{238EC5A3-263F-413F-9999-062030A63746}"/>
                </a:ext>
              </a:extLst>
            </xdr:cNvPr>
            <xdr:cNvSpPr txBox="1"/>
          </xdr:nvSpPr>
          <xdr:spPr>
            <a:xfrm>
              <a:off x="3280410" y="7738110"/>
              <a:ext cx="915635" cy="380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1100" b="1" i="0">
                  <a:latin typeface="Cambria Math" panose="02040503050406030204" pitchFamily="18" charset="0"/>
                </a:rPr>
                <a:t>𝐒</a:t>
              </a:r>
              <a:r>
                <a:rPr lang="es-MX" sz="1100" b="0" i="0">
                  <a:latin typeface="Cambria Math" panose="02040503050406030204" pitchFamily="18" charset="0"/>
                </a:rPr>
                <a:t>=(𝑎_𝑠/𝐴_𝑠 ) 𝐵_1=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17</xdr:col>
      <xdr:colOff>38326</xdr:colOff>
      <xdr:row>3</xdr:row>
      <xdr:rowOff>16141</xdr:rowOff>
    </xdr:from>
    <xdr:ext cx="108683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CuadroTexto 14">
              <a:extLst>
                <a:ext uri="{FF2B5EF4-FFF2-40B4-BE49-F238E27FC236}">
                  <a16:creationId xmlns:a16="http://schemas.microsoft.com/office/drawing/2014/main" id="{8EB76267-C9D5-4CA1-93F1-4974F693CBCD}"/>
                </a:ext>
              </a:extLst>
            </xdr:cNvPr>
            <xdr:cNvSpPr txBox="1"/>
          </xdr:nvSpPr>
          <xdr:spPr>
            <a:xfrm>
              <a:off x="6713446" y="564781"/>
              <a:ext cx="108683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MX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𝑉</m:t>
                        </m:r>
                      </m:e>
                      <m:sub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𝑢</m:t>
                        </m:r>
                      </m:sub>
                    </m:sSub>
                    <m:r>
                      <a:rPr lang="es-MX" sz="1100" b="0" i="1">
                        <a:latin typeface="Cambria Math" panose="02040503050406030204" pitchFamily="18" charset="0"/>
                      </a:rPr>
                      <m:t>=</m:t>
                    </m:r>
                    <m:d>
                      <m:d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𝐿</m:t>
                        </m:r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e>
                    </m:d>
                    <m:sSub>
                      <m:sSub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𝑞</m:t>
                        </m:r>
                      </m:e>
                      <m:sub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𝑢</m:t>
                        </m:r>
                      </m:sub>
                    </m:sSub>
                    <m:r>
                      <a:rPr lang="es-MX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15" name="CuadroTexto 14">
              <a:extLst>
                <a:ext uri="{FF2B5EF4-FFF2-40B4-BE49-F238E27FC236}">
                  <a16:creationId xmlns:a16="http://schemas.microsoft.com/office/drawing/2014/main" id="{8EB76267-C9D5-4CA1-93F1-4974F693CBCD}"/>
                </a:ext>
              </a:extLst>
            </xdr:cNvPr>
            <xdr:cNvSpPr txBox="1"/>
          </xdr:nvSpPr>
          <xdr:spPr>
            <a:xfrm>
              <a:off x="6713446" y="564781"/>
              <a:ext cx="108683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1100" b="0" i="0">
                  <a:latin typeface="Cambria Math" panose="02040503050406030204" pitchFamily="18" charset="0"/>
                </a:rPr>
                <a:t>𝑉_𝑢=(𝐿−𝑑) 𝑞_𝑢=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16</xdr:col>
      <xdr:colOff>435616</xdr:colOff>
      <xdr:row>4</xdr:row>
      <xdr:rowOff>181042</xdr:rowOff>
    </xdr:from>
    <xdr:ext cx="1234569" cy="2066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CuadroTexto 15">
              <a:extLst>
                <a:ext uri="{FF2B5EF4-FFF2-40B4-BE49-F238E27FC236}">
                  <a16:creationId xmlns:a16="http://schemas.microsoft.com/office/drawing/2014/main" id="{F53C34B2-DB99-41C4-A641-9AB33D539B48}"/>
                </a:ext>
              </a:extLst>
            </xdr:cNvPr>
            <xdr:cNvSpPr txBox="1"/>
          </xdr:nvSpPr>
          <xdr:spPr>
            <a:xfrm>
              <a:off x="6600196" y="912562"/>
              <a:ext cx="1234569" cy="2066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MX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𝑉</m:t>
                        </m:r>
                      </m:e>
                      <m:sub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𝑅</m:t>
                        </m:r>
                      </m:sub>
                    </m:sSub>
                    <m:r>
                      <a:rPr lang="es-MX" sz="1100" b="0" i="1">
                        <a:latin typeface="Cambria Math" panose="02040503050406030204" pitchFamily="18" charset="0"/>
                      </a:rPr>
                      <m:t>=0.5</m:t>
                    </m:r>
                    <m:sSub>
                      <m:sSub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𝑅</m:t>
                        </m:r>
                      </m:sub>
                    </m:sSub>
                    <m:rad>
                      <m:radPr>
                        <m:degHide m:val="on"/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bSup>
                          <m:sSubSupPr>
                            <m:ctrlPr>
                              <a:rPr lang="es-MX" sz="1100" b="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𝑓</m:t>
                            </m:r>
                          </m:e>
                          <m:sub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𝑐</m:t>
                            </m:r>
                          </m:sub>
                          <m:sup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′</m:t>
                            </m:r>
                          </m:sup>
                        </m:sSubSup>
                      </m:e>
                    </m:rad>
                    <m:r>
                      <a:rPr lang="es-MX" sz="1100" b="0" i="1">
                        <a:latin typeface="Cambria Math" panose="02040503050406030204" pitchFamily="18" charset="0"/>
                      </a:rPr>
                      <m:t>𝑏𝑑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16" name="CuadroTexto 15">
              <a:extLst>
                <a:ext uri="{FF2B5EF4-FFF2-40B4-BE49-F238E27FC236}">
                  <a16:creationId xmlns:a16="http://schemas.microsoft.com/office/drawing/2014/main" id="{F53C34B2-DB99-41C4-A641-9AB33D539B48}"/>
                </a:ext>
              </a:extLst>
            </xdr:cNvPr>
            <xdr:cNvSpPr txBox="1"/>
          </xdr:nvSpPr>
          <xdr:spPr>
            <a:xfrm>
              <a:off x="6600196" y="912562"/>
              <a:ext cx="1234569" cy="2066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1100" b="0" i="0">
                  <a:latin typeface="Cambria Math" panose="02040503050406030204" pitchFamily="18" charset="0"/>
                </a:rPr>
                <a:t>𝑉_𝑅=0.5𝐹_𝑅 √(𝑓_𝑐^′ ) 𝑏𝑑=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37</xdr:col>
      <xdr:colOff>448492</xdr:colOff>
      <xdr:row>3</xdr:row>
      <xdr:rowOff>3266</xdr:rowOff>
    </xdr:from>
    <xdr:ext cx="108683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9" name="CuadroTexto 28">
              <a:extLst>
                <a:ext uri="{FF2B5EF4-FFF2-40B4-BE49-F238E27FC236}">
                  <a16:creationId xmlns:a16="http://schemas.microsoft.com/office/drawing/2014/main" id="{ABAD2AFF-2330-4E73-BE22-066C7106624E}"/>
                </a:ext>
              </a:extLst>
            </xdr:cNvPr>
            <xdr:cNvSpPr txBox="1"/>
          </xdr:nvSpPr>
          <xdr:spPr>
            <a:xfrm>
              <a:off x="24512452" y="567146"/>
              <a:ext cx="108683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MX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𝑉</m:t>
                        </m:r>
                      </m:e>
                      <m:sub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𝑢</m:t>
                        </m:r>
                      </m:sub>
                    </m:sSub>
                    <m:r>
                      <a:rPr lang="es-MX" sz="1100" b="0" i="1">
                        <a:latin typeface="Cambria Math" panose="02040503050406030204" pitchFamily="18" charset="0"/>
                      </a:rPr>
                      <m:t>=</m:t>
                    </m:r>
                    <m:d>
                      <m:d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𝐿</m:t>
                        </m:r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e>
                    </m:d>
                    <m:sSub>
                      <m:sSub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𝑞</m:t>
                        </m:r>
                      </m:e>
                      <m:sub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𝑢</m:t>
                        </m:r>
                      </m:sub>
                    </m:sSub>
                    <m:r>
                      <a:rPr lang="es-MX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29" name="CuadroTexto 28">
              <a:extLst>
                <a:ext uri="{FF2B5EF4-FFF2-40B4-BE49-F238E27FC236}">
                  <a16:creationId xmlns:a16="http://schemas.microsoft.com/office/drawing/2014/main" id="{ABAD2AFF-2330-4E73-BE22-066C7106624E}"/>
                </a:ext>
              </a:extLst>
            </xdr:cNvPr>
            <xdr:cNvSpPr txBox="1"/>
          </xdr:nvSpPr>
          <xdr:spPr>
            <a:xfrm>
              <a:off x="24512452" y="567146"/>
              <a:ext cx="108683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1100" b="0" i="0">
                  <a:latin typeface="Cambria Math" panose="02040503050406030204" pitchFamily="18" charset="0"/>
                </a:rPr>
                <a:t>𝑉_𝑢=(𝐿−𝑑) 𝑞_𝑢=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37</xdr:col>
      <xdr:colOff>318952</xdr:colOff>
      <xdr:row>4</xdr:row>
      <xdr:rowOff>190501</xdr:rowOff>
    </xdr:from>
    <xdr:ext cx="1234569" cy="2066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0" name="CuadroTexto 29">
              <a:extLst>
                <a:ext uri="{FF2B5EF4-FFF2-40B4-BE49-F238E27FC236}">
                  <a16:creationId xmlns:a16="http://schemas.microsoft.com/office/drawing/2014/main" id="{EB532120-BB71-4E4F-9ADB-AC2E4F4867AA}"/>
                </a:ext>
              </a:extLst>
            </xdr:cNvPr>
            <xdr:cNvSpPr txBox="1"/>
          </xdr:nvSpPr>
          <xdr:spPr>
            <a:xfrm>
              <a:off x="24382912" y="937261"/>
              <a:ext cx="1234569" cy="2066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MX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𝑉</m:t>
                        </m:r>
                      </m:e>
                      <m:sub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𝑅</m:t>
                        </m:r>
                      </m:sub>
                    </m:sSub>
                    <m:r>
                      <a:rPr lang="es-MX" sz="1100" b="0" i="1">
                        <a:latin typeface="Cambria Math" panose="02040503050406030204" pitchFamily="18" charset="0"/>
                      </a:rPr>
                      <m:t>=0.5</m:t>
                    </m:r>
                    <m:sSub>
                      <m:sSub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𝑅</m:t>
                        </m:r>
                      </m:sub>
                    </m:sSub>
                    <m:rad>
                      <m:radPr>
                        <m:degHide m:val="on"/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bSup>
                          <m:sSubSupPr>
                            <m:ctrlPr>
                              <a:rPr lang="es-MX" sz="1100" b="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𝑓</m:t>
                            </m:r>
                          </m:e>
                          <m:sub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𝑐</m:t>
                            </m:r>
                          </m:sub>
                          <m:sup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′</m:t>
                            </m:r>
                          </m:sup>
                        </m:sSubSup>
                      </m:e>
                    </m:rad>
                    <m:r>
                      <a:rPr lang="es-MX" sz="1100" b="0" i="1">
                        <a:latin typeface="Cambria Math" panose="02040503050406030204" pitchFamily="18" charset="0"/>
                      </a:rPr>
                      <m:t>𝑏𝑑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30" name="CuadroTexto 29">
              <a:extLst>
                <a:ext uri="{FF2B5EF4-FFF2-40B4-BE49-F238E27FC236}">
                  <a16:creationId xmlns:a16="http://schemas.microsoft.com/office/drawing/2014/main" id="{EB532120-BB71-4E4F-9ADB-AC2E4F4867AA}"/>
                </a:ext>
              </a:extLst>
            </xdr:cNvPr>
            <xdr:cNvSpPr txBox="1"/>
          </xdr:nvSpPr>
          <xdr:spPr>
            <a:xfrm>
              <a:off x="24382912" y="937261"/>
              <a:ext cx="1234569" cy="2066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1100" b="0" i="0">
                  <a:latin typeface="Cambria Math" panose="02040503050406030204" pitchFamily="18" charset="0"/>
                </a:rPr>
                <a:t>𝑉_𝑅=0.5𝐹_𝑅 √(𝑓_𝑐^′ ) 𝑏𝑑=</a:t>
              </a:r>
              <a:endParaRPr lang="es-MX" sz="1100"/>
            </a:p>
          </xdr:txBody>
        </xdr:sp>
      </mc:Fallback>
    </mc:AlternateContent>
    <xdr:clientData/>
  </xdr:oneCellAnchor>
  <xdr:twoCellAnchor editAs="oneCell">
    <xdr:from>
      <xdr:col>18</xdr:col>
      <xdr:colOff>248247</xdr:colOff>
      <xdr:row>7</xdr:row>
      <xdr:rowOff>71045</xdr:rowOff>
    </xdr:from>
    <xdr:to>
      <xdr:col>26</xdr:col>
      <xdr:colOff>384611</xdr:colOff>
      <xdr:row>19</xdr:row>
      <xdr:rowOff>13314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EF045D23-2EC9-494A-9B7B-DD0A53F23A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3478" b="97246" l="3132" r="98658">
                      <a14:foregroundMark x1="3729" y1="83768" x2="19687" y2="67101"/>
                      <a14:foregroundMark x1="21253" y1="63623" x2="26771" y2="57971"/>
                      <a14:foregroundMark x1="3281" y1="96812" x2="9993" y2="95072"/>
                      <a14:foregroundMark x1="3132" y1="84928" x2="4176" y2="95942"/>
                      <a14:foregroundMark x1="27666" y1="48116" x2="67636" y2="10145"/>
                      <a14:foregroundMark x1="67636" y1="10145" x2="69799" y2="5797"/>
                      <a14:foregroundMark x1="71216" y1="13188" x2="49441" y2="50725"/>
                      <a14:foregroundMark x1="49441" y1="50725" x2="38926" y2="63623"/>
                      <a14:foregroundMark x1="79344" y1="48406" x2="46309" y2="77391"/>
                      <a14:foregroundMark x1="91723" y1="54493" x2="64579" y2="75507"/>
                      <a14:foregroundMark x1="64579" y1="75507" x2="76435" y2="70435"/>
                      <a14:foregroundMark x1="76435" y1="70435" x2="77330" y2="69130"/>
                      <a14:foregroundMark x1="95302" y1="41159" x2="95302" y2="41159"/>
                      <a14:foregroundMark x1="58240" y1="95942" x2="58240" y2="95942"/>
                      <a14:foregroundMark x1="19985" y1="64348" x2="19985" y2="64348"/>
                      <a14:foregroundMark x1="19985" y1="64638" x2="13721" y2="71884"/>
                      <a14:foregroundMark x1="5295" y1="97536" x2="15809" y2="95942"/>
                      <a14:foregroundMark x1="15809" y1="95942" x2="16107" y2="95942"/>
                      <a14:foregroundMark x1="60104" y1="95072" x2="69575" y2="84638"/>
                      <a14:foregroundMark x1="69575" y1="84638" x2="69724" y2="84638"/>
                      <a14:foregroundMark x1="65101" y1="89275" x2="69799" y2="84203"/>
                      <a14:foregroundMark x1="98509" y1="39275" x2="98732" y2="51304"/>
                      <a14:foregroundMark x1="75466" y1="3478" x2="75541" y2="37246"/>
                      <a14:foregroundMark x1="71066" y1="82754" x2="76585" y2="76667"/>
                      <a14:foregroundMark x1="75541" y1="31304" x2="75541" y2="31304"/>
                      <a14:foregroundMark x1="75615" y1="21594" x2="75541" y2="23623"/>
                      <a14:foregroundMark x1="75466" y1="24203" x2="75466" y2="27536"/>
                      <a14:foregroundMark x1="75466" y1="28406" x2="75615" y2="36667"/>
                    </a14:backgroundRemoval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7769187" y="1876985"/>
          <a:ext cx="4228304" cy="2174929"/>
        </a:xfrm>
        <a:prstGeom prst="rect">
          <a:avLst/>
        </a:prstGeom>
      </xdr:spPr>
    </xdr:pic>
    <xdr:clientData/>
  </xdr:twoCellAnchor>
  <xdr:twoCellAnchor editAs="oneCell">
    <xdr:from>
      <xdr:col>39</xdr:col>
      <xdr:colOff>191215</xdr:colOff>
      <xdr:row>9</xdr:row>
      <xdr:rowOff>13170</xdr:rowOff>
    </xdr:from>
    <xdr:to>
      <xdr:col>46</xdr:col>
      <xdr:colOff>533108</xdr:colOff>
      <xdr:row>23</xdr:row>
      <xdr:rowOff>51805</xdr:rowOff>
    </xdr:to>
    <xdr:pic>
      <xdr:nvPicPr>
        <xdr:cNvPr id="31" name="Imagen 30">
          <a:extLst>
            <a:ext uri="{FF2B5EF4-FFF2-40B4-BE49-F238E27FC236}">
              <a16:creationId xmlns:a16="http://schemas.microsoft.com/office/drawing/2014/main" id="{6D98B954-956D-463C-BF28-A73FB38A7B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2198" b="93773" l="6475" r="96523">
                      <a14:foregroundMark x1="6715" y1="45421" x2="6595" y2="47070"/>
                      <a14:foregroundMark x1="6475" y1="47070" x2="7194" y2="54762"/>
                      <a14:foregroundMark x1="6835" y1="49084" x2="8153" y2="83150"/>
                      <a14:foregroundMark x1="7554" y1="48901" x2="15707" y2="48901"/>
                      <a14:foregroundMark x1="47362" y1="93407" x2="55875" y2="85531"/>
                      <a14:foregroundMark x1="56355" y1="85348" x2="67746" y2="75092"/>
                      <a14:foregroundMark x1="67746" y1="75092" x2="67746" y2="75092"/>
                      <a14:foregroundMark x1="48441" y1="90293" x2="59832" y2="81136"/>
                      <a14:foregroundMark x1="68705" y1="74359" x2="80096" y2="64469"/>
                      <a14:foregroundMark x1="80096" y1="64469" x2="80336" y2="63919"/>
                      <a14:foregroundMark x1="82494" y1="62454" x2="91607" y2="54396"/>
                      <a14:foregroundMark x1="93285" y1="52930" x2="96283" y2="38095"/>
                      <a14:foregroundMark x1="95444" y1="51099" x2="90288" y2="55311"/>
                      <a14:foregroundMark x1="90528" y1="55861" x2="82974" y2="61355"/>
                      <a14:foregroundMark x1="83213" y1="61905" x2="77698" y2="66484"/>
                      <a14:foregroundMark x1="78058" y1="66484" x2="71703" y2="71612"/>
                      <a14:foregroundMark x1="72422" y1="71795" x2="64988" y2="77473"/>
                      <a14:foregroundMark x1="65348" y1="77839" x2="58873" y2="84432"/>
                      <a14:foregroundMark x1="58873" y1="83150" x2="54556" y2="87546"/>
                      <a14:foregroundMark x1="55156" y1="86996" x2="48921" y2="92857"/>
                      <a14:foregroundMark x1="49400" y1="91026" x2="45683" y2="94139"/>
                      <a14:foregroundMark x1="49880" y1="91758" x2="46882" y2="94139"/>
                      <a14:foregroundMark x1="45803" y1="86813" x2="16787" y2="85897"/>
                      <a14:foregroundMark x1="96523" y1="36996" x2="96283" y2="51648"/>
                      <a14:foregroundMark x1="96043" y1="37729" x2="87170" y2="37546"/>
                      <a14:foregroundMark x1="88729" y1="36996" x2="82014" y2="36813"/>
                      <a14:foregroundMark x1="81295" y1="37363" x2="67746" y2="36996"/>
                      <a14:foregroundMark x1="94125" y1="37179" x2="72542" y2="36996"/>
                      <a14:foregroundMark x1="88129" y1="39560" x2="79496" y2="44505"/>
                      <a14:foregroundMark x1="81894" y1="39927" x2="70624" y2="36447"/>
                      <a14:foregroundMark x1="72662" y1="36264" x2="67506" y2="36813"/>
                      <a14:foregroundMark x1="73501" y1="38462" x2="66427" y2="36813"/>
                      <a14:foregroundMark x1="82734" y1="37179" x2="71463" y2="37363"/>
                      <a14:foregroundMark x1="75060" y1="36630" x2="82254" y2="37179"/>
                      <a14:foregroundMark x1="85492" y1="37179" x2="96283" y2="37729"/>
                      <a14:foregroundMark x1="85612" y1="36996" x2="81655" y2="36813"/>
                      <a14:foregroundMark x1="84053" y1="37179" x2="81295" y2="36264"/>
                      <a14:foregroundMark x1="85012" y1="37546" x2="82374" y2="37179"/>
                      <a14:foregroundMark x1="67866" y1="35714" x2="66547" y2="16484"/>
                      <a14:foregroundMark x1="67746" y1="16667" x2="67626" y2="2198"/>
                      <a14:foregroundMark x1="66787" y1="3846" x2="66787" y2="21612"/>
                      <a14:foregroundMark x1="67386" y1="13370" x2="67866" y2="30586"/>
                      <a14:foregroundMark x1="66906" y1="20147" x2="69664" y2="41026"/>
                      <a14:foregroundMark x1="65947" y1="17582" x2="66667" y2="39560"/>
                      <a14:foregroundMark x1="64388" y1="3480" x2="55635" y2="2381"/>
                      <a14:foregroundMark x1="54676" y1="15201" x2="48201" y2="26007"/>
                    </a14:backgroundRemoval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7712155" y="10589730"/>
          <a:ext cx="3922204" cy="2568969"/>
        </a:xfrm>
        <a:prstGeom prst="rect">
          <a:avLst/>
        </a:prstGeom>
      </xdr:spPr>
    </xdr:pic>
    <xdr:clientData/>
  </xdr:twoCellAnchor>
  <xdr:twoCellAnchor>
    <xdr:from>
      <xdr:col>20</xdr:col>
      <xdr:colOff>275617</xdr:colOff>
      <xdr:row>10</xdr:row>
      <xdr:rowOff>12970</xdr:rowOff>
    </xdr:from>
    <xdr:to>
      <xdr:col>21</xdr:col>
      <xdr:colOff>324256</xdr:colOff>
      <xdr:row>13</xdr:row>
      <xdr:rowOff>41229</xdr:rowOff>
    </xdr:to>
    <xdr:grpSp>
      <xdr:nvGrpSpPr>
        <xdr:cNvPr id="50" name="Grupo 49">
          <a:extLst>
            <a:ext uri="{FF2B5EF4-FFF2-40B4-BE49-F238E27FC236}">
              <a16:creationId xmlns:a16="http://schemas.microsoft.com/office/drawing/2014/main" id="{775CF02E-2D45-484C-AD00-1AD253FBA2FE}"/>
            </a:ext>
          </a:extLst>
        </xdr:cNvPr>
        <xdr:cNvGrpSpPr/>
      </xdr:nvGrpSpPr>
      <xdr:grpSpPr>
        <a:xfrm>
          <a:off x="13648717" y="2146570"/>
          <a:ext cx="382014" cy="542609"/>
          <a:chOff x="8114748" y="2342321"/>
          <a:chExt cx="373270" cy="387232"/>
        </a:xfrm>
      </xdr:grpSpPr>
      <xdr:cxnSp macro="">
        <xdr:nvCxnSpPr>
          <xdr:cNvPr id="33" name="Conector recto de flecha 32">
            <a:extLst>
              <a:ext uri="{FF2B5EF4-FFF2-40B4-BE49-F238E27FC236}">
                <a16:creationId xmlns:a16="http://schemas.microsoft.com/office/drawing/2014/main" id="{32057A0B-22DF-4720-8F07-D716DC1610B5}"/>
              </a:ext>
            </a:extLst>
          </xdr:cNvPr>
          <xdr:cNvCxnSpPr/>
        </xdr:nvCxnSpPr>
        <xdr:spPr>
          <a:xfrm>
            <a:off x="8114748" y="2416730"/>
            <a:ext cx="373270" cy="1792"/>
          </a:xfrm>
          <a:prstGeom prst="straightConnector1">
            <a:avLst/>
          </a:prstGeom>
          <a:ln>
            <a:headEnd type="triangle"/>
            <a:tailEnd type="triangle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5" name="Conector recto 34">
            <a:extLst>
              <a:ext uri="{FF2B5EF4-FFF2-40B4-BE49-F238E27FC236}">
                <a16:creationId xmlns:a16="http://schemas.microsoft.com/office/drawing/2014/main" id="{908CEF3A-3646-491B-B28B-CE9C41072FAC}"/>
              </a:ext>
            </a:extLst>
          </xdr:cNvPr>
          <xdr:cNvCxnSpPr/>
        </xdr:nvCxnSpPr>
        <xdr:spPr>
          <a:xfrm flipH="1" flipV="1">
            <a:off x="8129446" y="2350994"/>
            <a:ext cx="763" cy="375641"/>
          </a:xfrm>
          <a:prstGeom prst="line">
            <a:avLst/>
          </a:prstGeom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7" name="Conector recto 36">
            <a:extLst>
              <a:ext uri="{FF2B5EF4-FFF2-40B4-BE49-F238E27FC236}">
                <a16:creationId xmlns:a16="http://schemas.microsoft.com/office/drawing/2014/main" id="{046609E1-D530-4621-96DB-991EE6EAF603}"/>
              </a:ext>
            </a:extLst>
          </xdr:cNvPr>
          <xdr:cNvCxnSpPr/>
        </xdr:nvCxnSpPr>
        <xdr:spPr>
          <a:xfrm flipH="1" flipV="1">
            <a:off x="8481391" y="2342321"/>
            <a:ext cx="3631" cy="387232"/>
          </a:xfrm>
          <a:prstGeom prst="line">
            <a:avLst/>
          </a:prstGeom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18</xdr:col>
      <xdr:colOff>225674</xdr:colOff>
      <xdr:row>17</xdr:row>
      <xdr:rowOff>132836</xdr:rowOff>
    </xdr:from>
    <xdr:to>
      <xdr:col>19</xdr:col>
      <xdr:colOff>3638</xdr:colOff>
      <xdr:row>19</xdr:row>
      <xdr:rowOff>33454</xdr:rowOff>
    </xdr:to>
    <xdr:grpSp>
      <xdr:nvGrpSpPr>
        <xdr:cNvPr id="58" name="Grupo 57">
          <a:extLst>
            <a:ext uri="{FF2B5EF4-FFF2-40B4-BE49-F238E27FC236}">
              <a16:creationId xmlns:a16="http://schemas.microsoft.com/office/drawing/2014/main" id="{8F5210CC-EDC2-492B-83AC-29C4F934229B}"/>
            </a:ext>
          </a:extLst>
        </xdr:cNvPr>
        <xdr:cNvGrpSpPr/>
      </xdr:nvGrpSpPr>
      <xdr:grpSpPr>
        <a:xfrm>
          <a:off x="12608174" y="3618986"/>
          <a:ext cx="273264" cy="281618"/>
          <a:chOff x="6625389" y="3621505"/>
          <a:chExt cx="549443" cy="256674"/>
        </a:xfrm>
      </xdr:grpSpPr>
      <xdr:cxnSp macro="">
        <xdr:nvCxnSpPr>
          <xdr:cNvPr id="52" name="Conector recto 51">
            <a:extLst>
              <a:ext uri="{FF2B5EF4-FFF2-40B4-BE49-F238E27FC236}">
                <a16:creationId xmlns:a16="http://schemas.microsoft.com/office/drawing/2014/main" id="{D21CF4AB-09CB-4741-82E7-8F56164EE0EA}"/>
              </a:ext>
            </a:extLst>
          </xdr:cNvPr>
          <xdr:cNvCxnSpPr/>
        </xdr:nvCxnSpPr>
        <xdr:spPr>
          <a:xfrm flipH="1" flipV="1">
            <a:off x="6633411" y="3621505"/>
            <a:ext cx="541421" cy="4011"/>
          </a:xfrm>
          <a:prstGeom prst="line">
            <a:avLst/>
          </a:prstGeom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3" name="Conector recto 52">
            <a:extLst>
              <a:ext uri="{FF2B5EF4-FFF2-40B4-BE49-F238E27FC236}">
                <a16:creationId xmlns:a16="http://schemas.microsoft.com/office/drawing/2014/main" id="{F014B0A7-410F-472B-8118-788AF1843C6A}"/>
              </a:ext>
            </a:extLst>
          </xdr:cNvPr>
          <xdr:cNvCxnSpPr/>
        </xdr:nvCxnSpPr>
        <xdr:spPr>
          <a:xfrm flipH="1" flipV="1">
            <a:off x="6625389" y="3862137"/>
            <a:ext cx="541421" cy="4011"/>
          </a:xfrm>
          <a:prstGeom prst="line">
            <a:avLst/>
          </a:prstGeom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5" name="Conector recto de flecha 54">
            <a:extLst>
              <a:ext uri="{FF2B5EF4-FFF2-40B4-BE49-F238E27FC236}">
                <a16:creationId xmlns:a16="http://schemas.microsoft.com/office/drawing/2014/main" id="{515855BD-834F-487D-AD41-499A45D4B34C}"/>
              </a:ext>
            </a:extLst>
          </xdr:cNvPr>
          <xdr:cNvCxnSpPr/>
        </xdr:nvCxnSpPr>
        <xdr:spPr>
          <a:xfrm>
            <a:off x="6749716" y="3625516"/>
            <a:ext cx="4010" cy="252663"/>
          </a:xfrm>
          <a:prstGeom prst="straightConnector1">
            <a:avLst/>
          </a:prstGeom>
          <a:ln>
            <a:headEnd type="triangle"/>
            <a:tailEnd type="triangle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23</xdr:col>
      <xdr:colOff>156692</xdr:colOff>
      <xdr:row>17</xdr:row>
      <xdr:rowOff>125617</xdr:rowOff>
    </xdr:from>
    <xdr:to>
      <xdr:col>24</xdr:col>
      <xdr:colOff>385009</xdr:colOff>
      <xdr:row>19</xdr:row>
      <xdr:rowOff>64169</xdr:rowOff>
    </xdr:to>
    <xdr:grpSp>
      <xdr:nvGrpSpPr>
        <xdr:cNvPr id="59" name="Grupo 58">
          <a:extLst>
            <a:ext uri="{FF2B5EF4-FFF2-40B4-BE49-F238E27FC236}">
              <a16:creationId xmlns:a16="http://schemas.microsoft.com/office/drawing/2014/main" id="{704FF863-7BE7-40E3-921B-F660D6361194}"/>
            </a:ext>
          </a:extLst>
        </xdr:cNvPr>
        <xdr:cNvGrpSpPr/>
      </xdr:nvGrpSpPr>
      <xdr:grpSpPr>
        <a:xfrm rot="10800000">
          <a:off x="14853767" y="3611767"/>
          <a:ext cx="723617" cy="319552"/>
          <a:chOff x="6625389" y="3621505"/>
          <a:chExt cx="549443" cy="256674"/>
        </a:xfrm>
      </xdr:grpSpPr>
      <xdr:cxnSp macro="">
        <xdr:nvCxnSpPr>
          <xdr:cNvPr id="60" name="Conector recto 59">
            <a:extLst>
              <a:ext uri="{FF2B5EF4-FFF2-40B4-BE49-F238E27FC236}">
                <a16:creationId xmlns:a16="http://schemas.microsoft.com/office/drawing/2014/main" id="{3F951527-8B69-4518-88B9-18175E93B43C}"/>
              </a:ext>
            </a:extLst>
          </xdr:cNvPr>
          <xdr:cNvCxnSpPr/>
        </xdr:nvCxnSpPr>
        <xdr:spPr>
          <a:xfrm flipH="1" flipV="1">
            <a:off x="6633411" y="3621505"/>
            <a:ext cx="541421" cy="4011"/>
          </a:xfrm>
          <a:prstGeom prst="line">
            <a:avLst/>
          </a:prstGeom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1" name="Conector recto 60">
            <a:extLst>
              <a:ext uri="{FF2B5EF4-FFF2-40B4-BE49-F238E27FC236}">
                <a16:creationId xmlns:a16="http://schemas.microsoft.com/office/drawing/2014/main" id="{C9653F97-5CC2-41B1-B9A0-A9C671270D48}"/>
              </a:ext>
            </a:extLst>
          </xdr:cNvPr>
          <xdr:cNvCxnSpPr/>
        </xdr:nvCxnSpPr>
        <xdr:spPr>
          <a:xfrm flipH="1" flipV="1">
            <a:off x="6625389" y="3862137"/>
            <a:ext cx="541421" cy="4011"/>
          </a:xfrm>
          <a:prstGeom prst="line">
            <a:avLst/>
          </a:prstGeom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2" name="Conector recto de flecha 61">
            <a:extLst>
              <a:ext uri="{FF2B5EF4-FFF2-40B4-BE49-F238E27FC236}">
                <a16:creationId xmlns:a16="http://schemas.microsoft.com/office/drawing/2014/main" id="{436FEB0C-A6E3-4C47-856C-5C0D3BD5CD9B}"/>
              </a:ext>
            </a:extLst>
          </xdr:cNvPr>
          <xdr:cNvCxnSpPr/>
        </xdr:nvCxnSpPr>
        <xdr:spPr>
          <a:xfrm>
            <a:off x="6749716" y="3625516"/>
            <a:ext cx="4010" cy="252663"/>
          </a:xfrm>
          <a:prstGeom prst="straightConnector1">
            <a:avLst/>
          </a:prstGeom>
          <a:ln>
            <a:headEnd type="triangle"/>
            <a:tailEnd type="triangle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23</xdr:col>
      <xdr:colOff>230038</xdr:colOff>
      <xdr:row>10</xdr:row>
      <xdr:rowOff>104721</xdr:rowOff>
    </xdr:from>
    <xdr:to>
      <xdr:col>26</xdr:col>
      <xdr:colOff>330879</xdr:colOff>
      <xdr:row>18</xdr:row>
      <xdr:rowOff>152400</xdr:rowOff>
    </xdr:to>
    <xdr:grpSp>
      <xdr:nvGrpSpPr>
        <xdr:cNvPr id="78" name="Grupo 77">
          <a:extLst>
            <a:ext uri="{FF2B5EF4-FFF2-40B4-BE49-F238E27FC236}">
              <a16:creationId xmlns:a16="http://schemas.microsoft.com/office/drawing/2014/main" id="{69C07B25-60A9-4650-8FD4-AE33F729A794}"/>
            </a:ext>
          </a:extLst>
        </xdr:cNvPr>
        <xdr:cNvGrpSpPr/>
      </xdr:nvGrpSpPr>
      <xdr:grpSpPr>
        <a:xfrm>
          <a:off x="14927113" y="2238321"/>
          <a:ext cx="1586741" cy="1590729"/>
          <a:chOff x="10242718" y="2466921"/>
          <a:chExt cx="1701041" cy="1426899"/>
        </a:xfrm>
      </xdr:grpSpPr>
      <xdr:grpSp>
        <xdr:nvGrpSpPr>
          <xdr:cNvPr id="77" name="Grupo 76">
            <a:extLst>
              <a:ext uri="{FF2B5EF4-FFF2-40B4-BE49-F238E27FC236}">
                <a16:creationId xmlns:a16="http://schemas.microsoft.com/office/drawing/2014/main" id="{7CABDD84-632B-4A9D-B350-670F226DF344}"/>
              </a:ext>
            </a:extLst>
          </xdr:cNvPr>
          <xdr:cNvGrpSpPr/>
        </xdr:nvGrpSpPr>
        <xdr:grpSpPr>
          <a:xfrm>
            <a:off x="10242718" y="2466921"/>
            <a:ext cx="1701041" cy="1426899"/>
            <a:chOff x="10242718" y="2466921"/>
            <a:chExt cx="1701041" cy="1426899"/>
          </a:xfrm>
        </xdr:grpSpPr>
        <xdr:cxnSp macro="">
          <xdr:nvCxnSpPr>
            <xdr:cNvPr id="64" name="Conector recto 63">
              <a:extLst>
                <a:ext uri="{FF2B5EF4-FFF2-40B4-BE49-F238E27FC236}">
                  <a16:creationId xmlns:a16="http://schemas.microsoft.com/office/drawing/2014/main" id="{71E35383-2D43-4E78-866A-46300EAD714C}"/>
                </a:ext>
              </a:extLst>
            </xdr:cNvPr>
            <xdr:cNvCxnSpPr/>
          </xdr:nvCxnSpPr>
          <xdr:spPr>
            <a:xfrm flipH="1">
              <a:off x="10242718" y="3433080"/>
              <a:ext cx="5950" cy="460740"/>
            </a:xfrm>
            <a:prstGeom prst="line">
              <a:avLst/>
            </a:prstGeom>
          </xdr:spPr>
          <xdr:style>
            <a:lnRef idx="2">
              <a:schemeClr val="accent1"/>
            </a:lnRef>
            <a:fillRef idx="0">
              <a:schemeClr val="accent1"/>
            </a:fillRef>
            <a:effectRef idx="1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8" name="Conector recto de flecha 67">
              <a:extLst>
                <a:ext uri="{FF2B5EF4-FFF2-40B4-BE49-F238E27FC236}">
                  <a16:creationId xmlns:a16="http://schemas.microsoft.com/office/drawing/2014/main" id="{D34DFBEE-431A-4B44-A450-7A636E791E92}"/>
                </a:ext>
              </a:extLst>
            </xdr:cNvPr>
            <xdr:cNvCxnSpPr/>
          </xdr:nvCxnSpPr>
          <xdr:spPr>
            <a:xfrm flipV="1">
              <a:off x="10248469" y="2489728"/>
              <a:ext cx="1695091" cy="979385"/>
            </a:xfrm>
            <a:prstGeom prst="straightConnector1">
              <a:avLst/>
            </a:prstGeom>
            <a:ln>
              <a:headEnd type="triangle"/>
              <a:tailEnd type="triangle"/>
            </a:ln>
          </xdr:spPr>
          <xdr:style>
            <a:lnRef idx="2">
              <a:schemeClr val="accent1"/>
            </a:lnRef>
            <a:fillRef idx="0">
              <a:schemeClr val="accent1"/>
            </a:fillRef>
            <a:effectRef idx="1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3" name="Conector recto 72">
              <a:extLst>
                <a:ext uri="{FF2B5EF4-FFF2-40B4-BE49-F238E27FC236}">
                  <a16:creationId xmlns:a16="http://schemas.microsoft.com/office/drawing/2014/main" id="{7FEBC2E1-86EB-4FD9-A5FA-745453F5569D}"/>
                </a:ext>
              </a:extLst>
            </xdr:cNvPr>
            <xdr:cNvCxnSpPr/>
          </xdr:nvCxnSpPr>
          <xdr:spPr>
            <a:xfrm flipH="1">
              <a:off x="11937809" y="2466921"/>
              <a:ext cx="5950" cy="459302"/>
            </a:xfrm>
            <a:prstGeom prst="line">
              <a:avLst/>
            </a:prstGeom>
          </xdr:spPr>
          <xdr:style>
            <a:lnRef idx="2">
              <a:schemeClr val="accent1"/>
            </a:lnRef>
            <a:fillRef idx="0">
              <a:schemeClr val="accent1"/>
            </a:fillRef>
            <a:effectRef idx="1">
              <a:schemeClr val="accent1"/>
            </a:effectRef>
            <a:fontRef idx="minor">
              <a:schemeClr val="tx1"/>
            </a:fontRef>
          </xdr:style>
        </xdr:cxnSp>
      </xdr:grpSp>
      <mc:AlternateContent xmlns:mc="http://schemas.openxmlformats.org/markup-compatibility/2006" xmlns:a14="http://schemas.microsoft.com/office/drawing/2010/main">
        <mc:Choice Requires="a14">
          <xdr:sp macro="" textlink="">
            <xdr:nvSpPr>
              <xdr:cNvPr id="76" name="CuadroTexto 75">
                <a:extLst>
                  <a:ext uri="{FF2B5EF4-FFF2-40B4-BE49-F238E27FC236}">
                    <a16:creationId xmlns:a16="http://schemas.microsoft.com/office/drawing/2014/main" id="{DB8DCB1B-C54E-41A7-95E0-27A6F16AF4A9}"/>
                  </a:ext>
                </a:extLst>
              </xdr:cNvPr>
              <xdr:cNvSpPr txBox="1"/>
            </xdr:nvSpPr>
            <xdr:spPr>
              <a:xfrm>
                <a:off x="10386779" y="3087681"/>
                <a:ext cx="700320" cy="172227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0" tIns="0" rIns="0" bIns="0" rtlCol="0" anchor="t">
                <a:spAutoFit/>
              </a:bodyPr>
              <a:lstStyle/>
              <a:p>
                <a:r>
                  <a:rPr lang="es-MX" sz="1100" b="1" i="0">
                    <a:latin typeface="+mn-lt"/>
                  </a:rPr>
                  <a:t>b</a:t>
                </a:r>
                <a14:m>
                  <m:oMath xmlns:m="http://schemas.openxmlformats.org/officeDocument/2006/math">
                    <m:r>
                      <a:rPr lang="es-MX" sz="1100" b="1" i="0">
                        <a:latin typeface="Cambria Math" panose="02040503050406030204" pitchFamily="18" charset="0"/>
                      </a:rPr>
                      <m:t>=</m:t>
                    </m:r>
                    <m:r>
                      <a:rPr lang="es-MX" sz="1100" b="1" i="0">
                        <a:latin typeface="Cambria Math" panose="02040503050406030204" pitchFamily="18" charset="0"/>
                      </a:rPr>
                      <m:t>𝟏𝟎𝟎</m:t>
                    </m:r>
                    <m:r>
                      <a:rPr lang="es-MX" sz="1100" b="1" i="0">
                        <a:latin typeface="Cambria Math" panose="02040503050406030204" pitchFamily="18" charset="0"/>
                      </a:rPr>
                      <m:t> </m:t>
                    </m:r>
                    <m:r>
                      <a:rPr lang="es-MX" sz="1100" b="1" i="0">
                        <a:latin typeface="Cambria Math" panose="02040503050406030204" pitchFamily="18" charset="0"/>
                      </a:rPr>
                      <m:t>𝐜𝐦</m:t>
                    </m:r>
                  </m:oMath>
                </a14:m>
                <a:endParaRPr lang="es-MX" sz="1100" b="1" i="0">
                  <a:latin typeface="+mn-lt"/>
                </a:endParaRPr>
              </a:p>
            </xdr:txBody>
          </xdr:sp>
        </mc:Choice>
        <mc:Fallback xmlns="">
          <xdr:sp macro="" textlink="">
            <xdr:nvSpPr>
              <xdr:cNvPr id="76" name="CuadroTexto 75">
                <a:extLst>
                  <a:ext uri="{FF2B5EF4-FFF2-40B4-BE49-F238E27FC236}">
                    <a16:creationId xmlns:a16="http://schemas.microsoft.com/office/drawing/2014/main" id="{DB8DCB1B-C54E-41A7-95E0-27A6F16AF4A9}"/>
                  </a:ext>
                </a:extLst>
              </xdr:cNvPr>
              <xdr:cNvSpPr txBox="1"/>
            </xdr:nvSpPr>
            <xdr:spPr>
              <a:xfrm>
                <a:off x="10386779" y="3087681"/>
                <a:ext cx="700320" cy="172227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0" tIns="0" rIns="0" bIns="0" rtlCol="0" anchor="t">
                <a:spAutoFit/>
              </a:bodyPr>
              <a:lstStyle/>
              <a:p>
                <a:r>
                  <a:rPr lang="es-MX" sz="1100" b="1" i="0">
                    <a:latin typeface="+mn-lt"/>
                  </a:rPr>
                  <a:t>b</a:t>
                </a:r>
                <a:r>
                  <a:rPr lang="es-MX" sz="1100" b="1" i="0">
                    <a:latin typeface="Cambria Math" panose="02040503050406030204" pitchFamily="18" charset="0"/>
                  </a:rPr>
                  <a:t>=𝟏𝟎𝟎 𝐜𝐦</a:t>
                </a:r>
                <a:endParaRPr lang="es-MX" sz="1100" b="1" i="0">
                  <a:latin typeface="+mn-lt"/>
                </a:endParaRPr>
              </a:p>
            </xdr:txBody>
          </xdr:sp>
        </mc:Fallback>
      </mc:AlternateContent>
    </xdr:grpSp>
    <xdr:clientData/>
  </xdr:twoCellAnchor>
  <xdr:twoCellAnchor>
    <xdr:from>
      <xdr:col>18</xdr:col>
      <xdr:colOff>361950</xdr:colOff>
      <xdr:row>19</xdr:row>
      <xdr:rowOff>19050</xdr:rowOff>
    </xdr:from>
    <xdr:to>
      <xdr:col>23</xdr:col>
      <xdr:colOff>233362</xdr:colOff>
      <xdr:row>21</xdr:row>
      <xdr:rowOff>42863</xdr:rowOff>
    </xdr:to>
    <xdr:grpSp>
      <xdr:nvGrpSpPr>
        <xdr:cNvPr id="89" name="Grupo 88">
          <a:extLst>
            <a:ext uri="{FF2B5EF4-FFF2-40B4-BE49-F238E27FC236}">
              <a16:creationId xmlns:a16="http://schemas.microsoft.com/office/drawing/2014/main" id="{DC5CEB87-F574-4EFE-BE50-8D09BFF1EAD2}"/>
            </a:ext>
          </a:extLst>
        </xdr:cNvPr>
        <xdr:cNvGrpSpPr/>
      </xdr:nvGrpSpPr>
      <xdr:grpSpPr>
        <a:xfrm>
          <a:off x="12744450" y="3886200"/>
          <a:ext cx="2185987" cy="319088"/>
          <a:chOff x="7889185" y="3981450"/>
          <a:chExt cx="2376073" cy="414752"/>
        </a:xfrm>
      </xdr:grpSpPr>
      <xdr:cxnSp macro="">
        <xdr:nvCxnSpPr>
          <xdr:cNvPr id="84" name="Conector recto 83">
            <a:extLst>
              <a:ext uri="{FF2B5EF4-FFF2-40B4-BE49-F238E27FC236}">
                <a16:creationId xmlns:a16="http://schemas.microsoft.com/office/drawing/2014/main" id="{C8274CEE-AB6B-495D-820F-AEFEB9EE5AB7}"/>
              </a:ext>
            </a:extLst>
          </xdr:cNvPr>
          <xdr:cNvCxnSpPr/>
        </xdr:nvCxnSpPr>
        <xdr:spPr>
          <a:xfrm>
            <a:off x="7908235" y="4014787"/>
            <a:ext cx="0" cy="381415"/>
          </a:xfrm>
          <a:prstGeom prst="line">
            <a:avLst/>
          </a:prstGeom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5" name="Conector recto 84">
            <a:extLst>
              <a:ext uri="{FF2B5EF4-FFF2-40B4-BE49-F238E27FC236}">
                <a16:creationId xmlns:a16="http://schemas.microsoft.com/office/drawing/2014/main" id="{A84DB0CC-6066-4E1A-A5A7-A86D778B9C26}"/>
              </a:ext>
            </a:extLst>
          </xdr:cNvPr>
          <xdr:cNvCxnSpPr/>
        </xdr:nvCxnSpPr>
        <xdr:spPr>
          <a:xfrm>
            <a:off x="10265258" y="3981450"/>
            <a:ext cx="0" cy="381415"/>
          </a:xfrm>
          <a:prstGeom prst="line">
            <a:avLst/>
          </a:prstGeom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7" name="Conector recto de flecha 86">
            <a:extLst>
              <a:ext uri="{FF2B5EF4-FFF2-40B4-BE49-F238E27FC236}">
                <a16:creationId xmlns:a16="http://schemas.microsoft.com/office/drawing/2014/main" id="{AADC8D79-FC3D-4401-A142-5D034524F216}"/>
              </a:ext>
            </a:extLst>
          </xdr:cNvPr>
          <xdr:cNvCxnSpPr/>
        </xdr:nvCxnSpPr>
        <xdr:spPr>
          <a:xfrm flipV="1">
            <a:off x="7889185" y="4353339"/>
            <a:ext cx="2371311" cy="1"/>
          </a:xfrm>
          <a:prstGeom prst="straightConnector1">
            <a:avLst/>
          </a:prstGeom>
          <a:ln>
            <a:headEnd type="triangle"/>
            <a:tailEnd type="triangle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18</xdr:col>
      <xdr:colOff>381634</xdr:colOff>
      <xdr:row>14</xdr:row>
      <xdr:rowOff>6343</xdr:rowOff>
    </xdr:from>
    <xdr:to>
      <xdr:col>20</xdr:col>
      <xdr:colOff>304800</xdr:colOff>
      <xdr:row>17</xdr:row>
      <xdr:rowOff>114115</xdr:rowOff>
    </xdr:to>
    <xdr:grpSp>
      <xdr:nvGrpSpPr>
        <xdr:cNvPr id="90" name="Grupo 89">
          <a:extLst>
            <a:ext uri="{FF2B5EF4-FFF2-40B4-BE49-F238E27FC236}">
              <a16:creationId xmlns:a16="http://schemas.microsoft.com/office/drawing/2014/main" id="{335E69BD-80B8-45A2-B5C0-893E7B62D3F2}"/>
            </a:ext>
          </a:extLst>
        </xdr:cNvPr>
        <xdr:cNvGrpSpPr/>
      </xdr:nvGrpSpPr>
      <xdr:grpSpPr>
        <a:xfrm>
          <a:off x="12764134" y="2873368"/>
          <a:ext cx="913766" cy="726897"/>
          <a:chOff x="8114748" y="2342321"/>
          <a:chExt cx="373270" cy="387232"/>
        </a:xfrm>
      </xdr:grpSpPr>
      <xdr:cxnSp macro="">
        <xdr:nvCxnSpPr>
          <xdr:cNvPr id="91" name="Conector recto de flecha 90">
            <a:extLst>
              <a:ext uri="{FF2B5EF4-FFF2-40B4-BE49-F238E27FC236}">
                <a16:creationId xmlns:a16="http://schemas.microsoft.com/office/drawing/2014/main" id="{5C94E564-2D1F-4FD0-AB05-00DC60D7F4B8}"/>
              </a:ext>
            </a:extLst>
          </xdr:cNvPr>
          <xdr:cNvCxnSpPr/>
        </xdr:nvCxnSpPr>
        <xdr:spPr>
          <a:xfrm>
            <a:off x="8114748" y="2416730"/>
            <a:ext cx="373270" cy="1792"/>
          </a:xfrm>
          <a:prstGeom prst="straightConnector1">
            <a:avLst/>
          </a:prstGeom>
          <a:ln>
            <a:headEnd type="triangle"/>
            <a:tailEnd type="triangle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2" name="Conector recto 91">
            <a:extLst>
              <a:ext uri="{FF2B5EF4-FFF2-40B4-BE49-F238E27FC236}">
                <a16:creationId xmlns:a16="http://schemas.microsoft.com/office/drawing/2014/main" id="{68D94FC6-1557-4B9E-82BD-34C11AC27DAE}"/>
              </a:ext>
            </a:extLst>
          </xdr:cNvPr>
          <xdr:cNvCxnSpPr/>
        </xdr:nvCxnSpPr>
        <xdr:spPr>
          <a:xfrm flipH="1" flipV="1">
            <a:off x="8129446" y="2350994"/>
            <a:ext cx="763" cy="375641"/>
          </a:xfrm>
          <a:prstGeom prst="line">
            <a:avLst/>
          </a:prstGeom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3" name="Conector recto 92">
            <a:extLst>
              <a:ext uri="{FF2B5EF4-FFF2-40B4-BE49-F238E27FC236}">
                <a16:creationId xmlns:a16="http://schemas.microsoft.com/office/drawing/2014/main" id="{B65F2118-3570-4540-BC08-EB1E499BD5E9}"/>
              </a:ext>
            </a:extLst>
          </xdr:cNvPr>
          <xdr:cNvCxnSpPr/>
        </xdr:nvCxnSpPr>
        <xdr:spPr>
          <a:xfrm flipH="1" flipV="1">
            <a:off x="8481391" y="2342321"/>
            <a:ext cx="3631" cy="387232"/>
          </a:xfrm>
          <a:prstGeom prst="line">
            <a:avLst/>
          </a:prstGeom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39</xdr:col>
      <xdr:colOff>424638</xdr:colOff>
      <xdr:row>12</xdr:row>
      <xdr:rowOff>132062</xdr:rowOff>
    </xdr:from>
    <xdr:to>
      <xdr:col>40</xdr:col>
      <xdr:colOff>367309</xdr:colOff>
      <xdr:row>15</xdr:row>
      <xdr:rowOff>160322</xdr:rowOff>
    </xdr:to>
    <xdr:grpSp>
      <xdr:nvGrpSpPr>
        <xdr:cNvPr id="94" name="Grupo 93">
          <a:extLst>
            <a:ext uri="{FF2B5EF4-FFF2-40B4-BE49-F238E27FC236}">
              <a16:creationId xmlns:a16="http://schemas.microsoft.com/office/drawing/2014/main" id="{D991F5EC-8771-468E-96EA-F59B1CF6FF08}"/>
            </a:ext>
          </a:extLst>
        </xdr:cNvPr>
        <xdr:cNvGrpSpPr/>
      </xdr:nvGrpSpPr>
      <xdr:grpSpPr>
        <a:xfrm>
          <a:off x="24799113" y="2589512"/>
          <a:ext cx="399871" cy="637860"/>
          <a:chOff x="8114748" y="2342321"/>
          <a:chExt cx="373270" cy="387232"/>
        </a:xfrm>
      </xdr:grpSpPr>
      <xdr:cxnSp macro="">
        <xdr:nvCxnSpPr>
          <xdr:cNvPr id="95" name="Conector recto de flecha 94">
            <a:extLst>
              <a:ext uri="{FF2B5EF4-FFF2-40B4-BE49-F238E27FC236}">
                <a16:creationId xmlns:a16="http://schemas.microsoft.com/office/drawing/2014/main" id="{DA941A9C-8139-4627-A450-68AE185ADFD5}"/>
              </a:ext>
            </a:extLst>
          </xdr:cNvPr>
          <xdr:cNvCxnSpPr/>
        </xdr:nvCxnSpPr>
        <xdr:spPr>
          <a:xfrm>
            <a:off x="8114748" y="2416730"/>
            <a:ext cx="373270" cy="1792"/>
          </a:xfrm>
          <a:prstGeom prst="straightConnector1">
            <a:avLst/>
          </a:prstGeom>
          <a:ln>
            <a:headEnd type="triangle"/>
            <a:tailEnd type="triangle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6" name="Conector recto 95">
            <a:extLst>
              <a:ext uri="{FF2B5EF4-FFF2-40B4-BE49-F238E27FC236}">
                <a16:creationId xmlns:a16="http://schemas.microsoft.com/office/drawing/2014/main" id="{8988DFCE-E0BD-405D-8BA8-5DE63480C0B9}"/>
              </a:ext>
            </a:extLst>
          </xdr:cNvPr>
          <xdr:cNvCxnSpPr/>
        </xdr:nvCxnSpPr>
        <xdr:spPr>
          <a:xfrm flipH="1" flipV="1">
            <a:off x="8129446" y="2350994"/>
            <a:ext cx="763" cy="375641"/>
          </a:xfrm>
          <a:prstGeom prst="line">
            <a:avLst/>
          </a:prstGeom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7" name="Conector recto 96">
            <a:extLst>
              <a:ext uri="{FF2B5EF4-FFF2-40B4-BE49-F238E27FC236}">
                <a16:creationId xmlns:a16="http://schemas.microsoft.com/office/drawing/2014/main" id="{CE891F4D-3A4E-4C61-84A4-6AD53515A1D6}"/>
              </a:ext>
            </a:extLst>
          </xdr:cNvPr>
          <xdr:cNvCxnSpPr/>
        </xdr:nvCxnSpPr>
        <xdr:spPr>
          <a:xfrm flipH="1" flipV="1">
            <a:off x="8481391" y="2342321"/>
            <a:ext cx="3631" cy="387232"/>
          </a:xfrm>
          <a:prstGeom prst="line">
            <a:avLst/>
          </a:prstGeom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39</xdr:col>
      <xdr:colOff>231888</xdr:colOff>
      <xdr:row>20</xdr:row>
      <xdr:rowOff>75345</xdr:rowOff>
    </xdr:from>
    <xdr:to>
      <xdr:col>40</xdr:col>
      <xdr:colOff>7993</xdr:colOff>
      <xdr:row>21</xdr:row>
      <xdr:rowOff>152311</xdr:rowOff>
    </xdr:to>
    <xdr:grpSp>
      <xdr:nvGrpSpPr>
        <xdr:cNvPr id="98" name="Grupo 97">
          <a:extLst>
            <a:ext uri="{FF2B5EF4-FFF2-40B4-BE49-F238E27FC236}">
              <a16:creationId xmlns:a16="http://schemas.microsoft.com/office/drawing/2014/main" id="{1619FF5F-DE7D-4059-83C0-AC45A3DEAD10}"/>
            </a:ext>
          </a:extLst>
        </xdr:cNvPr>
        <xdr:cNvGrpSpPr/>
      </xdr:nvGrpSpPr>
      <xdr:grpSpPr>
        <a:xfrm>
          <a:off x="24606363" y="4132995"/>
          <a:ext cx="271405" cy="181741"/>
          <a:chOff x="6625389" y="3621505"/>
          <a:chExt cx="549443" cy="256674"/>
        </a:xfrm>
      </xdr:grpSpPr>
      <xdr:cxnSp macro="">
        <xdr:nvCxnSpPr>
          <xdr:cNvPr id="99" name="Conector recto 98">
            <a:extLst>
              <a:ext uri="{FF2B5EF4-FFF2-40B4-BE49-F238E27FC236}">
                <a16:creationId xmlns:a16="http://schemas.microsoft.com/office/drawing/2014/main" id="{9A09720C-F844-4E49-8086-797E1AF5109E}"/>
              </a:ext>
            </a:extLst>
          </xdr:cNvPr>
          <xdr:cNvCxnSpPr/>
        </xdr:nvCxnSpPr>
        <xdr:spPr>
          <a:xfrm flipH="1" flipV="1">
            <a:off x="6633411" y="3621505"/>
            <a:ext cx="541421" cy="4011"/>
          </a:xfrm>
          <a:prstGeom prst="line">
            <a:avLst/>
          </a:prstGeom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0" name="Conector recto 99">
            <a:extLst>
              <a:ext uri="{FF2B5EF4-FFF2-40B4-BE49-F238E27FC236}">
                <a16:creationId xmlns:a16="http://schemas.microsoft.com/office/drawing/2014/main" id="{24F37D70-35D7-4F04-9132-A99CD5911832}"/>
              </a:ext>
            </a:extLst>
          </xdr:cNvPr>
          <xdr:cNvCxnSpPr/>
        </xdr:nvCxnSpPr>
        <xdr:spPr>
          <a:xfrm flipH="1" flipV="1">
            <a:off x="6625389" y="3862137"/>
            <a:ext cx="541421" cy="4011"/>
          </a:xfrm>
          <a:prstGeom prst="line">
            <a:avLst/>
          </a:prstGeom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1" name="Conector recto de flecha 100">
            <a:extLst>
              <a:ext uri="{FF2B5EF4-FFF2-40B4-BE49-F238E27FC236}">
                <a16:creationId xmlns:a16="http://schemas.microsoft.com/office/drawing/2014/main" id="{E1E88552-D31C-417F-AEC7-3D4DC739FD7D}"/>
              </a:ext>
            </a:extLst>
          </xdr:cNvPr>
          <xdr:cNvCxnSpPr/>
        </xdr:nvCxnSpPr>
        <xdr:spPr>
          <a:xfrm>
            <a:off x="6749716" y="3625516"/>
            <a:ext cx="4010" cy="252663"/>
          </a:xfrm>
          <a:prstGeom prst="straightConnector1">
            <a:avLst/>
          </a:prstGeom>
          <a:ln>
            <a:headEnd type="triangle"/>
            <a:tailEnd type="triangle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42</xdr:col>
      <xdr:colOff>508250</xdr:colOff>
      <xdr:row>20</xdr:row>
      <xdr:rowOff>35239</xdr:rowOff>
    </xdr:from>
    <xdr:to>
      <xdr:col>44</xdr:col>
      <xdr:colOff>210787</xdr:colOff>
      <xdr:row>22</xdr:row>
      <xdr:rowOff>5301</xdr:rowOff>
    </xdr:to>
    <xdr:grpSp>
      <xdr:nvGrpSpPr>
        <xdr:cNvPr id="102" name="Grupo 101">
          <a:extLst>
            <a:ext uri="{FF2B5EF4-FFF2-40B4-BE49-F238E27FC236}">
              <a16:creationId xmlns:a16="http://schemas.microsoft.com/office/drawing/2014/main" id="{54C4CA32-99B8-4E17-9756-59ECF676F41D}"/>
            </a:ext>
          </a:extLst>
        </xdr:cNvPr>
        <xdr:cNvGrpSpPr/>
      </xdr:nvGrpSpPr>
      <xdr:grpSpPr>
        <a:xfrm rot="10800000">
          <a:off x="26197175" y="4092889"/>
          <a:ext cx="702662" cy="312962"/>
          <a:chOff x="6625389" y="3621505"/>
          <a:chExt cx="549443" cy="256674"/>
        </a:xfrm>
      </xdr:grpSpPr>
      <xdr:cxnSp macro="">
        <xdr:nvCxnSpPr>
          <xdr:cNvPr id="103" name="Conector recto 102">
            <a:extLst>
              <a:ext uri="{FF2B5EF4-FFF2-40B4-BE49-F238E27FC236}">
                <a16:creationId xmlns:a16="http://schemas.microsoft.com/office/drawing/2014/main" id="{55699E17-5498-4017-90FF-8EA1EE460509}"/>
              </a:ext>
            </a:extLst>
          </xdr:cNvPr>
          <xdr:cNvCxnSpPr/>
        </xdr:nvCxnSpPr>
        <xdr:spPr>
          <a:xfrm flipH="1" flipV="1">
            <a:off x="6633411" y="3621505"/>
            <a:ext cx="541421" cy="4011"/>
          </a:xfrm>
          <a:prstGeom prst="line">
            <a:avLst/>
          </a:prstGeom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4" name="Conector recto 103">
            <a:extLst>
              <a:ext uri="{FF2B5EF4-FFF2-40B4-BE49-F238E27FC236}">
                <a16:creationId xmlns:a16="http://schemas.microsoft.com/office/drawing/2014/main" id="{ACF68865-D92C-4196-81DB-6662D760E86E}"/>
              </a:ext>
            </a:extLst>
          </xdr:cNvPr>
          <xdr:cNvCxnSpPr/>
        </xdr:nvCxnSpPr>
        <xdr:spPr>
          <a:xfrm flipH="1" flipV="1">
            <a:off x="6625389" y="3862137"/>
            <a:ext cx="541421" cy="4011"/>
          </a:xfrm>
          <a:prstGeom prst="line">
            <a:avLst/>
          </a:prstGeom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5" name="Conector recto de flecha 104">
            <a:extLst>
              <a:ext uri="{FF2B5EF4-FFF2-40B4-BE49-F238E27FC236}">
                <a16:creationId xmlns:a16="http://schemas.microsoft.com/office/drawing/2014/main" id="{08C7BEDF-7918-48D2-8DFA-6FEB0CA8D98C}"/>
              </a:ext>
            </a:extLst>
          </xdr:cNvPr>
          <xdr:cNvCxnSpPr/>
        </xdr:nvCxnSpPr>
        <xdr:spPr>
          <a:xfrm>
            <a:off x="6749716" y="3625516"/>
            <a:ext cx="4010" cy="252663"/>
          </a:xfrm>
          <a:prstGeom prst="straightConnector1">
            <a:avLst/>
          </a:prstGeom>
          <a:ln>
            <a:headEnd type="triangle"/>
            <a:tailEnd type="triangle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43</xdr:col>
      <xdr:colOff>54691</xdr:colOff>
      <xdr:row>12</xdr:row>
      <xdr:rowOff>173268</xdr:rowOff>
    </xdr:from>
    <xdr:to>
      <xdr:col>46</xdr:col>
      <xdr:colOff>412172</xdr:colOff>
      <xdr:row>21</xdr:row>
      <xdr:rowOff>31192</xdr:rowOff>
    </xdr:to>
    <xdr:grpSp>
      <xdr:nvGrpSpPr>
        <xdr:cNvPr id="106" name="Grupo 105">
          <a:extLst>
            <a:ext uri="{FF2B5EF4-FFF2-40B4-BE49-F238E27FC236}">
              <a16:creationId xmlns:a16="http://schemas.microsoft.com/office/drawing/2014/main" id="{8368E2D5-83CC-4988-A73F-E978949FD680}"/>
            </a:ext>
          </a:extLst>
        </xdr:cNvPr>
        <xdr:cNvGrpSpPr/>
      </xdr:nvGrpSpPr>
      <xdr:grpSpPr>
        <a:xfrm>
          <a:off x="26248441" y="2630718"/>
          <a:ext cx="1843381" cy="1562899"/>
          <a:chOff x="10242718" y="2466921"/>
          <a:chExt cx="1701041" cy="1426899"/>
        </a:xfrm>
      </xdr:grpSpPr>
      <xdr:grpSp>
        <xdr:nvGrpSpPr>
          <xdr:cNvPr id="107" name="Grupo 106">
            <a:extLst>
              <a:ext uri="{FF2B5EF4-FFF2-40B4-BE49-F238E27FC236}">
                <a16:creationId xmlns:a16="http://schemas.microsoft.com/office/drawing/2014/main" id="{EE4595F2-65DC-4916-B237-51C01AAB252F}"/>
              </a:ext>
            </a:extLst>
          </xdr:cNvPr>
          <xdr:cNvGrpSpPr/>
        </xdr:nvGrpSpPr>
        <xdr:grpSpPr>
          <a:xfrm>
            <a:off x="10242718" y="2466921"/>
            <a:ext cx="1701041" cy="1426899"/>
            <a:chOff x="10242718" y="2466921"/>
            <a:chExt cx="1701041" cy="1426899"/>
          </a:xfrm>
        </xdr:grpSpPr>
        <xdr:cxnSp macro="">
          <xdr:nvCxnSpPr>
            <xdr:cNvPr id="109" name="Conector recto 108">
              <a:extLst>
                <a:ext uri="{FF2B5EF4-FFF2-40B4-BE49-F238E27FC236}">
                  <a16:creationId xmlns:a16="http://schemas.microsoft.com/office/drawing/2014/main" id="{1BD6D1D8-3055-480C-8FBD-591AAD1A6AAC}"/>
                </a:ext>
              </a:extLst>
            </xdr:cNvPr>
            <xdr:cNvCxnSpPr/>
          </xdr:nvCxnSpPr>
          <xdr:spPr>
            <a:xfrm flipH="1">
              <a:off x="10242718" y="3433080"/>
              <a:ext cx="5950" cy="460740"/>
            </a:xfrm>
            <a:prstGeom prst="line">
              <a:avLst/>
            </a:prstGeom>
          </xdr:spPr>
          <xdr:style>
            <a:lnRef idx="2">
              <a:schemeClr val="accent1"/>
            </a:lnRef>
            <a:fillRef idx="0">
              <a:schemeClr val="accent1"/>
            </a:fillRef>
            <a:effectRef idx="1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10" name="Conector recto de flecha 109">
              <a:extLst>
                <a:ext uri="{FF2B5EF4-FFF2-40B4-BE49-F238E27FC236}">
                  <a16:creationId xmlns:a16="http://schemas.microsoft.com/office/drawing/2014/main" id="{4905C1FE-5767-4123-8385-BA97B8E6F274}"/>
                </a:ext>
              </a:extLst>
            </xdr:cNvPr>
            <xdr:cNvCxnSpPr/>
          </xdr:nvCxnSpPr>
          <xdr:spPr>
            <a:xfrm flipV="1">
              <a:off x="10248469" y="2489728"/>
              <a:ext cx="1695091" cy="979385"/>
            </a:xfrm>
            <a:prstGeom prst="straightConnector1">
              <a:avLst/>
            </a:prstGeom>
            <a:ln>
              <a:headEnd type="triangle"/>
              <a:tailEnd type="triangle"/>
            </a:ln>
          </xdr:spPr>
          <xdr:style>
            <a:lnRef idx="2">
              <a:schemeClr val="accent1"/>
            </a:lnRef>
            <a:fillRef idx="0">
              <a:schemeClr val="accent1"/>
            </a:fillRef>
            <a:effectRef idx="1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11" name="Conector recto 110">
              <a:extLst>
                <a:ext uri="{FF2B5EF4-FFF2-40B4-BE49-F238E27FC236}">
                  <a16:creationId xmlns:a16="http://schemas.microsoft.com/office/drawing/2014/main" id="{C2A76911-A50E-43B9-9386-7E3BD865C2D7}"/>
                </a:ext>
              </a:extLst>
            </xdr:cNvPr>
            <xdr:cNvCxnSpPr/>
          </xdr:nvCxnSpPr>
          <xdr:spPr>
            <a:xfrm flipH="1">
              <a:off x="11937809" y="2466921"/>
              <a:ext cx="5950" cy="459302"/>
            </a:xfrm>
            <a:prstGeom prst="line">
              <a:avLst/>
            </a:prstGeom>
          </xdr:spPr>
          <xdr:style>
            <a:lnRef idx="2">
              <a:schemeClr val="accent1"/>
            </a:lnRef>
            <a:fillRef idx="0">
              <a:schemeClr val="accent1"/>
            </a:fillRef>
            <a:effectRef idx="1">
              <a:schemeClr val="accent1"/>
            </a:effectRef>
            <a:fontRef idx="minor">
              <a:schemeClr val="tx1"/>
            </a:fontRef>
          </xdr:style>
        </xdr:cxnSp>
      </xdr:grpSp>
      <mc:AlternateContent xmlns:mc="http://schemas.openxmlformats.org/markup-compatibility/2006" xmlns:a14="http://schemas.microsoft.com/office/drawing/2010/main">
        <mc:Choice Requires="a14">
          <xdr:sp macro="" textlink="">
            <xdr:nvSpPr>
              <xdr:cNvPr id="108" name="CuadroTexto 107">
                <a:extLst>
                  <a:ext uri="{FF2B5EF4-FFF2-40B4-BE49-F238E27FC236}">
                    <a16:creationId xmlns:a16="http://schemas.microsoft.com/office/drawing/2014/main" id="{931A20E5-AE21-473B-8557-D7AFCD436A7F}"/>
                  </a:ext>
                </a:extLst>
              </xdr:cNvPr>
              <xdr:cNvSpPr txBox="1"/>
            </xdr:nvSpPr>
            <xdr:spPr>
              <a:xfrm>
                <a:off x="10386779" y="3087681"/>
                <a:ext cx="700320" cy="172227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0" tIns="0" rIns="0" bIns="0" rtlCol="0" anchor="t">
                <a:spAutoFit/>
              </a:bodyPr>
              <a:lstStyle/>
              <a:p>
                <a:r>
                  <a:rPr lang="es-MX" sz="1100" b="1" i="0">
                    <a:latin typeface="+mn-lt"/>
                  </a:rPr>
                  <a:t>b</a:t>
                </a:r>
                <a14:m>
                  <m:oMath xmlns:m="http://schemas.openxmlformats.org/officeDocument/2006/math">
                    <m:r>
                      <a:rPr lang="es-MX" sz="1100" b="1" i="0">
                        <a:latin typeface="Cambria Math" panose="02040503050406030204" pitchFamily="18" charset="0"/>
                      </a:rPr>
                      <m:t>=</m:t>
                    </m:r>
                    <m:r>
                      <a:rPr lang="es-MX" sz="1100" b="1" i="0">
                        <a:latin typeface="Cambria Math" panose="02040503050406030204" pitchFamily="18" charset="0"/>
                      </a:rPr>
                      <m:t>𝟏𝟎𝟎</m:t>
                    </m:r>
                    <m:r>
                      <a:rPr lang="es-MX" sz="1100" b="1" i="0">
                        <a:latin typeface="Cambria Math" panose="02040503050406030204" pitchFamily="18" charset="0"/>
                      </a:rPr>
                      <m:t> </m:t>
                    </m:r>
                    <m:r>
                      <a:rPr lang="es-MX" sz="1100" b="1" i="0">
                        <a:latin typeface="Cambria Math" panose="02040503050406030204" pitchFamily="18" charset="0"/>
                      </a:rPr>
                      <m:t>𝐜𝐦</m:t>
                    </m:r>
                  </m:oMath>
                </a14:m>
                <a:endParaRPr lang="es-MX" sz="1100" b="1" i="0">
                  <a:latin typeface="+mn-lt"/>
                </a:endParaRPr>
              </a:p>
            </xdr:txBody>
          </xdr:sp>
        </mc:Choice>
        <mc:Fallback xmlns="">
          <xdr:sp macro="" textlink="">
            <xdr:nvSpPr>
              <xdr:cNvPr id="108" name="CuadroTexto 107">
                <a:extLst>
                  <a:ext uri="{FF2B5EF4-FFF2-40B4-BE49-F238E27FC236}">
                    <a16:creationId xmlns:a16="http://schemas.microsoft.com/office/drawing/2014/main" id="{931A20E5-AE21-473B-8557-D7AFCD436A7F}"/>
                  </a:ext>
                </a:extLst>
              </xdr:cNvPr>
              <xdr:cNvSpPr txBox="1"/>
            </xdr:nvSpPr>
            <xdr:spPr>
              <a:xfrm>
                <a:off x="10386779" y="3087681"/>
                <a:ext cx="700320" cy="172227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0" tIns="0" rIns="0" bIns="0" rtlCol="0" anchor="t">
                <a:spAutoFit/>
              </a:bodyPr>
              <a:lstStyle/>
              <a:p>
                <a:r>
                  <a:rPr lang="es-MX" sz="1100" b="1" i="0">
                    <a:latin typeface="+mn-lt"/>
                  </a:rPr>
                  <a:t>b</a:t>
                </a:r>
                <a:r>
                  <a:rPr lang="es-MX" sz="1100" b="1" i="0">
                    <a:latin typeface="Cambria Math" panose="02040503050406030204" pitchFamily="18" charset="0"/>
                  </a:rPr>
                  <a:t>=𝟏𝟎𝟎 𝐜𝐦</a:t>
                </a:r>
                <a:endParaRPr lang="es-MX" sz="1100" b="1" i="0">
                  <a:latin typeface="+mn-lt"/>
                </a:endParaRPr>
              </a:p>
            </xdr:txBody>
          </xdr:sp>
        </mc:Fallback>
      </mc:AlternateContent>
    </xdr:grpSp>
    <xdr:clientData/>
  </xdr:twoCellAnchor>
  <xdr:twoCellAnchor>
    <xdr:from>
      <xdr:col>39</xdr:col>
      <xdr:colOff>429518</xdr:colOff>
      <xdr:row>21</xdr:row>
      <xdr:rowOff>146241</xdr:rowOff>
    </xdr:from>
    <xdr:to>
      <xdr:col>43</xdr:col>
      <xdr:colOff>62701</xdr:colOff>
      <xdr:row>23</xdr:row>
      <xdr:rowOff>171774</xdr:rowOff>
    </xdr:to>
    <xdr:grpSp>
      <xdr:nvGrpSpPr>
        <xdr:cNvPr id="112" name="Grupo 111">
          <a:extLst>
            <a:ext uri="{FF2B5EF4-FFF2-40B4-BE49-F238E27FC236}">
              <a16:creationId xmlns:a16="http://schemas.microsoft.com/office/drawing/2014/main" id="{7798D7A4-D432-4410-86EF-A3ADC6317762}"/>
            </a:ext>
          </a:extLst>
        </xdr:cNvPr>
        <xdr:cNvGrpSpPr/>
      </xdr:nvGrpSpPr>
      <xdr:grpSpPr>
        <a:xfrm>
          <a:off x="24803993" y="4308666"/>
          <a:ext cx="1452458" cy="454158"/>
          <a:chOff x="7889185" y="3981450"/>
          <a:chExt cx="2376073" cy="414752"/>
        </a:xfrm>
      </xdr:grpSpPr>
      <xdr:cxnSp macro="">
        <xdr:nvCxnSpPr>
          <xdr:cNvPr id="113" name="Conector recto 112">
            <a:extLst>
              <a:ext uri="{FF2B5EF4-FFF2-40B4-BE49-F238E27FC236}">
                <a16:creationId xmlns:a16="http://schemas.microsoft.com/office/drawing/2014/main" id="{859B0570-C949-432E-B603-36B59BC6F5D5}"/>
              </a:ext>
            </a:extLst>
          </xdr:cNvPr>
          <xdr:cNvCxnSpPr/>
        </xdr:nvCxnSpPr>
        <xdr:spPr>
          <a:xfrm>
            <a:off x="7908235" y="4014787"/>
            <a:ext cx="0" cy="381415"/>
          </a:xfrm>
          <a:prstGeom prst="line">
            <a:avLst/>
          </a:prstGeom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4" name="Conector recto 113">
            <a:extLst>
              <a:ext uri="{FF2B5EF4-FFF2-40B4-BE49-F238E27FC236}">
                <a16:creationId xmlns:a16="http://schemas.microsoft.com/office/drawing/2014/main" id="{EF639022-8108-4316-BF71-DCA05CFC6396}"/>
              </a:ext>
            </a:extLst>
          </xdr:cNvPr>
          <xdr:cNvCxnSpPr/>
        </xdr:nvCxnSpPr>
        <xdr:spPr>
          <a:xfrm>
            <a:off x="10265258" y="3981450"/>
            <a:ext cx="0" cy="381415"/>
          </a:xfrm>
          <a:prstGeom prst="line">
            <a:avLst/>
          </a:prstGeom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5" name="Conector recto de flecha 114">
            <a:extLst>
              <a:ext uri="{FF2B5EF4-FFF2-40B4-BE49-F238E27FC236}">
                <a16:creationId xmlns:a16="http://schemas.microsoft.com/office/drawing/2014/main" id="{B0EF60EC-B442-4A65-B1E8-81B7329A07FE}"/>
              </a:ext>
            </a:extLst>
          </xdr:cNvPr>
          <xdr:cNvCxnSpPr/>
        </xdr:nvCxnSpPr>
        <xdr:spPr>
          <a:xfrm flipV="1">
            <a:off x="7889185" y="4353339"/>
            <a:ext cx="2371311" cy="1"/>
          </a:xfrm>
          <a:prstGeom prst="straightConnector1">
            <a:avLst/>
          </a:prstGeom>
          <a:ln>
            <a:headEnd type="triangle"/>
            <a:tailEnd type="triangle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44</xdr:col>
      <xdr:colOff>304692</xdr:colOff>
      <xdr:row>11</xdr:row>
      <xdr:rowOff>23448</xdr:rowOff>
    </xdr:from>
    <xdr:to>
      <xdr:col>46</xdr:col>
      <xdr:colOff>412172</xdr:colOff>
      <xdr:row>14</xdr:row>
      <xdr:rowOff>55019</xdr:rowOff>
    </xdr:to>
    <xdr:grpSp>
      <xdr:nvGrpSpPr>
        <xdr:cNvPr id="116" name="Grupo 115">
          <a:extLst>
            <a:ext uri="{FF2B5EF4-FFF2-40B4-BE49-F238E27FC236}">
              <a16:creationId xmlns:a16="http://schemas.microsoft.com/office/drawing/2014/main" id="{9C497B74-1290-405D-B88E-BF2D6D50C1D9}"/>
            </a:ext>
          </a:extLst>
        </xdr:cNvPr>
        <xdr:cNvGrpSpPr/>
      </xdr:nvGrpSpPr>
      <xdr:grpSpPr>
        <a:xfrm>
          <a:off x="26993742" y="2261823"/>
          <a:ext cx="1098080" cy="660221"/>
          <a:chOff x="8114748" y="2342321"/>
          <a:chExt cx="373270" cy="387232"/>
        </a:xfrm>
      </xdr:grpSpPr>
      <xdr:cxnSp macro="">
        <xdr:nvCxnSpPr>
          <xdr:cNvPr id="117" name="Conector recto de flecha 116">
            <a:extLst>
              <a:ext uri="{FF2B5EF4-FFF2-40B4-BE49-F238E27FC236}">
                <a16:creationId xmlns:a16="http://schemas.microsoft.com/office/drawing/2014/main" id="{5C1316F3-EDEF-48B8-BD97-CBCF3DAD719A}"/>
              </a:ext>
            </a:extLst>
          </xdr:cNvPr>
          <xdr:cNvCxnSpPr/>
        </xdr:nvCxnSpPr>
        <xdr:spPr>
          <a:xfrm>
            <a:off x="8114748" y="2416730"/>
            <a:ext cx="373270" cy="1792"/>
          </a:xfrm>
          <a:prstGeom prst="straightConnector1">
            <a:avLst/>
          </a:prstGeom>
          <a:ln>
            <a:headEnd type="triangle"/>
            <a:tailEnd type="triangle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8" name="Conector recto 117">
            <a:extLst>
              <a:ext uri="{FF2B5EF4-FFF2-40B4-BE49-F238E27FC236}">
                <a16:creationId xmlns:a16="http://schemas.microsoft.com/office/drawing/2014/main" id="{6628E0A4-B201-46CD-9456-E99E71247C67}"/>
              </a:ext>
            </a:extLst>
          </xdr:cNvPr>
          <xdr:cNvCxnSpPr/>
        </xdr:nvCxnSpPr>
        <xdr:spPr>
          <a:xfrm flipH="1" flipV="1">
            <a:off x="8129446" y="2350994"/>
            <a:ext cx="763" cy="375641"/>
          </a:xfrm>
          <a:prstGeom prst="line">
            <a:avLst/>
          </a:prstGeom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9" name="Conector recto 118">
            <a:extLst>
              <a:ext uri="{FF2B5EF4-FFF2-40B4-BE49-F238E27FC236}">
                <a16:creationId xmlns:a16="http://schemas.microsoft.com/office/drawing/2014/main" id="{F3492B78-184E-40BE-B052-6EB6181A589A}"/>
              </a:ext>
            </a:extLst>
          </xdr:cNvPr>
          <xdr:cNvCxnSpPr/>
        </xdr:nvCxnSpPr>
        <xdr:spPr>
          <a:xfrm flipH="1" flipV="1">
            <a:off x="8481391" y="2342321"/>
            <a:ext cx="3631" cy="387232"/>
          </a:xfrm>
          <a:prstGeom prst="line">
            <a:avLst/>
          </a:prstGeom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</xdr:grpSp>
    <xdr:clientData/>
  </xdr:twoCellAnchor>
  <xdr:oneCellAnchor>
    <xdr:from>
      <xdr:col>29</xdr:col>
      <xdr:colOff>502920</xdr:colOff>
      <xdr:row>11</xdr:row>
      <xdr:rowOff>3810</xdr:rowOff>
    </xdr:from>
    <xdr:ext cx="84645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3" name="CuadroTexto 82">
              <a:extLst>
                <a:ext uri="{FF2B5EF4-FFF2-40B4-BE49-F238E27FC236}">
                  <a16:creationId xmlns:a16="http://schemas.microsoft.com/office/drawing/2014/main" id="{A305918D-7C53-40CE-A1EF-8C79662BD15F}"/>
                </a:ext>
              </a:extLst>
            </xdr:cNvPr>
            <xdr:cNvSpPr txBox="1"/>
          </xdr:nvSpPr>
          <xdr:spPr>
            <a:xfrm>
              <a:off x="2034540" y="2038350"/>
              <a:ext cx="84645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MX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𝑤</m:t>
                        </m:r>
                      </m:e>
                      <m:sub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s-MX" sz="1100" b="0" i="1">
                        <a:latin typeface="Cambria Math" panose="02040503050406030204" pitchFamily="18" charset="0"/>
                      </a:rPr>
                      <m:t>=1.1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𝑊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83" name="CuadroTexto 82">
              <a:extLst>
                <a:ext uri="{FF2B5EF4-FFF2-40B4-BE49-F238E27FC236}">
                  <a16:creationId xmlns:a16="http://schemas.microsoft.com/office/drawing/2014/main" id="{A305918D-7C53-40CE-A1EF-8C79662BD15F}"/>
                </a:ext>
              </a:extLst>
            </xdr:cNvPr>
            <xdr:cNvSpPr txBox="1"/>
          </xdr:nvSpPr>
          <xdr:spPr>
            <a:xfrm>
              <a:off x="2034540" y="2038350"/>
              <a:ext cx="84645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1100" b="0" i="0">
                  <a:latin typeface="Cambria Math" panose="02040503050406030204" pitchFamily="18" charset="0"/>
                </a:rPr>
                <a:t>𝑤_1=1.1𝑊=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30</xdr:col>
      <xdr:colOff>0</xdr:colOff>
      <xdr:row>12</xdr:row>
      <xdr:rowOff>118110</xdr:rowOff>
    </xdr:from>
    <xdr:ext cx="855491" cy="34650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6" name="CuadroTexto 85">
              <a:extLst>
                <a:ext uri="{FF2B5EF4-FFF2-40B4-BE49-F238E27FC236}">
                  <a16:creationId xmlns:a16="http://schemas.microsoft.com/office/drawing/2014/main" id="{D1AE7C4E-5275-4073-9F33-EFD976D63E23}"/>
                </a:ext>
              </a:extLst>
            </xdr:cNvPr>
            <xdr:cNvSpPr txBox="1"/>
          </xdr:nvSpPr>
          <xdr:spPr>
            <a:xfrm>
              <a:off x="2065020" y="2335530"/>
              <a:ext cx="855491" cy="3465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𝐵</m:t>
                        </m:r>
                      </m:e>
                      <m:sub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s-MX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1.4</m:t>
                        </m:r>
                        <m:sSub>
                          <m:sSubPr>
                            <m:ctrlPr>
                              <a:rPr lang="es-MX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𝑤</m:t>
                            </m:r>
                          </m:e>
                          <m:sub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s-MX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𝑞</m:t>
                            </m:r>
                          </m:e>
                          <m:sub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𝑅</m:t>
                            </m:r>
                          </m:sub>
                        </m:sSub>
                      </m:den>
                    </m:f>
                    <m:r>
                      <a:rPr lang="es-MX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86" name="CuadroTexto 85">
              <a:extLst>
                <a:ext uri="{FF2B5EF4-FFF2-40B4-BE49-F238E27FC236}">
                  <a16:creationId xmlns:a16="http://schemas.microsoft.com/office/drawing/2014/main" id="{D1AE7C4E-5275-4073-9F33-EFD976D63E23}"/>
                </a:ext>
              </a:extLst>
            </xdr:cNvPr>
            <xdr:cNvSpPr txBox="1"/>
          </xdr:nvSpPr>
          <xdr:spPr>
            <a:xfrm>
              <a:off x="2065020" y="2335530"/>
              <a:ext cx="855491" cy="3465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1100" b="0" i="0">
                  <a:latin typeface="Cambria Math" panose="02040503050406030204" pitchFamily="18" charset="0"/>
                </a:rPr>
                <a:t>𝐵_1=(1.4𝑤_1)/𝑞_𝑅 =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29</xdr:col>
      <xdr:colOff>525780</xdr:colOff>
      <xdr:row>15</xdr:row>
      <xdr:rowOff>106680</xdr:rowOff>
    </xdr:from>
    <xdr:ext cx="854658" cy="3456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8" name="CuadroTexto 87">
              <a:extLst>
                <a:ext uri="{FF2B5EF4-FFF2-40B4-BE49-F238E27FC236}">
                  <a16:creationId xmlns:a16="http://schemas.microsoft.com/office/drawing/2014/main" id="{9C71D6A0-7D68-4501-AFA0-5FECE92DFD7C}"/>
                </a:ext>
              </a:extLst>
            </xdr:cNvPr>
            <xdr:cNvSpPr txBox="1"/>
          </xdr:nvSpPr>
          <xdr:spPr>
            <a:xfrm>
              <a:off x="2057400" y="2872740"/>
              <a:ext cx="854658" cy="3456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MX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𝑞</m:t>
                        </m:r>
                      </m:e>
                      <m:sub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𝑢</m:t>
                        </m:r>
                      </m:sub>
                    </m:sSub>
                    <m:r>
                      <a:rPr lang="es-MX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1.4</m:t>
                        </m:r>
                        <m:sSub>
                          <m:sSubPr>
                            <m:ctrlPr>
                              <a:rPr lang="es-MX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𝑤</m:t>
                            </m:r>
                          </m:e>
                          <m:sub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s-MX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𝐵</m:t>
                            </m:r>
                          </m:e>
                          <m:sub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</m:den>
                    </m:f>
                    <m:r>
                      <a:rPr lang="es-MX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88" name="CuadroTexto 87">
              <a:extLst>
                <a:ext uri="{FF2B5EF4-FFF2-40B4-BE49-F238E27FC236}">
                  <a16:creationId xmlns:a16="http://schemas.microsoft.com/office/drawing/2014/main" id="{9C71D6A0-7D68-4501-AFA0-5FECE92DFD7C}"/>
                </a:ext>
              </a:extLst>
            </xdr:cNvPr>
            <xdr:cNvSpPr txBox="1"/>
          </xdr:nvSpPr>
          <xdr:spPr>
            <a:xfrm>
              <a:off x="2057400" y="2872740"/>
              <a:ext cx="854658" cy="3456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1100" b="0" i="0">
                  <a:latin typeface="Cambria Math" panose="02040503050406030204" pitchFamily="18" charset="0"/>
                </a:rPr>
                <a:t>𝑞_𝑢=(1.4𝑤_1)/𝐵_1 =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27</xdr:col>
      <xdr:colOff>411480</xdr:colOff>
      <xdr:row>24</xdr:row>
      <xdr:rowOff>91440</xdr:rowOff>
    </xdr:from>
    <xdr:ext cx="763671" cy="33861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0" name="CuadroTexto 119">
              <a:extLst>
                <a:ext uri="{FF2B5EF4-FFF2-40B4-BE49-F238E27FC236}">
                  <a16:creationId xmlns:a16="http://schemas.microsoft.com/office/drawing/2014/main" id="{B8B0985F-1FAE-456A-BB7A-45B2B2896A74}"/>
                </a:ext>
              </a:extLst>
            </xdr:cNvPr>
            <xdr:cNvSpPr txBox="1"/>
          </xdr:nvSpPr>
          <xdr:spPr>
            <a:xfrm>
              <a:off x="411480" y="4465320"/>
              <a:ext cx="763671" cy="3386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100" b="0" i="1">
                        <a:latin typeface="Cambria Math" panose="02040503050406030204" pitchFamily="18" charset="0"/>
                      </a:rPr>
                      <m:t>𝑀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s-MX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𝑞</m:t>
                            </m:r>
                          </m:e>
                          <m:sub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</m:sub>
                        </m:sSub>
                        <m:sSup>
                          <m:sSupPr>
                            <m:ctrlPr>
                              <a:rPr lang="es-MX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𝐿</m:t>
                            </m:r>
                          </m:e>
                          <m:sup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num>
                      <m:den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  <m:r>
                      <a:rPr lang="es-MX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120" name="CuadroTexto 119">
              <a:extLst>
                <a:ext uri="{FF2B5EF4-FFF2-40B4-BE49-F238E27FC236}">
                  <a16:creationId xmlns:a16="http://schemas.microsoft.com/office/drawing/2014/main" id="{B8B0985F-1FAE-456A-BB7A-45B2B2896A74}"/>
                </a:ext>
              </a:extLst>
            </xdr:cNvPr>
            <xdr:cNvSpPr txBox="1"/>
          </xdr:nvSpPr>
          <xdr:spPr>
            <a:xfrm>
              <a:off x="411480" y="4465320"/>
              <a:ext cx="763671" cy="3386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1100" b="0" i="0">
                  <a:latin typeface="Cambria Math" panose="02040503050406030204" pitchFamily="18" charset="0"/>
                </a:rPr>
                <a:t>𝑀=(𝑞_𝑢 𝐿^2)/2=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31</xdr:col>
      <xdr:colOff>57150</xdr:colOff>
      <xdr:row>23</xdr:row>
      <xdr:rowOff>57150</xdr:rowOff>
    </xdr:from>
    <xdr:ext cx="1333378" cy="4138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1" name="CuadroTexto 120">
              <a:extLst>
                <a:ext uri="{FF2B5EF4-FFF2-40B4-BE49-F238E27FC236}">
                  <a16:creationId xmlns:a16="http://schemas.microsoft.com/office/drawing/2014/main" id="{06DFC5F4-9A91-4278-8D95-D293516AF3F4}"/>
                </a:ext>
              </a:extLst>
            </xdr:cNvPr>
            <xdr:cNvSpPr txBox="1"/>
          </xdr:nvSpPr>
          <xdr:spPr>
            <a:xfrm>
              <a:off x="2952750" y="4232910"/>
              <a:ext cx="1333378" cy="4138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MX" sz="11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b="1" i="0">
                            <a:latin typeface="Cambria Math" panose="02040503050406030204" pitchFamily="18" charset="0"/>
                          </a:rPr>
                          <m:t>𝐀</m:t>
                        </m:r>
                      </m:e>
                      <m:sub>
                        <m:r>
                          <a:rPr lang="es-MX" sz="1100" b="1" i="0">
                            <a:latin typeface="Cambria Math" panose="02040503050406030204" pitchFamily="18" charset="0"/>
                          </a:rPr>
                          <m:t>𝐬𝐦𝐢𝐧</m:t>
                        </m:r>
                      </m:sub>
                    </m:sSub>
                    <m:r>
                      <a:rPr lang="es-MX" sz="1100" b="0" i="1">
                        <a:latin typeface="Cambria Math" panose="02040503050406030204" pitchFamily="18" charset="0"/>
                      </a:rPr>
                      <m:t>=0.7</m:t>
                    </m:r>
                    <m:f>
                      <m:f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ad>
                          <m:radPr>
                            <m:degHide m:val="on"/>
                            <m:ctrlPr>
                              <a:rPr lang="es-MX" sz="1100" b="0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sSubSup>
                              <m:sSubSupPr>
                                <m:ctrlPr>
                                  <a:rPr lang="es-MX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SupPr>
                              <m:e>
                                <m:r>
                                  <a:rPr lang="es-MX" sz="1100" b="0" i="1">
                                    <a:latin typeface="Cambria Math" panose="02040503050406030204" pitchFamily="18" charset="0"/>
                                  </a:rPr>
                                  <m:t>𝑓</m:t>
                                </m:r>
                              </m:e>
                              <m:sub>
                                <m:r>
                                  <a:rPr lang="es-MX" sz="1100" b="0" i="1">
                                    <a:latin typeface="Cambria Math" panose="02040503050406030204" pitchFamily="18" charset="0"/>
                                  </a:rPr>
                                  <m:t>𝑐</m:t>
                                </m:r>
                              </m:sub>
                              <m:sup>
                                <m:r>
                                  <a:rPr lang="es-MX" sz="1100" b="0" i="1">
                                    <a:latin typeface="Cambria Math" panose="02040503050406030204" pitchFamily="18" charset="0"/>
                                  </a:rPr>
                                  <m:t>′</m:t>
                                </m:r>
                              </m:sup>
                            </m:sSubSup>
                          </m:e>
                        </m:rad>
                      </m:num>
                      <m:den>
                        <m:sSub>
                          <m:sSubPr>
                            <m:ctrlPr>
                              <a:rPr lang="es-MX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𝑓</m:t>
                            </m:r>
                          </m:e>
                          <m:sub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sub>
                        </m:sSub>
                      </m:den>
                    </m:f>
                    <m:r>
                      <a:rPr lang="es-MX" sz="1100" b="0" i="1">
                        <a:latin typeface="Cambria Math" panose="02040503050406030204" pitchFamily="18" charset="0"/>
                      </a:rPr>
                      <m:t>𝑏𝑑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121" name="CuadroTexto 120">
              <a:extLst>
                <a:ext uri="{FF2B5EF4-FFF2-40B4-BE49-F238E27FC236}">
                  <a16:creationId xmlns:a16="http://schemas.microsoft.com/office/drawing/2014/main" id="{06DFC5F4-9A91-4278-8D95-D293516AF3F4}"/>
                </a:ext>
              </a:extLst>
            </xdr:cNvPr>
            <xdr:cNvSpPr txBox="1"/>
          </xdr:nvSpPr>
          <xdr:spPr>
            <a:xfrm>
              <a:off x="2952750" y="4232910"/>
              <a:ext cx="1333378" cy="4138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1100" b="1" i="0">
                  <a:latin typeface="Cambria Math" panose="02040503050406030204" pitchFamily="18" charset="0"/>
                </a:rPr>
                <a:t>𝐀_𝐬𝐦𝐢𝐧</a:t>
              </a:r>
              <a:r>
                <a:rPr lang="es-MX" sz="1100" b="0" i="0">
                  <a:latin typeface="Cambria Math" panose="02040503050406030204" pitchFamily="18" charset="0"/>
                </a:rPr>
                <a:t>=0.7 √(𝑓_𝑐^′ )/𝑓_𝑦  𝑏𝑑=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31</xdr:col>
      <xdr:colOff>156210</xdr:colOff>
      <xdr:row>27</xdr:row>
      <xdr:rowOff>80010</xdr:rowOff>
    </xdr:from>
    <xdr:ext cx="922560" cy="36439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2" name="CuadroTexto 121">
              <a:extLst>
                <a:ext uri="{FF2B5EF4-FFF2-40B4-BE49-F238E27FC236}">
                  <a16:creationId xmlns:a16="http://schemas.microsoft.com/office/drawing/2014/main" id="{E445F66E-0DFE-405E-B394-5F59FEDA3B9B}"/>
                </a:ext>
              </a:extLst>
            </xdr:cNvPr>
            <xdr:cNvSpPr txBox="1"/>
          </xdr:nvSpPr>
          <xdr:spPr>
            <a:xfrm>
              <a:off x="3051810" y="5040630"/>
              <a:ext cx="922560" cy="36439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MX" sz="11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b="1" i="0">
                            <a:latin typeface="Cambria Math" panose="02040503050406030204" pitchFamily="18" charset="0"/>
                          </a:rPr>
                          <m:t>𝐀</m:t>
                        </m:r>
                      </m:e>
                      <m:sub>
                        <m:r>
                          <a:rPr lang="es-MX" sz="1100" b="1" i="0">
                            <a:latin typeface="Cambria Math" panose="02040503050406030204" pitchFamily="18" charset="0"/>
                          </a:rPr>
                          <m:t>𝐬</m:t>
                        </m:r>
                      </m:sub>
                    </m:sSub>
                    <m:r>
                      <a:rPr lang="es-MX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s-MX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𝑀</m:t>
                            </m:r>
                          </m:e>
                          <m:sub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s-MX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𝐹</m:t>
                            </m:r>
                          </m:e>
                          <m:sub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𝑅</m:t>
                            </m:r>
                          </m:sub>
                        </m:sSub>
                        <m:sSub>
                          <m:sSubPr>
                            <m:ctrlPr>
                              <a:rPr lang="es-MX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𝑓</m:t>
                            </m:r>
                          </m:e>
                          <m:sub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sub>
                        </m:sSub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𝑗𝑑</m:t>
                        </m:r>
                      </m:den>
                    </m:f>
                    <m:r>
                      <a:rPr lang="es-MX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122" name="CuadroTexto 121">
              <a:extLst>
                <a:ext uri="{FF2B5EF4-FFF2-40B4-BE49-F238E27FC236}">
                  <a16:creationId xmlns:a16="http://schemas.microsoft.com/office/drawing/2014/main" id="{E445F66E-0DFE-405E-B394-5F59FEDA3B9B}"/>
                </a:ext>
              </a:extLst>
            </xdr:cNvPr>
            <xdr:cNvSpPr txBox="1"/>
          </xdr:nvSpPr>
          <xdr:spPr>
            <a:xfrm>
              <a:off x="3051810" y="5040630"/>
              <a:ext cx="922560" cy="36439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1100" b="1" i="0">
                  <a:latin typeface="Cambria Math" panose="02040503050406030204" pitchFamily="18" charset="0"/>
                </a:rPr>
                <a:t>𝐀_𝐬</a:t>
              </a:r>
              <a:r>
                <a:rPr lang="es-MX" sz="1100" b="0" i="0">
                  <a:latin typeface="Cambria Math" panose="02040503050406030204" pitchFamily="18" charset="0"/>
                </a:rPr>
                <a:t>=𝑀_𝑢/(𝐹_𝑅 𝑓_𝑦 𝑗𝑑)=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31</xdr:col>
      <xdr:colOff>407670</xdr:colOff>
      <xdr:row>31</xdr:row>
      <xdr:rowOff>80010</xdr:rowOff>
    </xdr:from>
    <xdr:ext cx="842603" cy="38036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3" name="CuadroTexto 122">
              <a:extLst>
                <a:ext uri="{FF2B5EF4-FFF2-40B4-BE49-F238E27FC236}">
                  <a16:creationId xmlns:a16="http://schemas.microsoft.com/office/drawing/2014/main" id="{254F4849-D952-4BE3-9513-403D7C884006}"/>
                </a:ext>
              </a:extLst>
            </xdr:cNvPr>
            <xdr:cNvSpPr txBox="1"/>
          </xdr:nvSpPr>
          <xdr:spPr>
            <a:xfrm>
              <a:off x="3303270" y="14436090"/>
              <a:ext cx="842603" cy="380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100" b="1" i="1">
                        <a:latin typeface="Cambria Math" panose="02040503050406030204" pitchFamily="18" charset="0"/>
                      </a:rPr>
                      <m:t>𝒔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=</m:t>
                    </m:r>
                    <m:d>
                      <m:d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s-MX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es-MX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s-MX" sz="1100" b="0" i="1">
                                    <a:latin typeface="Cambria Math" panose="02040503050406030204" pitchFamily="18" charset="0"/>
                                  </a:rPr>
                                  <m:t>𝑎</m:t>
                                </m:r>
                              </m:e>
                              <m:sub>
                                <m:r>
                                  <a:rPr lang="es-MX" sz="1100" b="0" i="1">
                                    <a:latin typeface="Cambria Math" panose="02040503050406030204" pitchFamily="18" charset="0"/>
                                  </a:rPr>
                                  <m:t>𝑠</m:t>
                                </m:r>
                              </m:sub>
                            </m:sSub>
                          </m:num>
                          <m:den>
                            <m:sSub>
                              <m:sSubPr>
                                <m:ctrlPr>
                                  <a:rPr lang="es-MX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s-MX" sz="1100" b="0" i="1">
                                    <a:latin typeface="Cambria Math" panose="02040503050406030204" pitchFamily="18" charset="0"/>
                                  </a:rPr>
                                  <m:t>𝐴</m:t>
                                </m:r>
                              </m:e>
                              <m:sub>
                                <m:r>
                                  <a:rPr lang="es-MX" sz="1100" b="0" i="1">
                                    <a:latin typeface="Cambria Math" panose="02040503050406030204" pitchFamily="18" charset="0"/>
                                  </a:rPr>
                                  <m:t>𝑠</m:t>
                                </m:r>
                              </m:sub>
                            </m:sSub>
                          </m:den>
                        </m:f>
                      </m:e>
                    </m:d>
                    <m:r>
                      <a:rPr lang="es-MX" sz="1100" b="0" i="1">
                        <a:latin typeface="Cambria Math" panose="02040503050406030204" pitchFamily="18" charset="0"/>
                      </a:rPr>
                      <m:t>𝑏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123" name="CuadroTexto 122">
              <a:extLst>
                <a:ext uri="{FF2B5EF4-FFF2-40B4-BE49-F238E27FC236}">
                  <a16:creationId xmlns:a16="http://schemas.microsoft.com/office/drawing/2014/main" id="{254F4849-D952-4BE3-9513-403D7C884006}"/>
                </a:ext>
              </a:extLst>
            </xdr:cNvPr>
            <xdr:cNvSpPr txBox="1"/>
          </xdr:nvSpPr>
          <xdr:spPr>
            <a:xfrm>
              <a:off x="3303270" y="14436090"/>
              <a:ext cx="842603" cy="380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1100" b="1" i="0">
                  <a:latin typeface="Cambria Math" panose="02040503050406030204" pitchFamily="18" charset="0"/>
                </a:rPr>
                <a:t>𝒔</a:t>
              </a:r>
              <a:r>
                <a:rPr lang="es-MX" sz="1100" b="0" i="0">
                  <a:latin typeface="Cambria Math" panose="02040503050406030204" pitchFamily="18" charset="0"/>
                </a:rPr>
                <a:t>=(𝑎_𝑠/𝐴_𝑠 )𝑏=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31</xdr:col>
      <xdr:colOff>218515</xdr:colOff>
      <xdr:row>37</xdr:row>
      <xdr:rowOff>70373</xdr:rowOff>
    </xdr:from>
    <xdr:ext cx="1395767" cy="42364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4" name="CuadroTexto 123">
              <a:extLst>
                <a:ext uri="{FF2B5EF4-FFF2-40B4-BE49-F238E27FC236}">
                  <a16:creationId xmlns:a16="http://schemas.microsoft.com/office/drawing/2014/main" id="{62D613FF-1446-4BE1-9ABD-030AC4DDAA6C}"/>
                </a:ext>
              </a:extLst>
            </xdr:cNvPr>
            <xdr:cNvSpPr txBox="1"/>
          </xdr:nvSpPr>
          <xdr:spPr>
            <a:xfrm>
              <a:off x="3114115" y="6859793"/>
              <a:ext cx="1395767" cy="42364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MX" sz="11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b="1" i="0">
                            <a:latin typeface="Cambria Math" panose="02040503050406030204" pitchFamily="18" charset="0"/>
                          </a:rPr>
                          <m:t>𝐀</m:t>
                        </m:r>
                      </m:e>
                      <m:sub>
                        <m:r>
                          <a:rPr lang="es-MX" sz="1100" b="1" i="0">
                            <a:latin typeface="Cambria Math" panose="02040503050406030204" pitchFamily="18" charset="0"/>
                          </a:rPr>
                          <m:t>𝐬𝐦𝐢𝐧</m:t>
                        </m:r>
                      </m:sub>
                    </m:sSub>
                    <m:r>
                      <a:rPr lang="es-MX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MX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0.7</m:t>
                    </m:r>
                    <m:f>
                      <m:fPr>
                        <m:ctrlP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ad>
                          <m:radPr>
                            <m:degHide m:val="on"/>
                            <m:ctrlP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radPr>
                          <m:deg/>
                          <m:e>
                            <m:sSubSup>
                              <m:sSubSupPr>
                                <m:ctrlPr>
                                  <a:rPr lang="es-MX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SupPr>
                              <m:e>
                                <m:r>
                                  <a:rPr lang="es-MX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𝑓</m:t>
                                </m:r>
                              </m:e>
                              <m:sub>
                                <m:r>
                                  <a:rPr lang="es-MX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𝑐</m:t>
                                </m:r>
                              </m:sub>
                              <m:sup>
                                <m:r>
                                  <a:rPr lang="es-MX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′</m:t>
                                </m:r>
                              </m:sup>
                            </m:sSubSup>
                          </m:e>
                        </m:rad>
                      </m:num>
                      <m:den>
                        <m:sSub>
                          <m:sSubPr>
                            <m:ctrlP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𝑓</m:t>
                            </m:r>
                          </m:e>
                          <m:sub>
                            <m: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𝑦</m:t>
                            </m:r>
                          </m:sub>
                        </m:sSub>
                      </m:den>
                    </m:f>
                    <m:sSub>
                      <m:sSub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𝐵</m:t>
                        </m:r>
                      </m:e>
                      <m:sub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s-MX" sz="1100" b="0" i="1">
                        <a:latin typeface="Cambria Math" panose="02040503050406030204" pitchFamily="18" charset="0"/>
                      </a:rPr>
                      <m:t>𝑑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124" name="CuadroTexto 123">
              <a:extLst>
                <a:ext uri="{FF2B5EF4-FFF2-40B4-BE49-F238E27FC236}">
                  <a16:creationId xmlns:a16="http://schemas.microsoft.com/office/drawing/2014/main" id="{62D613FF-1446-4BE1-9ABD-030AC4DDAA6C}"/>
                </a:ext>
              </a:extLst>
            </xdr:cNvPr>
            <xdr:cNvSpPr txBox="1"/>
          </xdr:nvSpPr>
          <xdr:spPr>
            <a:xfrm>
              <a:off x="3114115" y="6859793"/>
              <a:ext cx="1395767" cy="42364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1100" b="1" i="0">
                  <a:latin typeface="Cambria Math" panose="02040503050406030204" pitchFamily="18" charset="0"/>
                </a:rPr>
                <a:t>𝐀_𝐬𝐦𝐢𝐧</a:t>
              </a:r>
              <a:r>
                <a:rPr lang="es-MX" sz="1100" b="0" i="0">
                  <a:latin typeface="Cambria Math" panose="02040503050406030204" pitchFamily="18" charset="0"/>
                </a:rPr>
                <a:t>=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0.7 √(𝑓_𝑐^′ )/𝑓_𝑦  </a:t>
              </a:r>
              <a:r>
                <a:rPr lang="es-MX" sz="1100" b="0" i="0">
                  <a:latin typeface="Cambria Math" panose="02040503050406030204" pitchFamily="18" charset="0"/>
                </a:rPr>
                <a:t>𝐵_1 𝑑=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31</xdr:col>
      <xdr:colOff>384810</xdr:colOff>
      <xdr:row>41</xdr:row>
      <xdr:rowOff>80010</xdr:rowOff>
    </xdr:from>
    <xdr:ext cx="908005" cy="38036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5" name="CuadroTexto 124">
              <a:extLst>
                <a:ext uri="{FF2B5EF4-FFF2-40B4-BE49-F238E27FC236}">
                  <a16:creationId xmlns:a16="http://schemas.microsoft.com/office/drawing/2014/main" id="{43842B25-391D-48BD-96AD-CCB8138F490B}"/>
                </a:ext>
              </a:extLst>
            </xdr:cNvPr>
            <xdr:cNvSpPr txBox="1"/>
          </xdr:nvSpPr>
          <xdr:spPr>
            <a:xfrm>
              <a:off x="3280410" y="15937230"/>
              <a:ext cx="908005" cy="380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100" b="1" i="0">
                        <a:latin typeface="Cambria Math" panose="02040503050406030204" pitchFamily="18" charset="0"/>
                      </a:rPr>
                      <m:t>𝐬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=</m:t>
                    </m:r>
                    <m:d>
                      <m:d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s-MX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es-MX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s-MX" sz="1100" b="0" i="1">
                                    <a:latin typeface="Cambria Math" panose="02040503050406030204" pitchFamily="18" charset="0"/>
                                  </a:rPr>
                                  <m:t>𝑎</m:t>
                                </m:r>
                              </m:e>
                              <m:sub>
                                <m:r>
                                  <a:rPr lang="es-MX" sz="1100" b="0" i="1">
                                    <a:latin typeface="Cambria Math" panose="02040503050406030204" pitchFamily="18" charset="0"/>
                                  </a:rPr>
                                  <m:t>𝑠</m:t>
                                </m:r>
                              </m:sub>
                            </m:sSub>
                          </m:num>
                          <m:den>
                            <m:sSub>
                              <m:sSubPr>
                                <m:ctrlPr>
                                  <a:rPr lang="es-MX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s-MX" sz="1100" b="0" i="1">
                                    <a:latin typeface="Cambria Math" panose="02040503050406030204" pitchFamily="18" charset="0"/>
                                  </a:rPr>
                                  <m:t>𝐴</m:t>
                                </m:r>
                              </m:e>
                              <m:sub>
                                <m:r>
                                  <a:rPr lang="es-MX" sz="1100" b="0" i="1">
                                    <a:latin typeface="Cambria Math" panose="02040503050406030204" pitchFamily="18" charset="0"/>
                                  </a:rPr>
                                  <m:t>𝑠</m:t>
                                </m:r>
                              </m:sub>
                            </m:sSub>
                          </m:den>
                        </m:f>
                      </m:e>
                    </m:d>
                    <m:sSub>
                      <m:sSub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𝐵</m:t>
                        </m:r>
                      </m:e>
                      <m:sub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s-MX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125" name="CuadroTexto 124">
              <a:extLst>
                <a:ext uri="{FF2B5EF4-FFF2-40B4-BE49-F238E27FC236}">
                  <a16:creationId xmlns:a16="http://schemas.microsoft.com/office/drawing/2014/main" id="{43842B25-391D-48BD-96AD-CCB8138F490B}"/>
                </a:ext>
              </a:extLst>
            </xdr:cNvPr>
            <xdr:cNvSpPr txBox="1"/>
          </xdr:nvSpPr>
          <xdr:spPr>
            <a:xfrm>
              <a:off x="3280410" y="15937230"/>
              <a:ext cx="908005" cy="380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1100" b="1" i="0">
                  <a:latin typeface="Cambria Math" panose="02040503050406030204" pitchFamily="18" charset="0"/>
                </a:rPr>
                <a:t>𝐬</a:t>
              </a:r>
              <a:r>
                <a:rPr lang="es-MX" sz="1100" b="0" i="0">
                  <a:latin typeface="Cambria Math" panose="02040503050406030204" pitchFamily="18" charset="0"/>
                </a:rPr>
                <a:t>=(𝑎_𝑠/𝐴_𝑠 ) 𝐵_1=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22</xdr:col>
      <xdr:colOff>182880</xdr:colOff>
      <xdr:row>39</xdr:row>
      <xdr:rowOff>11430</xdr:rowOff>
    </xdr:from>
    <xdr:ext cx="15677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6" name="CuadroTexto 125">
              <a:extLst>
                <a:ext uri="{FF2B5EF4-FFF2-40B4-BE49-F238E27FC236}">
                  <a16:creationId xmlns:a16="http://schemas.microsoft.com/office/drawing/2014/main" id="{769D9953-91C8-4039-A634-E523637C79B9}"/>
                </a:ext>
              </a:extLst>
            </xdr:cNvPr>
            <xdr:cNvSpPr txBox="1"/>
          </xdr:nvSpPr>
          <xdr:spPr>
            <a:xfrm>
              <a:off x="9243060" y="7189470"/>
              <a:ext cx="15677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100" b="0" i="1">
                        <a:latin typeface="Cambria Math" panose="02040503050406030204" pitchFamily="18" charset="0"/>
                      </a:rPr>
                      <m:t>@</m:t>
                    </m:r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126" name="CuadroTexto 125">
              <a:extLst>
                <a:ext uri="{FF2B5EF4-FFF2-40B4-BE49-F238E27FC236}">
                  <a16:creationId xmlns:a16="http://schemas.microsoft.com/office/drawing/2014/main" id="{769D9953-91C8-4039-A634-E523637C79B9}"/>
                </a:ext>
              </a:extLst>
            </xdr:cNvPr>
            <xdr:cNvSpPr txBox="1"/>
          </xdr:nvSpPr>
          <xdr:spPr>
            <a:xfrm>
              <a:off x="9243060" y="7189470"/>
              <a:ext cx="15677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100" b="0" i="0">
                  <a:latin typeface="Cambria Math" panose="02040503050406030204" pitchFamily="18" charset="0"/>
                </a:rPr>
                <a:t>@</a:t>
              </a:r>
              <a:endParaRPr lang="es-MX" sz="1100"/>
            </a:p>
          </xdr:txBody>
        </xdr:sp>
      </mc:Fallback>
    </mc:AlternateContent>
    <xdr:clientData/>
  </xdr:oneCellAnchor>
  <xdr:twoCellAnchor editAs="oneCell">
    <xdr:from>
      <xdr:col>17</xdr:col>
      <xdr:colOff>7620</xdr:colOff>
      <xdr:row>25</xdr:row>
      <xdr:rowOff>28007</xdr:rowOff>
    </xdr:from>
    <xdr:to>
      <xdr:col>25</xdr:col>
      <xdr:colOff>237001</xdr:colOff>
      <xdr:row>37</xdr:row>
      <xdr:rowOff>40187</xdr:rowOff>
    </xdr:to>
    <xdr:pic>
      <xdr:nvPicPr>
        <xdr:cNvPr id="38" name="Imagen 37">
          <a:extLst>
            <a:ext uri="{FF2B5EF4-FFF2-40B4-BE49-F238E27FC236}">
              <a16:creationId xmlns:a16="http://schemas.microsoft.com/office/drawing/2014/main" id="{C00BC78A-C47C-4B74-A7C8-8BAAD6D831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682740" y="4622867"/>
          <a:ext cx="4146061" cy="2221980"/>
        </a:xfrm>
        <a:prstGeom prst="rect">
          <a:avLst/>
        </a:prstGeom>
      </xdr:spPr>
    </xdr:pic>
    <xdr:clientData/>
  </xdr:twoCellAnchor>
  <xdr:twoCellAnchor>
    <xdr:from>
      <xdr:col>17</xdr:col>
      <xdr:colOff>386443</xdr:colOff>
      <xdr:row>36</xdr:row>
      <xdr:rowOff>473</xdr:rowOff>
    </xdr:from>
    <xdr:to>
      <xdr:col>18</xdr:col>
      <xdr:colOff>311900</xdr:colOff>
      <xdr:row>39</xdr:row>
      <xdr:rowOff>18508</xdr:rowOff>
    </xdr:to>
    <xdr:cxnSp macro="">
      <xdr:nvCxnSpPr>
        <xdr:cNvPr id="19" name="Conector recto de flecha 18">
          <a:extLst>
            <a:ext uri="{FF2B5EF4-FFF2-40B4-BE49-F238E27FC236}">
              <a16:creationId xmlns:a16="http://schemas.microsoft.com/office/drawing/2014/main" id="{7BC482A9-1746-4544-8E93-2382B5BC6A62}"/>
            </a:ext>
          </a:extLst>
        </xdr:cNvPr>
        <xdr:cNvCxnSpPr/>
      </xdr:nvCxnSpPr>
      <xdr:spPr>
        <a:xfrm flipV="1">
          <a:off x="13144500" y="6771387"/>
          <a:ext cx="458857" cy="605864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198783</xdr:colOff>
      <xdr:row>35</xdr:row>
      <xdr:rowOff>26504</xdr:rowOff>
    </xdr:from>
    <xdr:to>
      <xdr:col>22</xdr:col>
      <xdr:colOff>430925</xdr:colOff>
      <xdr:row>38</xdr:row>
      <xdr:rowOff>10511</xdr:rowOff>
    </xdr:to>
    <xdr:cxnSp macro="">
      <xdr:nvCxnSpPr>
        <xdr:cNvPr id="128" name="Conector recto de flecha 127">
          <a:extLst>
            <a:ext uri="{FF2B5EF4-FFF2-40B4-BE49-F238E27FC236}">
              <a16:creationId xmlns:a16="http://schemas.microsoft.com/office/drawing/2014/main" id="{42A22B38-EE86-4240-A455-CA26C6399F60}"/>
            </a:ext>
          </a:extLst>
        </xdr:cNvPr>
        <xdr:cNvCxnSpPr/>
      </xdr:nvCxnSpPr>
      <xdr:spPr>
        <a:xfrm flipH="1" flipV="1">
          <a:off x="9269896" y="6480313"/>
          <a:ext cx="232142" cy="55385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430662</xdr:colOff>
      <xdr:row>33</xdr:row>
      <xdr:rowOff>79513</xdr:rowOff>
    </xdr:from>
    <xdr:to>
      <xdr:col>23</xdr:col>
      <xdr:colOff>99391</xdr:colOff>
      <xdr:row>38</xdr:row>
      <xdr:rowOff>29169</xdr:rowOff>
    </xdr:to>
    <xdr:cxnSp macro="">
      <xdr:nvCxnSpPr>
        <xdr:cNvPr id="129" name="Conector recto de flecha 128">
          <a:extLst>
            <a:ext uri="{FF2B5EF4-FFF2-40B4-BE49-F238E27FC236}">
              <a16:creationId xmlns:a16="http://schemas.microsoft.com/office/drawing/2014/main" id="{0C0106B3-CD3F-4646-B115-6A7BC49F381E}"/>
            </a:ext>
          </a:extLst>
        </xdr:cNvPr>
        <xdr:cNvCxnSpPr/>
      </xdr:nvCxnSpPr>
      <xdr:spPr>
        <a:xfrm flipV="1">
          <a:off x="9501775" y="6241774"/>
          <a:ext cx="178938" cy="811047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44</xdr:col>
      <xdr:colOff>182880</xdr:colOff>
      <xdr:row>41</xdr:row>
      <xdr:rowOff>11430</xdr:rowOff>
    </xdr:from>
    <xdr:ext cx="15677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0" name="CuadroTexto 129">
              <a:extLst>
                <a:ext uri="{FF2B5EF4-FFF2-40B4-BE49-F238E27FC236}">
                  <a16:creationId xmlns:a16="http://schemas.microsoft.com/office/drawing/2014/main" id="{71C56C7A-6803-433D-984F-FB5BDB18E33F}"/>
                </a:ext>
              </a:extLst>
            </xdr:cNvPr>
            <xdr:cNvSpPr txBox="1"/>
          </xdr:nvSpPr>
          <xdr:spPr>
            <a:xfrm>
              <a:off x="9253993" y="7240491"/>
              <a:ext cx="15677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100" b="0" i="1">
                        <a:latin typeface="Cambria Math" panose="02040503050406030204" pitchFamily="18" charset="0"/>
                      </a:rPr>
                      <m:t>@</m:t>
                    </m:r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130" name="CuadroTexto 129">
              <a:extLst>
                <a:ext uri="{FF2B5EF4-FFF2-40B4-BE49-F238E27FC236}">
                  <a16:creationId xmlns:a16="http://schemas.microsoft.com/office/drawing/2014/main" id="{71C56C7A-6803-433D-984F-FB5BDB18E33F}"/>
                </a:ext>
              </a:extLst>
            </xdr:cNvPr>
            <xdr:cNvSpPr txBox="1"/>
          </xdr:nvSpPr>
          <xdr:spPr>
            <a:xfrm>
              <a:off x="9253993" y="7240491"/>
              <a:ext cx="15677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1100" b="0" i="0">
                  <a:latin typeface="Cambria Math" panose="02040503050406030204" pitchFamily="18" charset="0"/>
                </a:rPr>
                <a:t>@</a:t>
              </a:r>
              <a:endParaRPr lang="es-MX" sz="1100"/>
            </a:p>
          </xdr:txBody>
        </xdr:sp>
      </mc:Fallback>
    </mc:AlternateContent>
    <xdr:clientData/>
  </xdr:oneCellAnchor>
  <xdr:twoCellAnchor editAs="oneCell">
    <xdr:from>
      <xdr:col>38</xdr:col>
      <xdr:colOff>457200</xdr:colOff>
      <xdr:row>27</xdr:row>
      <xdr:rowOff>97117</xdr:rowOff>
    </xdr:from>
    <xdr:to>
      <xdr:col>46</xdr:col>
      <xdr:colOff>53009</xdr:colOff>
      <xdr:row>39</xdr:row>
      <xdr:rowOff>176094</xdr:rowOff>
    </xdr:to>
    <xdr:pic>
      <xdr:nvPicPr>
        <xdr:cNvPr id="43" name="Imagen 42">
          <a:extLst>
            <a:ext uri="{FF2B5EF4-FFF2-40B4-BE49-F238E27FC236}">
              <a16:creationId xmlns:a16="http://schemas.microsoft.com/office/drawing/2014/main" id="{4DADC4DD-DFDF-4CD3-944D-A89C13049A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142922" y="13799865"/>
          <a:ext cx="3511826" cy="2312915"/>
        </a:xfrm>
        <a:prstGeom prst="rect">
          <a:avLst/>
        </a:prstGeom>
      </xdr:spPr>
    </xdr:pic>
    <xdr:clientData/>
  </xdr:twoCellAnchor>
  <xdr:twoCellAnchor>
    <xdr:from>
      <xdr:col>40</xdr:col>
      <xdr:colOff>165847</xdr:colOff>
      <xdr:row>38</xdr:row>
      <xdr:rowOff>198120</xdr:rowOff>
    </xdr:from>
    <xdr:to>
      <xdr:col>41</xdr:col>
      <xdr:colOff>175260</xdr:colOff>
      <xdr:row>41</xdr:row>
      <xdr:rowOff>26896</xdr:rowOff>
    </xdr:to>
    <xdr:cxnSp macro="">
      <xdr:nvCxnSpPr>
        <xdr:cNvPr id="131" name="Conector recto de flecha 130">
          <a:extLst>
            <a:ext uri="{FF2B5EF4-FFF2-40B4-BE49-F238E27FC236}">
              <a16:creationId xmlns:a16="http://schemas.microsoft.com/office/drawing/2014/main" id="{6F4001B7-75C8-4EBF-8F3B-9C409D7FE24C}"/>
            </a:ext>
          </a:extLst>
        </xdr:cNvPr>
        <xdr:cNvCxnSpPr/>
      </xdr:nvCxnSpPr>
      <xdr:spPr>
        <a:xfrm flipV="1">
          <a:off x="25761427" y="7277100"/>
          <a:ext cx="352313" cy="423136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441960</xdr:colOff>
      <xdr:row>36</xdr:row>
      <xdr:rowOff>160020</xdr:rowOff>
    </xdr:from>
    <xdr:to>
      <xdr:col>44</xdr:col>
      <xdr:colOff>242340</xdr:colOff>
      <xdr:row>39</xdr:row>
      <xdr:rowOff>154959</xdr:rowOff>
    </xdr:to>
    <xdr:cxnSp macro="">
      <xdr:nvCxnSpPr>
        <xdr:cNvPr id="132" name="Conector recto de flecha 131">
          <a:extLst>
            <a:ext uri="{FF2B5EF4-FFF2-40B4-BE49-F238E27FC236}">
              <a16:creationId xmlns:a16="http://schemas.microsoft.com/office/drawing/2014/main" id="{83EAE660-8B4A-470D-AC84-DD1FD4D58AB4}"/>
            </a:ext>
          </a:extLst>
        </xdr:cNvPr>
        <xdr:cNvCxnSpPr/>
      </xdr:nvCxnSpPr>
      <xdr:spPr>
        <a:xfrm flipH="1" flipV="1">
          <a:off x="27401520" y="6865620"/>
          <a:ext cx="310920" cy="574059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</xdr:col>
      <xdr:colOff>750570</xdr:colOff>
      <xdr:row>11</xdr:row>
      <xdr:rowOff>15240</xdr:rowOff>
    </xdr:from>
    <xdr:ext cx="91287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5C28DF01-8C43-410F-AE7B-870FDB4A7286}"/>
                </a:ext>
              </a:extLst>
            </xdr:cNvPr>
            <xdr:cNvSpPr txBox="1"/>
          </xdr:nvSpPr>
          <xdr:spPr>
            <a:xfrm>
              <a:off x="750570" y="2087880"/>
              <a:ext cx="91287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s-MX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s-MX" sz="1100" b="0" i="1">
                          <a:latin typeface="Cambria Math" panose="02040503050406030204" pitchFamily="18" charset="0"/>
                        </a:rPr>
                        <m:t>𝐴</m:t>
                      </m:r>
                    </m:e>
                    <m:sub>
                      <m:r>
                        <a:rPr lang="es-MX" sz="1100" b="0" i="1">
                          <a:latin typeface="Cambria Math" panose="02040503050406030204" pitchFamily="18" charset="0"/>
                        </a:rPr>
                        <m:t>𝑠</m:t>
                      </m:r>
                    </m:sub>
                  </m:sSub>
                  <m:r>
                    <a:rPr lang="es-MX" sz="1100" b="0" i="1">
                      <a:latin typeface="Cambria Math" panose="02040503050406030204" pitchFamily="18" charset="0"/>
                    </a:rPr>
                    <m:t>=</m:t>
                  </m:r>
                  <m:sSub>
                    <m:sSubPr>
                      <m:ctrlPr>
                        <a:rPr lang="es-MX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s-MX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𝜌</m:t>
                      </m:r>
                    </m:e>
                    <m:sub>
                      <m:r>
                        <a:rPr lang="es-MX" sz="1100" b="0" i="1">
                          <a:latin typeface="Cambria Math" panose="02040503050406030204" pitchFamily="18" charset="0"/>
                        </a:rPr>
                        <m:t>𝑚𝑖𝑛</m:t>
                      </m:r>
                    </m:sub>
                  </m:sSub>
                  <m:sSub>
                    <m:sSubPr>
                      <m:ctrlPr>
                        <a:rPr lang="es-MX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s-MX" sz="1100" b="0" i="1">
                          <a:latin typeface="Cambria Math" panose="02040503050406030204" pitchFamily="18" charset="0"/>
                        </a:rPr>
                        <m:t>h</m:t>
                      </m:r>
                    </m:e>
                    <m:sub>
                      <m:r>
                        <a:rPr lang="es-MX" sz="1100" b="0" i="1">
                          <a:latin typeface="Cambria Math" panose="02040503050406030204" pitchFamily="18" charset="0"/>
                        </a:rPr>
                        <m:t>𝑐</m:t>
                      </m:r>
                    </m:sub>
                  </m:sSub>
                  <m:r>
                    <a:rPr lang="es-MX" sz="1100" b="0" i="1">
                      <a:latin typeface="Cambria Math" panose="02040503050406030204" pitchFamily="18" charset="0"/>
                    </a:rPr>
                    <m:t>𝐶</m:t>
                  </m:r>
                </m:oMath>
              </a14:m>
              <a:r>
                <a:rPr lang="es-MX" sz="1100"/>
                <a:t>=</a:t>
              </a:r>
            </a:p>
          </xdr:txBody>
        </xdr:sp>
      </mc:Choice>
      <mc:Fallback xmlns=""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5C28DF01-8C43-410F-AE7B-870FDB4A7286}"/>
                </a:ext>
              </a:extLst>
            </xdr:cNvPr>
            <xdr:cNvSpPr txBox="1"/>
          </xdr:nvSpPr>
          <xdr:spPr>
            <a:xfrm>
              <a:off x="750570" y="2087880"/>
              <a:ext cx="91287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100" b="0" i="0">
                  <a:latin typeface="Cambria Math" panose="02040503050406030204" pitchFamily="18" charset="0"/>
                </a:rPr>
                <a:t>𝐴_𝑠=</a:t>
              </a:r>
              <a:r>
                <a:rPr lang="es-MX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𝜌_</a:t>
              </a:r>
              <a:r>
                <a:rPr lang="es-MX" sz="1100" b="0" i="0">
                  <a:latin typeface="Cambria Math" panose="02040503050406030204" pitchFamily="18" charset="0"/>
                </a:rPr>
                <a:t>𝑚𝑖𝑛 ℎ_𝑐 𝐶</a:t>
              </a:r>
              <a:r>
                <a:rPr lang="es-MX" sz="1100"/>
                <a:t>=</a:t>
              </a:r>
            </a:p>
          </xdr:txBody>
        </xdr:sp>
      </mc:Fallback>
    </mc:AlternateContent>
    <xdr:clientData/>
  </xdr:oneCellAnchor>
  <xdr:oneCellAnchor>
    <xdr:from>
      <xdr:col>4</xdr:col>
      <xdr:colOff>16566</xdr:colOff>
      <xdr:row>5</xdr:row>
      <xdr:rowOff>6624</xdr:rowOff>
    </xdr:from>
    <xdr:ext cx="225062" cy="1841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6" name="CuadroTexto 25">
              <a:extLst>
                <a:ext uri="{FF2B5EF4-FFF2-40B4-BE49-F238E27FC236}">
                  <a16:creationId xmlns:a16="http://schemas.microsoft.com/office/drawing/2014/main" id="{F77AC09B-364C-4662-BEC7-B2C50AFC0A9D}"/>
                </a:ext>
              </a:extLst>
            </xdr:cNvPr>
            <xdr:cNvSpPr txBox="1"/>
          </xdr:nvSpPr>
          <xdr:spPr>
            <a:xfrm>
              <a:off x="3329609" y="967407"/>
              <a:ext cx="225062" cy="1841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s-MX" sz="1200" b="1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s-MX" sz="1200" b="1" i="0">
                          <a:latin typeface="Cambria Math" panose="02040503050406030204" pitchFamily="18" charset="0"/>
                        </a:rPr>
                        <m:t>𝐡</m:t>
                      </m:r>
                    </m:e>
                    <m:sub>
                      <m:r>
                        <a:rPr lang="es-MX" sz="1200" b="1" i="0">
                          <a:latin typeface="Cambria Math" panose="02040503050406030204" pitchFamily="18" charset="0"/>
                        </a:rPr>
                        <m:t>𝐜</m:t>
                      </m:r>
                    </m:sub>
                  </m:sSub>
                </m:oMath>
              </a14:m>
              <a:r>
                <a:rPr lang="es-MX" sz="1100" b="1" i="0"/>
                <a:t>=</a:t>
              </a:r>
            </a:p>
          </xdr:txBody>
        </xdr:sp>
      </mc:Choice>
      <mc:Fallback xmlns="">
        <xdr:sp macro="" textlink="">
          <xdr:nvSpPr>
            <xdr:cNvPr id="26" name="CuadroTexto 25">
              <a:extLst>
                <a:ext uri="{FF2B5EF4-FFF2-40B4-BE49-F238E27FC236}">
                  <a16:creationId xmlns:a16="http://schemas.microsoft.com/office/drawing/2014/main" id="{F77AC09B-364C-4662-BEC7-B2C50AFC0A9D}"/>
                </a:ext>
              </a:extLst>
            </xdr:cNvPr>
            <xdr:cNvSpPr txBox="1"/>
          </xdr:nvSpPr>
          <xdr:spPr>
            <a:xfrm>
              <a:off x="3329609" y="967407"/>
              <a:ext cx="225062" cy="1841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200" b="1" i="0">
                  <a:latin typeface="Cambria Math" panose="02040503050406030204" pitchFamily="18" charset="0"/>
                </a:rPr>
                <a:t>𝐡_𝐜</a:t>
              </a:r>
              <a:r>
                <a:rPr lang="es-MX" sz="1100" b="1" i="0"/>
                <a:t>=</a:t>
              </a:r>
            </a:p>
          </xdr:txBody>
        </xdr:sp>
      </mc:Fallback>
    </mc:AlternateContent>
    <xdr:clientData/>
  </xdr:oneCellAnchor>
  <xdr:oneCellAnchor>
    <xdr:from>
      <xdr:col>3</xdr:col>
      <xdr:colOff>155714</xdr:colOff>
      <xdr:row>7</xdr:row>
      <xdr:rowOff>19878</xdr:rowOff>
    </xdr:from>
    <xdr:ext cx="146002" cy="172227"/>
    <xdr:sp macro="" textlink="">
      <xdr:nvSpPr>
        <xdr:cNvPr id="127" name="CuadroTexto 126">
          <a:extLst>
            <a:ext uri="{FF2B5EF4-FFF2-40B4-BE49-F238E27FC236}">
              <a16:creationId xmlns:a16="http://schemas.microsoft.com/office/drawing/2014/main" id="{63795835-F763-4456-9149-C488C108A362}"/>
            </a:ext>
          </a:extLst>
        </xdr:cNvPr>
        <xdr:cNvSpPr txBox="1"/>
      </xdr:nvSpPr>
      <xdr:spPr>
        <a:xfrm>
          <a:off x="2640497" y="1404730"/>
          <a:ext cx="146002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es-MX" sz="1100" b="1" i="0"/>
            <a:t>h=</a:t>
          </a:r>
        </a:p>
      </xdr:txBody>
    </xdr:sp>
    <xdr:clientData/>
  </xdr:oneCellAnchor>
  <xdr:oneCellAnchor>
    <xdr:from>
      <xdr:col>3</xdr:col>
      <xdr:colOff>533401</xdr:colOff>
      <xdr:row>7</xdr:row>
      <xdr:rowOff>19878</xdr:rowOff>
    </xdr:from>
    <xdr:ext cx="173830" cy="172227"/>
    <xdr:sp macro="" textlink="">
      <xdr:nvSpPr>
        <xdr:cNvPr id="133" name="CuadroTexto 132">
          <a:extLst>
            <a:ext uri="{FF2B5EF4-FFF2-40B4-BE49-F238E27FC236}">
              <a16:creationId xmlns:a16="http://schemas.microsoft.com/office/drawing/2014/main" id="{E6D71463-083C-4DDD-93FA-F1937994555A}"/>
            </a:ext>
          </a:extLst>
        </xdr:cNvPr>
        <xdr:cNvSpPr txBox="1"/>
      </xdr:nvSpPr>
      <xdr:spPr>
        <a:xfrm>
          <a:off x="3018184" y="1404730"/>
          <a:ext cx="173830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es-MX" sz="1100" b="1" i="0"/>
            <a:t>cm</a:t>
          </a:r>
        </a:p>
      </xdr:txBody>
    </xdr:sp>
    <xdr:clientData/>
  </xdr:oneCellAnchor>
  <xdr:twoCellAnchor>
    <xdr:from>
      <xdr:col>3</xdr:col>
      <xdr:colOff>707544</xdr:colOff>
      <xdr:row>2</xdr:row>
      <xdr:rowOff>79513</xdr:rowOff>
    </xdr:from>
    <xdr:to>
      <xdr:col>6</xdr:col>
      <xdr:colOff>725887</xdr:colOff>
      <xdr:row>8</xdr:row>
      <xdr:rowOff>99391</xdr:rowOff>
    </xdr:to>
    <xdr:grpSp>
      <xdr:nvGrpSpPr>
        <xdr:cNvPr id="41" name="Grupo 40">
          <a:extLst>
            <a:ext uri="{FF2B5EF4-FFF2-40B4-BE49-F238E27FC236}">
              <a16:creationId xmlns:a16="http://schemas.microsoft.com/office/drawing/2014/main" id="{0FF79FB1-C42F-44C4-928E-5C67F622348D}"/>
            </a:ext>
          </a:extLst>
        </xdr:cNvPr>
        <xdr:cNvGrpSpPr/>
      </xdr:nvGrpSpPr>
      <xdr:grpSpPr>
        <a:xfrm>
          <a:off x="3022119" y="450988"/>
          <a:ext cx="2332918" cy="1391478"/>
          <a:chOff x="3298345" y="450574"/>
          <a:chExt cx="2503125" cy="1245704"/>
        </a:xfrm>
      </xdr:grpSpPr>
      <xdr:pic>
        <xdr:nvPicPr>
          <xdr:cNvPr id="18" name="Imagen 17">
            <a:extLst>
              <a:ext uri="{FF2B5EF4-FFF2-40B4-BE49-F238E27FC236}">
                <a16:creationId xmlns:a16="http://schemas.microsoft.com/office/drawing/2014/main" id="{D1E9C5B2-043C-44CE-8C28-328C8173EF1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BEBA8EAE-BF5A-486C-A8C5-ECC9F3942E4B}">
                <a14:imgProps xmlns:a14="http://schemas.microsoft.com/office/drawing/2010/main">
                  <a14:imgLayer r:embed="rId8">
                    <a14:imgEffect>
                      <a14:backgroundRemoval t="8465" b="96850" l="3385" r="96809">
                        <a14:foregroundMark x1="42553" y1="9843" x2="42650" y2="71063"/>
                        <a14:foregroundMark x1="42166" y1="9843" x2="51741" y2="8661"/>
                        <a14:foregroundMark x1="51741" y1="8661" x2="57930" y2="9449"/>
                        <a14:foregroundMark x1="57737" y1="9449" x2="42553" y2="9252"/>
                        <a14:foregroundMark x1="46132" y1="9449" x2="57544" y2="9843"/>
                        <a14:foregroundMark x1="57834" y1="10039" x2="58124" y2="39173"/>
                        <a14:foregroundMark x1="57930" y1="31496" x2="58704" y2="66929"/>
                        <a14:foregroundMark x1="57930" y1="51378" x2="58317" y2="72047"/>
                        <a14:foregroundMark x1="58317" y1="72047" x2="58221" y2="72244"/>
                        <a14:foregroundMark x1="57930" y1="70866" x2="71083" y2="72441"/>
                        <a14:foregroundMark x1="70793" y1="72441" x2="84139" y2="71457"/>
                        <a14:foregroundMark x1="82979" y1="70866" x2="96809" y2="72441"/>
                        <a14:foregroundMark x1="95745" y1="72047" x2="95841" y2="91535"/>
                        <a14:foregroundMark x1="95841" y1="91535" x2="96325" y2="93898"/>
                        <a14:foregroundMark x1="96422" y1="75000" x2="96712" y2="94685"/>
                        <a14:foregroundMark x1="96325" y1="93898" x2="77756" y2="94685"/>
                        <a14:foregroundMark x1="80174" y1="94685" x2="69729" y2="94685"/>
                        <a14:foregroundMark x1="70213" y1="96457" x2="61896" y2="93898"/>
                        <a14:foregroundMark x1="65474" y1="96457" x2="53772" y2="96457"/>
                        <a14:foregroundMark x1="56480" y1="95866" x2="42553" y2="95472"/>
                        <a14:foregroundMark x1="45261" y1="96063" x2="29207" y2="94488"/>
                        <a14:foregroundMark x1="36460" y1="95472" x2="22631" y2="94685"/>
                        <a14:foregroundMark x1="25532" y1="93701" x2="10251" y2="95866"/>
                        <a14:foregroundMark x1="3965" y1="94488" x2="13540" y2="97244"/>
                        <a14:foregroundMark x1="4545" y1="94094" x2="4545" y2="72441"/>
                        <a14:foregroundMark x1="29594" y1="71654" x2="39458" y2="71457"/>
                        <a14:foregroundMark x1="39458" y1="71457" x2="43424" y2="72047"/>
                        <a14:foregroundMark x1="35203" y1="71654" x2="43617" y2="73031"/>
                        <a14:foregroundMark x1="37621" y1="71654" x2="31238" y2="71654"/>
                        <a14:foregroundMark x1="41876" y1="71063" x2="32592" y2="71063"/>
                        <a14:foregroundMark x1="32979" y1="72244" x2="12379" y2="72835"/>
                        <a14:foregroundMark x1="19052" y1="71654" x2="9188" y2="72441"/>
                        <a14:foregroundMark x1="9188" y1="72441" x2="9188" y2="72441"/>
                        <a14:foregroundMark x1="7253" y1="95472" x2="3772" y2="94094"/>
                        <a14:foregroundMark x1="7930" y1="95866" x2="3385" y2="93701"/>
                        <a14:foregroundMark x1="55416" y1="8465" x2="42553" y2="8661"/>
                        <a14:foregroundMark x1="53385" y1="9449" x2="57930" y2="9449"/>
                        <a14:foregroundMark x1="55416" y1="8661" x2="58124" y2="9449"/>
                        <a14:foregroundMark x1="57834" y1="9449" x2="57737" y2="20669"/>
                        <a14:foregroundMark x1="57930" y1="24213" x2="58124" y2="39764"/>
                        <a14:foregroundMark x1="58414" y1="34449" x2="57737" y2="46654"/>
                        <a14:foregroundMark x1="57930" y1="37598" x2="57930" y2="47441"/>
                        <a14:foregroundMark x1="58221" y1="13386" x2="57544" y2="32480"/>
                        <a14:foregroundMark x1="57737" y1="24016" x2="58124" y2="35236"/>
                        <a14:foregroundMark x1="58124" y1="10630" x2="58221" y2="18110"/>
                        <a14:foregroundMark x1="32495" y1="72047" x2="25629" y2="70866"/>
                        <a14:foregroundMark x1="25919" y1="71457" x2="21373" y2="70866"/>
                        <a14:foregroundMark x1="20696" y1="71654" x2="17215" y2="71063"/>
                        <a14:foregroundMark x1="16248" y1="71654" x2="12959" y2="72244"/>
                        <a14:foregroundMark x1="12669" y1="72047" x2="8994" y2="72047"/>
                        <a14:foregroundMark x1="8704" y1="71063" x2="4739" y2="72441"/>
                        <a14:foregroundMark x1="15280" y1="71063" x2="7930" y2="71654"/>
                        <a14:foregroundMark x1="17602" y1="71457" x2="12379" y2="71457"/>
                        <a14:foregroundMark x1="21180" y1="72047" x2="15184" y2="71063"/>
                      </a14:backgroundRemoval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3298345" y="462375"/>
            <a:ext cx="2503125" cy="1233903"/>
          </a:xfrm>
          <a:prstGeom prst="rect">
            <a:avLst/>
          </a:prstGeom>
        </xdr:spPr>
      </xdr:pic>
      <xdr:grpSp>
        <xdr:nvGrpSpPr>
          <xdr:cNvPr id="40" name="Grupo 39">
            <a:extLst>
              <a:ext uri="{FF2B5EF4-FFF2-40B4-BE49-F238E27FC236}">
                <a16:creationId xmlns:a16="http://schemas.microsoft.com/office/drawing/2014/main" id="{DFEE051E-EAAA-4ABC-8AE4-55E1DC6C4C37}"/>
              </a:ext>
            </a:extLst>
          </xdr:cNvPr>
          <xdr:cNvGrpSpPr/>
        </xdr:nvGrpSpPr>
        <xdr:grpSpPr>
          <a:xfrm>
            <a:off x="3339548" y="450574"/>
            <a:ext cx="1411357" cy="1212574"/>
            <a:chOff x="3339548" y="450574"/>
            <a:chExt cx="1411357" cy="1212574"/>
          </a:xfrm>
        </xdr:grpSpPr>
        <xdr:cxnSp macro="">
          <xdr:nvCxnSpPr>
            <xdr:cNvPr id="21" name="Conector recto de flecha 20">
              <a:extLst>
                <a:ext uri="{FF2B5EF4-FFF2-40B4-BE49-F238E27FC236}">
                  <a16:creationId xmlns:a16="http://schemas.microsoft.com/office/drawing/2014/main" id="{E7321227-2756-4335-942B-C6E4AECF0493}"/>
                </a:ext>
              </a:extLst>
            </xdr:cNvPr>
            <xdr:cNvCxnSpPr/>
          </xdr:nvCxnSpPr>
          <xdr:spPr>
            <a:xfrm flipH="1">
              <a:off x="4234070" y="563217"/>
              <a:ext cx="6625" cy="1086678"/>
            </a:xfrm>
            <a:prstGeom prst="straightConnector1">
              <a:avLst/>
            </a:prstGeom>
            <a:ln>
              <a:headEnd type="triangle"/>
              <a:tailEnd type="triangle"/>
            </a:ln>
          </xdr:spPr>
          <xdr:style>
            <a:lnRef idx="2">
              <a:schemeClr val="accent2"/>
            </a:lnRef>
            <a:fillRef idx="0">
              <a:schemeClr val="accent2"/>
            </a:fillRef>
            <a:effectRef idx="1">
              <a:schemeClr val="accent2"/>
            </a:effectRef>
            <a:fontRef idx="minor">
              <a:schemeClr val="tx1"/>
            </a:fontRef>
          </xdr:style>
        </xdr:cxnSp>
        <xdr:cxnSp macro="">
          <xdr:nvCxnSpPr>
            <xdr:cNvPr id="134" name="Conector recto de flecha 133">
              <a:extLst>
                <a:ext uri="{FF2B5EF4-FFF2-40B4-BE49-F238E27FC236}">
                  <a16:creationId xmlns:a16="http://schemas.microsoft.com/office/drawing/2014/main" id="{ADA3E06E-0C5A-4294-96D5-A9239A7D4BF3}"/>
                </a:ext>
              </a:extLst>
            </xdr:cNvPr>
            <xdr:cNvCxnSpPr/>
          </xdr:nvCxnSpPr>
          <xdr:spPr>
            <a:xfrm>
              <a:off x="3339548" y="1338469"/>
              <a:ext cx="0" cy="324679"/>
            </a:xfrm>
            <a:prstGeom prst="straightConnector1">
              <a:avLst/>
            </a:prstGeom>
            <a:ln>
              <a:headEnd type="triangle"/>
              <a:tailEnd type="triangle"/>
            </a:ln>
          </xdr:spPr>
          <xdr:style>
            <a:lnRef idx="2">
              <a:schemeClr val="accent2"/>
            </a:lnRef>
            <a:fillRef idx="0">
              <a:schemeClr val="accent2"/>
            </a:fillRef>
            <a:effectRef idx="1">
              <a:schemeClr val="accent2"/>
            </a:effectRef>
            <a:fontRef idx="minor">
              <a:schemeClr val="tx1"/>
            </a:fontRef>
          </xdr:style>
        </xdr:cxnSp>
        <xdr:cxnSp macro="">
          <xdr:nvCxnSpPr>
            <xdr:cNvPr id="135" name="Conector recto de flecha 134">
              <a:extLst>
                <a:ext uri="{FF2B5EF4-FFF2-40B4-BE49-F238E27FC236}">
                  <a16:creationId xmlns:a16="http://schemas.microsoft.com/office/drawing/2014/main" id="{A8AA53E2-8405-488B-8DFA-E79B73E0D5AD}"/>
                </a:ext>
              </a:extLst>
            </xdr:cNvPr>
            <xdr:cNvCxnSpPr/>
          </xdr:nvCxnSpPr>
          <xdr:spPr>
            <a:xfrm>
              <a:off x="4366592" y="450574"/>
              <a:ext cx="384313" cy="0"/>
            </a:xfrm>
            <a:prstGeom prst="straightConnector1">
              <a:avLst/>
            </a:prstGeom>
            <a:ln>
              <a:headEnd type="triangle"/>
              <a:tailEnd type="triangle"/>
            </a:ln>
          </xdr:spPr>
          <xdr:style>
            <a:lnRef idx="2">
              <a:schemeClr val="accent2"/>
            </a:lnRef>
            <a:fillRef idx="0">
              <a:schemeClr val="accent2"/>
            </a:fillRef>
            <a:effectRef idx="1">
              <a:schemeClr val="accent2"/>
            </a:effectRef>
            <a:fontRef idx="minor">
              <a:schemeClr val="tx1"/>
            </a:fontRef>
          </xdr:style>
        </xdr:cxnSp>
      </xdr:grpSp>
    </xdr:grpSp>
    <xdr:clientData/>
  </xdr:twoCellAnchor>
  <xdr:oneCellAnchor>
    <xdr:from>
      <xdr:col>4</xdr:col>
      <xdr:colOff>824949</xdr:colOff>
      <xdr:row>1</xdr:row>
      <xdr:rowOff>6626</xdr:rowOff>
    </xdr:from>
    <xdr:ext cx="144911" cy="172227"/>
    <xdr:sp macro="" textlink="">
      <xdr:nvSpPr>
        <xdr:cNvPr id="136" name="CuadroTexto 135">
          <a:extLst>
            <a:ext uri="{FF2B5EF4-FFF2-40B4-BE49-F238E27FC236}">
              <a16:creationId xmlns:a16="http://schemas.microsoft.com/office/drawing/2014/main" id="{F2C2E106-D12A-4705-9E87-2A97289747DA}"/>
            </a:ext>
          </a:extLst>
        </xdr:cNvPr>
        <xdr:cNvSpPr txBox="1"/>
      </xdr:nvSpPr>
      <xdr:spPr>
        <a:xfrm>
          <a:off x="4137992" y="178904"/>
          <a:ext cx="144911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es-MX" sz="1100" b="1" i="0"/>
            <a:t>C=</a:t>
          </a:r>
        </a:p>
      </xdr:txBody>
    </xdr:sp>
    <xdr:clientData/>
  </xdr:oneCellAnchor>
  <xdr:oneCellAnchor>
    <xdr:from>
      <xdr:col>4</xdr:col>
      <xdr:colOff>573159</xdr:colOff>
      <xdr:row>5</xdr:row>
      <xdr:rowOff>26504</xdr:rowOff>
    </xdr:from>
    <xdr:ext cx="173830" cy="172227"/>
    <xdr:sp macro="" textlink="">
      <xdr:nvSpPr>
        <xdr:cNvPr id="137" name="CuadroTexto 136">
          <a:extLst>
            <a:ext uri="{FF2B5EF4-FFF2-40B4-BE49-F238E27FC236}">
              <a16:creationId xmlns:a16="http://schemas.microsoft.com/office/drawing/2014/main" id="{7BB91C4E-1F61-4CA9-943A-E0F851779CDA}"/>
            </a:ext>
          </a:extLst>
        </xdr:cNvPr>
        <xdr:cNvSpPr txBox="1"/>
      </xdr:nvSpPr>
      <xdr:spPr>
        <a:xfrm>
          <a:off x="3886202" y="987287"/>
          <a:ext cx="173830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es-MX" sz="1100" b="1" i="0"/>
            <a:t>cm</a:t>
          </a:r>
        </a:p>
      </xdr:txBody>
    </xdr:sp>
    <xdr:clientData/>
  </xdr:oneCellAnchor>
  <xdr:oneCellAnchor>
    <xdr:from>
      <xdr:col>5</xdr:col>
      <xdr:colOff>447262</xdr:colOff>
      <xdr:row>1</xdr:row>
      <xdr:rowOff>13250</xdr:rowOff>
    </xdr:from>
    <xdr:ext cx="173830" cy="172227"/>
    <xdr:sp macro="" textlink="">
      <xdr:nvSpPr>
        <xdr:cNvPr id="138" name="CuadroTexto 137">
          <a:extLst>
            <a:ext uri="{FF2B5EF4-FFF2-40B4-BE49-F238E27FC236}">
              <a16:creationId xmlns:a16="http://schemas.microsoft.com/office/drawing/2014/main" id="{7A3C2894-EC92-4FBD-A35A-D803B6515C48}"/>
            </a:ext>
          </a:extLst>
        </xdr:cNvPr>
        <xdr:cNvSpPr txBox="1"/>
      </xdr:nvSpPr>
      <xdr:spPr>
        <a:xfrm>
          <a:off x="4588566" y="185528"/>
          <a:ext cx="173830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es-MX" sz="1100" b="1" i="0"/>
            <a:t>cm</a:t>
          </a:r>
        </a:p>
      </xdr:txBody>
    </xdr:sp>
    <xdr:clientData/>
  </xdr:oneCellAnchor>
  <xdr:oneCellAnchor>
    <xdr:from>
      <xdr:col>1</xdr:col>
      <xdr:colOff>102870</xdr:colOff>
      <xdr:row>20</xdr:row>
      <xdr:rowOff>38100</xdr:rowOff>
    </xdr:from>
    <xdr:ext cx="1588770" cy="36548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2" name="CuadroTexto 41">
              <a:extLst>
                <a:ext uri="{FF2B5EF4-FFF2-40B4-BE49-F238E27FC236}">
                  <a16:creationId xmlns:a16="http://schemas.microsoft.com/office/drawing/2014/main" id="{1A10B9C2-526E-4B90-9868-10371B4523A2}"/>
                </a:ext>
              </a:extLst>
            </xdr:cNvPr>
            <xdr:cNvSpPr txBox="1"/>
          </xdr:nvSpPr>
          <xdr:spPr>
            <a:xfrm>
              <a:off x="933450" y="3825240"/>
              <a:ext cx="1588770" cy="36548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MX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𝐴</m:t>
                        </m:r>
                      </m:e>
                      <m:sub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𝑠</m:t>
                        </m:r>
                      </m:sub>
                    </m:sSub>
                    <m:r>
                      <a:rPr lang="es-MX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s-MX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660</m:t>
                        </m:r>
                        <m:sSub>
                          <m:sSubPr>
                            <m:ctrlPr>
                              <a:rPr lang="es-MX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</m:num>
                      <m:den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(</m:t>
                        </m:r>
                        <m:sSub>
                          <m:sSubPr>
                            <m:ctrlPr>
                              <a:rPr lang="es-MX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𝑓</m:t>
                            </m:r>
                          </m:e>
                          <m:sub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sub>
                        </m:sSub>
                        <m:d>
                          <m:dPr>
                            <m:ctrlPr>
                              <a:rPr lang="es-MX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100+</m:t>
                            </m:r>
                            <m:sSub>
                              <m:sSubPr>
                                <m:ctrlPr>
                                  <a:rPr lang="es-MX" sz="110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s-MX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s-MX" sz="1100" b="0" i="1">
                                    <a:latin typeface="Cambria Math" panose="02040503050406030204" pitchFamily="18" charset="0"/>
                                  </a:rPr>
                                  <m:t>1</m:t>
                                </m:r>
                              </m:sub>
                            </m:sSub>
                          </m:e>
                        </m:d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)</m:t>
                        </m:r>
                      </m:den>
                    </m:f>
                    <m:sSub>
                      <m:sSubPr>
                        <m:ctrlPr>
                          <a:rPr lang="es-MX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h</m:t>
                        </m:r>
                      </m:e>
                      <m:sub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sub>
                    </m:sSub>
                    <m:r>
                      <a:rPr lang="es-MX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42" name="CuadroTexto 41">
              <a:extLst>
                <a:ext uri="{FF2B5EF4-FFF2-40B4-BE49-F238E27FC236}">
                  <a16:creationId xmlns:a16="http://schemas.microsoft.com/office/drawing/2014/main" id="{1A10B9C2-526E-4B90-9868-10371B4523A2}"/>
                </a:ext>
              </a:extLst>
            </xdr:cNvPr>
            <xdr:cNvSpPr txBox="1"/>
          </xdr:nvSpPr>
          <xdr:spPr>
            <a:xfrm>
              <a:off x="933450" y="3825240"/>
              <a:ext cx="1588770" cy="36548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𝐴_𝑠=</a:t>
              </a:r>
              <a:r>
                <a:rPr lang="es-MX" sz="1100" i="0">
                  <a:latin typeface="Cambria Math" panose="02040503050406030204" pitchFamily="18" charset="0"/>
                </a:rPr>
                <a:t>(</a:t>
              </a:r>
              <a:r>
                <a:rPr lang="es-MX" sz="1100" b="0" i="0">
                  <a:latin typeface="Cambria Math" panose="02040503050406030204" pitchFamily="18" charset="0"/>
                </a:rPr>
                <a:t>660𝑥_1)/((𝑓_𝑦 (100+𝑥_1 ))) ℎ_𝑐=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2</xdr:col>
      <xdr:colOff>529590</xdr:colOff>
      <xdr:row>18</xdr:row>
      <xdr:rowOff>30480</xdr:rowOff>
    </xdr:from>
    <xdr:ext cx="32252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4" name="CuadroTexto 43">
              <a:extLst>
                <a:ext uri="{FF2B5EF4-FFF2-40B4-BE49-F238E27FC236}">
                  <a16:creationId xmlns:a16="http://schemas.microsoft.com/office/drawing/2014/main" id="{04AFDB06-61C4-4543-9100-7A1C1211D131}"/>
                </a:ext>
              </a:extLst>
            </xdr:cNvPr>
            <xdr:cNvSpPr txBox="1"/>
          </xdr:nvSpPr>
          <xdr:spPr>
            <a:xfrm>
              <a:off x="2190750" y="3451860"/>
              <a:ext cx="32252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MX" sz="11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b="1" i="0">
                            <a:latin typeface="Cambria Math" panose="02040503050406030204" pitchFamily="18" charset="0"/>
                          </a:rPr>
                          <m:t>𝐱</m:t>
                        </m:r>
                      </m:e>
                      <m:sub>
                        <m:r>
                          <a:rPr lang="es-MX" sz="1100" b="1" i="0">
                            <a:latin typeface="Cambria Math" panose="02040503050406030204" pitchFamily="18" charset="0"/>
                          </a:rPr>
                          <m:t>𝟏</m:t>
                        </m:r>
                      </m:sub>
                    </m:sSub>
                    <m:r>
                      <a:rPr lang="es-MX" sz="1100" b="1" i="0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MX" sz="1100" b="1" i="0"/>
            </a:p>
          </xdr:txBody>
        </xdr:sp>
      </mc:Choice>
      <mc:Fallback xmlns="">
        <xdr:sp macro="" textlink="">
          <xdr:nvSpPr>
            <xdr:cNvPr id="44" name="CuadroTexto 43">
              <a:extLst>
                <a:ext uri="{FF2B5EF4-FFF2-40B4-BE49-F238E27FC236}">
                  <a16:creationId xmlns:a16="http://schemas.microsoft.com/office/drawing/2014/main" id="{04AFDB06-61C4-4543-9100-7A1C1211D131}"/>
                </a:ext>
              </a:extLst>
            </xdr:cNvPr>
            <xdr:cNvSpPr txBox="1"/>
          </xdr:nvSpPr>
          <xdr:spPr>
            <a:xfrm>
              <a:off x="2190750" y="3451860"/>
              <a:ext cx="32252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100" b="1" i="0">
                  <a:latin typeface="Cambria Math" panose="02040503050406030204" pitchFamily="18" charset="0"/>
                </a:rPr>
                <a:t>𝐱_𝟏=</a:t>
              </a:r>
              <a:endParaRPr lang="es-MX" sz="1100" b="1" i="0"/>
            </a:p>
          </xdr:txBody>
        </xdr:sp>
      </mc:Fallback>
    </mc:AlternateContent>
    <xdr:clientData/>
  </xdr:oneCellAnchor>
  <xdr:twoCellAnchor editAs="oneCell">
    <xdr:from>
      <xdr:col>0</xdr:col>
      <xdr:colOff>475950</xdr:colOff>
      <xdr:row>28</xdr:row>
      <xdr:rowOff>167639</xdr:rowOff>
    </xdr:from>
    <xdr:to>
      <xdr:col>6</xdr:col>
      <xdr:colOff>160742</xdr:colOff>
      <xdr:row>42</xdr:row>
      <xdr:rowOff>15616</xdr:rowOff>
    </xdr:to>
    <xdr:pic>
      <xdr:nvPicPr>
        <xdr:cNvPr id="46" name="Imagen 45">
          <a:extLst>
            <a:ext uri="{FF2B5EF4-FFF2-40B4-BE49-F238E27FC236}">
              <a16:creationId xmlns:a16="http://schemas.microsoft.com/office/drawing/2014/main" id="{9626FAA4-2576-42F9-BF40-8E018CF0DF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BEBA8EAE-BF5A-486C-A8C5-ECC9F3942E4B}">
              <a14:imgProps xmlns:a14="http://schemas.microsoft.com/office/drawing/2010/main">
                <a14:imgLayer r:embed="rId10">
                  <a14:imgEffect>
                    <a14:backgroundRemoval t="6655" b="99825" l="4575" r="98170">
                      <a14:foregroundMark x1="4849" y1="85814" x2="5947" y2="96848"/>
                      <a14:foregroundMark x1="5124" y1="87391" x2="5855" y2="98424"/>
                      <a14:foregroundMark x1="5215" y1="85639" x2="17841" y2="84939"/>
                      <a14:foregroundMark x1="17841" y1="84939" x2="27630" y2="85114"/>
                      <a14:foregroundMark x1="5947" y1="84939" x2="27722" y2="61471"/>
                      <a14:foregroundMark x1="7960" y1="83012" x2="27813" y2="61471"/>
                      <a14:foregroundMark x1="23788" y1="64448" x2="27813" y2="60245"/>
                      <a14:foregroundMark x1="25160" y1="63222" x2="22781" y2="66200"/>
                      <a14:foregroundMark x1="23239" y1="65149" x2="20311" y2="67951"/>
                      <a14:foregroundMark x1="20311" y1="68301" x2="17383" y2="71804"/>
                      <a14:foregroundMark x1="18481" y1="70403" x2="15737" y2="72855"/>
                      <a14:foregroundMark x1="16011" y1="72855" x2="12717" y2="75657"/>
                      <a14:foregroundMark x1="14547" y1="74781" x2="11162" y2="78284"/>
                      <a14:foregroundMark x1="11985" y1="77408" x2="9058" y2="80385"/>
                      <a14:foregroundMark x1="9973" y1="79335" x2="7777" y2="81961"/>
                      <a14:foregroundMark x1="8234" y1="81611" x2="6038" y2="83713"/>
                      <a14:foregroundMark x1="6679" y1="82487" x2="5581" y2="84588"/>
                      <a14:foregroundMark x1="5489" y1="84939" x2="4941" y2="88441"/>
                      <a14:foregroundMark x1="5306" y1="87040" x2="4941" y2="95447"/>
                      <a14:foregroundMark x1="4666" y1="88967" x2="4666" y2="93170"/>
                      <a14:foregroundMark x1="5124" y1="92995" x2="5398" y2="97898"/>
                      <a14:foregroundMark x1="4941" y1="95797" x2="5032" y2="98424"/>
                      <a14:foregroundMark x1="4941" y1="98774" x2="7777" y2="98599"/>
                      <a14:foregroundMark x1="7594" y1="99124" x2="20586" y2="99475"/>
                      <a14:foregroundMark x1="20586" y1="99475" x2="27539" y2="99124"/>
                      <a14:foregroundMark x1="27081" y1="99124" x2="34309" y2="98599"/>
                      <a14:foregroundMark x1="34309" y1="98599" x2="34767" y2="99124"/>
                      <a14:foregroundMark x1="34950" y1="97898" x2="36414" y2="99825"/>
                      <a14:foregroundMark x1="36322" y1="98074" x2="38975" y2="98249"/>
                      <a14:foregroundMark x1="37694" y1="97898" x2="41720" y2="98599"/>
                      <a14:foregroundMark x1="40165" y1="98774" x2="44831" y2="99124"/>
                      <a14:foregroundMark x1="44007" y1="98949" x2="47758" y2="98949"/>
                      <a14:foregroundMark x1="41263" y1="98074" x2="47575" y2="98424"/>
                      <a14:foregroundMark x1="47392" y1="98424" x2="51693" y2="99650"/>
                      <a14:foregroundMark x1="52059" y1="99124" x2="55444" y2="99650"/>
                      <a14:foregroundMark x1="55352" y1="99650" x2="59012" y2="98949"/>
                      <a14:foregroundMark x1="59012" y1="98949" x2="58737" y2="91068"/>
                      <a14:foregroundMark x1="58829" y1="91769" x2="59378" y2="84238"/>
                      <a14:foregroundMark x1="59286" y1="90368" x2="58463" y2="86165"/>
                      <a14:foregroundMark x1="58829" y1="86690" x2="44373" y2="85464"/>
                      <a14:foregroundMark x1="46569" y1="85289" x2="53065" y2="86515"/>
                      <a14:foregroundMark x1="49039" y1="85464" x2="53705" y2="85289"/>
                      <a14:foregroundMark x1="51144" y1="86165" x2="57091" y2="85814"/>
                      <a14:foregroundMark x1="53614" y1="85639" x2="59561" y2="85989"/>
                      <a14:foregroundMark x1="54346" y1="85464" x2="60018" y2="85639"/>
                      <a14:foregroundMark x1="59378" y1="98074" x2="59561" y2="83363"/>
                      <a14:foregroundMark x1="59195" y1="98249" x2="67521" y2="89667"/>
                      <a14:foregroundMark x1="67063" y1="89667" x2="71546" y2="85114"/>
                      <a14:foregroundMark x1="27722" y1="61471" x2="27722" y2="50613"/>
                      <a14:foregroundMark x1="27356" y1="51839" x2="27905" y2="61646"/>
                      <a14:foregroundMark x1="27539" y1="55166" x2="27905" y2="62347"/>
                      <a14:foregroundMark x1="27630" y1="58319" x2="27722" y2="63222"/>
                      <a14:foregroundMark x1="27905" y1="51664" x2="31473" y2="47461"/>
                      <a14:foregroundMark x1="27722" y1="50963" x2="33943" y2="47986"/>
                      <a14:foregroundMark x1="28637" y1="49562" x2="31839" y2="46235"/>
                      <a14:foregroundMark x1="28362" y1="49912" x2="36505" y2="43257"/>
                      <a14:foregroundMark x1="31930" y1="45534" x2="38701" y2="40455"/>
                      <a14:foregroundMark x1="34126" y1="43958" x2="38609" y2="39405"/>
                      <a14:foregroundMark x1="36505" y1="40981" x2="41446" y2="37128"/>
                      <a14:foregroundMark x1="39158" y1="38004" x2="44739" y2="32925"/>
                      <a14:foregroundMark x1="43550" y1="33625" x2="47941" y2="27846"/>
                      <a14:foregroundMark x1="48307" y1="28371" x2="53980" y2="22767"/>
                      <a14:foregroundMark x1="48307" y1="28371" x2="53614" y2="22767"/>
                      <a14:foregroundMark x1="48399" y1="27671" x2="55444" y2="19790"/>
                      <a14:foregroundMark x1="54712" y1="22067" x2="58737" y2="18039"/>
                      <a14:foregroundMark x1="55078" y1="20315" x2="58554" y2="15762"/>
                      <a14:foregroundMark x1="57182" y1="18214" x2="61482" y2="13135"/>
                      <a14:foregroundMark x1="59195" y1="15587" x2="64593" y2="10858"/>
                      <a14:foregroundMark x1="62672" y1="12960" x2="66514" y2="8581"/>
                      <a14:foregroundMark x1="61299" y1="13660" x2="66606" y2="7881"/>
                      <a14:foregroundMark x1="66972" y1="7881" x2="70997" y2="8406"/>
                      <a14:foregroundMark x1="66697" y1="7706" x2="70723" y2="7531"/>
                      <a14:foregroundMark x1="70265" y1="8056" x2="76487" y2="9282"/>
                      <a14:foregroundMark x1="71089" y1="7881" x2="75846" y2="8581"/>
                      <a14:foregroundMark x1="75389" y1="7881" x2="70997" y2="7005"/>
                      <a14:foregroundMark x1="75755" y1="7706" x2="68618" y2="8581"/>
                      <a14:foregroundMark x1="75663" y1="8056" x2="75846" y2="17338"/>
                      <a14:foregroundMark x1="75572" y1="9632" x2="75663" y2="23468"/>
                      <a14:foregroundMark x1="75846" y1="16988" x2="75846" y2="25219"/>
                      <a14:foregroundMark x1="75389" y1="20490" x2="76395" y2="33100"/>
                      <a14:foregroundMark x1="75846" y1="26095" x2="76212" y2="35902"/>
                      <a14:foregroundMark x1="75846" y1="36077" x2="75389" y2="42382"/>
                      <a14:foregroundMark x1="75846" y1="36953" x2="76761" y2="44483"/>
                      <a14:foregroundMark x1="76212" y1="42032" x2="82891" y2="43082"/>
                      <a14:foregroundMark x1="78408" y1="42557" x2="84538" y2="41856"/>
                      <a14:foregroundMark x1="84355" y1="41856" x2="91400" y2="42907"/>
                      <a14:foregroundMark x1="71089" y1="72329" x2="77036" y2="67075"/>
                      <a14:foregroundMark x1="77036" y1="66025" x2="83898" y2="58144"/>
                      <a14:foregroundMark x1="83349" y1="59194" x2="89936" y2="52189"/>
                      <a14:foregroundMark x1="49039" y1="34501" x2="52059" y2="28196"/>
                      <a14:foregroundMark x1="50046" y1="36953" x2="47850" y2="48161"/>
                      <a14:foregroundMark x1="49131" y1="43783" x2="47301" y2="64623"/>
                      <a14:foregroundMark x1="47301" y1="64623" x2="47210" y2="64273"/>
                      <a14:foregroundMark x1="50412" y1="53590" x2="49222" y2="67776"/>
                      <a14:foregroundMark x1="55627" y1="70228" x2="60567" y2="66025"/>
                      <a14:foregroundMark x1="36505" y1="91594" x2="42086" y2="84939"/>
                      <a14:foregroundMark x1="62855" y1="16988" x2="67704" y2="10858"/>
                      <a14:foregroundMark x1="90210" y1="51313" x2="93047" y2="47986"/>
                      <a14:foregroundMark x1="93504" y1="47986" x2="96432" y2="45534"/>
                      <a14:foregroundMark x1="88930" y1="42032" x2="93230" y2="43082"/>
                      <a14:foregroundMark x1="90485" y1="41856" x2="93321" y2="41681"/>
                      <a14:foregroundMark x1="92223" y1="41681" x2="95608" y2="41856"/>
                      <a14:foregroundMark x1="70814" y1="84588" x2="70814" y2="84588"/>
                      <a14:foregroundMark x1="71821" y1="84939" x2="74016" y2="80210"/>
                      <a14:foregroundMark x1="72461" y1="82837" x2="80146" y2="75131"/>
                      <a14:foregroundMark x1="73651" y1="82662" x2="81519" y2="75482"/>
                      <a14:foregroundMark x1="72644" y1="83538" x2="75846" y2="80385"/>
                      <a14:foregroundMark x1="80787" y1="73730" x2="85178" y2="68651"/>
                      <a14:foregroundMark x1="81519" y1="74431" x2="87832" y2="66200"/>
                      <a14:foregroundMark x1="82983" y1="73730" x2="91125" y2="64273"/>
                      <a14:foregroundMark x1="90302" y1="64623" x2="94328" y2="59545"/>
                      <a14:foregroundMark x1="32296" y1="54641" x2="33303" y2="66025"/>
                      <a14:foregroundMark x1="39067" y1="49562" x2="40805" y2="62172"/>
                      <a14:foregroundMark x1="55078" y1="33450" x2="55718" y2="48336"/>
                      <a14:foregroundMark x1="63129" y1="26620" x2="64593" y2="37128"/>
                      <a14:foregroundMark x1="70631" y1="16813" x2="70174" y2="34151"/>
                      <a14:foregroundMark x1="68435" y1="10333" x2="64776" y2="17513"/>
                      <a14:foregroundMark x1="61116" y1="18739" x2="54803" y2="28371"/>
                      <a14:foregroundMark x1="72736" y1="33800" x2="57731" y2="55166"/>
                      <a14:foregroundMark x1="71546" y1="53940" x2="60933" y2="63573"/>
                      <a14:foregroundMark x1="56450" y1="67951" x2="47392" y2="73555"/>
                      <a14:foregroundMark x1="52699" y1="71979" x2="45837" y2="82837"/>
                      <a14:foregroundMark x1="41903" y1="65499" x2="33577" y2="82837"/>
                      <a14:foregroundMark x1="40988" y1="83888" x2="31382" y2="93695"/>
                      <a14:foregroundMark x1="31382" y1="93695" x2="31382" y2="93695"/>
                      <a14:foregroundMark x1="32388" y1="93870" x2="37694" y2="90893"/>
                      <a14:foregroundMark x1="97621" y1="42382" x2="98170" y2="42382"/>
                      <a14:backgroundMark x1="79414" y1="8932" x2="86459" y2="20841"/>
                      <a14:backgroundMark x1="72644" y1="3853" x2="67521" y2="4203"/>
                      <a14:backgroundMark x1="57365" y1="5604" x2="48673" y2="8056"/>
                      <a14:backgroundMark x1="63220" y1="5079" x2="56816" y2="5254"/>
                      <a14:backgroundMark x1="89478" y1="78984" x2="91217" y2="77233"/>
                      <a14:backgroundMark x1="85819" y1="81086" x2="89753" y2="74956"/>
                    </a14:backgroundRemoval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475950" y="5425439"/>
          <a:ext cx="4668272" cy="2438777"/>
        </a:xfrm>
        <a:prstGeom prst="rect">
          <a:avLst/>
        </a:prstGeom>
      </xdr:spPr>
    </xdr:pic>
    <xdr:clientData/>
  </xdr:twoCellAnchor>
  <xdr:twoCellAnchor>
    <xdr:from>
      <xdr:col>1</xdr:col>
      <xdr:colOff>538844</xdr:colOff>
      <xdr:row>38</xdr:row>
      <xdr:rowOff>43543</xdr:rowOff>
    </xdr:from>
    <xdr:to>
      <xdr:col>2</xdr:col>
      <xdr:colOff>337457</xdr:colOff>
      <xdr:row>43</xdr:row>
      <xdr:rowOff>7623</xdr:rowOff>
    </xdr:to>
    <xdr:cxnSp macro="">
      <xdr:nvCxnSpPr>
        <xdr:cNvPr id="140" name="Conector recto de flecha 139">
          <a:extLst>
            <a:ext uri="{FF2B5EF4-FFF2-40B4-BE49-F238E27FC236}">
              <a16:creationId xmlns:a16="http://schemas.microsoft.com/office/drawing/2014/main" id="{A6DB9A06-7759-4993-9CF0-EDDC3F592F46}"/>
            </a:ext>
          </a:extLst>
        </xdr:cNvPr>
        <xdr:cNvCxnSpPr/>
      </xdr:nvCxnSpPr>
      <xdr:spPr>
        <a:xfrm flipV="1">
          <a:off x="1366158" y="7195457"/>
          <a:ext cx="625928" cy="932909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579120</xdr:colOff>
      <xdr:row>31</xdr:row>
      <xdr:rowOff>30480</xdr:rowOff>
    </xdr:from>
    <xdr:to>
      <xdr:col>2</xdr:col>
      <xdr:colOff>754380</xdr:colOff>
      <xdr:row>34</xdr:row>
      <xdr:rowOff>76200</xdr:rowOff>
    </xdr:to>
    <xdr:cxnSp macro="">
      <xdr:nvCxnSpPr>
        <xdr:cNvPr id="141" name="Conector recto de flecha 140">
          <a:extLst>
            <a:ext uri="{FF2B5EF4-FFF2-40B4-BE49-F238E27FC236}">
              <a16:creationId xmlns:a16="http://schemas.microsoft.com/office/drawing/2014/main" id="{202D2AA3-1247-4441-8BA7-BCE9ABE0F584}"/>
            </a:ext>
          </a:extLst>
        </xdr:cNvPr>
        <xdr:cNvCxnSpPr/>
      </xdr:nvCxnSpPr>
      <xdr:spPr>
        <a:xfrm>
          <a:off x="2240280" y="5882640"/>
          <a:ext cx="175260" cy="51816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579120</xdr:colOff>
      <xdr:row>38</xdr:row>
      <xdr:rowOff>182881</xdr:rowOff>
    </xdr:from>
    <xdr:to>
      <xdr:col>5</xdr:col>
      <xdr:colOff>83820</xdr:colOff>
      <xdr:row>42</xdr:row>
      <xdr:rowOff>160020</xdr:rowOff>
    </xdr:to>
    <xdr:cxnSp macro="">
      <xdr:nvCxnSpPr>
        <xdr:cNvPr id="142" name="Conector recto de flecha 141">
          <a:extLst>
            <a:ext uri="{FF2B5EF4-FFF2-40B4-BE49-F238E27FC236}">
              <a16:creationId xmlns:a16="http://schemas.microsoft.com/office/drawing/2014/main" id="{D38F22A9-2E87-49D8-BB00-7DDC70E02659}"/>
            </a:ext>
          </a:extLst>
        </xdr:cNvPr>
        <xdr:cNvCxnSpPr/>
      </xdr:nvCxnSpPr>
      <xdr:spPr>
        <a:xfrm flipH="1" flipV="1">
          <a:off x="3070860" y="7254241"/>
          <a:ext cx="1165860" cy="754379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624840</xdr:colOff>
      <xdr:row>30</xdr:row>
      <xdr:rowOff>15240</xdr:rowOff>
    </xdr:from>
    <xdr:to>
      <xdr:col>5</xdr:col>
      <xdr:colOff>274320</xdr:colOff>
      <xdr:row>31</xdr:row>
      <xdr:rowOff>129540</xdr:rowOff>
    </xdr:to>
    <xdr:cxnSp macro="">
      <xdr:nvCxnSpPr>
        <xdr:cNvPr id="143" name="Conector recto de flecha 142">
          <a:extLst>
            <a:ext uri="{FF2B5EF4-FFF2-40B4-BE49-F238E27FC236}">
              <a16:creationId xmlns:a16="http://schemas.microsoft.com/office/drawing/2014/main" id="{0765D668-FAC6-466D-BD6B-09E593BCBAEE}"/>
            </a:ext>
          </a:extLst>
        </xdr:cNvPr>
        <xdr:cNvCxnSpPr/>
      </xdr:nvCxnSpPr>
      <xdr:spPr>
        <a:xfrm flipH="1">
          <a:off x="3947160" y="5661660"/>
          <a:ext cx="480060" cy="32004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49530</xdr:colOff>
      <xdr:row>2</xdr:row>
      <xdr:rowOff>148590</xdr:rowOff>
    </xdr:from>
    <xdr:ext cx="802079" cy="31579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A609B2BB-F287-4BFC-AA6F-557E8283B869}"/>
                </a:ext>
              </a:extLst>
            </xdr:cNvPr>
            <xdr:cNvSpPr txBox="1"/>
          </xdr:nvSpPr>
          <xdr:spPr>
            <a:xfrm>
              <a:off x="3188970" y="544830"/>
              <a:ext cx="802079" cy="3157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𝑤</m:t>
                        </m:r>
                      </m:e>
                      <m:sub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s-MX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𝑊</m:t>
                        </m:r>
                        <m:sSub>
                          <m:sSubPr>
                            <m:ctrlPr>
                              <a:rPr lang="es-MX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𝑎</m:t>
                            </m:r>
                          </m:e>
                          <m:sub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</m:num>
                      <m:den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4</m:t>
                        </m:r>
                      </m:den>
                    </m:f>
                    <m:r>
                      <a:rPr lang="es-MX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A609B2BB-F287-4BFC-AA6F-557E8283B869}"/>
                </a:ext>
              </a:extLst>
            </xdr:cNvPr>
            <xdr:cNvSpPr txBox="1"/>
          </xdr:nvSpPr>
          <xdr:spPr>
            <a:xfrm>
              <a:off x="3188970" y="544830"/>
              <a:ext cx="802079" cy="3157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100" b="0" i="0">
                  <a:latin typeface="Cambria Math" panose="02040503050406030204" pitchFamily="18" charset="0"/>
                </a:rPr>
                <a:t>𝑤_1=(𝑊𝑎_1)/4=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4</xdr:col>
      <xdr:colOff>49530</xdr:colOff>
      <xdr:row>6</xdr:row>
      <xdr:rowOff>95250</xdr:rowOff>
    </xdr:from>
    <xdr:ext cx="1312860" cy="31579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0A70264B-179D-49D5-9747-87BD1FED0B5F}"/>
                </a:ext>
              </a:extLst>
            </xdr:cNvPr>
            <xdr:cNvSpPr txBox="1"/>
          </xdr:nvSpPr>
          <xdr:spPr>
            <a:xfrm>
              <a:off x="3188970" y="1314450"/>
              <a:ext cx="1312860" cy="3157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MX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𝑤</m:t>
                        </m:r>
                      </m:e>
                      <m:sub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s-MX" sz="1100" b="0" i="0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𝑊</m:t>
                        </m:r>
                        <m:sSub>
                          <m:sSubPr>
                            <m:ctrlPr>
                              <a:rPr lang="es-MX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𝑎</m:t>
                            </m:r>
                          </m:e>
                          <m:sub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</m:num>
                      <m:den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4</m:t>
                        </m:r>
                      </m:den>
                    </m:f>
                    <m:d>
                      <m:d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2−</m:t>
                        </m:r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𝑚</m:t>
                        </m:r>
                      </m:e>
                    </m:d>
                    <m:r>
                      <a:rPr lang="es-MX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0A70264B-179D-49D5-9747-87BD1FED0B5F}"/>
                </a:ext>
              </a:extLst>
            </xdr:cNvPr>
            <xdr:cNvSpPr txBox="1"/>
          </xdr:nvSpPr>
          <xdr:spPr>
            <a:xfrm>
              <a:off x="3188970" y="1314450"/>
              <a:ext cx="1312860" cy="3157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100" b="0" i="0">
                  <a:latin typeface="Cambria Math" panose="02040503050406030204" pitchFamily="18" charset="0"/>
                </a:rPr>
                <a:t>𝑤_2=(𝑊𝑎_1)/4 (2−𝑚)=</a:t>
              </a:r>
              <a:endParaRPr lang="es-MX" sz="1100"/>
            </a:p>
          </xdr:txBody>
        </xdr:sp>
      </mc:Fallback>
    </mc:AlternateContent>
    <xdr:clientData/>
  </xdr:oneCellAnchor>
  <xdr:twoCellAnchor editAs="oneCell">
    <xdr:from>
      <xdr:col>10</xdr:col>
      <xdr:colOff>35859</xdr:colOff>
      <xdr:row>3</xdr:row>
      <xdr:rowOff>19877</xdr:rowOff>
    </xdr:from>
    <xdr:to>
      <xdr:col>14</xdr:col>
      <xdr:colOff>29077</xdr:colOff>
      <xdr:row>18</xdr:row>
      <xdr:rowOff>71716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756DF238-1183-4490-B8CC-AD9995ACA2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88941" y="629477"/>
          <a:ext cx="3328089" cy="2893651"/>
        </a:xfrm>
        <a:prstGeom prst="rect">
          <a:avLst/>
        </a:prstGeom>
      </xdr:spPr>
    </xdr:pic>
    <xdr:clientData/>
  </xdr:twoCellAnchor>
  <xdr:oneCellAnchor>
    <xdr:from>
      <xdr:col>1</xdr:col>
      <xdr:colOff>807720</xdr:colOff>
      <xdr:row>22</xdr:row>
      <xdr:rowOff>15240</xdr:rowOff>
    </xdr:from>
    <xdr:ext cx="1651926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6C329026-BD90-4A2C-A694-FCE5CDF4665A}"/>
                </a:ext>
              </a:extLst>
            </xdr:cNvPr>
            <xdr:cNvSpPr txBox="1"/>
          </xdr:nvSpPr>
          <xdr:spPr>
            <a:xfrm>
              <a:off x="1638300" y="7162800"/>
              <a:ext cx="1651926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MX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𝑀</m:t>
                        </m:r>
                      </m:e>
                      <m:sub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𝑢</m:t>
                        </m:r>
                      </m:sub>
                    </m:sSub>
                    <m:r>
                      <a:rPr lang="es-MX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𝑅</m:t>
                        </m:r>
                      </m:sub>
                    </m:sSub>
                    <m:sSubSup>
                      <m:sSubSup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𝑓</m:t>
                        </m:r>
                      </m:e>
                      <m:sub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sub>
                      <m:sup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bSup>
                    <m:r>
                      <a:rPr lang="es-MX" sz="1100" b="0" i="1">
                        <a:latin typeface="Cambria Math" panose="02040503050406030204" pitchFamily="18" charset="0"/>
                      </a:rPr>
                      <m:t>𝑏</m:t>
                    </m:r>
                    <m:sSup>
                      <m:sSup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e>
                      <m:sup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s-MX" sz="1100" b="0" i="1">
                        <a:latin typeface="Cambria Math" panose="02040503050406030204" pitchFamily="18" charset="0"/>
                      </a:rPr>
                      <m:t>𝑞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(1−0.5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𝑞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6C329026-BD90-4A2C-A694-FCE5CDF4665A}"/>
                </a:ext>
              </a:extLst>
            </xdr:cNvPr>
            <xdr:cNvSpPr txBox="1"/>
          </xdr:nvSpPr>
          <xdr:spPr>
            <a:xfrm>
              <a:off x="1638300" y="7162800"/>
              <a:ext cx="1651926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100" b="0" i="0">
                  <a:latin typeface="Cambria Math" panose="02040503050406030204" pitchFamily="18" charset="0"/>
                </a:rPr>
                <a:t>𝑀_𝑢=𝐹_𝑅 𝑓_𝑐^′ 𝑏𝑑^2 𝑞(1−0.5𝑞)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0</xdr:col>
      <xdr:colOff>822960</xdr:colOff>
      <xdr:row>17</xdr:row>
      <xdr:rowOff>30480</xdr:rowOff>
    </xdr:from>
    <xdr:ext cx="80272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CuadroTexto 9">
              <a:extLst>
                <a:ext uri="{FF2B5EF4-FFF2-40B4-BE49-F238E27FC236}">
                  <a16:creationId xmlns:a16="http://schemas.microsoft.com/office/drawing/2014/main" id="{DF1C5312-8EA8-487D-A740-BB30167480A8}"/>
                </a:ext>
              </a:extLst>
            </xdr:cNvPr>
            <xdr:cNvSpPr txBox="1"/>
          </xdr:nvSpPr>
          <xdr:spPr>
            <a:xfrm>
              <a:off x="822960" y="6217920"/>
              <a:ext cx="80272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s-MX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𝑓</m:t>
                        </m:r>
                      </m:e>
                      <m:sub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sub>
                      <m:sup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bSup>
                    <m:r>
                      <a:rPr lang="es-MX" sz="1100" b="0" i="1">
                        <a:latin typeface="Cambria Math" panose="02040503050406030204" pitchFamily="18" charset="0"/>
                      </a:rPr>
                      <m:t>=0.8</m:t>
                    </m:r>
                    <m:sSubSup>
                      <m:sSubSup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𝑓</m:t>
                        </m:r>
                      </m:e>
                      <m:sub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sub>
                      <m:sup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bSup>
                    <m:r>
                      <a:rPr lang="es-MX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10" name="CuadroTexto 9">
              <a:extLst>
                <a:ext uri="{FF2B5EF4-FFF2-40B4-BE49-F238E27FC236}">
                  <a16:creationId xmlns:a16="http://schemas.microsoft.com/office/drawing/2014/main" id="{DF1C5312-8EA8-487D-A740-BB30167480A8}"/>
                </a:ext>
              </a:extLst>
            </xdr:cNvPr>
            <xdr:cNvSpPr txBox="1"/>
          </xdr:nvSpPr>
          <xdr:spPr>
            <a:xfrm>
              <a:off x="822960" y="6217920"/>
              <a:ext cx="80272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100" b="0" i="0">
                  <a:latin typeface="Cambria Math" panose="02040503050406030204" pitchFamily="18" charset="0"/>
                </a:rPr>
                <a:t>𝑓_𝑐^′=0.8𝑓_𝑐^′=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0</xdr:col>
      <xdr:colOff>800100</xdr:colOff>
      <xdr:row>18</xdr:row>
      <xdr:rowOff>41910</xdr:rowOff>
    </xdr:from>
    <xdr:ext cx="91749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0A8103E8-A70F-4CD3-BEB6-5FCF3ADCA29D}"/>
                </a:ext>
              </a:extLst>
            </xdr:cNvPr>
            <xdr:cNvSpPr txBox="1"/>
          </xdr:nvSpPr>
          <xdr:spPr>
            <a:xfrm>
              <a:off x="800100" y="6435090"/>
              <a:ext cx="91749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s-MX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𝑓</m:t>
                        </m:r>
                      </m:e>
                      <m:sub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sub>
                      <m:sup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′′</m:t>
                        </m:r>
                      </m:sup>
                    </m:sSubSup>
                    <m:r>
                      <a:rPr lang="es-MX" sz="1100" b="0" i="1">
                        <a:latin typeface="Cambria Math" panose="02040503050406030204" pitchFamily="18" charset="0"/>
                      </a:rPr>
                      <m:t>=0.85</m:t>
                    </m:r>
                    <m:sSubSup>
                      <m:sSubSup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𝑓</m:t>
                        </m:r>
                      </m:e>
                      <m:sub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sub>
                      <m:sup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bSup>
                    <m:r>
                      <a:rPr lang="es-MX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0A8103E8-A70F-4CD3-BEB6-5FCF3ADCA29D}"/>
                </a:ext>
              </a:extLst>
            </xdr:cNvPr>
            <xdr:cNvSpPr txBox="1"/>
          </xdr:nvSpPr>
          <xdr:spPr>
            <a:xfrm>
              <a:off x="800100" y="6435090"/>
              <a:ext cx="91749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100" b="0" i="0">
                  <a:latin typeface="Cambria Math" panose="02040503050406030204" pitchFamily="18" charset="0"/>
                </a:rPr>
                <a:t>𝑓_𝑐^′′=0.85𝑓_𝑐^′=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1</xdr:col>
      <xdr:colOff>30480</xdr:colOff>
      <xdr:row>19</xdr:row>
      <xdr:rowOff>83820</xdr:rowOff>
    </xdr:from>
    <xdr:ext cx="710772" cy="3560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8C11DB8A-2C7D-4D4F-A12B-3FE6A0BD21F7}"/>
                </a:ext>
              </a:extLst>
            </xdr:cNvPr>
            <xdr:cNvSpPr txBox="1"/>
          </xdr:nvSpPr>
          <xdr:spPr>
            <a:xfrm>
              <a:off x="822960" y="3771900"/>
              <a:ext cx="710772" cy="3560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100" b="0" i="1">
                        <a:latin typeface="Cambria Math" panose="02040503050406030204" pitchFamily="18" charset="0"/>
                      </a:rPr>
                      <m:t>𝑞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MX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𝜌</m:t>
                    </m:r>
                    <m:f>
                      <m:f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s-MX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𝑓</m:t>
                            </m:r>
                          </m:e>
                          <m:sub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sub>
                        </m:sSub>
                      </m:num>
                      <m:den>
                        <m:sSubSup>
                          <m:sSubSupPr>
                            <m:ctrlPr>
                              <a:rPr lang="es-MX" sz="1100" b="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𝑓</m:t>
                            </m:r>
                          </m:e>
                          <m:sub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𝑐</m:t>
                            </m:r>
                          </m:sub>
                          <m:sup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′′</m:t>
                            </m:r>
                          </m:sup>
                        </m:sSubSup>
                      </m:den>
                    </m:f>
                    <m:r>
                      <a:rPr lang="es-MX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8C11DB8A-2C7D-4D4F-A12B-3FE6A0BD21F7}"/>
                </a:ext>
              </a:extLst>
            </xdr:cNvPr>
            <xdr:cNvSpPr txBox="1"/>
          </xdr:nvSpPr>
          <xdr:spPr>
            <a:xfrm>
              <a:off x="822960" y="3771900"/>
              <a:ext cx="710772" cy="3560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100" b="0" i="0">
                  <a:latin typeface="Cambria Math" panose="02040503050406030204" pitchFamily="18" charset="0"/>
                </a:rPr>
                <a:t>𝑞=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𝜌</a:t>
              </a:r>
              <a:r>
                <a:rPr lang="es-MX" sz="1100" b="0" i="0">
                  <a:latin typeface="Cambria Math" panose="02040503050406030204" pitchFamily="18" charset="0"/>
                </a:rPr>
                <a:t> 𝑓_𝑦/(𝑓_𝑐^′′ )</a:t>
              </a:r>
              <a:r>
                <a:rPr lang="es-MX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0</xdr:col>
      <xdr:colOff>800100</xdr:colOff>
      <xdr:row>25</xdr:row>
      <xdr:rowOff>22860</xdr:rowOff>
    </xdr:from>
    <xdr:ext cx="1652055" cy="5001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CuadroTexto 12">
              <a:extLst>
                <a:ext uri="{FF2B5EF4-FFF2-40B4-BE49-F238E27FC236}">
                  <a16:creationId xmlns:a16="http://schemas.microsoft.com/office/drawing/2014/main" id="{B2368DD1-2FCD-4303-9FBC-7D0A4E9F0BFF}"/>
                </a:ext>
              </a:extLst>
            </xdr:cNvPr>
            <xdr:cNvSpPr txBox="1"/>
          </xdr:nvSpPr>
          <xdr:spPr>
            <a:xfrm>
              <a:off x="800100" y="4848860"/>
              <a:ext cx="1652055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100" b="0" i="1">
                        <a:latin typeface="Cambria Math" panose="02040503050406030204" pitchFamily="18" charset="0"/>
                      </a:rPr>
                      <m:t>𝑑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s-MX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s-MX" sz="110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es-MX" sz="110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s-MX" sz="1100" b="0" i="1">
                                    <a:latin typeface="Cambria Math" panose="02040503050406030204" pitchFamily="18" charset="0"/>
                                  </a:rPr>
                                  <m:t>𝑀</m:t>
                                </m:r>
                              </m:e>
                              <m:sub>
                                <m:r>
                                  <a:rPr lang="es-MX" sz="1100" b="0" i="1">
                                    <a:latin typeface="Cambria Math" panose="02040503050406030204" pitchFamily="18" charset="0"/>
                                  </a:rPr>
                                  <m:t>𝑢</m:t>
                                </m:r>
                              </m:sub>
                            </m:sSub>
                          </m:num>
                          <m:den>
                            <m:sSub>
                              <m:sSubPr>
                                <m:ctrlPr>
                                  <a:rPr lang="es-MX" sz="110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s-MX" sz="1100" b="0" i="1">
                                    <a:latin typeface="Cambria Math" panose="02040503050406030204" pitchFamily="18" charset="0"/>
                                  </a:rPr>
                                  <m:t>𝐹</m:t>
                                </m:r>
                              </m:e>
                              <m:sub>
                                <m:r>
                                  <a:rPr lang="es-MX" sz="1100" b="0" i="1">
                                    <a:latin typeface="Cambria Math" panose="02040503050406030204" pitchFamily="18" charset="0"/>
                                  </a:rPr>
                                  <m:t>𝑅</m:t>
                                </m:r>
                              </m:sub>
                            </m:sSub>
                            <m:sSubSup>
                              <m:sSubSupPr>
                                <m:ctrlPr>
                                  <a:rPr lang="es-MX" sz="1100" i="1">
                                    <a:latin typeface="Cambria Math" panose="02040503050406030204" pitchFamily="18" charset="0"/>
                                  </a:rPr>
                                </m:ctrlPr>
                              </m:sSubSupPr>
                              <m:e>
                                <m:r>
                                  <a:rPr lang="es-MX" sz="1100" b="0" i="1">
                                    <a:latin typeface="Cambria Math" panose="02040503050406030204" pitchFamily="18" charset="0"/>
                                  </a:rPr>
                                  <m:t>𝑓</m:t>
                                </m:r>
                              </m:e>
                              <m:sub>
                                <m:r>
                                  <a:rPr lang="es-MX" sz="1100" b="0" i="1">
                                    <a:latin typeface="Cambria Math" panose="02040503050406030204" pitchFamily="18" charset="0"/>
                                  </a:rPr>
                                  <m:t>𝑐</m:t>
                                </m:r>
                              </m:sub>
                              <m:sup>
                                <m:r>
                                  <a:rPr lang="es-MX" sz="1100" b="0" i="1">
                                    <a:latin typeface="Cambria Math" panose="02040503050406030204" pitchFamily="18" charset="0"/>
                                  </a:rPr>
                                  <m:t>′′</m:t>
                                </m:r>
                              </m:sup>
                            </m:sSubSup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𝑏𝑞</m:t>
                            </m:r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(1−0.5</m:t>
                            </m:r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𝑞</m:t>
                            </m:r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)</m:t>
                            </m:r>
                          </m:den>
                        </m:f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=</m:t>
                        </m:r>
                      </m:e>
                    </m:rad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13" name="CuadroTexto 12">
              <a:extLst>
                <a:ext uri="{FF2B5EF4-FFF2-40B4-BE49-F238E27FC236}">
                  <a16:creationId xmlns:a16="http://schemas.microsoft.com/office/drawing/2014/main" id="{B2368DD1-2FCD-4303-9FBC-7D0A4E9F0BFF}"/>
                </a:ext>
              </a:extLst>
            </xdr:cNvPr>
            <xdr:cNvSpPr txBox="1"/>
          </xdr:nvSpPr>
          <xdr:spPr>
            <a:xfrm>
              <a:off x="800100" y="4848860"/>
              <a:ext cx="1652055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100" b="0" i="0">
                  <a:latin typeface="Cambria Math" panose="02040503050406030204" pitchFamily="18" charset="0"/>
                </a:rPr>
                <a:t>𝑑=</a:t>
              </a:r>
              <a:r>
                <a:rPr lang="es-MX" sz="1100" i="0">
                  <a:latin typeface="Cambria Math" panose="02040503050406030204" pitchFamily="18" charset="0"/>
                </a:rPr>
                <a:t>√(</a:t>
              </a:r>
              <a:r>
                <a:rPr lang="es-MX" sz="1100" b="0" i="0">
                  <a:latin typeface="Cambria Math" panose="02040503050406030204" pitchFamily="18" charset="0"/>
                </a:rPr>
                <a:t>𝑀_𝑢/(𝐹_𝑅 𝑓_𝑐^′′ 𝑏𝑞(1−0.5𝑞))=)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1</xdr:col>
      <xdr:colOff>48260</xdr:colOff>
      <xdr:row>31</xdr:row>
      <xdr:rowOff>46566</xdr:rowOff>
    </xdr:from>
    <xdr:ext cx="75225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CuadroTexto 13">
              <a:extLst>
                <a:ext uri="{FF2B5EF4-FFF2-40B4-BE49-F238E27FC236}">
                  <a16:creationId xmlns:a16="http://schemas.microsoft.com/office/drawing/2014/main" id="{A4A1A010-AE25-4421-8CDD-8FE4E82D59AF}"/>
                </a:ext>
              </a:extLst>
            </xdr:cNvPr>
            <xdr:cNvSpPr txBox="1"/>
          </xdr:nvSpPr>
          <xdr:spPr>
            <a:xfrm>
              <a:off x="840740" y="5944446"/>
              <a:ext cx="75225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MX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e>
                      <m:sub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𝑆</m:t>
                        </m:r>
                      </m:sub>
                    </m:sSub>
                    <m:r>
                      <a:rPr lang="es-MX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MX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𝜌</m:t>
                    </m:r>
                    <m:r>
                      <a:rPr lang="es-MX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𝑏𝑑</m:t>
                    </m:r>
                    <m:r>
                      <a:rPr lang="es-MX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14" name="CuadroTexto 13">
              <a:extLst>
                <a:ext uri="{FF2B5EF4-FFF2-40B4-BE49-F238E27FC236}">
                  <a16:creationId xmlns:a16="http://schemas.microsoft.com/office/drawing/2014/main" id="{A4A1A010-AE25-4421-8CDD-8FE4E82D59AF}"/>
                </a:ext>
              </a:extLst>
            </xdr:cNvPr>
            <xdr:cNvSpPr txBox="1"/>
          </xdr:nvSpPr>
          <xdr:spPr>
            <a:xfrm>
              <a:off x="840740" y="5944446"/>
              <a:ext cx="75225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100" b="0" i="0">
                  <a:latin typeface="Cambria Math" panose="02040503050406030204" pitchFamily="18" charset="0"/>
                </a:rPr>
                <a:t>𝐴_𝑆=</a:t>
              </a:r>
              <a:r>
                <a:rPr lang="es-MX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𝜌𝑏𝑑=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5</xdr:col>
      <xdr:colOff>182032</xdr:colOff>
      <xdr:row>31</xdr:row>
      <xdr:rowOff>16933</xdr:rowOff>
    </xdr:from>
    <xdr:ext cx="52559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CuadroTexto 14">
              <a:extLst>
                <a:ext uri="{FF2B5EF4-FFF2-40B4-BE49-F238E27FC236}">
                  <a16:creationId xmlns:a16="http://schemas.microsoft.com/office/drawing/2014/main" id="{34B387F2-937B-449A-80D6-46EAFF749A90}"/>
                </a:ext>
              </a:extLst>
            </xdr:cNvPr>
            <xdr:cNvSpPr txBox="1"/>
          </xdr:nvSpPr>
          <xdr:spPr>
            <a:xfrm>
              <a:off x="4152899" y="5960533"/>
              <a:ext cx="52559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s-MX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s-MX" sz="1100" b="0" i="1">
                          <a:latin typeface="Cambria Math" panose="02040503050406030204" pitchFamily="18" charset="0"/>
                        </a:rPr>
                        <m:t>𝐴</m:t>
                      </m:r>
                    </m:e>
                    <m:sub>
                      <m:r>
                        <a:rPr lang="es-MX" sz="1100" b="0" i="1">
                          <a:latin typeface="Cambria Math" panose="02040503050406030204" pitchFamily="18" charset="0"/>
                        </a:rPr>
                        <m:t>𝑆𝑚𝑖𝑛</m:t>
                      </m:r>
                    </m:sub>
                  </m:sSub>
                  <m:r>
                    <a:rPr lang="es-MX" sz="1100" b="0" i="1">
                      <a:latin typeface="Cambria Math" panose="02040503050406030204" pitchFamily="18" charset="0"/>
                    </a:rPr>
                    <m:t>=</m:t>
                  </m:r>
                </m:oMath>
              </a14:m>
              <a:r>
                <a:rPr lang="es-MX" sz="1100"/>
                <a:t> </a:t>
              </a:r>
            </a:p>
          </xdr:txBody>
        </xdr:sp>
      </mc:Choice>
      <mc:Fallback xmlns="">
        <xdr:sp macro="" textlink="">
          <xdr:nvSpPr>
            <xdr:cNvPr id="15" name="CuadroTexto 14">
              <a:extLst>
                <a:ext uri="{FF2B5EF4-FFF2-40B4-BE49-F238E27FC236}">
                  <a16:creationId xmlns:a16="http://schemas.microsoft.com/office/drawing/2014/main" id="{34B387F2-937B-449A-80D6-46EAFF749A90}"/>
                </a:ext>
              </a:extLst>
            </xdr:cNvPr>
            <xdr:cNvSpPr txBox="1"/>
          </xdr:nvSpPr>
          <xdr:spPr>
            <a:xfrm>
              <a:off x="4152899" y="5960533"/>
              <a:ext cx="52559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100" b="0" i="0">
                  <a:latin typeface="Cambria Math" panose="02040503050406030204" pitchFamily="18" charset="0"/>
                </a:rPr>
                <a:t>𝐴_𝑆𝑚𝑖𝑛=</a:t>
              </a:r>
              <a:r>
                <a:rPr lang="es-MX" sz="1100"/>
                <a:t> </a:t>
              </a:r>
            </a:p>
          </xdr:txBody>
        </xdr:sp>
      </mc:Fallback>
    </mc:AlternateContent>
    <xdr:clientData/>
  </xdr:oneCellAnchor>
  <xdr:twoCellAnchor>
    <xdr:from>
      <xdr:col>0</xdr:col>
      <xdr:colOff>584200</xdr:colOff>
      <xdr:row>41</xdr:row>
      <xdr:rowOff>8466</xdr:rowOff>
    </xdr:from>
    <xdr:to>
      <xdr:col>0</xdr:col>
      <xdr:colOff>762000</xdr:colOff>
      <xdr:row>42</xdr:row>
      <xdr:rowOff>169334</xdr:rowOff>
    </xdr:to>
    <xdr:sp macro="" textlink="">
      <xdr:nvSpPr>
        <xdr:cNvPr id="17" name="Abrir llave 16">
          <a:extLst>
            <a:ext uri="{FF2B5EF4-FFF2-40B4-BE49-F238E27FC236}">
              <a16:creationId xmlns:a16="http://schemas.microsoft.com/office/drawing/2014/main" id="{D8184411-88EB-4A8D-B520-C5891797B3CD}"/>
            </a:ext>
          </a:extLst>
        </xdr:cNvPr>
        <xdr:cNvSpPr/>
      </xdr:nvSpPr>
      <xdr:spPr>
        <a:xfrm>
          <a:off x="584200" y="4199466"/>
          <a:ext cx="177800" cy="343748"/>
        </a:xfrm>
        <a:prstGeom prst="leftBrac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 editAs="oneCell">
    <xdr:from>
      <xdr:col>10</xdr:col>
      <xdr:colOff>740228</xdr:colOff>
      <xdr:row>20</xdr:row>
      <xdr:rowOff>76200</xdr:rowOff>
    </xdr:from>
    <xdr:to>
      <xdr:col>12</xdr:col>
      <xdr:colOff>413656</xdr:colOff>
      <xdr:row>26</xdr:row>
      <xdr:rowOff>153462</xdr:rowOff>
    </xdr:to>
    <xdr:pic>
      <xdr:nvPicPr>
        <xdr:cNvPr id="18" name="Imagen 17">
          <a:extLst>
            <a:ext uri="{FF2B5EF4-FFF2-40B4-BE49-F238E27FC236}">
              <a16:creationId xmlns:a16="http://schemas.microsoft.com/office/drawing/2014/main" id="{57437A14-643B-4B8E-93A4-5D8AD0803F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39199" y="3984171"/>
          <a:ext cx="1328057" cy="1198491"/>
        </a:xfrm>
        <a:prstGeom prst="rect">
          <a:avLst/>
        </a:prstGeom>
      </xdr:spPr>
    </xdr:pic>
    <xdr:clientData/>
  </xdr:twoCellAnchor>
  <xdr:twoCellAnchor editAs="oneCell">
    <xdr:from>
      <xdr:col>9</xdr:col>
      <xdr:colOff>45720</xdr:colOff>
      <xdr:row>32</xdr:row>
      <xdr:rowOff>169971</xdr:rowOff>
    </xdr:from>
    <xdr:to>
      <xdr:col>14</xdr:col>
      <xdr:colOff>785365</xdr:colOff>
      <xdr:row>40</xdr:row>
      <xdr:rowOff>129703</xdr:rowOff>
    </xdr:to>
    <xdr:pic>
      <xdr:nvPicPr>
        <xdr:cNvPr id="27" name="Imagen 26">
          <a:extLst>
            <a:ext uri="{FF2B5EF4-FFF2-40B4-BE49-F238E27FC236}">
              <a16:creationId xmlns:a16="http://schemas.microsoft.com/office/drawing/2014/main" id="{B0E47A19-560D-45DC-A5CD-455DEA2799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338060" y="6273591"/>
          <a:ext cx="4595365" cy="1483732"/>
        </a:xfrm>
        <a:prstGeom prst="rect">
          <a:avLst/>
        </a:prstGeom>
      </xdr:spPr>
    </xdr:pic>
    <xdr:clientData/>
  </xdr:twoCellAnchor>
  <xdr:twoCellAnchor>
    <xdr:from>
      <xdr:col>13</xdr:col>
      <xdr:colOff>152400</xdr:colOff>
      <xdr:row>37</xdr:row>
      <xdr:rowOff>53340</xdr:rowOff>
    </xdr:from>
    <xdr:to>
      <xdr:col>14</xdr:col>
      <xdr:colOff>129540</xdr:colOff>
      <xdr:row>41</xdr:row>
      <xdr:rowOff>114300</xdr:rowOff>
    </xdr:to>
    <xdr:cxnSp macro="">
      <xdr:nvCxnSpPr>
        <xdr:cNvPr id="28" name="Conector recto de flecha 27">
          <a:extLst>
            <a:ext uri="{FF2B5EF4-FFF2-40B4-BE49-F238E27FC236}">
              <a16:creationId xmlns:a16="http://schemas.microsoft.com/office/drawing/2014/main" id="{ABFB9202-B660-496B-8DE6-CA46F53FD396}"/>
            </a:ext>
          </a:extLst>
        </xdr:cNvPr>
        <xdr:cNvCxnSpPr/>
      </xdr:nvCxnSpPr>
      <xdr:spPr>
        <a:xfrm flipH="1" flipV="1">
          <a:off x="10469880" y="7117080"/>
          <a:ext cx="807720" cy="80772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779929</xdr:colOff>
      <xdr:row>31</xdr:row>
      <xdr:rowOff>44823</xdr:rowOff>
    </xdr:from>
    <xdr:to>
      <xdr:col>12</xdr:col>
      <xdr:colOff>8964</xdr:colOff>
      <xdr:row>35</xdr:row>
      <xdr:rowOff>170329</xdr:rowOff>
    </xdr:to>
    <xdr:cxnSp macro="">
      <xdr:nvCxnSpPr>
        <xdr:cNvPr id="31" name="Conector recto de flecha 30">
          <a:extLst>
            <a:ext uri="{FF2B5EF4-FFF2-40B4-BE49-F238E27FC236}">
              <a16:creationId xmlns:a16="http://schemas.microsoft.com/office/drawing/2014/main" id="{AF2E3406-AFAC-4F92-9A56-A722B63B9990}"/>
            </a:ext>
          </a:extLst>
        </xdr:cNvPr>
        <xdr:cNvCxnSpPr/>
      </xdr:nvCxnSpPr>
      <xdr:spPr>
        <a:xfrm flipH="1">
          <a:off x="9466729" y="5871882"/>
          <a:ext cx="62753" cy="896471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179294</xdr:colOff>
      <xdr:row>38</xdr:row>
      <xdr:rowOff>17929</xdr:rowOff>
    </xdr:from>
    <xdr:to>
      <xdr:col>10</xdr:col>
      <xdr:colOff>744071</xdr:colOff>
      <xdr:row>41</xdr:row>
      <xdr:rowOff>80682</xdr:rowOff>
    </xdr:to>
    <xdr:cxnSp macro="">
      <xdr:nvCxnSpPr>
        <xdr:cNvPr id="35" name="Conector recto de flecha 34">
          <a:extLst>
            <a:ext uri="{FF2B5EF4-FFF2-40B4-BE49-F238E27FC236}">
              <a16:creationId xmlns:a16="http://schemas.microsoft.com/office/drawing/2014/main" id="{EBEF01F6-1476-4AB7-B476-C40DBE1BDEE8}"/>
            </a:ext>
          </a:extLst>
        </xdr:cNvPr>
        <xdr:cNvCxnSpPr/>
      </xdr:nvCxnSpPr>
      <xdr:spPr>
        <a:xfrm flipV="1">
          <a:off x="8032376" y="7189694"/>
          <a:ext cx="564777" cy="6096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91347</xdr:colOff>
      <xdr:row>1</xdr:row>
      <xdr:rowOff>47624</xdr:rowOff>
    </xdr:from>
    <xdr:to>
      <xdr:col>14</xdr:col>
      <xdr:colOff>635959</xdr:colOff>
      <xdr:row>26</xdr:row>
      <xdr:rowOff>106474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AAE8226-5FD9-4E9A-B69F-D5566BB7B9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6200000">
          <a:off x="7009665" y="828681"/>
          <a:ext cx="4805475" cy="3592612"/>
        </a:xfrm>
        <a:prstGeom prst="rect">
          <a:avLst/>
        </a:prstGeom>
      </xdr:spPr>
    </xdr:pic>
    <xdr:clientData/>
  </xdr:twoCellAnchor>
  <xdr:twoCellAnchor editAs="oneCell">
    <xdr:from>
      <xdr:col>14</xdr:col>
      <xdr:colOff>677757</xdr:colOff>
      <xdr:row>1</xdr:row>
      <xdr:rowOff>152822</xdr:rowOff>
    </xdr:from>
    <xdr:to>
      <xdr:col>19</xdr:col>
      <xdr:colOff>508004</xdr:colOff>
      <xdr:row>26</xdr:row>
      <xdr:rowOff>264453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504F61A3-AF71-4664-B2C0-E36BBDCA08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16200000">
          <a:off x="10641503" y="936451"/>
          <a:ext cx="4858256" cy="364024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594361</xdr:colOff>
      <xdr:row>16</xdr:row>
      <xdr:rowOff>76200</xdr:rowOff>
    </xdr:from>
    <xdr:to>
      <xdr:col>4</xdr:col>
      <xdr:colOff>2072641</xdr:colOff>
      <xdr:row>23</xdr:row>
      <xdr:rowOff>61672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5ED7A99-359F-4D6A-A75A-249611AF9A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2481" y="3070860"/>
          <a:ext cx="4427220" cy="1265632"/>
        </a:xfrm>
        <a:prstGeom prst="rect">
          <a:avLst/>
        </a:prstGeom>
      </xdr:spPr>
    </xdr:pic>
    <xdr:clientData/>
  </xdr:twoCellAnchor>
  <xdr:twoCellAnchor editAs="oneCell">
    <xdr:from>
      <xdr:col>1</xdr:col>
      <xdr:colOff>1688054</xdr:colOff>
      <xdr:row>13</xdr:row>
      <xdr:rowOff>106680</xdr:rowOff>
    </xdr:from>
    <xdr:to>
      <xdr:col>4</xdr:col>
      <xdr:colOff>1063214</xdr:colOff>
      <xdr:row>16</xdr:row>
      <xdr:rowOff>46384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EEFC51C4-A1E1-4473-9E8D-14496D713A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76313" y="2518186"/>
          <a:ext cx="2118360" cy="477586"/>
        </a:xfrm>
        <a:prstGeom prst="rect">
          <a:avLst/>
        </a:prstGeom>
      </xdr:spPr>
    </xdr:pic>
    <xdr:clientData/>
  </xdr:twoCellAnchor>
  <xdr:twoCellAnchor editAs="oneCell">
    <xdr:from>
      <xdr:col>7</xdr:col>
      <xdr:colOff>139012</xdr:colOff>
      <xdr:row>4</xdr:row>
      <xdr:rowOff>152398</xdr:rowOff>
    </xdr:from>
    <xdr:to>
      <xdr:col>13</xdr:col>
      <xdr:colOff>695132</xdr:colOff>
      <xdr:row>38</xdr:row>
      <xdr:rowOff>9697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2C7151CF-34FE-450E-B0B6-D1D56C3A6F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16200000">
          <a:off x="5965817" y="1225156"/>
          <a:ext cx="6192983" cy="554375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804718</xdr:colOff>
      <xdr:row>35</xdr:row>
      <xdr:rowOff>51025</xdr:rowOff>
    </xdr:from>
    <xdr:to>
      <xdr:col>21</xdr:col>
      <xdr:colOff>471053</xdr:colOff>
      <xdr:row>43</xdr:row>
      <xdr:rowOff>78553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CD3D16D-4EF8-4837-BE35-81D35140DCD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357" b="98139" l="3915" r="97617">
                      <a14:foregroundMark x1="50383" y1="12531" x2="50383" y2="12531"/>
                      <a14:foregroundMark x1="56681" y1="11290" x2="45617" y2="15757"/>
                      <a14:foregroundMark x1="80170" y1="9181" x2="78638" y2="9181"/>
                      <a14:foregroundMark x1="80340" y1="4342" x2="57277" y2="16873"/>
                      <a14:foregroundMark x1="85872" y1="24069" x2="85872" y2="30893"/>
                      <a14:foregroundMark x1="38213" y1="91687" x2="33872" y2="89702"/>
                      <a14:foregroundMark x1="86043" y1="57816" x2="45787" y2="91563"/>
                      <a14:foregroundMark x1="45787" y1="91563" x2="21702" y2="91191"/>
                      <a14:foregroundMark x1="87234" y1="59057" x2="65021" y2="80769"/>
                      <a14:foregroundMark x1="90383" y1="59801" x2="87064" y2="61538"/>
                      <a14:foregroundMark x1="93957" y1="57816" x2="93957" y2="57816"/>
                      <a14:foregroundMark x1="50979" y1="95409" x2="46638" y2="96154"/>
                      <a14:foregroundMark x1="5532" y1="97270" x2="5532" y2="97270"/>
                      <a14:foregroundMark x1="3915" y1="97519" x2="3915" y2="97519"/>
                      <a14:foregroundMark x1="97787" y1="56576" x2="97787" y2="56576"/>
                      <a14:foregroundMark x1="74128" y1="2481" x2="74128" y2="2481"/>
                      <a14:foregroundMark x1="50638" y1="97146" x2="50638" y2="97146"/>
                      <a14:foregroundMark x1="49106" y1="98139" x2="49447" y2="98139"/>
                    </a14:backgroundRemoval>
                  </a14:imgEffect>
                </a14:imgLayer>
              </a14:imgProps>
            </a:ext>
          </a:extLst>
        </a:blip>
        <a:srcRect l="-230" t="1002" r="-646" b="-1002"/>
        <a:stretch/>
      </xdr:blipFill>
      <xdr:spPr>
        <a:xfrm>
          <a:off x="14421072" y="6598363"/>
          <a:ext cx="2221966" cy="1516359"/>
        </a:xfrm>
        <a:prstGeom prst="rect">
          <a:avLst/>
        </a:prstGeom>
      </xdr:spPr>
    </xdr:pic>
    <xdr:clientData/>
  </xdr:twoCellAnchor>
  <xdr:twoCellAnchor>
    <xdr:from>
      <xdr:col>19</xdr:col>
      <xdr:colOff>146539</xdr:colOff>
      <xdr:row>43</xdr:row>
      <xdr:rowOff>99647</xdr:rowOff>
    </xdr:from>
    <xdr:to>
      <xdr:col>20</xdr:col>
      <xdr:colOff>5862</xdr:colOff>
      <xdr:row>43</xdr:row>
      <xdr:rowOff>105508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BE3EB554-A8C0-4C6C-AEA8-A4685F30D1DA}"/>
            </a:ext>
          </a:extLst>
        </xdr:cNvPr>
        <xdr:cNvCxnSpPr/>
      </xdr:nvCxnSpPr>
      <xdr:spPr>
        <a:xfrm flipV="1">
          <a:off x="14888308" y="8124093"/>
          <a:ext cx="574431" cy="5861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509954</xdr:colOff>
      <xdr:row>40</xdr:row>
      <xdr:rowOff>17585</xdr:rowOff>
    </xdr:from>
    <xdr:to>
      <xdr:col>21</xdr:col>
      <xdr:colOff>539261</xdr:colOff>
      <xdr:row>42</xdr:row>
      <xdr:rowOff>75811</xdr:rowOff>
    </xdr:to>
    <xdr:cxnSp macro="">
      <xdr:nvCxnSpPr>
        <xdr:cNvPr id="9" name="Conector recto de flecha 8">
          <a:extLst>
            <a:ext uri="{FF2B5EF4-FFF2-40B4-BE49-F238E27FC236}">
              <a16:creationId xmlns:a16="http://schemas.microsoft.com/office/drawing/2014/main" id="{C7B8F498-FB04-47E2-90DC-77A33DFB9A1A}"/>
            </a:ext>
          </a:extLst>
        </xdr:cNvPr>
        <xdr:cNvCxnSpPr/>
      </xdr:nvCxnSpPr>
      <xdr:spPr>
        <a:xfrm flipV="1">
          <a:off x="15966831" y="7473462"/>
          <a:ext cx="744415" cy="445087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1953</xdr:colOff>
      <xdr:row>39</xdr:row>
      <xdr:rowOff>165296</xdr:rowOff>
    </xdr:from>
    <xdr:to>
      <xdr:col>19</xdr:col>
      <xdr:colOff>1953</xdr:colOff>
      <xdr:row>42</xdr:row>
      <xdr:rowOff>60961</xdr:rowOff>
    </xdr:to>
    <xdr:cxnSp macro="">
      <xdr:nvCxnSpPr>
        <xdr:cNvPr id="12" name="Conector recto de flecha 11">
          <a:extLst>
            <a:ext uri="{FF2B5EF4-FFF2-40B4-BE49-F238E27FC236}">
              <a16:creationId xmlns:a16="http://schemas.microsoft.com/office/drawing/2014/main" id="{089312AE-1500-46A1-89EF-AA08CA84845F}"/>
            </a:ext>
          </a:extLst>
        </xdr:cNvPr>
        <xdr:cNvCxnSpPr/>
      </xdr:nvCxnSpPr>
      <xdr:spPr>
        <a:xfrm flipV="1">
          <a:off x="14743722" y="7439465"/>
          <a:ext cx="0" cy="464234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0</xdr:col>
      <xdr:colOff>213360</xdr:colOff>
      <xdr:row>2</xdr:row>
      <xdr:rowOff>38100</xdr:rowOff>
    </xdr:from>
    <xdr:ext cx="2729209" cy="41383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F667B70B-8ABF-4A67-9FD9-CA2975470DA9}"/>
                </a:ext>
              </a:extLst>
            </xdr:cNvPr>
            <xdr:cNvSpPr txBox="1"/>
          </xdr:nvSpPr>
          <xdr:spPr>
            <a:xfrm>
              <a:off x="213360" y="403860"/>
              <a:ext cx="2729209" cy="4138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MX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𝐴𝐸</m:t>
                        </m:r>
                      </m:sub>
                    </m:sSub>
                    <m:r>
                      <a:rPr lang="es-MX" sz="1100" b="0" i="1">
                        <a:latin typeface="Cambria Math" panose="02040503050406030204" pitchFamily="18" charset="0"/>
                      </a:rPr>
                      <m:t>=0.6+0.6</m:t>
                    </m:r>
                    <m:f>
                      <m:f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s-MX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h</m:t>
                            </m:r>
                          </m:e>
                          <m:sub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sub>
                        </m:sSub>
                      </m:num>
                      <m:den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𝐿</m:t>
                        </m:r>
                      </m:den>
                    </m:f>
                    <m:r>
                      <a:rPr lang="es-MX" sz="1100" b="0" i="1">
                        <a:latin typeface="Cambria Math" panose="02040503050406030204" pitchFamily="18" charset="0"/>
                      </a:rPr>
                      <m:t>−0.3</m:t>
                    </m:r>
                    <m:sSup>
                      <m:sSup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s-MX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s-MX" sz="11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sSub>
                                  <m:sSubPr>
                                    <m:ctrlPr>
                                      <a:rPr lang="es-MX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s-MX" sz="1100" b="0" i="1">
                                        <a:latin typeface="Cambria Math" panose="02040503050406030204" pitchFamily="18" charset="0"/>
                                      </a:rPr>
                                      <m:t>h</m:t>
                                    </m:r>
                                  </m:e>
                                  <m:sub>
                                    <m:r>
                                      <a:rPr lang="es-MX" sz="1100" b="0" i="1">
                                        <a:latin typeface="Cambria Math" panose="02040503050406030204" pitchFamily="18" charset="0"/>
                                      </a:rPr>
                                      <m:t>𝑛</m:t>
                                    </m:r>
                                  </m:sub>
                                </m:sSub>
                              </m:num>
                              <m:den>
                                <m:r>
                                  <a:rPr lang="es-MX" sz="1100" b="0" i="1">
                                    <a:latin typeface="Cambria Math" panose="02040503050406030204" pitchFamily="18" charset="0"/>
                                  </a:rPr>
                                  <m:t>𝐿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s-MX" sz="1100" b="0" i="1">
                        <a:latin typeface="Cambria Math" panose="02040503050406030204" pitchFamily="18" charset="0"/>
                      </a:rPr>
                      <m:t>+0.05</m:t>
                    </m:r>
                    <m:sSup>
                      <m:sSup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s-MX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s-MX" sz="11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sSub>
                                  <m:sSubPr>
                                    <m:ctrlPr>
                                      <a:rPr lang="es-MX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s-MX" sz="1100" b="0" i="1">
                                        <a:latin typeface="Cambria Math" panose="02040503050406030204" pitchFamily="18" charset="0"/>
                                      </a:rPr>
                                      <m:t>h</m:t>
                                    </m:r>
                                  </m:e>
                                  <m:sub>
                                    <m:r>
                                      <a:rPr lang="es-MX" sz="1100" b="0" i="1">
                                        <a:latin typeface="Cambria Math" panose="02040503050406030204" pitchFamily="18" charset="0"/>
                                      </a:rPr>
                                      <m:t>𝑛</m:t>
                                    </m:r>
                                  </m:sub>
                                </m:sSub>
                              </m:num>
                              <m:den>
                                <m:r>
                                  <a:rPr lang="es-MX" sz="1100" b="0" i="1">
                                    <a:latin typeface="Cambria Math" panose="02040503050406030204" pitchFamily="18" charset="0"/>
                                  </a:rPr>
                                  <m:t>𝐿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F667B70B-8ABF-4A67-9FD9-CA2975470DA9}"/>
                </a:ext>
              </a:extLst>
            </xdr:cNvPr>
            <xdr:cNvSpPr txBox="1"/>
          </xdr:nvSpPr>
          <xdr:spPr>
            <a:xfrm>
              <a:off x="213360" y="403860"/>
              <a:ext cx="2729209" cy="4138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100" b="0" i="0">
                  <a:latin typeface="Cambria Math" panose="02040503050406030204" pitchFamily="18" charset="0"/>
                </a:rPr>
                <a:t>𝐹_𝐴𝐸=0.6+0.6 ℎ_𝑛/𝐿−0.3(ℎ_𝑛/𝐿)^2+0.05(ℎ_𝑛/𝐿)^3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4</xdr:col>
      <xdr:colOff>53340</xdr:colOff>
      <xdr:row>2</xdr:row>
      <xdr:rowOff>91440</xdr:rowOff>
    </xdr:from>
    <xdr:ext cx="759247" cy="32028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C706306D-3947-4285-A665-D0B19C7B8BB1}"/>
                </a:ext>
              </a:extLst>
            </xdr:cNvPr>
            <xdr:cNvSpPr txBox="1"/>
          </xdr:nvSpPr>
          <xdr:spPr>
            <a:xfrm>
              <a:off x="3512820" y="457200"/>
              <a:ext cx="759247" cy="3202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100" b="0" i="1">
                        <a:latin typeface="Cambria Math" panose="02040503050406030204" pitchFamily="18" charset="0"/>
                      </a:rPr>
                      <m:t>𝑆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í: </m:t>
                    </m:r>
                    <m:f>
                      <m:f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s-MX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h</m:t>
                            </m:r>
                          </m:e>
                          <m:sub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sub>
                        </m:sSub>
                      </m:num>
                      <m:den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𝐿</m:t>
                        </m:r>
                      </m:den>
                    </m:f>
                    <m:r>
                      <a:rPr lang="es-MX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≤2.5</m:t>
                    </m:r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C706306D-3947-4285-A665-D0B19C7B8BB1}"/>
                </a:ext>
              </a:extLst>
            </xdr:cNvPr>
            <xdr:cNvSpPr txBox="1"/>
          </xdr:nvSpPr>
          <xdr:spPr>
            <a:xfrm>
              <a:off x="3512820" y="457200"/>
              <a:ext cx="759247" cy="3202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100" b="0" i="0">
                  <a:latin typeface="Cambria Math" panose="02040503050406030204" pitchFamily="18" charset="0"/>
                </a:rPr>
                <a:t>𝑆í:  ℎ_𝑛/𝐿</a:t>
              </a:r>
              <a:r>
                <a:rPr lang="es-MX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≤2.5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0</xdr:col>
      <xdr:colOff>213360</xdr:colOff>
      <xdr:row>5</xdr:row>
      <xdr:rowOff>0</xdr:rowOff>
    </xdr:from>
    <xdr:ext cx="64992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12328709-4EB2-4F28-B4F6-5D803947DFDB}"/>
                </a:ext>
              </a:extLst>
            </xdr:cNvPr>
            <xdr:cNvSpPr txBox="1"/>
          </xdr:nvSpPr>
          <xdr:spPr>
            <a:xfrm>
              <a:off x="213360" y="914400"/>
              <a:ext cx="64992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MX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e>
                      <m:sub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𝑇</m:t>
                        </m:r>
                      </m:sub>
                    </m:sSub>
                    <m:r>
                      <a:rPr lang="es-MX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𝑡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∗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𝐿</m:t>
                    </m:r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12328709-4EB2-4F28-B4F6-5D803947DFDB}"/>
                </a:ext>
              </a:extLst>
            </xdr:cNvPr>
            <xdr:cNvSpPr txBox="1"/>
          </xdr:nvSpPr>
          <xdr:spPr>
            <a:xfrm>
              <a:off x="213360" y="914400"/>
              <a:ext cx="64992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100" b="0" i="0">
                  <a:latin typeface="Cambria Math" panose="02040503050406030204" pitchFamily="18" charset="0"/>
                </a:rPr>
                <a:t>𝐴_𝑇=𝑡∗𝐿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1</xdr:col>
      <xdr:colOff>7620</xdr:colOff>
      <xdr:row>7</xdr:row>
      <xdr:rowOff>15240</xdr:rowOff>
    </xdr:from>
    <xdr:ext cx="172944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EF30890B-E505-4C95-B512-D7D69582E1BC}"/>
                </a:ext>
              </a:extLst>
            </xdr:cNvPr>
            <xdr:cNvSpPr txBox="1"/>
          </xdr:nvSpPr>
          <xdr:spPr>
            <a:xfrm>
              <a:off x="655320" y="1310640"/>
              <a:ext cx="172944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MX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h</m:t>
                        </m:r>
                      </m:e>
                      <m:sub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sub>
                    </m:sSub>
                    <m:r>
                      <a:rPr lang="es-MX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𝐴𝑙𝑡𝑢𝑟𝑎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𝑑𝑒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𝑒𝑛𝑡𝑟𝑒𝑝𝑖𝑠𝑜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𝑛</m:t>
                    </m:r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EF30890B-E505-4C95-B512-D7D69582E1BC}"/>
                </a:ext>
              </a:extLst>
            </xdr:cNvPr>
            <xdr:cNvSpPr txBox="1"/>
          </xdr:nvSpPr>
          <xdr:spPr>
            <a:xfrm>
              <a:off x="655320" y="1310640"/>
              <a:ext cx="172944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1100" b="0" i="0">
                  <a:latin typeface="Cambria Math" panose="02040503050406030204" pitchFamily="18" charset="0"/>
                </a:rPr>
                <a:t>ℎ_𝑛=𝐴𝑙𝑡𝑢𝑟𝑎 𝑑𝑒 𝑒𝑛𝑡𝑟𝑒𝑝𝑖𝑠𝑜 𝑛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1</xdr:col>
      <xdr:colOff>15240</xdr:colOff>
      <xdr:row>8</xdr:row>
      <xdr:rowOff>22860</xdr:rowOff>
    </xdr:from>
    <xdr:ext cx="143975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CuadroTexto 12">
              <a:extLst>
                <a:ext uri="{FF2B5EF4-FFF2-40B4-BE49-F238E27FC236}">
                  <a16:creationId xmlns:a16="http://schemas.microsoft.com/office/drawing/2014/main" id="{DD082546-835F-4FEB-88A3-8E0FD535B2F7}"/>
                </a:ext>
              </a:extLst>
            </xdr:cNvPr>
            <xdr:cNvSpPr txBox="1"/>
          </xdr:nvSpPr>
          <xdr:spPr>
            <a:xfrm>
              <a:off x="662940" y="1501140"/>
              <a:ext cx="143975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100" b="0" i="1">
                        <a:latin typeface="Cambria Math" panose="02040503050406030204" pitchFamily="18" charset="0"/>
                      </a:rPr>
                      <m:t>𝐿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𝐿𝑜𝑛𝑔𝑖𝑡𝑢𝑑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𝑑𝑒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𝑚𝑢𝑟𝑜</m:t>
                    </m:r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13" name="CuadroTexto 12">
              <a:extLst>
                <a:ext uri="{FF2B5EF4-FFF2-40B4-BE49-F238E27FC236}">
                  <a16:creationId xmlns:a16="http://schemas.microsoft.com/office/drawing/2014/main" id="{DD082546-835F-4FEB-88A3-8E0FD535B2F7}"/>
                </a:ext>
              </a:extLst>
            </xdr:cNvPr>
            <xdr:cNvSpPr txBox="1"/>
          </xdr:nvSpPr>
          <xdr:spPr>
            <a:xfrm>
              <a:off x="662940" y="1501140"/>
              <a:ext cx="143975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1100" b="0" i="0">
                  <a:latin typeface="Cambria Math" panose="02040503050406030204" pitchFamily="18" charset="0"/>
                </a:rPr>
                <a:t>𝐿=𝐿𝑜𝑛𝑔𝑖𝑡𝑢𝑑 𝑑𝑒 𝑚𝑢𝑟𝑜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1</xdr:col>
      <xdr:colOff>15240</xdr:colOff>
      <xdr:row>9</xdr:row>
      <xdr:rowOff>7620</xdr:rowOff>
    </xdr:from>
    <xdr:ext cx="134838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CuadroTexto 15">
              <a:extLst>
                <a:ext uri="{FF2B5EF4-FFF2-40B4-BE49-F238E27FC236}">
                  <a16:creationId xmlns:a16="http://schemas.microsoft.com/office/drawing/2014/main" id="{BB7FE811-10F5-4CFD-9B0A-A80F090B5CD4}"/>
                </a:ext>
              </a:extLst>
            </xdr:cNvPr>
            <xdr:cNvSpPr txBox="1"/>
          </xdr:nvSpPr>
          <xdr:spPr>
            <a:xfrm>
              <a:off x="662940" y="1668780"/>
              <a:ext cx="134838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100" b="0" i="1">
                        <a:latin typeface="Cambria Math" panose="02040503050406030204" pitchFamily="18" charset="0"/>
                      </a:rPr>
                      <m:t>𝑡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𝐸𝑠𝑝𝑒𝑠𝑜𝑟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𝑑𝑒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𝑚𝑢𝑟𝑜</m:t>
                    </m:r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16" name="CuadroTexto 15">
              <a:extLst>
                <a:ext uri="{FF2B5EF4-FFF2-40B4-BE49-F238E27FC236}">
                  <a16:creationId xmlns:a16="http://schemas.microsoft.com/office/drawing/2014/main" id="{BB7FE811-10F5-4CFD-9B0A-A80F090B5CD4}"/>
                </a:ext>
              </a:extLst>
            </xdr:cNvPr>
            <xdr:cNvSpPr txBox="1"/>
          </xdr:nvSpPr>
          <xdr:spPr>
            <a:xfrm>
              <a:off x="662940" y="1668780"/>
              <a:ext cx="134838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1100" b="0" i="0">
                  <a:latin typeface="Cambria Math" panose="02040503050406030204" pitchFamily="18" charset="0"/>
                </a:rPr>
                <a:t>𝑡=𝐸𝑠𝑝𝑒𝑠𝑜𝑟 𝑑𝑒 𝑚𝑢𝑟𝑜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16</xdr:col>
      <xdr:colOff>339090</xdr:colOff>
      <xdr:row>22</xdr:row>
      <xdr:rowOff>68580</xdr:rowOff>
    </xdr:from>
    <xdr:ext cx="2069156" cy="39876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B6C0578E-1740-4F0E-9220-0EBE72B352B0}"/>
                </a:ext>
              </a:extLst>
            </xdr:cNvPr>
            <xdr:cNvSpPr txBox="1"/>
          </xdr:nvSpPr>
          <xdr:spPr>
            <a:xfrm>
              <a:off x="12599670" y="4137660"/>
              <a:ext cx="2069156" cy="39876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MX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𝑒</m:t>
                        </m:r>
                      </m:e>
                      <m:sub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sub>
                    </m:sSub>
                    <m:r>
                      <a:rPr lang="es-MX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|</m:t>
                        </m:r>
                        <m:nary>
                          <m:naryPr>
                            <m:chr m:val="∑"/>
                            <m:ctrlPr>
                              <a:rPr lang="es-MX" sz="1100" b="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es-MX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=1</m:t>
                            </m:r>
                          </m:sub>
                          <m:sup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𝑘</m:t>
                            </m:r>
                          </m:sup>
                          <m:e>
                            <m:sSub>
                              <m:sSubPr>
                                <m:ctrlPr>
                                  <a:rPr lang="es-MX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s-MX" sz="1100" b="0" i="1">
                                    <a:latin typeface="Cambria Math" panose="02040503050406030204" pitchFamily="18" charset="0"/>
                                  </a:rPr>
                                  <m:t>𝑋</m:t>
                                </m:r>
                              </m:e>
                              <m:sub>
                                <m:r>
                                  <a:rPr lang="es-MX" sz="1100" b="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</m:sSub>
                            <m:sSub>
                              <m:sSubPr>
                                <m:ctrlPr>
                                  <a:rPr lang="es-MX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s-MX" sz="1100" b="0" i="1">
                                    <a:latin typeface="Cambria Math" panose="02040503050406030204" pitchFamily="18" charset="0"/>
                                  </a:rPr>
                                  <m:t>𝐹</m:t>
                                </m:r>
                              </m:e>
                              <m:sub>
                                <m:r>
                                  <a:rPr lang="es-MX" sz="1100" b="0" i="1">
                                    <a:latin typeface="Cambria Math" panose="02040503050406030204" pitchFamily="18" charset="0"/>
                                  </a:rPr>
                                  <m:t>𝐴𝐸𝑖</m:t>
                                </m:r>
                              </m:sub>
                            </m:sSub>
                            <m:sSub>
                              <m:sSubPr>
                                <m:ctrlPr>
                                  <a:rPr lang="es-MX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s-MX" sz="1100" b="0" i="1">
                                    <a:latin typeface="Cambria Math" panose="02040503050406030204" pitchFamily="18" charset="0"/>
                                  </a:rPr>
                                  <m:t>𝐴</m:t>
                                </m:r>
                              </m:e>
                              <m:sub>
                                <m:r>
                                  <a:rPr lang="es-MX" sz="1100" b="0" i="1">
                                    <a:latin typeface="Cambria Math" panose="02040503050406030204" pitchFamily="18" charset="0"/>
                                  </a:rPr>
                                  <m:t>𝑇𝑖</m:t>
                                </m:r>
                              </m:sub>
                            </m:sSub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|</m:t>
                            </m:r>
                          </m:e>
                        </m:nary>
                      </m:num>
                      <m:den>
                        <m:nary>
                          <m:naryPr>
                            <m:chr m:val="∑"/>
                            <m:ctrlPr>
                              <a:rPr lang="es-MX" sz="1100" b="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es-MX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=1</m:t>
                            </m:r>
                          </m:sub>
                          <m:sup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𝑘</m:t>
                            </m:r>
                          </m:sup>
                          <m:e>
                            <m:sSub>
                              <m:sSubPr>
                                <m:ctrlPr>
                                  <a:rPr lang="es-MX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s-MX" sz="1100" b="0" i="1">
                                    <a:latin typeface="Cambria Math" panose="02040503050406030204" pitchFamily="18" charset="0"/>
                                  </a:rPr>
                                  <m:t>𝐹</m:t>
                                </m:r>
                              </m:e>
                              <m:sub>
                                <m:r>
                                  <a:rPr lang="es-MX" sz="1100" b="0" i="1">
                                    <a:latin typeface="Cambria Math" panose="02040503050406030204" pitchFamily="18" charset="0"/>
                                  </a:rPr>
                                  <m:t>𝐴𝐸𝑖</m:t>
                                </m:r>
                              </m:sub>
                            </m:sSub>
                            <m:sSub>
                              <m:sSubPr>
                                <m:ctrlPr>
                                  <a:rPr lang="es-MX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s-MX" sz="1100" b="0" i="1">
                                    <a:latin typeface="Cambria Math" panose="02040503050406030204" pitchFamily="18" charset="0"/>
                                  </a:rPr>
                                  <m:t>𝐴</m:t>
                                </m:r>
                              </m:e>
                              <m:sub>
                                <m:r>
                                  <a:rPr lang="es-MX" sz="1100" b="0" i="1">
                                    <a:latin typeface="Cambria Math" panose="02040503050406030204" pitchFamily="18" charset="0"/>
                                  </a:rPr>
                                  <m:t>𝑇𝑖</m:t>
                                </m:r>
                              </m:sub>
                            </m:sSub>
                          </m:e>
                        </m:nary>
                      </m:den>
                    </m:f>
                    <m:r>
                      <a:rPr lang="es-MX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≤0.10</m:t>
                    </m:r>
                    <m:sSub>
                      <m:sSubPr>
                        <m:ctrlPr>
                          <a:rPr lang="es-MX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𝐵</m:t>
                        </m:r>
                      </m:e>
                      <m:sub>
                        <m:r>
                          <a:rPr lang="es-MX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𝑛</m:t>
                        </m:r>
                      </m:sub>
                    </m:sSub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B6C0578E-1740-4F0E-9220-0EBE72B352B0}"/>
                </a:ext>
              </a:extLst>
            </xdr:cNvPr>
            <xdr:cNvSpPr txBox="1"/>
          </xdr:nvSpPr>
          <xdr:spPr>
            <a:xfrm>
              <a:off x="12599670" y="4137660"/>
              <a:ext cx="2069156" cy="39876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100" b="0" i="0">
                  <a:latin typeface="Cambria Math" panose="02040503050406030204" pitchFamily="18" charset="0"/>
                </a:rPr>
                <a:t>𝑒_(𝑥,𝑛)=(|∑24_(𝑖=1)^𝑘▒〖𝑋_𝑖 𝐹_𝐴𝐸𝑖 𝐴_𝑇𝑖 |〗)/(∑24_(𝑖=1)^𝑘▒〖𝐹_𝐴𝐸𝑖 𝐴_𝑇𝑖 〗)</a:t>
              </a:r>
              <a:r>
                <a:rPr lang="es-MX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≤0.10𝐵_𝑛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20</xdr:col>
      <xdr:colOff>0</xdr:colOff>
      <xdr:row>22</xdr:row>
      <xdr:rowOff>53340</xdr:rowOff>
    </xdr:from>
    <xdr:ext cx="2109424" cy="4289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CuadroTexto 14">
              <a:extLst>
                <a:ext uri="{FF2B5EF4-FFF2-40B4-BE49-F238E27FC236}">
                  <a16:creationId xmlns:a16="http://schemas.microsoft.com/office/drawing/2014/main" id="{53674213-62EB-4AD7-AEEB-CA5FB87AF4B8}"/>
                </a:ext>
              </a:extLst>
            </xdr:cNvPr>
            <xdr:cNvSpPr txBox="1"/>
          </xdr:nvSpPr>
          <xdr:spPr>
            <a:xfrm>
              <a:off x="15468600" y="4122420"/>
              <a:ext cx="2109424" cy="4289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MX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𝑒</m:t>
                        </m:r>
                      </m:e>
                      <m:sub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𝑦</m:t>
                        </m:r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sub>
                    </m:sSub>
                    <m:r>
                      <a:rPr lang="es-MX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|</m:t>
                        </m:r>
                        <m:nary>
                          <m:naryPr>
                            <m:chr m:val="∑"/>
                            <m:ctrlPr>
                              <a:rPr lang="es-MX" sz="1100" b="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es-MX" sz="1100" b="0" i="1">
                                <a:latin typeface="Cambria Math" panose="02040503050406030204" pitchFamily="18" charset="0"/>
                              </a:rPr>
                              <m:t>𝑗</m:t>
                            </m:r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=1</m:t>
                            </m:r>
                          </m:sub>
                          <m:sup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𝑘</m:t>
                            </m:r>
                          </m:sup>
                          <m:e>
                            <m:sSub>
                              <m:sSubPr>
                                <m:ctrlPr>
                                  <a:rPr lang="es-MX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s-MX" sz="1100" b="0" i="1">
                                    <a:latin typeface="Cambria Math" panose="02040503050406030204" pitchFamily="18" charset="0"/>
                                  </a:rPr>
                                  <m:t>𝑦</m:t>
                                </m:r>
                              </m:e>
                              <m:sub>
                                <m:r>
                                  <a:rPr lang="es-MX" sz="1100" b="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</m:sSub>
                            <m:sSub>
                              <m:sSubPr>
                                <m:ctrlPr>
                                  <a:rPr lang="es-MX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s-MX" sz="1100" b="0" i="1">
                                    <a:latin typeface="Cambria Math" panose="02040503050406030204" pitchFamily="18" charset="0"/>
                                  </a:rPr>
                                  <m:t>𝐹</m:t>
                                </m:r>
                              </m:e>
                              <m:sub>
                                <m:r>
                                  <a:rPr lang="es-MX" sz="1100" b="0" i="1">
                                    <a:latin typeface="Cambria Math" panose="02040503050406030204" pitchFamily="18" charset="0"/>
                                  </a:rPr>
                                  <m:t>𝐴𝐸𝑗</m:t>
                                </m:r>
                              </m:sub>
                            </m:sSub>
                            <m:sSub>
                              <m:sSubPr>
                                <m:ctrlPr>
                                  <a:rPr lang="es-MX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s-MX" sz="1100" b="0" i="1">
                                    <a:latin typeface="Cambria Math" panose="02040503050406030204" pitchFamily="18" charset="0"/>
                                  </a:rPr>
                                  <m:t>𝐴</m:t>
                                </m:r>
                              </m:e>
                              <m:sub>
                                <m:r>
                                  <a:rPr lang="es-MX" sz="1100" b="0" i="1">
                                    <a:latin typeface="Cambria Math" panose="02040503050406030204" pitchFamily="18" charset="0"/>
                                  </a:rPr>
                                  <m:t>𝑇𝑗</m:t>
                                </m:r>
                              </m:sub>
                            </m:sSub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|</m:t>
                            </m:r>
                          </m:e>
                        </m:nary>
                      </m:num>
                      <m:den>
                        <m:nary>
                          <m:naryPr>
                            <m:chr m:val="∑"/>
                            <m:ctrlPr>
                              <a:rPr lang="es-MX" sz="1100" b="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es-MX" sz="1100" b="0" i="1">
                                <a:latin typeface="Cambria Math" panose="02040503050406030204" pitchFamily="18" charset="0"/>
                              </a:rPr>
                              <m:t>𝑗</m:t>
                            </m:r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=1</m:t>
                            </m:r>
                          </m:sub>
                          <m:sup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𝑘</m:t>
                            </m:r>
                          </m:sup>
                          <m:e>
                            <m:sSub>
                              <m:sSubPr>
                                <m:ctrlPr>
                                  <a:rPr lang="es-MX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s-MX" sz="1100" b="0" i="1">
                                    <a:latin typeface="Cambria Math" panose="02040503050406030204" pitchFamily="18" charset="0"/>
                                  </a:rPr>
                                  <m:t>𝐹</m:t>
                                </m:r>
                              </m:e>
                              <m:sub>
                                <m:r>
                                  <a:rPr lang="es-MX" sz="1100" b="0" i="1">
                                    <a:latin typeface="Cambria Math" panose="02040503050406030204" pitchFamily="18" charset="0"/>
                                  </a:rPr>
                                  <m:t>𝐴𝐸𝑗</m:t>
                                </m:r>
                              </m:sub>
                            </m:sSub>
                            <m:sSub>
                              <m:sSubPr>
                                <m:ctrlPr>
                                  <a:rPr lang="es-MX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s-MX" sz="1100" b="0" i="1">
                                    <a:latin typeface="Cambria Math" panose="02040503050406030204" pitchFamily="18" charset="0"/>
                                  </a:rPr>
                                  <m:t>𝐴</m:t>
                                </m:r>
                              </m:e>
                              <m:sub>
                                <m:r>
                                  <a:rPr lang="es-MX" sz="1100" b="0" i="1">
                                    <a:latin typeface="Cambria Math" panose="02040503050406030204" pitchFamily="18" charset="0"/>
                                  </a:rPr>
                                  <m:t>𝑇𝑗</m:t>
                                </m:r>
                              </m:sub>
                            </m:sSub>
                          </m:e>
                        </m:nary>
                      </m:den>
                    </m:f>
                    <m:r>
                      <a:rPr lang="es-MX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≤0.10</m:t>
                    </m:r>
                    <m:sSub>
                      <m:sSubPr>
                        <m:ctrlPr>
                          <a:rPr lang="es-MX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𝐿</m:t>
                        </m:r>
                      </m:e>
                      <m:sub>
                        <m:r>
                          <a:rPr lang="es-MX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𝑛</m:t>
                        </m:r>
                      </m:sub>
                    </m:sSub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15" name="CuadroTexto 14">
              <a:extLst>
                <a:ext uri="{FF2B5EF4-FFF2-40B4-BE49-F238E27FC236}">
                  <a16:creationId xmlns:a16="http://schemas.microsoft.com/office/drawing/2014/main" id="{53674213-62EB-4AD7-AEEB-CA5FB87AF4B8}"/>
                </a:ext>
              </a:extLst>
            </xdr:cNvPr>
            <xdr:cNvSpPr txBox="1"/>
          </xdr:nvSpPr>
          <xdr:spPr>
            <a:xfrm>
              <a:off x="15468600" y="4122420"/>
              <a:ext cx="2109424" cy="4289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100" b="0" i="0">
                  <a:latin typeface="Cambria Math" panose="02040503050406030204" pitchFamily="18" charset="0"/>
                </a:rPr>
                <a:t>𝑒_(𝑦,𝑛)=(|∑24_(𝑗=1)^𝑘▒〖𝑦_𝑖 𝐹_𝐴𝐸𝑗 𝐴_𝑇𝑗 |〗)/(∑24_(𝑗=1)^𝑘▒〖𝐹_𝐴𝐸𝑗 𝐴_𝑇𝑗 〗)</a:t>
              </a:r>
              <a:r>
                <a:rPr lang="es-MX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≤0.10𝐿_𝑛</a:t>
              </a:r>
              <a:endParaRPr lang="es-MX" sz="1100"/>
            </a:p>
          </xdr:txBody>
        </xdr:sp>
      </mc:Fallback>
    </mc:AlternateContent>
    <xdr:clientData/>
  </xdr:oneCellAnchor>
  <xdr:twoCellAnchor editAs="oneCell">
    <xdr:from>
      <xdr:col>2</xdr:col>
      <xdr:colOff>914400</xdr:colOff>
      <xdr:row>8</xdr:row>
      <xdr:rowOff>83819</xdr:rowOff>
    </xdr:from>
    <xdr:to>
      <xdr:col>7</xdr:col>
      <xdr:colOff>91441</xdr:colOff>
      <xdr:row>21</xdr:row>
      <xdr:rowOff>50232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EAB38A0B-77D5-4000-B83C-0829C5EE64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278380" y="1554479"/>
          <a:ext cx="3169921" cy="2374333"/>
        </a:xfrm>
        <a:prstGeom prst="rect">
          <a:avLst/>
        </a:prstGeom>
      </xdr:spPr>
    </xdr:pic>
    <xdr:clientData/>
  </xdr:twoCellAnchor>
  <xdr:oneCellAnchor>
    <xdr:from>
      <xdr:col>18</xdr:col>
      <xdr:colOff>747345</xdr:colOff>
      <xdr:row>41</xdr:row>
      <xdr:rowOff>26376</xdr:rowOff>
    </xdr:from>
    <xdr:ext cx="15953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8" name="CuadroTexto 27">
              <a:extLst>
                <a:ext uri="{FF2B5EF4-FFF2-40B4-BE49-F238E27FC236}">
                  <a16:creationId xmlns:a16="http://schemas.microsoft.com/office/drawing/2014/main" id="{202501EC-35B5-42C1-88BC-9443B0E5D2BE}"/>
                </a:ext>
              </a:extLst>
            </xdr:cNvPr>
            <xdr:cNvSpPr txBox="1"/>
          </xdr:nvSpPr>
          <xdr:spPr>
            <a:xfrm>
              <a:off x="14363699" y="7675684"/>
              <a:ext cx="15953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100" b="1" i="0">
                        <a:latin typeface="Cambria Math" panose="02040503050406030204" pitchFamily="18" charset="0"/>
                      </a:rPr>
                      <m:t>𝐦</m:t>
                    </m:r>
                  </m:oMath>
                </m:oMathPara>
              </a14:m>
              <a:endParaRPr lang="es-MX" sz="1100" b="1" i="0">
                <a:latin typeface="+mn-lt"/>
              </a:endParaRPr>
            </a:p>
          </xdr:txBody>
        </xdr:sp>
      </mc:Choice>
      <mc:Fallback xmlns="">
        <xdr:sp macro="" textlink="">
          <xdr:nvSpPr>
            <xdr:cNvPr id="28" name="CuadroTexto 27">
              <a:extLst>
                <a:ext uri="{FF2B5EF4-FFF2-40B4-BE49-F238E27FC236}">
                  <a16:creationId xmlns:a16="http://schemas.microsoft.com/office/drawing/2014/main" id="{202501EC-35B5-42C1-88BC-9443B0E5D2BE}"/>
                </a:ext>
              </a:extLst>
            </xdr:cNvPr>
            <xdr:cNvSpPr txBox="1"/>
          </xdr:nvSpPr>
          <xdr:spPr>
            <a:xfrm>
              <a:off x="14363699" y="7675684"/>
              <a:ext cx="15953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100" b="1" i="0">
                  <a:latin typeface="+mn-lt"/>
                </a:rPr>
                <a:t>𝐦</a:t>
              </a:r>
            </a:p>
          </xdr:txBody>
        </xdr:sp>
      </mc:Fallback>
    </mc:AlternateContent>
    <xdr:clientData/>
  </xdr:oneCellAnchor>
  <xdr:oneCellAnchor>
    <xdr:from>
      <xdr:col>19</xdr:col>
      <xdr:colOff>788376</xdr:colOff>
      <xdr:row>44</xdr:row>
      <xdr:rowOff>20515</xdr:rowOff>
    </xdr:from>
    <xdr:ext cx="15953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9" name="CuadroTexto 28">
              <a:extLst>
                <a:ext uri="{FF2B5EF4-FFF2-40B4-BE49-F238E27FC236}">
                  <a16:creationId xmlns:a16="http://schemas.microsoft.com/office/drawing/2014/main" id="{4AA62DD4-2B72-4284-BD15-69B23360FA7F}"/>
                </a:ext>
              </a:extLst>
            </xdr:cNvPr>
            <xdr:cNvSpPr txBox="1"/>
          </xdr:nvSpPr>
          <xdr:spPr>
            <a:xfrm>
              <a:off x="14404730" y="8238392"/>
              <a:ext cx="15953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100" b="1" i="0">
                        <a:latin typeface="Cambria Math" panose="02040503050406030204" pitchFamily="18" charset="0"/>
                      </a:rPr>
                      <m:t>𝐦</m:t>
                    </m:r>
                  </m:oMath>
                </m:oMathPara>
              </a14:m>
              <a:endParaRPr lang="es-MX" sz="1100" b="1" i="0">
                <a:latin typeface="+mn-lt"/>
              </a:endParaRPr>
            </a:p>
          </xdr:txBody>
        </xdr:sp>
      </mc:Choice>
      <mc:Fallback xmlns="">
        <xdr:sp macro="" textlink="">
          <xdr:nvSpPr>
            <xdr:cNvPr id="29" name="CuadroTexto 28">
              <a:extLst>
                <a:ext uri="{FF2B5EF4-FFF2-40B4-BE49-F238E27FC236}">
                  <a16:creationId xmlns:a16="http://schemas.microsoft.com/office/drawing/2014/main" id="{4AA62DD4-2B72-4284-BD15-69B23360FA7F}"/>
                </a:ext>
              </a:extLst>
            </xdr:cNvPr>
            <xdr:cNvSpPr txBox="1"/>
          </xdr:nvSpPr>
          <xdr:spPr>
            <a:xfrm>
              <a:off x="14404730" y="8238392"/>
              <a:ext cx="15953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100" b="1" i="0">
                  <a:latin typeface="+mn-lt"/>
                </a:rPr>
                <a:t>𝐦</a:t>
              </a:r>
            </a:p>
          </xdr:txBody>
        </xdr:sp>
      </mc:Fallback>
    </mc:AlternateContent>
    <xdr:clientData/>
  </xdr:oneCellAnchor>
  <xdr:oneCellAnchor>
    <xdr:from>
      <xdr:col>22</xdr:col>
      <xdr:colOff>586154</xdr:colOff>
      <xdr:row>41</xdr:row>
      <xdr:rowOff>29307</xdr:rowOff>
    </xdr:from>
    <xdr:ext cx="15953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0" name="CuadroTexto 29">
              <a:extLst>
                <a:ext uri="{FF2B5EF4-FFF2-40B4-BE49-F238E27FC236}">
                  <a16:creationId xmlns:a16="http://schemas.microsoft.com/office/drawing/2014/main" id="{E642F3EA-AD81-449C-ACCA-451081591179}"/>
                </a:ext>
              </a:extLst>
            </xdr:cNvPr>
            <xdr:cNvSpPr txBox="1"/>
          </xdr:nvSpPr>
          <xdr:spPr>
            <a:xfrm>
              <a:off x="17473246" y="7678615"/>
              <a:ext cx="15953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100" b="1" i="0">
                        <a:latin typeface="Cambria Math" panose="02040503050406030204" pitchFamily="18" charset="0"/>
                      </a:rPr>
                      <m:t>𝐦</m:t>
                    </m:r>
                  </m:oMath>
                </m:oMathPara>
              </a14:m>
              <a:endParaRPr lang="es-MX" sz="1100" b="1" i="0">
                <a:latin typeface="+mn-lt"/>
              </a:endParaRPr>
            </a:p>
          </xdr:txBody>
        </xdr:sp>
      </mc:Choice>
      <mc:Fallback xmlns="">
        <xdr:sp macro="" textlink="">
          <xdr:nvSpPr>
            <xdr:cNvPr id="30" name="CuadroTexto 29">
              <a:extLst>
                <a:ext uri="{FF2B5EF4-FFF2-40B4-BE49-F238E27FC236}">
                  <a16:creationId xmlns:a16="http://schemas.microsoft.com/office/drawing/2014/main" id="{E642F3EA-AD81-449C-ACCA-451081591179}"/>
                </a:ext>
              </a:extLst>
            </xdr:cNvPr>
            <xdr:cNvSpPr txBox="1"/>
          </xdr:nvSpPr>
          <xdr:spPr>
            <a:xfrm>
              <a:off x="17473246" y="7678615"/>
              <a:ext cx="15953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100" b="1" i="0">
                  <a:latin typeface="+mn-lt"/>
                </a:rPr>
                <a:t>𝐦</a:t>
              </a:r>
            </a:p>
          </xdr:txBody>
        </xdr:sp>
      </mc:Fallback>
    </mc:AlternateContent>
    <xdr:clientData/>
  </xdr:oneCellAnchor>
  <xdr:twoCellAnchor editAs="oneCell">
    <xdr:from>
      <xdr:col>24</xdr:col>
      <xdr:colOff>97602</xdr:colOff>
      <xdr:row>1</xdr:row>
      <xdr:rowOff>180969</xdr:rowOff>
    </xdr:from>
    <xdr:to>
      <xdr:col>30</xdr:col>
      <xdr:colOff>638167</xdr:colOff>
      <xdr:row>34</xdr:row>
      <xdr:rowOff>180972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CD0447CF-8596-424A-A54A-4C09666675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rot="16200000">
          <a:off x="18170108" y="691738"/>
          <a:ext cx="6172203" cy="551261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280930</xdr:colOff>
      <xdr:row>2</xdr:row>
      <xdr:rowOff>21650</xdr:rowOff>
    </xdr:from>
    <xdr:to>
      <xdr:col>12</xdr:col>
      <xdr:colOff>196966</xdr:colOff>
      <xdr:row>9</xdr:row>
      <xdr:rowOff>21043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777E49E4-B320-4D44-A275-7DE025AAC44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357" b="98139" l="3915" r="97617">
                      <a14:foregroundMark x1="50383" y1="12531" x2="50383" y2="12531"/>
                      <a14:foregroundMark x1="56681" y1="11290" x2="45617" y2="15757"/>
                      <a14:foregroundMark x1="80170" y1="9181" x2="78638" y2="9181"/>
                      <a14:foregroundMark x1="80340" y1="4342" x2="57277" y2="16873"/>
                      <a14:foregroundMark x1="85872" y1="24069" x2="85872" y2="30893"/>
                      <a14:foregroundMark x1="38213" y1="91687" x2="33872" y2="89702"/>
                      <a14:foregroundMark x1="86043" y1="57816" x2="45787" y2="91563"/>
                      <a14:foregroundMark x1="45787" y1="91563" x2="21702" y2="91191"/>
                      <a14:foregroundMark x1="87234" y1="59057" x2="65021" y2="80769"/>
                      <a14:foregroundMark x1="90383" y1="59801" x2="87064" y2="61538"/>
                      <a14:foregroundMark x1="93957" y1="57816" x2="93957" y2="57816"/>
                      <a14:foregroundMark x1="50979" y1="95409" x2="46638" y2="96154"/>
                      <a14:foregroundMark x1="5532" y1="97270" x2="5532" y2="97270"/>
                      <a14:foregroundMark x1="3915" y1="97519" x2="3915" y2="97519"/>
                      <a14:foregroundMark x1="97787" y1="56576" x2="97787" y2="56576"/>
                      <a14:foregroundMark x1="74128" y1="2481" x2="74128" y2="2481"/>
                      <a14:foregroundMark x1="50638" y1="97146" x2="50638" y2="97146"/>
                      <a14:foregroundMark x1="49106" y1="98139" x2="49447" y2="98139"/>
                    </a14:backgroundRemoval>
                  </a14:imgEffect>
                </a14:imgLayer>
              </a14:imgProps>
            </a:ext>
          </a:extLst>
        </a:blip>
        <a:srcRect l="-230" t="1002" r="-646" b="-1002"/>
        <a:stretch/>
      </xdr:blipFill>
      <xdr:spPr>
        <a:xfrm>
          <a:off x="7803653" y="394544"/>
          <a:ext cx="2223437" cy="1509612"/>
        </a:xfrm>
        <a:prstGeom prst="rect">
          <a:avLst/>
        </a:prstGeom>
      </xdr:spPr>
    </xdr:pic>
    <xdr:clientData/>
  </xdr:twoCellAnchor>
  <xdr:twoCellAnchor>
    <xdr:from>
      <xdr:col>9</xdr:col>
      <xdr:colOff>760827</xdr:colOff>
      <xdr:row>9</xdr:row>
      <xdr:rowOff>76200</xdr:rowOff>
    </xdr:from>
    <xdr:to>
      <xdr:col>10</xdr:col>
      <xdr:colOff>556846</xdr:colOff>
      <xdr:row>9</xdr:row>
      <xdr:rowOff>78546</xdr:rowOff>
    </xdr:to>
    <xdr:cxnSp macro="">
      <xdr:nvCxnSpPr>
        <xdr:cNvPr id="9" name="Conector recto de flecha 8">
          <a:extLst>
            <a:ext uri="{FF2B5EF4-FFF2-40B4-BE49-F238E27FC236}">
              <a16:creationId xmlns:a16="http://schemas.microsoft.com/office/drawing/2014/main" id="{4C85D7BA-0323-46AB-A035-2D9F18DA4774}"/>
            </a:ext>
          </a:extLst>
        </xdr:cNvPr>
        <xdr:cNvCxnSpPr/>
      </xdr:nvCxnSpPr>
      <xdr:spPr>
        <a:xfrm flipV="1">
          <a:off x="8287042" y="1928446"/>
          <a:ext cx="628358" cy="2346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41031</xdr:colOff>
      <xdr:row>6</xdr:row>
      <xdr:rowOff>46383</xdr:rowOff>
    </xdr:from>
    <xdr:to>
      <xdr:col>12</xdr:col>
      <xdr:colOff>86139</xdr:colOff>
      <xdr:row>8</xdr:row>
      <xdr:rowOff>117231</xdr:rowOff>
    </xdr:to>
    <xdr:cxnSp macro="">
      <xdr:nvCxnSpPr>
        <xdr:cNvPr id="10" name="Conector recto de flecha 9">
          <a:extLst>
            <a:ext uri="{FF2B5EF4-FFF2-40B4-BE49-F238E27FC236}">
              <a16:creationId xmlns:a16="http://schemas.microsoft.com/office/drawing/2014/main" id="{85122E4F-6AF5-42F0-8917-BD4ED7B842AB}"/>
            </a:ext>
          </a:extLst>
        </xdr:cNvPr>
        <xdr:cNvCxnSpPr/>
      </xdr:nvCxnSpPr>
      <xdr:spPr>
        <a:xfrm flipV="1">
          <a:off x="9158527" y="1358348"/>
          <a:ext cx="694464" cy="455161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612843</xdr:colOff>
      <xdr:row>3</xdr:row>
      <xdr:rowOff>272375</xdr:rowOff>
    </xdr:from>
    <xdr:to>
      <xdr:col>9</xdr:col>
      <xdr:colOff>616735</xdr:colOff>
      <xdr:row>8</xdr:row>
      <xdr:rowOff>40209</xdr:rowOff>
    </xdr:to>
    <xdr:cxnSp macro="">
      <xdr:nvCxnSpPr>
        <xdr:cNvPr id="11" name="Conector recto de flecha 10">
          <a:extLst>
            <a:ext uri="{FF2B5EF4-FFF2-40B4-BE49-F238E27FC236}">
              <a16:creationId xmlns:a16="http://schemas.microsoft.com/office/drawing/2014/main" id="{D6DA2C1D-DADC-44F3-9FC4-1B7321341C1D}"/>
            </a:ext>
          </a:extLst>
        </xdr:cNvPr>
        <xdr:cNvCxnSpPr/>
      </xdr:nvCxnSpPr>
      <xdr:spPr>
        <a:xfrm flipH="1" flipV="1">
          <a:off x="8135566" y="836579"/>
          <a:ext cx="3892" cy="86706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2</xdr:col>
      <xdr:colOff>500380</xdr:colOff>
      <xdr:row>42</xdr:row>
      <xdr:rowOff>21166</xdr:rowOff>
    </xdr:from>
    <xdr:ext cx="217944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11652E0B-4D27-4122-A176-2A08BB19CDEF}"/>
                </a:ext>
              </a:extLst>
            </xdr:cNvPr>
            <xdr:cNvSpPr txBox="1"/>
          </xdr:nvSpPr>
          <xdr:spPr>
            <a:xfrm>
              <a:off x="2161540" y="6513406"/>
              <a:ext cx="217944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s-MX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𝑚</m:t>
                        </m:r>
                      </m:e>
                      <m:sup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11652E0B-4D27-4122-A176-2A08BB19CDEF}"/>
                </a:ext>
              </a:extLst>
            </xdr:cNvPr>
            <xdr:cNvSpPr txBox="1"/>
          </xdr:nvSpPr>
          <xdr:spPr>
            <a:xfrm>
              <a:off x="2161540" y="6513406"/>
              <a:ext cx="217944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1100" b="0" i="0">
                  <a:latin typeface="Cambria Math" panose="02040503050406030204" pitchFamily="18" charset="0"/>
                </a:rPr>
                <a:t>𝑚^2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2</xdr:col>
      <xdr:colOff>469900</xdr:colOff>
      <xdr:row>20</xdr:row>
      <xdr:rowOff>13546</xdr:rowOff>
    </xdr:from>
    <xdr:ext cx="217944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CEAB7F26-075C-47F4-8EA2-A32E76DD92C9}"/>
                </a:ext>
              </a:extLst>
            </xdr:cNvPr>
            <xdr:cNvSpPr txBox="1"/>
          </xdr:nvSpPr>
          <xdr:spPr>
            <a:xfrm>
              <a:off x="2131060" y="6871546"/>
              <a:ext cx="217944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s-MX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𝑚</m:t>
                        </m:r>
                      </m:e>
                      <m:sup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CEAB7F26-075C-47F4-8EA2-A32E76DD92C9}"/>
                </a:ext>
              </a:extLst>
            </xdr:cNvPr>
            <xdr:cNvSpPr txBox="1"/>
          </xdr:nvSpPr>
          <xdr:spPr>
            <a:xfrm>
              <a:off x="2131060" y="6871546"/>
              <a:ext cx="217944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1100" b="0" i="0">
                  <a:latin typeface="Cambria Math" panose="02040503050406030204" pitchFamily="18" charset="0"/>
                </a:rPr>
                <a:t>𝑚^2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9</xdr:col>
      <xdr:colOff>228600</xdr:colOff>
      <xdr:row>14</xdr:row>
      <xdr:rowOff>0</xdr:rowOff>
    </xdr:from>
    <xdr:ext cx="1349472" cy="31688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E8690EA9-0CB8-475D-B5AD-2E35B5C1BD1E}"/>
                </a:ext>
              </a:extLst>
            </xdr:cNvPr>
            <xdr:cNvSpPr txBox="1"/>
          </xdr:nvSpPr>
          <xdr:spPr>
            <a:xfrm>
              <a:off x="7368540" y="2804160"/>
              <a:ext cx="1349472" cy="3168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100" b="0" i="1">
                        <a:latin typeface="Cambria Math" panose="02040503050406030204" pitchFamily="18" charset="0"/>
                      </a:rPr>
                      <m:t>𝑅𝑒𝑙𝑎𝑐𝑖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ó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𝑛</m:t>
                    </m:r>
                    <m:f>
                      <m:f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𝐿𝑛</m:t>
                        </m:r>
                      </m:num>
                      <m:den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𝐵𝑛</m:t>
                        </m:r>
                      </m:den>
                    </m:f>
                    <m:r>
                      <a:rPr lang="es-MX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&lt;2.00∴</m:t>
                    </m:r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E8690EA9-0CB8-475D-B5AD-2E35B5C1BD1E}"/>
                </a:ext>
              </a:extLst>
            </xdr:cNvPr>
            <xdr:cNvSpPr txBox="1"/>
          </xdr:nvSpPr>
          <xdr:spPr>
            <a:xfrm>
              <a:off x="7368540" y="2804160"/>
              <a:ext cx="1349472" cy="3168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1100" b="0" i="0">
                  <a:latin typeface="Cambria Math" panose="02040503050406030204" pitchFamily="18" charset="0"/>
                </a:rPr>
                <a:t>𝑅𝑒𝑙𝑎𝑐𝑖ó𝑛 𝐿𝑛/𝐵𝑛</a:t>
              </a:r>
              <a:r>
                <a:rPr lang="es-MX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&lt;2.00∴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9</xdr:col>
      <xdr:colOff>662940</xdr:colOff>
      <xdr:row>18</xdr:row>
      <xdr:rowOff>30480</xdr:rowOff>
    </xdr:from>
    <xdr:ext cx="93576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5BA8BCF9-D517-4325-9EF0-BD25C94F5664}"/>
                </a:ext>
              </a:extLst>
            </xdr:cNvPr>
            <xdr:cNvSpPr txBox="1"/>
          </xdr:nvSpPr>
          <xdr:spPr>
            <a:xfrm>
              <a:off x="7802880" y="3573780"/>
              <a:ext cx="93576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100" b="0" i="1">
                        <a:latin typeface="Cambria Math" panose="02040503050406030204" pitchFamily="18" charset="0"/>
                      </a:rPr>
                      <m:t>𝐻</m:t>
                    </m:r>
                    <m:r>
                      <a:rPr lang="es-MX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&lt;13.00 </m:t>
                    </m:r>
                    <m:r>
                      <a:rPr lang="es-MX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𝑚</m:t>
                    </m:r>
                    <m:r>
                      <a:rPr lang="es-MX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∴</m:t>
                    </m:r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5BA8BCF9-D517-4325-9EF0-BD25C94F5664}"/>
                </a:ext>
              </a:extLst>
            </xdr:cNvPr>
            <xdr:cNvSpPr txBox="1"/>
          </xdr:nvSpPr>
          <xdr:spPr>
            <a:xfrm>
              <a:off x="7802880" y="3573780"/>
              <a:ext cx="93576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1100" b="0" i="0">
                  <a:latin typeface="Cambria Math" panose="02040503050406030204" pitchFamily="18" charset="0"/>
                </a:rPr>
                <a:t>𝐻</a:t>
              </a:r>
              <a:r>
                <a:rPr lang="es-MX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&lt;13.00 𝑚∴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9</xdr:col>
      <xdr:colOff>228600</xdr:colOff>
      <xdr:row>20</xdr:row>
      <xdr:rowOff>175260</xdr:rowOff>
    </xdr:from>
    <xdr:ext cx="1349472" cy="31688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7289A2A3-C30D-4924-A35A-96281CED4B56}"/>
                </a:ext>
              </a:extLst>
            </xdr:cNvPr>
            <xdr:cNvSpPr txBox="1"/>
          </xdr:nvSpPr>
          <xdr:spPr>
            <a:xfrm>
              <a:off x="7368540" y="4091940"/>
              <a:ext cx="1349472" cy="3168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100" b="0" i="1">
                        <a:latin typeface="Cambria Math" panose="02040503050406030204" pitchFamily="18" charset="0"/>
                      </a:rPr>
                      <m:t>𝑅𝑒𝑙𝑎𝑐𝑖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ó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𝑛</m:t>
                    </m:r>
                    <m:f>
                      <m:f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num>
                      <m:den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𝐵𝑛</m:t>
                        </m:r>
                      </m:den>
                    </m:f>
                    <m:r>
                      <a:rPr lang="es-MX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&lt;1.50∴</m:t>
                    </m:r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7289A2A3-C30D-4924-A35A-96281CED4B56}"/>
                </a:ext>
              </a:extLst>
            </xdr:cNvPr>
            <xdr:cNvSpPr txBox="1"/>
          </xdr:nvSpPr>
          <xdr:spPr>
            <a:xfrm>
              <a:off x="7368540" y="4091940"/>
              <a:ext cx="1349472" cy="3168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1100" b="0" i="0">
                  <a:latin typeface="Cambria Math" panose="02040503050406030204" pitchFamily="18" charset="0"/>
                </a:rPr>
                <a:t>𝑅𝑒𝑙𝑎𝑐𝑖ó𝑛 𝐻/𝐵𝑛</a:t>
              </a:r>
              <a:r>
                <a:rPr lang="es-MX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&lt;1.50∴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9</xdr:col>
      <xdr:colOff>329045</xdr:colOff>
      <xdr:row>5</xdr:row>
      <xdr:rowOff>13855</xdr:rowOff>
    </xdr:from>
    <xdr:ext cx="15953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CuadroTexto 15">
              <a:extLst>
                <a:ext uri="{FF2B5EF4-FFF2-40B4-BE49-F238E27FC236}">
                  <a16:creationId xmlns:a16="http://schemas.microsoft.com/office/drawing/2014/main" id="{D7C62953-4051-472F-85A3-D1DD3901086A}"/>
                </a:ext>
              </a:extLst>
            </xdr:cNvPr>
            <xdr:cNvSpPr txBox="1"/>
          </xdr:nvSpPr>
          <xdr:spPr>
            <a:xfrm>
              <a:off x="7858990" y="1136073"/>
              <a:ext cx="15953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100" b="1" i="0">
                        <a:latin typeface="Cambria Math" panose="02040503050406030204" pitchFamily="18" charset="0"/>
                      </a:rPr>
                      <m:t>𝐦</m:t>
                    </m:r>
                  </m:oMath>
                </m:oMathPara>
              </a14:m>
              <a:endParaRPr lang="es-MX" sz="1100" b="1" i="0">
                <a:latin typeface="+mn-lt"/>
              </a:endParaRPr>
            </a:p>
          </xdr:txBody>
        </xdr:sp>
      </mc:Choice>
      <mc:Fallback xmlns="">
        <xdr:sp macro="" textlink="">
          <xdr:nvSpPr>
            <xdr:cNvPr id="16" name="CuadroTexto 15">
              <a:extLst>
                <a:ext uri="{FF2B5EF4-FFF2-40B4-BE49-F238E27FC236}">
                  <a16:creationId xmlns:a16="http://schemas.microsoft.com/office/drawing/2014/main" id="{D7C62953-4051-472F-85A3-D1DD3901086A}"/>
                </a:ext>
              </a:extLst>
            </xdr:cNvPr>
            <xdr:cNvSpPr txBox="1"/>
          </xdr:nvSpPr>
          <xdr:spPr>
            <a:xfrm>
              <a:off x="7858990" y="1136073"/>
              <a:ext cx="15953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100" b="1" i="0">
                  <a:latin typeface="+mn-lt"/>
                </a:rPr>
                <a:t>𝐦</a:t>
              </a:r>
            </a:p>
          </xdr:txBody>
        </xdr:sp>
      </mc:Fallback>
    </mc:AlternateContent>
    <xdr:clientData/>
  </xdr:oneCellAnchor>
  <xdr:oneCellAnchor>
    <xdr:from>
      <xdr:col>10</xdr:col>
      <xdr:colOff>353290</xdr:colOff>
      <xdr:row>10</xdr:row>
      <xdr:rowOff>24245</xdr:rowOff>
    </xdr:from>
    <xdr:ext cx="15953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CuadroTexto 16">
              <a:extLst>
                <a:ext uri="{FF2B5EF4-FFF2-40B4-BE49-F238E27FC236}">
                  <a16:creationId xmlns:a16="http://schemas.microsoft.com/office/drawing/2014/main" id="{B8D0020B-4567-4F70-9F5E-CE161893E1D1}"/>
                </a:ext>
              </a:extLst>
            </xdr:cNvPr>
            <xdr:cNvSpPr txBox="1"/>
          </xdr:nvSpPr>
          <xdr:spPr>
            <a:xfrm>
              <a:off x="8714508" y="2064327"/>
              <a:ext cx="15953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100" b="1" i="0">
                        <a:latin typeface="Cambria Math" panose="02040503050406030204" pitchFamily="18" charset="0"/>
                      </a:rPr>
                      <m:t>𝐦</m:t>
                    </m:r>
                  </m:oMath>
                </m:oMathPara>
              </a14:m>
              <a:endParaRPr lang="es-MX" sz="1100" b="1" i="0">
                <a:latin typeface="+mn-lt"/>
              </a:endParaRPr>
            </a:p>
          </xdr:txBody>
        </xdr:sp>
      </mc:Choice>
      <mc:Fallback xmlns="">
        <xdr:sp macro="" textlink="">
          <xdr:nvSpPr>
            <xdr:cNvPr id="17" name="CuadroTexto 16">
              <a:extLst>
                <a:ext uri="{FF2B5EF4-FFF2-40B4-BE49-F238E27FC236}">
                  <a16:creationId xmlns:a16="http://schemas.microsoft.com/office/drawing/2014/main" id="{B8D0020B-4567-4F70-9F5E-CE161893E1D1}"/>
                </a:ext>
              </a:extLst>
            </xdr:cNvPr>
            <xdr:cNvSpPr txBox="1"/>
          </xdr:nvSpPr>
          <xdr:spPr>
            <a:xfrm>
              <a:off x="8714508" y="2064327"/>
              <a:ext cx="15953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100" b="1" i="0">
                  <a:latin typeface="+mn-lt"/>
                </a:rPr>
                <a:t>𝐦</a:t>
              </a:r>
            </a:p>
          </xdr:txBody>
        </xdr:sp>
      </mc:Fallback>
    </mc:AlternateContent>
    <xdr:clientData/>
  </xdr:oneCellAnchor>
  <xdr:oneCellAnchor>
    <xdr:from>
      <xdr:col>12</xdr:col>
      <xdr:colOff>398318</xdr:colOff>
      <xdr:row>7</xdr:row>
      <xdr:rowOff>24245</xdr:rowOff>
    </xdr:from>
    <xdr:ext cx="15953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CuadroTexto 17">
              <a:extLst>
                <a:ext uri="{FF2B5EF4-FFF2-40B4-BE49-F238E27FC236}">
                  <a16:creationId xmlns:a16="http://schemas.microsoft.com/office/drawing/2014/main" id="{86CC62F0-4E7D-4730-AEB7-FF4D7BF573BE}"/>
                </a:ext>
              </a:extLst>
            </xdr:cNvPr>
            <xdr:cNvSpPr txBox="1"/>
          </xdr:nvSpPr>
          <xdr:spPr>
            <a:xfrm>
              <a:off x="10422082" y="1513609"/>
              <a:ext cx="15953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100" b="1" i="0">
                        <a:latin typeface="Cambria Math" panose="02040503050406030204" pitchFamily="18" charset="0"/>
                      </a:rPr>
                      <m:t>𝐦</m:t>
                    </m:r>
                  </m:oMath>
                </m:oMathPara>
              </a14:m>
              <a:endParaRPr lang="es-MX" sz="1100" b="1" i="0">
                <a:latin typeface="+mn-lt"/>
              </a:endParaRPr>
            </a:p>
          </xdr:txBody>
        </xdr:sp>
      </mc:Choice>
      <mc:Fallback xmlns="">
        <xdr:sp macro="" textlink="">
          <xdr:nvSpPr>
            <xdr:cNvPr id="18" name="CuadroTexto 17">
              <a:extLst>
                <a:ext uri="{FF2B5EF4-FFF2-40B4-BE49-F238E27FC236}">
                  <a16:creationId xmlns:a16="http://schemas.microsoft.com/office/drawing/2014/main" id="{86CC62F0-4E7D-4730-AEB7-FF4D7BF573BE}"/>
                </a:ext>
              </a:extLst>
            </xdr:cNvPr>
            <xdr:cNvSpPr txBox="1"/>
          </xdr:nvSpPr>
          <xdr:spPr>
            <a:xfrm>
              <a:off x="10422082" y="1513609"/>
              <a:ext cx="15953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100" b="1" i="0">
                  <a:latin typeface="+mn-lt"/>
                </a:rPr>
                <a:t>𝐦</a:t>
              </a:r>
            </a:p>
          </xdr:txBody>
        </xdr:sp>
      </mc:Fallback>
    </mc:AlternateContent>
    <xdr:clientData/>
  </xdr:oneCellAnchor>
  <xdr:oneCellAnchor>
    <xdr:from>
      <xdr:col>11</xdr:col>
      <xdr:colOff>362988</xdr:colOff>
      <xdr:row>18</xdr:row>
      <xdr:rowOff>6927</xdr:rowOff>
    </xdr:from>
    <xdr:ext cx="15953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CuadroTexto 14">
              <a:extLst>
                <a:ext uri="{FF2B5EF4-FFF2-40B4-BE49-F238E27FC236}">
                  <a16:creationId xmlns:a16="http://schemas.microsoft.com/office/drawing/2014/main" id="{7AECADCF-351D-418F-8483-401DC84512DC}"/>
                </a:ext>
              </a:extLst>
            </xdr:cNvPr>
            <xdr:cNvSpPr txBox="1"/>
          </xdr:nvSpPr>
          <xdr:spPr>
            <a:xfrm>
              <a:off x="9491748" y="3550227"/>
              <a:ext cx="15953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100" b="1" i="0">
                        <a:latin typeface="Cambria Math" panose="02040503050406030204" pitchFamily="18" charset="0"/>
                      </a:rPr>
                      <m:t>𝐦</m:t>
                    </m:r>
                  </m:oMath>
                </m:oMathPara>
              </a14:m>
              <a:endParaRPr lang="es-MX" sz="1100" b="1" i="0">
                <a:latin typeface="+mn-lt"/>
              </a:endParaRPr>
            </a:p>
          </xdr:txBody>
        </xdr:sp>
      </mc:Choice>
      <mc:Fallback xmlns="">
        <xdr:sp macro="" textlink="">
          <xdr:nvSpPr>
            <xdr:cNvPr id="15" name="CuadroTexto 14">
              <a:extLst>
                <a:ext uri="{FF2B5EF4-FFF2-40B4-BE49-F238E27FC236}">
                  <a16:creationId xmlns:a16="http://schemas.microsoft.com/office/drawing/2014/main" id="{7AECADCF-351D-418F-8483-401DC84512DC}"/>
                </a:ext>
              </a:extLst>
            </xdr:cNvPr>
            <xdr:cNvSpPr txBox="1"/>
          </xdr:nvSpPr>
          <xdr:spPr>
            <a:xfrm>
              <a:off x="9491748" y="3550227"/>
              <a:ext cx="15953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1100" b="1" i="0">
                  <a:latin typeface="Cambria Math" panose="02040503050406030204" pitchFamily="18" charset="0"/>
                </a:rPr>
                <a:t>𝐦</a:t>
              </a:r>
              <a:endParaRPr lang="es-MX" sz="1100" b="1" i="0">
                <a:latin typeface="+mn-lt"/>
              </a:endParaRPr>
            </a:p>
          </xdr:txBody>
        </xdr:sp>
      </mc:Fallback>
    </mc:AlternateContent>
    <xdr:clientData/>
  </xdr:oneCellAnchor>
  <xdr:twoCellAnchor editAs="oneCell">
    <xdr:from>
      <xdr:col>15</xdr:col>
      <xdr:colOff>93224</xdr:colOff>
      <xdr:row>1</xdr:row>
      <xdr:rowOff>83819</xdr:rowOff>
    </xdr:from>
    <xdr:to>
      <xdr:col>21</xdr:col>
      <xdr:colOff>701648</xdr:colOff>
      <xdr:row>33</xdr:row>
      <xdr:rowOff>160618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C5EFF571-F6E4-4F40-B0A6-F203418A65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16200000">
          <a:off x="11556626" y="713357"/>
          <a:ext cx="6469979" cy="559190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33670</xdr:colOff>
      <xdr:row>0</xdr:row>
      <xdr:rowOff>51282</xdr:rowOff>
    </xdr:from>
    <xdr:to>
      <xdr:col>28</xdr:col>
      <xdr:colOff>767714</xdr:colOff>
      <xdr:row>43</xdr:row>
      <xdr:rowOff>89969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3966D4C1-D505-4768-8036-C4F7E6661E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936110" y="51282"/>
          <a:ext cx="11640169" cy="8237807"/>
        </a:xfrm>
        <a:prstGeom prst="rect">
          <a:avLst/>
        </a:prstGeom>
      </xdr:spPr>
    </xdr:pic>
    <xdr:clientData/>
  </xdr:twoCellAnchor>
  <xdr:twoCellAnchor editAs="oneCell">
    <xdr:from>
      <xdr:col>3</xdr:col>
      <xdr:colOff>538799</xdr:colOff>
      <xdr:row>0</xdr:row>
      <xdr:rowOff>118534</xdr:rowOff>
    </xdr:from>
    <xdr:to>
      <xdr:col>5</xdr:col>
      <xdr:colOff>404946</xdr:colOff>
      <xdr:row>7</xdr:row>
      <xdr:rowOff>178649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AEC0B06C-5D0A-4046-BE24-9C1FF41DB8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917932" y="118534"/>
          <a:ext cx="1237747" cy="1431715"/>
        </a:xfrm>
        <a:prstGeom prst="rect">
          <a:avLst/>
        </a:prstGeom>
      </xdr:spPr>
    </xdr:pic>
    <xdr:clientData/>
  </xdr:twoCellAnchor>
  <xdr:oneCellAnchor>
    <xdr:from>
      <xdr:col>0</xdr:col>
      <xdr:colOff>677333</xdr:colOff>
      <xdr:row>10</xdr:row>
      <xdr:rowOff>25400</xdr:rowOff>
    </xdr:from>
    <xdr:ext cx="990600" cy="23706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0F64E0D2-84BD-487A-9E6D-C0F610242914}"/>
                </a:ext>
              </a:extLst>
            </xdr:cNvPr>
            <xdr:cNvSpPr txBox="1"/>
          </xdr:nvSpPr>
          <xdr:spPr>
            <a:xfrm>
              <a:off x="677333" y="2142067"/>
              <a:ext cx="990600" cy="23706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MX" sz="12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200" b="0" i="1">
                            <a:latin typeface="Cambria Math" panose="02040503050406030204" pitchFamily="18" charset="0"/>
                          </a:rPr>
                          <m:t>𝐴</m:t>
                        </m:r>
                      </m:e>
                      <m:sub>
                        <m:r>
                          <a:rPr lang="es-MX" sz="1200" b="0" i="1">
                            <a:latin typeface="Cambria Math" panose="02040503050406030204" pitchFamily="18" charset="0"/>
                          </a:rPr>
                          <m:t>𝑐</m:t>
                        </m:r>
                      </m:sub>
                    </m:sSub>
                    <m:r>
                      <a:rPr lang="es-MX" sz="12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s-MX" sz="12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200" b="0" i="1">
                            <a:latin typeface="Cambria Math" panose="02040503050406030204" pitchFamily="18" charset="0"/>
                          </a:rPr>
                          <m:t>h</m:t>
                        </m:r>
                      </m:e>
                      <m:sub>
                        <m:r>
                          <a:rPr lang="es-MX" sz="1200" b="0" i="1">
                            <a:latin typeface="Cambria Math" panose="02040503050406030204" pitchFamily="18" charset="0"/>
                          </a:rPr>
                          <m:t>𝑐</m:t>
                        </m:r>
                      </m:sub>
                    </m:sSub>
                    <m:sSub>
                      <m:sSubPr>
                        <m:ctrlPr>
                          <a:rPr lang="es-MX" sz="12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200" b="0" i="1">
                            <a:latin typeface="Cambria Math" panose="02040503050406030204" pitchFamily="18" charset="0"/>
                          </a:rPr>
                          <m:t>𝑏</m:t>
                        </m:r>
                      </m:e>
                      <m:sub>
                        <m:r>
                          <a:rPr lang="es-MX" sz="1200" b="0" i="1">
                            <a:latin typeface="Cambria Math" panose="02040503050406030204" pitchFamily="18" charset="0"/>
                          </a:rPr>
                          <m:t>𝑐</m:t>
                        </m:r>
                      </m:sub>
                    </m:sSub>
                    <m:r>
                      <a:rPr lang="es-MX" sz="12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MX" sz="1200"/>
            </a:p>
          </xdr:txBody>
        </xdr:sp>
      </mc:Choice>
      <mc:Fallback xmlns="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0F64E0D2-84BD-487A-9E6D-C0F610242914}"/>
                </a:ext>
              </a:extLst>
            </xdr:cNvPr>
            <xdr:cNvSpPr txBox="1"/>
          </xdr:nvSpPr>
          <xdr:spPr>
            <a:xfrm>
              <a:off x="677333" y="2142067"/>
              <a:ext cx="990600" cy="23706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s-MX" sz="1200" b="0" i="0">
                  <a:latin typeface="Cambria Math" panose="02040503050406030204" pitchFamily="18" charset="0"/>
                </a:rPr>
                <a:t>𝐴_𝑐=ℎ_𝑐 𝑏_𝑐=</a:t>
              </a:r>
              <a:endParaRPr lang="es-MX" sz="1200"/>
            </a:p>
          </xdr:txBody>
        </xdr:sp>
      </mc:Fallback>
    </mc:AlternateContent>
    <xdr:clientData/>
  </xdr:oneCellAnchor>
  <xdr:oneCellAnchor>
    <xdr:from>
      <xdr:col>0</xdr:col>
      <xdr:colOff>440266</xdr:colOff>
      <xdr:row>13</xdr:row>
      <xdr:rowOff>110067</xdr:rowOff>
    </xdr:from>
    <xdr:ext cx="1422400" cy="3753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7467947F-6255-4245-9D0A-70EA9BE1BC18}"/>
                </a:ext>
              </a:extLst>
            </xdr:cNvPr>
            <xdr:cNvSpPr txBox="1"/>
          </xdr:nvSpPr>
          <xdr:spPr>
            <a:xfrm>
              <a:off x="440266" y="2802467"/>
              <a:ext cx="1422400" cy="3753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MX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e>
                      <m:sub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𝑠</m:t>
                        </m:r>
                      </m:sub>
                    </m:sSub>
                    <m:r>
                      <a:rPr lang="es-MX" sz="1100" b="0" i="0">
                        <a:latin typeface="Cambria Math" panose="02040503050406030204" pitchFamily="18" charset="0"/>
                      </a:rPr>
                      <m:t>=0.2</m:t>
                    </m:r>
                    <m:f>
                      <m:f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Sup>
                          <m:sSubSupPr>
                            <m:ctrlPr>
                              <a:rPr lang="es-MX" sz="1100" b="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𝑓</m:t>
                            </m:r>
                          </m:e>
                          <m:sub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𝑐</m:t>
                            </m:r>
                          </m:sub>
                          <m:sup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′</m:t>
                            </m:r>
                          </m:sup>
                        </m:sSubSup>
                      </m:num>
                      <m:den>
                        <m:sSub>
                          <m:sSubPr>
                            <m:ctrlPr>
                              <a:rPr lang="es-MX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𝑓</m:t>
                            </m:r>
                          </m:e>
                          <m:sub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sub>
                        </m:sSub>
                      </m:den>
                    </m:f>
                    <m:sSub>
                      <m:sSub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e>
                      <m:sub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sub>
                    </m:sSub>
                    <m:r>
                      <a:rPr lang="es-MX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7467947F-6255-4245-9D0A-70EA9BE1BC18}"/>
                </a:ext>
              </a:extLst>
            </xdr:cNvPr>
            <xdr:cNvSpPr txBox="1"/>
          </xdr:nvSpPr>
          <xdr:spPr>
            <a:xfrm>
              <a:off x="440266" y="2802467"/>
              <a:ext cx="1422400" cy="3753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MX" sz="1100" b="0" i="0">
                  <a:latin typeface="Cambria Math" panose="02040503050406030204" pitchFamily="18" charset="0"/>
                </a:rPr>
                <a:t>𝐴_𝑠=0.2 (𝑓_𝑐^′)/𝑓_𝑦  𝐴_𝑐=</a:t>
              </a:r>
              <a:endParaRPr lang="es-MX" sz="1100"/>
            </a:p>
          </xdr:txBody>
        </xdr:sp>
      </mc:Fallback>
    </mc:AlternateContent>
    <xdr:clientData/>
  </xdr:oneCellAnchor>
  <xdr:twoCellAnchor>
    <xdr:from>
      <xdr:col>0</xdr:col>
      <xdr:colOff>584200</xdr:colOff>
      <xdr:row>22</xdr:row>
      <xdr:rowOff>8466</xdr:rowOff>
    </xdr:from>
    <xdr:to>
      <xdr:col>0</xdr:col>
      <xdr:colOff>762000</xdr:colOff>
      <xdr:row>23</xdr:row>
      <xdr:rowOff>169334</xdr:rowOff>
    </xdr:to>
    <xdr:sp macro="" textlink="">
      <xdr:nvSpPr>
        <xdr:cNvPr id="11" name="Abrir llave 10">
          <a:extLst>
            <a:ext uri="{FF2B5EF4-FFF2-40B4-BE49-F238E27FC236}">
              <a16:creationId xmlns:a16="http://schemas.microsoft.com/office/drawing/2014/main" id="{3ED7F1F6-8457-46BD-8984-2395AE7D4AA9}"/>
            </a:ext>
          </a:extLst>
        </xdr:cNvPr>
        <xdr:cNvSpPr/>
      </xdr:nvSpPr>
      <xdr:spPr>
        <a:xfrm>
          <a:off x="1413933" y="4614333"/>
          <a:ext cx="177800" cy="347134"/>
        </a:xfrm>
        <a:prstGeom prst="leftBrac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2</xdr:col>
      <xdr:colOff>207433</xdr:colOff>
      <xdr:row>28</xdr:row>
      <xdr:rowOff>101600</xdr:rowOff>
    </xdr:from>
    <xdr:ext cx="941155" cy="36548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FAC7A0D8-F779-4C56-B0CD-8DA8B988B86A}"/>
                </a:ext>
              </a:extLst>
            </xdr:cNvPr>
            <xdr:cNvSpPr txBox="1"/>
          </xdr:nvSpPr>
          <xdr:spPr>
            <a:xfrm>
              <a:off x="1866900" y="5655733"/>
              <a:ext cx="941155" cy="36548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MX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e>
                      <m:sub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𝑠𝑐</m:t>
                        </m:r>
                      </m:sub>
                    </m:sSub>
                    <m:r>
                      <a:rPr lang="es-MX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≥</m:t>
                    </m:r>
                    <m:f>
                      <m:fPr>
                        <m:ctrlPr>
                          <a:rPr lang="es-MX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MX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1000</m:t>
                        </m:r>
                        <m:r>
                          <a:rPr lang="es-MX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𝑠</m:t>
                        </m:r>
                      </m:num>
                      <m:den>
                        <m:sSub>
                          <m:sSubPr>
                            <m:ctrlPr>
                              <a:rPr lang="es-MX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MX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𝑓</m:t>
                            </m:r>
                          </m:e>
                          <m:sub>
                            <m:r>
                              <a:rPr lang="es-MX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𝑦</m:t>
                            </m:r>
                          </m:sub>
                        </m:sSub>
                        <m:sSub>
                          <m:sSubPr>
                            <m:ctrlPr>
                              <a:rPr lang="es-MX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MX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h</m:t>
                            </m:r>
                          </m:e>
                          <m:sub>
                            <m:r>
                              <a:rPr lang="es-MX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𝑐</m:t>
                            </m:r>
                          </m:sub>
                        </m:sSub>
                      </m:den>
                    </m:f>
                    <m:r>
                      <a:rPr lang="es-MX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FAC7A0D8-F779-4C56-B0CD-8DA8B988B86A}"/>
                </a:ext>
              </a:extLst>
            </xdr:cNvPr>
            <xdr:cNvSpPr txBox="1"/>
          </xdr:nvSpPr>
          <xdr:spPr>
            <a:xfrm>
              <a:off x="1866900" y="5655733"/>
              <a:ext cx="941155" cy="36548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100" b="0" i="0">
                  <a:latin typeface="Cambria Math" panose="02040503050406030204" pitchFamily="18" charset="0"/>
                </a:rPr>
                <a:t>𝐴_𝑠𝑐</a:t>
              </a:r>
              <a:r>
                <a:rPr lang="es-MX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≥1000𝑠/(𝑓_𝑦 ℎ_𝑐 )=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2</xdr:col>
      <xdr:colOff>249767</xdr:colOff>
      <xdr:row>31</xdr:row>
      <xdr:rowOff>33867</xdr:rowOff>
    </xdr:from>
    <xdr:ext cx="79810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CuadroTexto 12">
              <a:extLst>
                <a:ext uri="{FF2B5EF4-FFF2-40B4-BE49-F238E27FC236}">
                  <a16:creationId xmlns:a16="http://schemas.microsoft.com/office/drawing/2014/main" id="{4C82B637-D951-4649-8B41-2FF7D7F31259}"/>
                </a:ext>
              </a:extLst>
            </xdr:cNvPr>
            <xdr:cNvSpPr txBox="1"/>
          </xdr:nvSpPr>
          <xdr:spPr>
            <a:xfrm>
              <a:off x="1909234" y="6163734"/>
              <a:ext cx="7981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MX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e>
                      <m:sub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𝑠𝑐</m:t>
                        </m:r>
                      </m:sub>
                    </m:sSub>
                    <m:r>
                      <a:rPr lang="es-MX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=2</m:t>
                    </m:r>
                    <m:sSub>
                      <m:sSubPr>
                        <m:ctrlPr>
                          <a:rPr lang="es-MX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𝐴</m:t>
                        </m:r>
                      </m:e>
                      <m:sub>
                        <m:r>
                          <a:rPr lang="es-MX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𝑏</m:t>
                        </m:r>
                      </m:sub>
                    </m:sSub>
                    <m:r>
                      <a:rPr lang="es-MX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13" name="CuadroTexto 12">
              <a:extLst>
                <a:ext uri="{FF2B5EF4-FFF2-40B4-BE49-F238E27FC236}">
                  <a16:creationId xmlns:a16="http://schemas.microsoft.com/office/drawing/2014/main" id="{4C82B637-D951-4649-8B41-2FF7D7F31259}"/>
                </a:ext>
              </a:extLst>
            </xdr:cNvPr>
            <xdr:cNvSpPr txBox="1"/>
          </xdr:nvSpPr>
          <xdr:spPr>
            <a:xfrm>
              <a:off x="1909234" y="6163734"/>
              <a:ext cx="7981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100" b="0" i="0">
                  <a:latin typeface="Cambria Math" panose="02040503050406030204" pitchFamily="18" charset="0"/>
                </a:rPr>
                <a:t>𝐴_𝑠𝑐</a:t>
              </a:r>
              <a:r>
                <a:rPr lang="es-MX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=2𝐴_𝑏=</a:t>
              </a:r>
              <a:endParaRPr lang="es-MX" sz="1100"/>
            </a:p>
          </xdr:txBody>
        </xdr:sp>
      </mc:Fallback>
    </mc:AlternateContent>
    <xdr:clientData/>
  </xdr:oneCellAnchor>
  <xdr:twoCellAnchor>
    <xdr:from>
      <xdr:col>0</xdr:col>
      <xdr:colOff>609600</xdr:colOff>
      <xdr:row>39</xdr:row>
      <xdr:rowOff>8466</xdr:rowOff>
    </xdr:from>
    <xdr:to>
      <xdr:col>0</xdr:col>
      <xdr:colOff>787400</xdr:colOff>
      <xdr:row>40</xdr:row>
      <xdr:rowOff>169334</xdr:rowOff>
    </xdr:to>
    <xdr:sp macro="" textlink="">
      <xdr:nvSpPr>
        <xdr:cNvPr id="14" name="Abrir llave 13">
          <a:extLst>
            <a:ext uri="{FF2B5EF4-FFF2-40B4-BE49-F238E27FC236}">
              <a16:creationId xmlns:a16="http://schemas.microsoft.com/office/drawing/2014/main" id="{A6865102-411F-4C88-8704-75BCDCD2FBCD}"/>
            </a:ext>
          </a:extLst>
        </xdr:cNvPr>
        <xdr:cNvSpPr/>
      </xdr:nvSpPr>
      <xdr:spPr>
        <a:xfrm>
          <a:off x="1439333" y="7095066"/>
          <a:ext cx="177800" cy="347135"/>
        </a:xfrm>
        <a:prstGeom prst="leftBrac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</xdr:col>
      <xdr:colOff>165100</xdr:colOff>
      <xdr:row>39</xdr:row>
      <xdr:rowOff>173566</xdr:rowOff>
    </xdr:from>
    <xdr:ext cx="416461" cy="2200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CuadroTexto 14">
              <a:extLst>
                <a:ext uri="{FF2B5EF4-FFF2-40B4-BE49-F238E27FC236}">
                  <a16:creationId xmlns:a16="http://schemas.microsoft.com/office/drawing/2014/main" id="{293EAA78-2537-418A-9606-4324C068DC49}"/>
                </a:ext>
              </a:extLst>
            </xdr:cNvPr>
            <xdr:cNvSpPr txBox="1"/>
          </xdr:nvSpPr>
          <xdr:spPr>
            <a:xfrm>
              <a:off x="994833" y="7632699"/>
              <a:ext cx="416461" cy="2200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type m:val="skw"/>
                        <m:ctrlPr>
                          <a:rPr lang="es-MX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num>
                      <m:den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6</m:t>
                        </m:r>
                      </m:den>
                    </m:f>
                    <m:r>
                      <a:rPr lang="es-MX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15" name="CuadroTexto 14">
              <a:extLst>
                <a:ext uri="{FF2B5EF4-FFF2-40B4-BE49-F238E27FC236}">
                  <a16:creationId xmlns:a16="http://schemas.microsoft.com/office/drawing/2014/main" id="{293EAA78-2537-418A-9606-4324C068DC49}"/>
                </a:ext>
              </a:extLst>
            </xdr:cNvPr>
            <xdr:cNvSpPr txBox="1"/>
          </xdr:nvSpPr>
          <xdr:spPr>
            <a:xfrm>
              <a:off x="994833" y="7632699"/>
              <a:ext cx="416461" cy="2200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100" b="0" i="0">
                  <a:latin typeface="Cambria Math" panose="02040503050406030204" pitchFamily="18" charset="0"/>
                </a:rPr>
                <a:t>𝐻⁄6=</a:t>
              </a:r>
              <a:endParaRPr lang="es-MX" sz="1100"/>
            </a:p>
          </xdr:txBody>
        </xdr:sp>
      </mc:Fallback>
    </mc:AlternateContent>
    <xdr:clientData/>
  </xdr:oneCellAnchor>
  <xdr:twoCellAnchor editAs="oneCell">
    <xdr:from>
      <xdr:col>8</xdr:col>
      <xdr:colOff>194735</xdr:colOff>
      <xdr:row>0</xdr:row>
      <xdr:rowOff>156733</xdr:rowOff>
    </xdr:from>
    <xdr:to>
      <xdr:col>14</xdr:col>
      <xdr:colOff>677629</xdr:colOff>
      <xdr:row>20</xdr:row>
      <xdr:rowOff>14643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id="{C881BC0A-87F2-4FEE-8FB8-15E65A483E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943602" y="156733"/>
          <a:ext cx="5258094" cy="371871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318097</xdr:colOff>
      <xdr:row>19</xdr:row>
      <xdr:rowOff>143395</xdr:rowOff>
    </xdr:from>
    <xdr:to>
      <xdr:col>23</xdr:col>
      <xdr:colOff>749299</xdr:colOff>
      <xdr:row>44</xdr:row>
      <xdr:rowOff>81445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95DCA68-DBC5-4A45-93DB-77B1206B28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3667" b="98833" l="9553" r="95935">
                      <a14:foregroundMark x1="44106" y1="34833" x2="44106" y2="34833"/>
                      <a14:foregroundMark x1="14431" y1="96500" x2="15650" y2="96833"/>
                      <a14:foregroundMark x1="17886" y1="96333" x2="21951" y2="95500"/>
                      <a14:foregroundMark x1="23374" y1="94167" x2="29268" y2="92000"/>
                      <a14:foregroundMark x1="43902" y1="85333" x2="52439" y2="82333"/>
                      <a14:foregroundMark x1="65041" y1="75833" x2="68496" y2="74333"/>
                      <a14:foregroundMark x1="75610" y1="69833" x2="82927" y2="67000"/>
                      <a14:foregroundMark x1="87398" y1="64333" x2="86992" y2="63000"/>
                      <a14:foregroundMark x1="87398" y1="62333" x2="87805" y2="63333"/>
                      <a14:foregroundMark x1="33740" y1="89500" x2="38211" y2="88000"/>
                      <a14:foregroundMark x1="29878" y1="89333" x2="30285" y2="84000"/>
                      <a14:foregroundMark x1="18293" y1="94500" x2="20528" y2="84000"/>
                      <a14:foregroundMark x1="53252" y1="81000" x2="54472" y2="79833"/>
                      <a14:foregroundMark x1="16057" y1="95667" x2="16870" y2="84667"/>
                      <a14:foregroundMark x1="16870" y1="84667" x2="14228" y2="94500"/>
                      <a14:foregroundMark x1="16260" y1="87667" x2="15244" y2="77667"/>
                      <a14:foregroundMark x1="18293" y1="83000" x2="19512" y2="70833"/>
                      <a14:foregroundMark x1="15854" y1="78000" x2="15447" y2="65000"/>
                      <a14:foregroundMark x1="29675" y1="83833" x2="29268" y2="61000"/>
                      <a14:foregroundMark x1="87195" y1="63833" x2="86585" y2="51333"/>
                      <a14:foregroundMark x1="86585" y1="51333" x2="86585" y2="51333"/>
                      <a14:foregroundMark x1="86585" y1="42833" x2="87195" y2="53333"/>
                      <a14:foregroundMark x1="15650" y1="65833" x2="16667" y2="55000"/>
                      <a14:foregroundMark x1="13211" y1="66000" x2="13821" y2="65833"/>
                      <a14:foregroundMark x1="19106" y1="66833" x2="17683" y2="58667"/>
                      <a14:foregroundMark x1="19106" y1="57500" x2="19106" y2="47333"/>
                      <a14:foregroundMark x1="14634" y1="58167" x2="18293" y2="43500"/>
                      <a14:foregroundMark x1="15650" y1="42000" x2="14634" y2="48167"/>
                      <a14:foregroundMark x1="29065" y1="43667" x2="28862" y2="56833"/>
                      <a14:foregroundMark x1="14228" y1="39833" x2="16870" y2="37833"/>
                      <a14:foregroundMark x1="17886" y1="37500" x2="28049" y2="32833"/>
                      <a14:foregroundMark x1="16870" y1="38833" x2="20528" y2="39500"/>
                      <a14:foregroundMark x1="18902" y1="38333" x2="27846" y2="38000"/>
                      <a14:foregroundMark x1="21748" y1="40500" x2="65854" y2="44167"/>
                      <a14:foregroundMark x1="67073" y1="43167" x2="95122" y2="30833"/>
                      <a14:foregroundMark x1="69919" y1="73000" x2="72561" y2="70500"/>
                      <a14:foregroundMark x1="58333" y1="77833" x2="62398" y2="74833"/>
                      <a14:foregroundMark x1="68496" y1="74833" x2="68496" y2="74833"/>
                      <a14:foregroundMark x1="53049" y1="81500" x2="58537" y2="79000"/>
                      <a14:foregroundMark x1="93496" y1="30000" x2="81098" y2="22500"/>
                      <a14:foregroundMark x1="81098" y1="22500" x2="76016" y2="16667"/>
                      <a14:foregroundMark x1="95325" y1="29500" x2="85772" y2="7000"/>
                      <a14:foregroundMark x1="85366" y1="7167" x2="66260" y2="19000"/>
                      <a14:foregroundMark x1="66260" y1="19000" x2="27642" y2="33833"/>
                      <a14:foregroundMark x1="74797" y1="17167" x2="31504" y2="33333"/>
                      <a14:foregroundMark x1="78455" y1="21500" x2="38415" y2="30500"/>
                      <a14:foregroundMark x1="38415" y1="30500" x2="73577" y2="19667"/>
                      <a14:foregroundMark x1="80894" y1="24833" x2="36585" y2="32000"/>
                      <a14:foregroundMark x1="36585" y1="32000" x2="51423" y2="32667"/>
                      <a14:foregroundMark x1="51423" y1="32667" x2="79065" y2="23333"/>
                      <a14:foregroundMark x1="84553" y1="26500" x2="53049" y2="32000"/>
                      <a14:foregroundMark x1="53049" y1="32000" x2="68699" y2="30833"/>
                      <a14:foregroundMark x1="68699" y1="30833" x2="80285" y2="26333"/>
                      <a14:foregroundMark x1="80488" y1="30333" x2="58943" y2="34500"/>
                      <a14:foregroundMark x1="58943" y1="34500" x2="80081" y2="27833"/>
                      <a14:foregroundMark x1="84756" y1="6167" x2="84756" y2="6167"/>
                      <a14:foregroundMark x1="86179" y1="27667" x2="66260" y2="35500"/>
                      <a14:foregroundMark x1="66260" y1="35500" x2="36382" y2="35833"/>
                      <a14:foregroundMark x1="76423" y1="33833" x2="47561" y2="37667"/>
                      <a14:foregroundMark x1="47561" y1="37667" x2="32114" y2="35667"/>
                      <a14:foregroundMark x1="64837" y1="37500" x2="57927" y2="38000"/>
                      <a14:foregroundMark x1="87195" y1="42667" x2="86585" y2="36333"/>
                      <a14:foregroundMark x1="17886" y1="9000" x2="17886" y2="9000"/>
                      <a14:foregroundMark x1="17886" y1="9000" x2="20122" y2="11833"/>
                      <a14:foregroundMark x1="18293" y1="10667" x2="19919" y2="15167"/>
                      <a14:foregroundMark x1="19309" y1="15000" x2="20935" y2="20333"/>
                      <a14:foregroundMark x1="20732" y1="19500" x2="22561" y2="24000"/>
                      <a14:foregroundMark x1="22358" y1="24000" x2="26626" y2="32500"/>
                      <a14:foregroundMark x1="26220" y1="32000" x2="31301" y2="29167"/>
                      <a14:foregroundMark x1="31911" y1="31667" x2="37195" y2="28167"/>
                      <a14:foregroundMark x1="26220" y1="30000" x2="18293" y2="8500"/>
                      <a14:foregroundMark x1="19919" y1="8500" x2="33130" y2="8500"/>
                      <a14:foregroundMark x1="33130" y1="8500" x2="33943" y2="8167"/>
                      <a14:foregroundMark x1="33130" y1="7833" x2="47561" y2="6667"/>
                      <a14:foregroundMark x1="47561" y1="6667" x2="53455" y2="7333"/>
                      <a14:foregroundMark x1="53659" y1="7167" x2="70122" y2="5500"/>
                      <a14:foregroundMark x1="70122" y1="5500" x2="77846" y2="5667"/>
                      <a14:foregroundMark x1="79878" y1="4333" x2="81301" y2="5167"/>
                      <a14:foregroundMark x1="20325" y1="7167" x2="23577" y2="7000"/>
                      <a14:foregroundMark x1="20528" y1="7167" x2="23171" y2="7167"/>
                      <a14:foregroundMark x1="27236" y1="6667" x2="31707" y2="6500"/>
                      <a14:foregroundMark x1="18699" y1="7000" x2="25203" y2="6833"/>
                      <a14:foregroundMark x1="18089" y1="7167" x2="28049" y2="6500"/>
                      <a14:foregroundMark x1="18089" y1="7000" x2="82927" y2="4000"/>
                      <a14:foregroundMark x1="83130" y1="3667" x2="84959" y2="5500"/>
                      <a14:foregroundMark x1="84146" y1="5000" x2="88211" y2="6500"/>
                      <a14:foregroundMark x1="84756" y1="5000" x2="87398" y2="6167"/>
                      <a14:foregroundMark x1="88415" y1="6500" x2="88415" y2="8833"/>
                      <a14:foregroundMark x1="88008" y1="8833" x2="91463" y2="16667"/>
                      <a14:foregroundMark x1="88211" y1="9000" x2="91057" y2="13833"/>
                      <a14:foregroundMark x1="90447" y1="14167" x2="96341" y2="29167"/>
                      <a14:foregroundMark x1="88821" y1="34667" x2="90650" y2="34167"/>
                      <a14:foregroundMark x1="91057" y1="33500" x2="93699" y2="32167"/>
                      <a14:foregroundMark x1="94512" y1="31833" x2="95935" y2="31000"/>
                      <a14:foregroundMark x1="95732" y1="30500" x2="95732" y2="30500"/>
                      <a14:foregroundMark x1="95935" y1="30500" x2="95935" y2="30500"/>
                      <a14:foregroundMark x1="88211" y1="35167" x2="88618" y2="39833"/>
                      <a14:foregroundMark x1="88211" y1="40333" x2="88211" y2="41833"/>
                      <a14:foregroundMark x1="88211" y1="43000" x2="88211" y2="44167"/>
                      <a14:foregroundMark x1="88415" y1="44667" x2="88211" y2="47333"/>
                      <a14:foregroundMark x1="88008" y1="47500" x2="88008" y2="51833"/>
                      <a14:foregroundMark x1="88008" y1="48000" x2="88008" y2="52167"/>
                      <a14:foregroundMark x1="88008" y1="54833" x2="87805" y2="57500"/>
                      <a14:foregroundMark x1="88211" y1="55667" x2="88008" y2="56833"/>
                      <a14:foregroundMark x1="87805" y1="49500" x2="87805" y2="51000"/>
                      <a14:foregroundMark x1="88618" y1="48667" x2="88618" y2="48667"/>
                      <a14:foregroundMark x1="88415" y1="48000" x2="88415" y2="48000"/>
                      <a14:foregroundMark x1="88415" y1="63333" x2="88618" y2="65000"/>
                      <a14:foregroundMark x1="88618" y1="65000" x2="83740" y2="67667"/>
                      <a14:foregroundMark x1="84350" y1="67333" x2="80488" y2="69000"/>
                      <a14:foregroundMark x1="81911" y1="68500" x2="78455" y2="69500"/>
                      <a14:foregroundMark x1="79675" y1="69167" x2="77439" y2="70500"/>
                      <a14:foregroundMark x1="77236" y1="70500" x2="75000" y2="71500"/>
                      <a14:foregroundMark x1="74797" y1="71667" x2="72154" y2="72667"/>
                      <a14:foregroundMark x1="71951" y1="72833" x2="69512" y2="73833"/>
                      <a14:foregroundMark x1="70935" y1="73333" x2="69512" y2="74500"/>
                      <a14:foregroundMark x1="67886" y1="75167" x2="60569" y2="78167"/>
                      <a14:foregroundMark x1="49187" y1="84000" x2="47967" y2="84333"/>
                      <a14:foregroundMark x1="47154" y1="84833" x2="45935" y2="85500"/>
                      <a14:foregroundMark x1="45528" y1="85500" x2="43496" y2="86333"/>
                      <a14:foregroundMark x1="42683" y1="87000" x2="40447" y2="87500"/>
                      <a14:foregroundMark x1="40447" y1="87833" x2="38821" y2="88833"/>
                      <a14:foregroundMark x1="38618" y1="88833" x2="36992" y2="89500"/>
                      <a14:foregroundMark x1="36585" y1="89833" x2="34959" y2="90500"/>
                      <a14:foregroundMark x1="33943" y1="91000" x2="33740" y2="90833"/>
                      <a14:foregroundMark x1="33943" y1="90833" x2="31301" y2="92000"/>
                      <a14:foregroundMark x1="30894" y1="92333" x2="23171" y2="96167"/>
                      <a14:foregroundMark x1="22358" y1="96500" x2="21138" y2="96833"/>
                      <a14:foregroundMark x1="20732" y1="97167" x2="19715" y2="97833"/>
                      <a14:foregroundMark x1="19512" y1="97833" x2="18699" y2="98167"/>
                      <a14:foregroundMark x1="18089" y1="98500" x2="17073" y2="98833"/>
                      <a14:foregroundMark x1="16260" y1="98667" x2="13211" y2="97500"/>
                      <a14:foregroundMark x1="13211" y1="97000" x2="13415" y2="94833"/>
                      <a14:foregroundMark x1="13211" y1="89833" x2="13211" y2="79500"/>
                      <a14:foregroundMark x1="13415" y1="79333" x2="13415" y2="78000"/>
                      <a14:foregroundMark x1="13008" y1="78500" x2="13821" y2="71500"/>
                      <a14:foregroundMark x1="13008" y1="75667" x2="13008" y2="71833"/>
                      <a14:foregroundMark x1="13415" y1="70000" x2="13211" y2="63333"/>
                      <a14:foregroundMark x1="12805" y1="69833" x2="13821" y2="65333"/>
                      <a14:foregroundMark x1="12805" y1="68000" x2="12805" y2="66333"/>
                      <a14:foregroundMark x1="13008" y1="61000" x2="13211" y2="56500"/>
                      <a14:foregroundMark x1="12805" y1="57833" x2="12805" y2="57833"/>
                      <a14:foregroundMark x1="12805" y1="57833" x2="12805" y2="54333"/>
                      <a14:foregroundMark x1="13008" y1="53667" x2="13008" y2="50500"/>
                      <a14:foregroundMark x1="13008" y1="50000" x2="13008" y2="46333"/>
                      <a14:foregroundMark x1="12805" y1="46000" x2="13008" y2="39167"/>
                      <a14:foregroundMark x1="13211" y1="38833" x2="16057" y2="37500"/>
                      <a14:foregroundMark x1="16057" y1="37500" x2="19106" y2="35833"/>
                      <a14:foregroundMark x1="19106" y1="35833" x2="23577" y2="34000"/>
                      <a14:foregroundMark x1="23374" y1="34000" x2="25000" y2="32667"/>
                      <a14:foregroundMark x1="24797" y1="32833" x2="23984" y2="30167"/>
                      <a14:foregroundMark x1="23780" y1="30167" x2="22561" y2="25667"/>
                      <a14:foregroundMark x1="22967" y1="26667" x2="21341" y2="23167"/>
                      <a14:foregroundMark x1="21951" y1="23833" x2="21341" y2="19667"/>
                      <a14:foregroundMark x1="20732" y1="19333" x2="19715" y2="16167"/>
                      <a14:foregroundMark x1="21545" y1="22500" x2="19512" y2="14833"/>
                      <a14:foregroundMark x1="20122" y1="16833" x2="18902" y2="12833"/>
                      <a14:foregroundMark x1="19309" y1="14167" x2="18089" y2="10667"/>
                      <a14:foregroundMark x1="18902" y1="12667" x2="17683" y2="9333"/>
                      <a14:foregroundMark x1="18089" y1="10500" x2="17480" y2="7333"/>
                      <a14:foregroundMark x1="19106" y1="14333" x2="17683" y2="7000"/>
                      <a14:foregroundMark x1="17886" y1="7167" x2="21748" y2="7167"/>
                      <a14:foregroundMark x1="18496" y1="6833" x2="22764" y2="6500"/>
                      <a14:foregroundMark x1="22154" y1="7000" x2="27439" y2="6500"/>
                      <a14:foregroundMark x1="25203" y1="6500" x2="29675" y2="6167"/>
                      <a14:foregroundMark x1="29472" y1="6333" x2="33130" y2="6333"/>
                      <a14:foregroundMark x1="33333" y1="6333" x2="41463" y2="6000"/>
                      <a14:foregroundMark x1="40650" y1="5833" x2="42276" y2="5667"/>
                      <a14:foregroundMark x1="39837" y1="6000" x2="40447" y2="6000"/>
                    </a14:backgroundRemoval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3872172" y="686320"/>
          <a:ext cx="3745902" cy="4584345"/>
        </a:xfrm>
        <a:prstGeom prst="rect">
          <a:avLst/>
        </a:prstGeom>
      </xdr:spPr>
    </xdr:pic>
    <xdr:clientData/>
  </xdr:twoCellAnchor>
  <xdr:twoCellAnchor>
    <xdr:from>
      <xdr:col>21</xdr:col>
      <xdr:colOff>800919</xdr:colOff>
      <xdr:row>38</xdr:row>
      <xdr:rowOff>91440</xdr:rowOff>
    </xdr:from>
    <xdr:to>
      <xdr:col>21</xdr:col>
      <xdr:colOff>815340</xdr:colOff>
      <xdr:row>43</xdr:row>
      <xdr:rowOff>25979</xdr:rowOff>
    </xdr:to>
    <xdr:cxnSp macro="">
      <xdr:nvCxnSpPr>
        <xdr:cNvPr id="4" name="Conector recto de flecha 3">
          <a:extLst>
            <a:ext uri="{FF2B5EF4-FFF2-40B4-BE49-F238E27FC236}">
              <a16:creationId xmlns:a16="http://schemas.microsoft.com/office/drawing/2014/main" id="{6BE40D6F-7C03-42A9-942D-123D831A40AD}"/>
            </a:ext>
          </a:extLst>
        </xdr:cNvPr>
        <xdr:cNvCxnSpPr/>
      </xdr:nvCxnSpPr>
      <xdr:spPr>
        <a:xfrm flipH="1">
          <a:off x="15408459" y="6697980"/>
          <a:ext cx="14421" cy="848939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oneCellAnchor>
    <xdr:from>
      <xdr:col>21</xdr:col>
      <xdr:colOff>290717</xdr:colOff>
      <xdr:row>43</xdr:row>
      <xdr:rowOff>33130</xdr:rowOff>
    </xdr:from>
    <xdr:ext cx="3054463" cy="27738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8D05AA0F-7654-4C06-894D-1DA3B95A94C2}"/>
                </a:ext>
              </a:extLst>
            </xdr:cNvPr>
            <xdr:cNvSpPr txBox="1"/>
          </xdr:nvSpPr>
          <xdr:spPr>
            <a:xfrm>
              <a:off x="14898257" y="7554070"/>
              <a:ext cx="3054463" cy="27738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s-MX" sz="1200" b="1" i="1">
                          <a:solidFill>
                            <a:srgbClr val="FF0000"/>
                          </a:solidFill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s-MX" sz="1200" b="1" i="0">
                          <a:solidFill>
                            <a:srgbClr val="FF0000"/>
                          </a:solidFill>
                          <a:latin typeface="Cambria Math" panose="02040503050406030204" pitchFamily="18" charset="0"/>
                        </a:rPr>
                        <m:t>𝐏</m:t>
                      </m:r>
                    </m:e>
                    <m:sub>
                      <m:r>
                        <a:rPr lang="es-MX" sz="1200" b="1" i="0">
                          <a:solidFill>
                            <a:srgbClr val="FF0000"/>
                          </a:solidFill>
                          <a:latin typeface="Cambria Math" panose="02040503050406030204" pitchFamily="18" charset="0"/>
                        </a:rPr>
                        <m:t>𝐔𝟏</m:t>
                      </m:r>
                    </m:sub>
                  </m:sSub>
                  <m:r>
                    <a:rPr lang="es-MX" sz="1200" b="1" i="0">
                      <a:solidFill>
                        <a:srgbClr val="FF0000"/>
                      </a:solidFill>
                      <a:latin typeface="Cambria Math" panose="02040503050406030204" pitchFamily="18" charset="0"/>
                    </a:rPr>
                    <m:t>=</m:t>
                  </m:r>
                  <m:r>
                    <a:rPr lang="es-MX" sz="1200" b="1" i="0">
                      <a:solidFill>
                        <a:srgbClr val="FF0000"/>
                      </a:solidFill>
                      <a:latin typeface="Cambria Math" panose="02040503050406030204" pitchFamily="18" charset="0"/>
                    </a:rPr>
                    <m:t>𝟏</m:t>
                  </m:r>
                  <m:r>
                    <a:rPr lang="es-MX" sz="1200" b="1" i="0">
                      <a:solidFill>
                        <a:srgbClr val="FF0000"/>
                      </a:solidFill>
                      <a:latin typeface="Cambria Math" panose="02040503050406030204" pitchFamily="18" charset="0"/>
                    </a:rPr>
                    <m:t>.</m:t>
                  </m:r>
                  <m:r>
                    <a:rPr lang="es-MX" sz="1200" b="1" i="0">
                      <a:solidFill>
                        <a:srgbClr val="FF0000"/>
                      </a:solidFill>
                      <a:latin typeface="Cambria Math" panose="02040503050406030204" pitchFamily="18" charset="0"/>
                    </a:rPr>
                    <m:t>𝟒</m:t>
                  </m:r>
                  <m:d>
                    <m:dPr>
                      <m:ctrlPr>
                        <a:rPr lang="es-MX" sz="1200" b="1" i="1">
                          <a:solidFill>
                            <a:srgbClr val="FF0000"/>
                          </a:solidFill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es-MX" sz="1200" b="1" i="0">
                          <a:solidFill>
                            <a:srgbClr val="FF0000"/>
                          </a:solidFill>
                          <a:latin typeface="Cambria Math" panose="02040503050406030204" pitchFamily="18" charset="0"/>
                        </a:rPr>
                        <m:t>𝟐</m:t>
                      </m:r>
                      <m:r>
                        <a:rPr lang="es-MX" sz="1200" b="1" i="0">
                          <a:solidFill>
                            <a:srgbClr val="FF0000"/>
                          </a:solidFill>
                          <a:latin typeface="Cambria Math" panose="02040503050406030204" pitchFamily="18" charset="0"/>
                        </a:rPr>
                        <m:t>.</m:t>
                      </m:r>
                      <m:r>
                        <a:rPr lang="es-MX" sz="1200" b="1" i="0">
                          <a:solidFill>
                            <a:srgbClr val="FF0000"/>
                          </a:solidFill>
                          <a:latin typeface="Cambria Math" panose="02040503050406030204" pitchFamily="18" charset="0"/>
                        </a:rPr>
                        <m:t>𝟖𝟏</m:t>
                      </m:r>
                      <m:r>
                        <a:rPr lang="es-MX" sz="1200" b="1" i="0">
                          <a:solidFill>
                            <a:srgbClr val="FF0000"/>
                          </a:solidFill>
                          <a:latin typeface="Cambria Math" panose="02040503050406030204" pitchFamily="18" charset="0"/>
                        </a:rPr>
                        <m:t>+</m:t>
                      </m:r>
                      <m:r>
                        <a:rPr lang="es-MX" sz="1200" b="1" i="0">
                          <a:solidFill>
                            <a:srgbClr val="FF0000"/>
                          </a:solidFill>
                          <a:latin typeface="Cambria Math" panose="02040503050406030204" pitchFamily="18" charset="0"/>
                        </a:rPr>
                        <m:t>𝟒</m:t>
                      </m:r>
                      <m:r>
                        <a:rPr lang="es-MX" sz="1200" b="1" i="0">
                          <a:solidFill>
                            <a:srgbClr val="FF0000"/>
                          </a:solidFill>
                          <a:latin typeface="Cambria Math" panose="02040503050406030204" pitchFamily="18" charset="0"/>
                        </a:rPr>
                        <m:t>.</m:t>
                      </m:r>
                      <m:r>
                        <a:rPr lang="es-MX" sz="1200" b="1" i="1">
                          <a:solidFill>
                            <a:srgbClr val="FF0000"/>
                          </a:solidFill>
                          <a:latin typeface="Cambria Math" panose="02040503050406030204" pitchFamily="18" charset="0"/>
                        </a:rPr>
                        <m:t>𝟕𝟕</m:t>
                      </m:r>
                    </m:e>
                  </m:d>
                  <m:r>
                    <a:rPr lang="es-MX" sz="1200" b="1" i="0">
                      <a:solidFill>
                        <a:srgbClr val="FF0000"/>
                      </a:solidFill>
                      <a:latin typeface="Cambria Math" panose="02040503050406030204" pitchFamily="18" charset="0"/>
                    </a:rPr>
                    <m:t>+</m:t>
                  </m:r>
                  <m:r>
                    <a:rPr lang="es-MX" sz="1200" b="1" i="0">
                      <a:solidFill>
                        <a:srgbClr val="FF0000"/>
                      </a:solidFill>
                      <a:latin typeface="Cambria Math" panose="02040503050406030204" pitchFamily="18" charset="0"/>
                    </a:rPr>
                    <m:t>𝟔</m:t>
                  </m:r>
                  <m:r>
                    <a:rPr lang="es-MX" sz="1200" b="1" i="0">
                      <a:solidFill>
                        <a:srgbClr val="FF0000"/>
                      </a:solidFill>
                      <a:latin typeface="Cambria Math" panose="02040503050406030204" pitchFamily="18" charset="0"/>
                    </a:rPr>
                    <m:t>.</m:t>
                  </m:r>
                  <m:r>
                    <a:rPr lang="es-MX" sz="1200" b="1" i="0">
                      <a:solidFill>
                        <a:srgbClr val="FF0000"/>
                      </a:solidFill>
                      <a:latin typeface="Cambria Math" panose="02040503050406030204" pitchFamily="18" charset="0"/>
                    </a:rPr>
                    <m:t>𝟓𝟑</m:t>
                  </m:r>
                  <m:r>
                    <a:rPr lang="es-MX" sz="1200" b="1" i="0">
                      <a:solidFill>
                        <a:srgbClr val="FF0000"/>
                      </a:solidFill>
                      <a:latin typeface="Cambria Math" panose="02040503050406030204" pitchFamily="18" charset="0"/>
                    </a:rPr>
                    <m:t>=</m:t>
                  </m:r>
                  <m:r>
                    <a:rPr lang="es-MX" sz="1200" b="1" i="0">
                      <a:solidFill>
                        <a:srgbClr val="FF0000"/>
                      </a:solidFill>
                      <a:latin typeface="Cambria Math" panose="02040503050406030204" pitchFamily="18" charset="0"/>
                    </a:rPr>
                    <m:t>𝟏𝟕</m:t>
                  </m:r>
                  <m:r>
                    <a:rPr lang="es-MX" sz="1200" b="1" i="0">
                      <a:solidFill>
                        <a:srgbClr val="FF0000"/>
                      </a:solidFill>
                      <a:latin typeface="Cambria Math" panose="02040503050406030204" pitchFamily="18" charset="0"/>
                    </a:rPr>
                    <m:t>.</m:t>
                  </m:r>
                  <m:r>
                    <a:rPr lang="es-MX" sz="1200" b="1" i="0">
                      <a:solidFill>
                        <a:srgbClr val="FF0000"/>
                      </a:solidFill>
                      <a:latin typeface="Cambria Math" panose="02040503050406030204" pitchFamily="18" charset="0"/>
                    </a:rPr>
                    <m:t>𝟏𝟓</m:t>
                  </m:r>
                  <m:r>
                    <a:rPr lang="es-MX" sz="1200" b="1" i="0">
                      <a:solidFill>
                        <a:srgbClr val="FF0000"/>
                      </a:solidFill>
                      <a:latin typeface="Cambria Math" panose="02040503050406030204" pitchFamily="18" charset="0"/>
                    </a:rPr>
                    <m:t> </m:t>
                  </m:r>
                </m:oMath>
              </a14:m>
              <a:r>
                <a:rPr lang="es-MX" sz="1200" b="1" i="0">
                  <a:solidFill>
                    <a:srgbClr val="FF0000"/>
                  </a:solidFill>
                </a:rPr>
                <a:t>t</a:t>
              </a:r>
            </a:p>
          </xdr:txBody>
        </xdr:sp>
      </mc:Choice>
      <mc:Fallback xmlns="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8D05AA0F-7654-4C06-894D-1DA3B95A94C2}"/>
                </a:ext>
              </a:extLst>
            </xdr:cNvPr>
            <xdr:cNvSpPr txBox="1"/>
          </xdr:nvSpPr>
          <xdr:spPr>
            <a:xfrm>
              <a:off x="14898257" y="7554070"/>
              <a:ext cx="3054463" cy="27738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s-MX" sz="1200" b="1" i="0">
                  <a:solidFill>
                    <a:srgbClr val="FF0000"/>
                  </a:solidFill>
                  <a:latin typeface="Cambria Math" panose="02040503050406030204" pitchFamily="18" charset="0"/>
                </a:rPr>
                <a:t>𝐏_𝐔𝟏=𝟏.𝟒(𝟐.𝟖𝟏+𝟒.𝟕𝟕)+𝟔.𝟓𝟑=𝟏𝟕.𝟏𝟓 </a:t>
              </a:r>
              <a:r>
                <a:rPr lang="es-MX" sz="1200" b="1" i="0">
                  <a:solidFill>
                    <a:srgbClr val="FF0000"/>
                  </a:solidFill>
                </a:rPr>
                <a:t>t</a:t>
              </a:r>
            </a:p>
          </xdr:txBody>
        </xdr:sp>
      </mc:Fallback>
    </mc:AlternateContent>
    <xdr:clientData/>
  </xdr:oneCellAnchor>
  <xdr:twoCellAnchor>
    <xdr:from>
      <xdr:col>21</xdr:col>
      <xdr:colOff>607695</xdr:colOff>
      <xdr:row>16</xdr:row>
      <xdr:rowOff>62865</xdr:rowOff>
    </xdr:from>
    <xdr:to>
      <xdr:col>21</xdr:col>
      <xdr:colOff>609860</xdr:colOff>
      <xdr:row>19</xdr:row>
      <xdr:rowOff>15082</xdr:rowOff>
    </xdr:to>
    <xdr:cxnSp macro="">
      <xdr:nvCxnSpPr>
        <xdr:cNvPr id="7" name="Conector recto de flecha 6">
          <a:extLst>
            <a:ext uri="{FF2B5EF4-FFF2-40B4-BE49-F238E27FC236}">
              <a16:creationId xmlns:a16="http://schemas.microsoft.com/office/drawing/2014/main" id="{E4E540FE-4948-44E3-8669-6F738AC1A5C2}"/>
            </a:ext>
          </a:extLst>
        </xdr:cNvPr>
        <xdr:cNvCxnSpPr/>
      </xdr:nvCxnSpPr>
      <xdr:spPr>
        <a:xfrm>
          <a:off x="21669375" y="62865"/>
          <a:ext cx="2165" cy="500857"/>
        </a:xfrm>
        <a:prstGeom prst="straightConnector1">
          <a:avLst/>
        </a:prstGeom>
        <a:ln w="38100">
          <a:solidFill>
            <a:schemeClr val="accent2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oneCellAnchor>
    <xdr:from>
      <xdr:col>21</xdr:col>
      <xdr:colOff>758685</xdr:colOff>
      <xdr:row>18</xdr:row>
      <xdr:rowOff>72887</xdr:rowOff>
    </xdr:from>
    <xdr:ext cx="199311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2F644DB7-1DFE-4618-AC2A-FD0D34CDB8F6}"/>
                </a:ext>
              </a:extLst>
            </xdr:cNvPr>
            <xdr:cNvSpPr txBox="1"/>
          </xdr:nvSpPr>
          <xdr:spPr>
            <a:xfrm>
              <a:off x="16006305" y="2816087"/>
              <a:ext cx="1993110" cy="172227"/>
            </a:xfrm>
            <a:prstGeom prst="rect">
              <a:avLst/>
            </a:prstGeom>
            <a:noFill/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s-MX" sz="1100" b="1" i="1">
                          <a:solidFill>
                            <a:schemeClr val="accent2"/>
                          </a:solidFill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s-MX" sz="1100" b="1" i="0">
                          <a:solidFill>
                            <a:schemeClr val="accent2"/>
                          </a:solidFill>
                          <a:latin typeface="Cambria Math" panose="02040503050406030204" pitchFamily="18" charset="0"/>
                        </a:rPr>
                        <m:t>𝐏</m:t>
                      </m:r>
                    </m:e>
                    <m:sub>
                      <m:r>
                        <a:rPr lang="es-MX" sz="1100" b="1" i="0">
                          <a:solidFill>
                            <a:schemeClr val="accent2"/>
                          </a:solidFill>
                          <a:latin typeface="Cambria Math" panose="02040503050406030204" pitchFamily="18" charset="0"/>
                        </a:rPr>
                        <m:t>𝐔𝟐</m:t>
                      </m:r>
                    </m:sub>
                  </m:sSub>
                  <m:r>
                    <a:rPr lang="es-MX" sz="1100" b="1" i="0">
                      <a:solidFill>
                        <a:schemeClr val="accent2"/>
                      </a:solidFill>
                      <a:latin typeface="Cambria Math" panose="02040503050406030204" pitchFamily="18" charset="0"/>
                    </a:rPr>
                    <m:t>=</m:t>
                  </m:r>
                  <m:r>
                    <a:rPr lang="es-MX" sz="1100" b="1" i="0">
                      <a:solidFill>
                        <a:schemeClr val="accent2"/>
                      </a:solidFill>
                      <a:latin typeface="Cambria Math" panose="02040503050406030204" pitchFamily="18" charset="0"/>
                    </a:rPr>
                    <m:t>𝟏</m:t>
                  </m:r>
                  <m:r>
                    <a:rPr lang="es-MX" sz="1100" b="1" i="0">
                      <a:solidFill>
                        <a:schemeClr val="accent2"/>
                      </a:solidFill>
                      <a:latin typeface="Cambria Math" panose="02040503050406030204" pitchFamily="18" charset="0"/>
                    </a:rPr>
                    <m:t>.</m:t>
                  </m:r>
                  <m:r>
                    <a:rPr lang="es-MX" sz="1100" b="1" i="0">
                      <a:solidFill>
                        <a:schemeClr val="accent2"/>
                      </a:solidFill>
                      <a:latin typeface="Cambria Math" panose="02040503050406030204" pitchFamily="18" charset="0"/>
                    </a:rPr>
                    <m:t>𝟒</m:t>
                  </m:r>
                  <m:d>
                    <m:dPr>
                      <m:ctrlPr>
                        <a:rPr lang="es-MX" sz="1100" b="1" i="1">
                          <a:solidFill>
                            <a:schemeClr val="accent2"/>
                          </a:solidFill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es-MX" sz="1100" b="1" i="0">
                          <a:solidFill>
                            <a:schemeClr val="accent2"/>
                          </a:solidFill>
                          <a:latin typeface="Cambria Math" panose="02040503050406030204" pitchFamily="18" charset="0"/>
                        </a:rPr>
                        <m:t>𝟏</m:t>
                      </m:r>
                      <m:r>
                        <a:rPr lang="es-MX" sz="1100" b="1" i="0">
                          <a:solidFill>
                            <a:schemeClr val="accent2"/>
                          </a:solidFill>
                          <a:latin typeface="Cambria Math" panose="02040503050406030204" pitchFamily="18" charset="0"/>
                        </a:rPr>
                        <m:t>.</m:t>
                      </m:r>
                      <m:r>
                        <a:rPr lang="es-MX" sz="1100" b="1" i="0">
                          <a:solidFill>
                            <a:schemeClr val="accent2"/>
                          </a:solidFill>
                          <a:latin typeface="Cambria Math" panose="02040503050406030204" pitchFamily="18" charset="0"/>
                        </a:rPr>
                        <m:t>𝟏𝟓</m:t>
                      </m:r>
                      <m:r>
                        <a:rPr lang="es-MX" sz="1100" b="1" i="0">
                          <a:solidFill>
                            <a:schemeClr val="accent2"/>
                          </a:solidFill>
                          <a:latin typeface="Cambria Math" panose="02040503050406030204" pitchFamily="18" charset="0"/>
                        </a:rPr>
                        <m:t>+</m:t>
                      </m:r>
                      <m:r>
                        <a:rPr lang="es-MX" sz="1100" b="1" i="0">
                          <a:solidFill>
                            <a:schemeClr val="accent2"/>
                          </a:solidFill>
                          <a:latin typeface="Cambria Math" panose="02040503050406030204" pitchFamily="18" charset="0"/>
                        </a:rPr>
                        <m:t>𝟑</m:t>
                      </m:r>
                      <m:r>
                        <a:rPr lang="es-MX" sz="1100" b="1" i="0">
                          <a:solidFill>
                            <a:schemeClr val="accent2"/>
                          </a:solidFill>
                          <a:latin typeface="Cambria Math" panose="02040503050406030204" pitchFamily="18" charset="0"/>
                        </a:rPr>
                        <m:t>.</m:t>
                      </m:r>
                      <m:r>
                        <a:rPr lang="es-MX" sz="1100" b="1" i="1">
                          <a:solidFill>
                            <a:schemeClr val="accent2"/>
                          </a:solidFill>
                          <a:latin typeface="Cambria Math" panose="02040503050406030204" pitchFamily="18" charset="0"/>
                        </a:rPr>
                        <m:t>𝟓𝟏</m:t>
                      </m:r>
                    </m:e>
                  </m:d>
                </m:oMath>
              </a14:m>
              <a:r>
                <a:rPr lang="es-MX" sz="1100" b="1" i="0">
                  <a:solidFill>
                    <a:schemeClr val="accent2"/>
                  </a:solidFill>
                </a:rPr>
                <a:t>=6.53 t</a:t>
              </a:r>
            </a:p>
          </xdr:txBody>
        </xdr:sp>
      </mc:Choice>
      <mc:Fallback xmlns="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2F644DB7-1DFE-4618-AC2A-FD0D34CDB8F6}"/>
                </a:ext>
              </a:extLst>
            </xdr:cNvPr>
            <xdr:cNvSpPr txBox="1"/>
          </xdr:nvSpPr>
          <xdr:spPr>
            <a:xfrm>
              <a:off x="16006305" y="2816087"/>
              <a:ext cx="1993110" cy="172227"/>
            </a:xfrm>
            <a:prstGeom prst="rect">
              <a:avLst/>
            </a:prstGeom>
            <a:noFill/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100" b="1" i="0">
                  <a:solidFill>
                    <a:schemeClr val="accent2"/>
                  </a:solidFill>
                  <a:latin typeface="Cambria Math" panose="02040503050406030204" pitchFamily="18" charset="0"/>
                </a:rPr>
                <a:t>𝐏_𝐔𝟐=𝟏.𝟒(𝟏.𝟏𝟓+𝟑.𝟓𝟏)</a:t>
              </a:r>
              <a:r>
                <a:rPr lang="es-MX" sz="1100" b="1" i="0">
                  <a:solidFill>
                    <a:schemeClr val="accent2"/>
                  </a:solidFill>
                </a:rPr>
                <a:t>=6.53 t</a:t>
              </a:r>
            </a:p>
          </xdr:txBody>
        </xdr:sp>
      </mc:Fallback>
    </mc:AlternateContent>
    <xdr:clientData/>
  </xdr:oneCellAnchor>
  <xdr:twoCellAnchor>
    <xdr:from>
      <xdr:col>22</xdr:col>
      <xdr:colOff>68737</xdr:colOff>
      <xdr:row>33</xdr:row>
      <xdr:rowOff>16897</xdr:rowOff>
    </xdr:from>
    <xdr:to>
      <xdr:col>22</xdr:col>
      <xdr:colOff>77193</xdr:colOff>
      <xdr:row>35</xdr:row>
      <xdr:rowOff>187324</xdr:rowOff>
    </xdr:to>
    <xdr:cxnSp macro="">
      <xdr:nvCxnSpPr>
        <xdr:cNvPr id="10" name="Conector recto de flecha 9">
          <a:extLst>
            <a:ext uri="{FF2B5EF4-FFF2-40B4-BE49-F238E27FC236}">
              <a16:creationId xmlns:a16="http://schemas.microsoft.com/office/drawing/2014/main" id="{602FAFF1-30CA-4BA9-B550-0BA0CA2711F6}"/>
            </a:ext>
          </a:extLst>
        </xdr:cNvPr>
        <xdr:cNvCxnSpPr/>
      </xdr:nvCxnSpPr>
      <xdr:spPr>
        <a:xfrm flipH="1">
          <a:off x="16146937" y="3125857"/>
          <a:ext cx="8456" cy="543807"/>
        </a:xfrm>
        <a:prstGeom prst="straightConnector1">
          <a:avLst/>
        </a:prstGeom>
        <a:ln w="38100">
          <a:solidFill>
            <a:schemeClr val="bg1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oneCellAnchor>
    <xdr:from>
      <xdr:col>20</xdr:col>
      <xdr:colOff>647699</xdr:colOff>
      <xdr:row>31</xdr:row>
      <xdr:rowOff>99390</xdr:rowOff>
    </xdr:from>
    <xdr:ext cx="1735603" cy="20742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19A390C2-D3E8-4BCC-8546-3DF0E49DA6D9}"/>
                </a:ext>
              </a:extLst>
            </xdr:cNvPr>
            <xdr:cNvSpPr txBox="1"/>
          </xdr:nvSpPr>
          <xdr:spPr>
            <a:xfrm>
              <a:off x="15064739" y="5250510"/>
              <a:ext cx="1735603" cy="20742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MX" sz="1200" b="1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200" b="1" i="0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  <m:t>𝐖</m:t>
                        </m:r>
                      </m:e>
                      <m:sub>
                        <m:r>
                          <a:rPr lang="es-MX" sz="1200" b="1" i="0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  <m:t>𝐦</m:t>
                        </m:r>
                      </m:sub>
                    </m:sSub>
                    <m:r>
                      <a:rPr lang="es-MX" sz="1200" b="1" i="0">
                        <a:solidFill>
                          <a:schemeClr val="bg1"/>
                        </a:solidFill>
                        <a:latin typeface="Cambria Math" panose="02040503050406030204" pitchFamily="18" charset="0"/>
                      </a:rPr>
                      <m:t>=</m:t>
                    </m:r>
                    <m:r>
                      <a:rPr lang="es-MX" sz="1200" b="1" i="1">
                        <a:solidFill>
                          <a:schemeClr val="bg1"/>
                        </a:solidFill>
                        <a:latin typeface="Cambria Math" panose="02040503050406030204" pitchFamily="18" charset="0"/>
                      </a:rPr>
                      <m:t>𝟎</m:t>
                    </m:r>
                    <m:r>
                      <a:rPr lang="es-MX" sz="1200" b="1" i="1">
                        <a:solidFill>
                          <a:schemeClr val="bg1"/>
                        </a:solidFill>
                        <a:latin typeface="Cambria Math" panose="02040503050406030204" pitchFamily="18" charset="0"/>
                      </a:rPr>
                      <m:t>.</m:t>
                    </m:r>
                    <m:r>
                      <a:rPr lang="es-MX" sz="1200" b="1" i="1">
                        <a:solidFill>
                          <a:schemeClr val="bg1"/>
                        </a:solidFill>
                        <a:latin typeface="Cambria Math" panose="02040503050406030204" pitchFamily="18" charset="0"/>
                      </a:rPr>
                      <m:t>𝟕𝟕</m:t>
                    </m:r>
                    <m:f>
                      <m:fPr>
                        <m:type m:val="skw"/>
                        <m:ctrlPr>
                          <a:rPr lang="es-MX" sz="1200" b="1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MX" sz="1200" b="1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  <m:t>𝒕</m:t>
                        </m:r>
                      </m:num>
                      <m:den>
                        <m:r>
                          <a:rPr lang="es-MX" sz="1200" b="1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  <m:t>𝒎</m:t>
                        </m:r>
                      </m:den>
                    </m:f>
                    <m:r>
                      <a:rPr lang="es-MX" sz="1200" b="1" i="1">
                        <a:solidFill>
                          <a:schemeClr val="bg1"/>
                        </a:solidFill>
                        <a:latin typeface="Cambria Math" panose="02040503050406030204" pitchFamily="18" charset="0"/>
                      </a:rPr>
                      <m:t>(</m:t>
                    </m:r>
                    <m:r>
                      <a:rPr lang="es-MX" sz="1200" b="1" i="1">
                        <a:solidFill>
                          <a:schemeClr val="bg1"/>
                        </a:solidFill>
                        <a:latin typeface="Cambria Math" panose="02040503050406030204" pitchFamily="18" charset="0"/>
                      </a:rPr>
                      <m:t>𝟑</m:t>
                    </m:r>
                    <m:r>
                      <a:rPr lang="es-MX" sz="1200" b="1" i="1">
                        <a:solidFill>
                          <a:schemeClr val="bg1"/>
                        </a:solidFill>
                        <a:latin typeface="Cambria Math" panose="02040503050406030204" pitchFamily="18" charset="0"/>
                      </a:rPr>
                      <m:t>.</m:t>
                    </m:r>
                    <m:r>
                      <a:rPr lang="es-MX" sz="1200" b="1" i="1">
                        <a:solidFill>
                          <a:schemeClr val="bg1"/>
                        </a:solidFill>
                        <a:latin typeface="Cambria Math" panose="02040503050406030204" pitchFamily="18" charset="0"/>
                      </a:rPr>
                      <m:t>𝟔𝟓</m:t>
                    </m:r>
                    <m:r>
                      <a:rPr lang="es-MX" sz="1200" b="1" i="1">
                        <a:solidFill>
                          <a:schemeClr val="bg1"/>
                        </a:solidFill>
                        <a:latin typeface="Cambria Math" panose="02040503050406030204" pitchFamily="18" charset="0"/>
                      </a:rPr>
                      <m:t>𝒎</m:t>
                    </m:r>
                    <m:r>
                      <a:rPr lang="es-MX" sz="1200" b="1" i="1">
                        <a:solidFill>
                          <a:schemeClr val="bg1"/>
                        </a:solidFill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s-MX" sz="1100" b="1" i="0">
                <a:solidFill>
                  <a:schemeClr val="bg1"/>
                </a:solidFill>
              </a:endParaRPr>
            </a:p>
          </xdr:txBody>
        </xdr:sp>
      </mc:Choice>
      <mc:Fallback xmlns="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19A390C2-D3E8-4BCC-8546-3DF0E49DA6D9}"/>
                </a:ext>
              </a:extLst>
            </xdr:cNvPr>
            <xdr:cNvSpPr txBox="1"/>
          </xdr:nvSpPr>
          <xdr:spPr>
            <a:xfrm>
              <a:off x="15064739" y="5250510"/>
              <a:ext cx="1735603" cy="20742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1200" b="1" i="0">
                  <a:solidFill>
                    <a:schemeClr val="bg1"/>
                  </a:solidFill>
                  <a:latin typeface="Cambria Math" panose="02040503050406030204" pitchFamily="18" charset="0"/>
                </a:rPr>
                <a:t>𝐖_𝐦=𝟎.𝟕𝟕 𝒕⁄𝒎(𝟑.𝟔𝟓𝒎)</a:t>
              </a:r>
              <a:endParaRPr lang="es-MX" sz="1100" b="1" i="0">
                <a:solidFill>
                  <a:schemeClr val="bg1"/>
                </a:solidFill>
              </a:endParaRPr>
            </a:p>
          </xdr:txBody>
        </xdr:sp>
      </mc:Fallback>
    </mc:AlternateContent>
    <xdr:clientData/>
  </xdr:oneCellAnchor>
  <xdr:twoCellAnchor>
    <xdr:from>
      <xdr:col>21</xdr:col>
      <xdr:colOff>371065</xdr:colOff>
      <xdr:row>20</xdr:row>
      <xdr:rowOff>144780</xdr:rowOff>
    </xdr:from>
    <xdr:to>
      <xdr:col>21</xdr:col>
      <xdr:colOff>396240</xdr:colOff>
      <xdr:row>26</xdr:row>
      <xdr:rowOff>6797</xdr:rowOff>
    </xdr:to>
    <xdr:cxnSp macro="">
      <xdr:nvCxnSpPr>
        <xdr:cNvPr id="15" name="Conector recto de flecha 14">
          <a:extLst>
            <a:ext uri="{FF2B5EF4-FFF2-40B4-BE49-F238E27FC236}">
              <a16:creationId xmlns:a16="http://schemas.microsoft.com/office/drawing/2014/main" id="{D7C4DAE6-ECDF-41CB-B812-502BA544EC4C}"/>
            </a:ext>
          </a:extLst>
        </xdr:cNvPr>
        <xdr:cNvCxnSpPr/>
      </xdr:nvCxnSpPr>
      <xdr:spPr>
        <a:xfrm flipH="1">
          <a:off x="15618685" y="876300"/>
          <a:ext cx="25175" cy="959297"/>
        </a:xfrm>
        <a:prstGeom prst="straightConnector1">
          <a:avLst/>
        </a:prstGeom>
        <a:ln w="38100">
          <a:solidFill>
            <a:srgbClr val="00B0F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oneCellAnchor>
    <xdr:from>
      <xdr:col>19</xdr:col>
      <xdr:colOff>201437</xdr:colOff>
      <xdr:row>19</xdr:row>
      <xdr:rowOff>98581</xdr:rowOff>
    </xdr:from>
    <xdr:ext cx="3219943" cy="32623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CuadroTexto 16">
              <a:extLst>
                <a:ext uri="{FF2B5EF4-FFF2-40B4-BE49-F238E27FC236}">
                  <a16:creationId xmlns:a16="http://schemas.microsoft.com/office/drawing/2014/main" id="{FAC7B444-B7C5-4F5C-8C9C-C67F53FE5FBF}"/>
                </a:ext>
              </a:extLst>
            </xdr:cNvPr>
            <xdr:cNvSpPr txBox="1"/>
          </xdr:nvSpPr>
          <xdr:spPr>
            <a:xfrm>
              <a:off x="13787897" y="647221"/>
              <a:ext cx="3219943" cy="3262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MX" sz="1400" b="1" i="1">
                            <a:solidFill>
                              <a:srgbClr val="00B0F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400" b="1" i="0">
                            <a:solidFill>
                              <a:srgbClr val="00B0F0"/>
                            </a:solidFill>
                            <a:latin typeface="Cambria Math" panose="02040503050406030204" pitchFamily="18" charset="0"/>
                          </a:rPr>
                          <m:t>𝐖</m:t>
                        </m:r>
                      </m:e>
                      <m:sub>
                        <m:r>
                          <a:rPr lang="es-MX" sz="1400" b="1" i="0">
                            <a:solidFill>
                              <a:srgbClr val="00B0F0"/>
                            </a:solidFill>
                            <a:latin typeface="Cambria Math" panose="02040503050406030204" pitchFamily="18" charset="0"/>
                          </a:rPr>
                          <m:t>𝐋</m:t>
                        </m:r>
                      </m:sub>
                    </m:sSub>
                    <m:r>
                      <a:rPr lang="es-MX" sz="1400" b="1" i="0">
                        <a:solidFill>
                          <a:srgbClr val="00B0F0"/>
                        </a:solidFill>
                        <a:latin typeface="Cambria Math" panose="02040503050406030204" pitchFamily="18" charset="0"/>
                      </a:rPr>
                      <m:t>=</m:t>
                    </m:r>
                    <m:r>
                      <a:rPr lang="es-MX" sz="1400" b="1" i="0">
                        <a:solidFill>
                          <a:srgbClr val="00B0F0"/>
                        </a:solidFill>
                        <a:latin typeface="Cambria Math" panose="02040503050406030204" pitchFamily="18" charset="0"/>
                      </a:rPr>
                      <m:t>𝟎</m:t>
                    </m:r>
                    <m:r>
                      <a:rPr lang="es-MX" sz="1400" b="1" i="0">
                        <a:solidFill>
                          <a:srgbClr val="00B0F0"/>
                        </a:solidFill>
                        <a:latin typeface="Cambria Math" panose="02040503050406030204" pitchFamily="18" charset="0"/>
                      </a:rPr>
                      <m:t>.</m:t>
                    </m:r>
                    <m:r>
                      <a:rPr lang="es-MX" sz="1400" b="1" i="0">
                        <a:solidFill>
                          <a:srgbClr val="00B0F0"/>
                        </a:solidFill>
                        <a:latin typeface="Cambria Math" panose="02040503050406030204" pitchFamily="18" charset="0"/>
                      </a:rPr>
                      <m:t>𝟓𝟔</m:t>
                    </m:r>
                    <m:f>
                      <m:fPr>
                        <m:type m:val="skw"/>
                        <m:ctrlPr>
                          <a:rPr lang="es-MX" sz="1400" b="1" i="1">
                            <a:solidFill>
                              <a:srgbClr val="00B0F0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MX" sz="1400" b="1" i="1">
                            <a:solidFill>
                              <a:srgbClr val="00B0F0"/>
                            </a:solidFill>
                            <a:latin typeface="Cambria Math" panose="02040503050406030204" pitchFamily="18" charset="0"/>
                          </a:rPr>
                          <m:t>𝒕</m:t>
                        </m:r>
                      </m:num>
                      <m:den>
                        <m:sSup>
                          <m:sSupPr>
                            <m:ctrlPr>
                              <a:rPr lang="es-MX" sz="1400" b="1" i="1">
                                <a:solidFill>
                                  <a:srgbClr val="00B0F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s-MX" sz="1400" b="1" i="1">
                                <a:solidFill>
                                  <a:srgbClr val="00B0F0"/>
                                </a:solidFill>
                                <a:latin typeface="Cambria Math" panose="02040503050406030204" pitchFamily="18" charset="0"/>
                              </a:rPr>
                              <m:t>𝒎</m:t>
                            </m:r>
                          </m:e>
                          <m:sup>
                            <m:r>
                              <a:rPr lang="es-MX" sz="1400" b="1" i="1">
                                <a:solidFill>
                                  <a:srgbClr val="00B0F0"/>
                                </a:solidFill>
                                <a:latin typeface="Cambria Math" panose="02040503050406030204" pitchFamily="18" charset="0"/>
                              </a:rPr>
                              <m:t>𝟐</m:t>
                            </m:r>
                          </m:sup>
                        </m:sSup>
                      </m:den>
                    </m:f>
                    <m:d>
                      <m:dPr>
                        <m:ctrlPr>
                          <a:rPr lang="es-MX" sz="1400" b="1" i="1">
                            <a:solidFill>
                              <a:srgbClr val="00B0F0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MX" sz="1400" b="1" i="1">
                            <a:solidFill>
                              <a:srgbClr val="00B0F0"/>
                            </a:solidFill>
                            <a:latin typeface="Cambria Math" panose="02040503050406030204" pitchFamily="18" charset="0"/>
                          </a:rPr>
                          <m:t>𝟖</m:t>
                        </m:r>
                        <m:r>
                          <a:rPr lang="es-MX" sz="1400" b="1" i="1">
                            <a:solidFill>
                              <a:srgbClr val="00B0F0"/>
                            </a:solidFill>
                            <a:latin typeface="Cambria Math" panose="02040503050406030204" pitchFamily="18" charset="0"/>
                          </a:rPr>
                          <m:t>.</m:t>
                        </m:r>
                        <m:r>
                          <a:rPr lang="es-MX" sz="1400" b="1" i="1">
                            <a:solidFill>
                              <a:srgbClr val="00B0F0"/>
                            </a:solidFill>
                            <a:latin typeface="Cambria Math" panose="02040503050406030204" pitchFamily="18" charset="0"/>
                          </a:rPr>
                          <m:t>𝟓𝟏</m:t>
                        </m:r>
                        <m:sSup>
                          <m:sSupPr>
                            <m:ctrlPr>
                              <a:rPr lang="es-MX" sz="1400" b="1" i="1">
                                <a:solidFill>
                                  <a:srgbClr val="00B0F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s-MX" sz="1400" b="1" i="1">
                                <a:solidFill>
                                  <a:srgbClr val="00B0F0"/>
                                </a:solidFill>
                                <a:latin typeface="Cambria Math" panose="02040503050406030204" pitchFamily="18" charset="0"/>
                              </a:rPr>
                              <m:t>𝒎</m:t>
                            </m:r>
                          </m:e>
                          <m:sup>
                            <m:r>
                              <a:rPr lang="es-MX" sz="1400" b="1" i="1">
                                <a:solidFill>
                                  <a:srgbClr val="00B0F0"/>
                                </a:solidFill>
                                <a:latin typeface="Cambria Math" panose="02040503050406030204" pitchFamily="18" charset="0"/>
                              </a:rPr>
                              <m:t>𝟐</m:t>
                            </m:r>
                          </m:sup>
                        </m:sSup>
                      </m:e>
                    </m:d>
                    <m:r>
                      <a:rPr lang="es-MX" sz="1400" b="1" i="1">
                        <a:solidFill>
                          <a:srgbClr val="00B0F0"/>
                        </a:solidFill>
                        <a:latin typeface="Cambria Math" panose="02040503050406030204" pitchFamily="18" charset="0"/>
                      </a:rPr>
                      <m:t>=</m:t>
                    </m:r>
                    <m:r>
                      <a:rPr lang="es-MX" sz="1400" b="1" i="1">
                        <a:solidFill>
                          <a:srgbClr val="00B0F0"/>
                        </a:solidFill>
                        <a:latin typeface="Cambria Math" panose="02040503050406030204" pitchFamily="18" charset="0"/>
                      </a:rPr>
                      <m:t>𝟒</m:t>
                    </m:r>
                    <m:r>
                      <a:rPr lang="es-MX" sz="1400" b="1" i="1">
                        <a:solidFill>
                          <a:srgbClr val="00B0F0"/>
                        </a:solidFill>
                        <a:latin typeface="Cambria Math" panose="02040503050406030204" pitchFamily="18" charset="0"/>
                      </a:rPr>
                      <m:t>.</m:t>
                    </m:r>
                    <m:r>
                      <a:rPr lang="es-MX" sz="1400" b="1" i="1">
                        <a:solidFill>
                          <a:srgbClr val="00B0F0"/>
                        </a:solidFill>
                        <a:latin typeface="Cambria Math" panose="02040503050406030204" pitchFamily="18" charset="0"/>
                      </a:rPr>
                      <m:t>𝟕𝟕</m:t>
                    </m:r>
                    <m:r>
                      <a:rPr lang="es-MX" sz="1400" b="1" i="1">
                        <a:solidFill>
                          <a:srgbClr val="00B0F0"/>
                        </a:solidFill>
                        <a:latin typeface="Cambria Math" panose="02040503050406030204" pitchFamily="18" charset="0"/>
                      </a:rPr>
                      <m:t> </m:t>
                    </m:r>
                    <m:r>
                      <a:rPr lang="es-MX" sz="1400" b="1" i="1">
                        <a:solidFill>
                          <a:srgbClr val="00B0F0"/>
                        </a:solidFill>
                        <a:latin typeface="Cambria Math" panose="02040503050406030204" pitchFamily="18" charset="0"/>
                      </a:rPr>
                      <m:t>𝒕</m:t>
                    </m:r>
                  </m:oMath>
                </m:oMathPara>
              </a14:m>
              <a:endParaRPr lang="es-MX" sz="1400" b="1" i="0">
                <a:solidFill>
                  <a:srgbClr val="00B0F0"/>
                </a:solidFill>
              </a:endParaRPr>
            </a:p>
          </xdr:txBody>
        </xdr:sp>
      </mc:Choice>
      <mc:Fallback xmlns="">
        <xdr:sp macro="" textlink="">
          <xdr:nvSpPr>
            <xdr:cNvPr id="17" name="CuadroTexto 16">
              <a:extLst>
                <a:ext uri="{FF2B5EF4-FFF2-40B4-BE49-F238E27FC236}">
                  <a16:creationId xmlns:a16="http://schemas.microsoft.com/office/drawing/2014/main" id="{FAC7B444-B7C5-4F5C-8C9C-C67F53FE5FBF}"/>
                </a:ext>
              </a:extLst>
            </xdr:cNvPr>
            <xdr:cNvSpPr txBox="1"/>
          </xdr:nvSpPr>
          <xdr:spPr>
            <a:xfrm>
              <a:off x="13787897" y="647221"/>
              <a:ext cx="3219943" cy="3262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s-MX" sz="1400" b="1" i="0">
                  <a:solidFill>
                    <a:srgbClr val="00B0F0"/>
                  </a:solidFill>
                  <a:latin typeface="Cambria Math" panose="02040503050406030204" pitchFamily="18" charset="0"/>
                </a:rPr>
                <a:t>𝐖_𝐋=𝟎.𝟓𝟔 𝒕⁄𝒎^𝟐  (𝟖.𝟓𝟏𝒎^𝟐 )=𝟒.𝟕𝟕 𝒕</a:t>
              </a:r>
              <a:endParaRPr lang="es-MX" sz="1400" b="1" i="0">
                <a:solidFill>
                  <a:srgbClr val="00B0F0"/>
                </a:solidFill>
              </a:endParaRPr>
            </a:p>
          </xdr:txBody>
        </xdr:sp>
      </mc:Fallback>
    </mc:AlternateContent>
    <xdr:clientData/>
  </xdr:oneCellAnchor>
  <xdr:oneCellAnchor>
    <xdr:from>
      <xdr:col>23</xdr:col>
      <xdr:colOff>358987</xdr:colOff>
      <xdr:row>28</xdr:row>
      <xdr:rowOff>38548</xdr:rowOff>
    </xdr:from>
    <xdr:ext cx="1241214" cy="28227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" name="CuadroTexto 19">
              <a:extLst>
                <a:ext uri="{FF2B5EF4-FFF2-40B4-BE49-F238E27FC236}">
                  <a16:creationId xmlns:a16="http://schemas.microsoft.com/office/drawing/2014/main" id="{24F5D151-8BFD-431E-9A19-38BEF9AAE031}"/>
                </a:ext>
              </a:extLst>
            </xdr:cNvPr>
            <xdr:cNvSpPr txBox="1"/>
          </xdr:nvSpPr>
          <xdr:spPr>
            <a:xfrm>
              <a:off x="17326187" y="2273748"/>
              <a:ext cx="1241214" cy="28227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MX" sz="1400" b="1" i="1">
                            <a:solidFill>
                              <a:srgbClr val="00B0F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400" b="1" i="1">
                            <a:solidFill>
                              <a:srgbClr val="00B0F0"/>
                            </a:solidFill>
                            <a:latin typeface="Cambria Math" panose="02040503050406030204" pitchFamily="18" charset="0"/>
                          </a:rPr>
                          <m:t>𝑨</m:t>
                        </m:r>
                      </m:e>
                      <m:sub>
                        <m:r>
                          <a:rPr lang="es-MX" sz="1400" b="1" i="1">
                            <a:solidFill>
                              <a:srgbClr val="00B0F0"/>
                            </a:solidFill>
                            <a:latin typeface="Cambria Math" panose="02040503050406030204" pitchFamily="18" charset="0"/>
                          </a:rPr>
                          <m:t>𝑻</m:t>
                        </m:r>
                        <m:r>
                          <a:rPr lang="es-MX" sz="1400" b="1" i="1">
                            <a:solidFill>
                              <a:srgbClr val="00B0F0"/>
                            </a:solidFill>
                            <a:latin typeface="Cambria Math" panose="02040503050406030204" pitchFamily="18" charset="0"/>
                          </a:rPr>
                          <m:t>𝟏</m:t>
                        </m:r>
                      </m:sub>
                    </m:sSub>
                    <m:r>
                      <a:rPr lang="es-MX" sz="1400" b="1" i="1">
                        <a:solidFill>
                          <a:srgbClr val="00B0F0"/>
                        </a:solidFill>
                        <a:latin typeface="Cambria Math" panose="02040503050406030204" pitchFamily="18" charset="0"/>
                      </a:rPr>
                      <m:t>=</m:t>
                    </m:r>
                    <m:r>
                      <a:rPr lang="es-MX" sz="1400" b="1" i="1">
                        <a:solidFill>
                          <a:srgbClr val="00B0F0"/>
                        </a:solidFill>
                        <a:latin typeface="Cambria Math" panose="02040503050406030204" pitchFamily="18" charset="0"/>
                      </a:rPr>
                      <m:t>𝟒</m:t>
                    </m:r>
                    <m:r>
                      <a:rPr lang="es-MX" sz="1400" b="1" i="1">
                        <a:solidFill>
                          <a:srgbClr val="00B0F0"/>
                        </a:solidFill>
                        <a:latin typeface="Cambria Math" panose="02040503050406030204" pitchFamily="18" charset="0"/>
                      </a:rPr>
                      <m:t>.</m:t>
                    </m:r>
                    <m:r>
                      <a:rPr lang="es-MX" sz="1400" b="1" i="1">
                        <a:solidFill>
                          <a:srgbClr val="00B0F0"/>
                        </a:solidFill>
                        <a:latin typeface="Cambria Math" panose="02040503050406030204" pitchFamily="18" charset="0"/>
                      </a:rPr>
                      <m:t>𝟔𝟏</m:t>
                    </m:r>
                    <m:sSup>
                      <m:sSupPr>
                        <m:ctrlPr>
                          <a:rPr lang="es-MX" sz="1400" b="1" i="1">
                            <a:solidFill>
                              <a:srgbClr val="00B0F0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MX" sz="1400" b="1" i="1">
                            <a:solidFill>
                              <a:srgbClr val="00B0F0"/>
                            </a:solidFill>
                            <a:latin typeface="Cambria Math" panose="02040503050406030204" pitchFamily="18" charset="0"/>
                          </a:rPr>
                          <m:t>𝒎</m:t>
                        </m:r>
                      </m:e>
                      <m:sup>
                        <m:r>
                          <a:rPr lang="es-MX" sz="1400" b="1" i="1">
                            <a:solidFill>
                              <a:srgbClr val="00B0F0"/>
                            </a:solidFill>
                            <a:latin typeface="Cambria Math" panose="02040503050406030204" pitchFamily="18" charset="0"/>
                          </a:rPr>
                          <m:t>𝟐</m:t>
                        </m:r>
                      </m:sup>
                    </m:sSup>
                  </m:oMath>
                </m:oMathPara>
              </a14:m>
              <a:endParaRPr lang="es-MX" sz="1400" b="1" i="0">
                <a:solidFill>
                  <a:srgbClr val="00B0F0"/>
                </a:solidFill>
              </a:endParaRPr>
            </a:p>
          </xdr:txBody>
        </xdr:sp>
      </mc:Choice>
      <mc:Fallback xmlns="">
        <xdr:sp macro="" textlink="">
          <xdr:nvSpPr>
            <xdr:cNvPr id="20" name="CuadroTexto 19">
              <a:extLst>
                <a:ext uri="{FF2B5EF4-FFF2-40B4-BE49-F238E27FC236}">
                  <a16:creationId xmlns:a16="http://schemas.microsoft.com/office/drawing/2014/main" id="{24F5D151-8BFD-431E-9A19-38BEF9AAE031}"/>
                </a:ext>
              </a:extLst>
            </xdr:cNvPr>
            <xdr:cNvSpPr txBox="1"/>
          </xdr:nvSpPr>
          <xdr:spPr>
            <a:xfrm>
              <a:off x="17326187" y="2273748"/>
              <a:ext cx="1241214" cy="28227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s-MX" sz="1400" b="1" i="0">
                  <a:solidFill>
                    <a:srgbClr val="00B0F0"/>
                  </a:solidFill>
                  <a:latin typeface="Cambria Math" panose="02040503050406030204" pitchFamily="18" charset="0"/>
                </a:rPr>
                <a:t>𝑨_𝑻𝟏=𝟒.𝟔𝟏𝒎^𝟐</a:t>
              </a:r>
              <a:endParaRPr lang="es-MX" sz="1400" b="1" i="0">
                <a:solidFill>
                  <a:srgbClr val="00B0F0"/>
                </a:solidFill>
              </a:endParaRPr>
            </a:p>
          </xdr:txBody>
        </xdr:sp>
      </mc:Fallback>
    </mc:AlternateContent>
    <xdr:clientData/>
  </xdr:oneCellAnchor>
  <xdr:oneCellAnchor>
    <xdr:from>
      <xdr:col>18</xdr:col>
      <xdr:colOff>516465</xdr:colOff>
      <xdr:row>23</xdr:row>
      <xdr:rowOff>25847</xdr:rowOff>
    </xdr:from>
    <xdr:ext cx="1329269" cy="28227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" name="CuadroTexto 20">
              <a:extLst>
                <a:ext uri="{FF2B5EF4-FFF2-40B4-BE49-F238E27FC236}">
                  <a16:creationId xmlns:a16="http://schemas.microsoft.com/office/drawing/2014/main" id="{0A409FB1-FCDC-4A87-9E40-E7DA6C26086D}"/>
                </a:ext>
              </a:extLst>
            </xdr:cNvPr>
            <xdr:cNvSpPr txBox="1"/>
          </xdr:nvSpPr>
          <xdr:spPr>
            <a:xfrm>
              <a:off x="13334998" y="1329714"/>
              <a:ext cx="1329269" cy="28227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MX" sz="1400" b="1" i="1">
                            <a:solidFill>
                              <a:srgbClr val="00B0F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400" b="1" i="1">
                            <a:solidFill>
                              <a:srgbClr val="00B0F0"/>
                            </a:solidFill>
                            <a:latin typeface="Cambria Math" panose="02040503050406030204" pitchFamily="18" charset="0"/>
                          </a:rPr>
                          <m:t>𝑨</m:t>
                        </m:r>
                      </m:e>
                      <m:sub>
                        <m:r>
                          <a:rPr lang="es-MX" sz="1400" b="1" i="1">
                            <a:solidFill>
                              <a:srgbClr val="00B0F0"/>
                            </a:solidFill>
                            <a:latin typeface="Cambria Math" panose="02040503050406030204" pitchFamily="18" charset="0"/>
                          </a:rPr>
                          <m:t>𝑻</m:t>
                        </m:r>
                        <m:r>
                          <a:rPr lang="es-MX" sz="1400" b="1" i="1">
                            <a:solidFill>
                              <a:srgbClr val="00B0F0"/>
                            </a:solidFill>
                            <a:latin typeface="Cambria Math" panose="02040503050406030204" pitchFamily="18" charset="0"/>
                          </a:rPr>
                          <m:t>𝟐</m:t>
                        </m:r>
                      </m:sub>
                    </m:sSub>
                    <m:r>
                      <a:rPr lang="es-MX" sz="1400" b="1" i="1">
                        <a:solidFill>
                          <a:srgbClr val="00B0F0"/>
                        </a:solidFill>
                        <a:latin typeface="Cambria Math" panose="02040503050406030204" pitchFamily="18" charset="0"/>
                      </a:rPr>
                      <m:t>=</m:t>
                    </m:r>
                    <m:r>
                      <a:rPr lang="es-MX" sz="1400" b="1" i="0">
                        <a:solidFill>
                          <a:srgbClr val="00B0F0"/>
                        </a:solidFill>
                        <a:latin typeface="Cambria Math" panose="02040503050406030204" pitchFamily="18" charset="0"/>
                      </a:rPr>
                      <m:t>𝟑</m:t>
                    </m:r>
                    <m:r>
                      <a:rPr lang="es-MX" sz="1400" b="1" i="0">
                        <a:solidFill>
                          <a:srgbClr val="00B0F0"/>
                        </a:solidFill>
                        <a:latin typeface="Cambria Math" panose="02040503050406030204" pitchFamily="18" charset="0"/>
                      </a:rPr>
                      <m:t>.</m:t>
                    </m:r>
                    <m:r>
                      <a:rPr lang="es-MX" sz="1400" b="1" i="0">
                        <a:solidFill>
                          <a:srgbClr val="00B0F0"/>
                        </a:solidFill>
                        <a:latin typeface="Cambria Math" panose="02040503050406030204" pitchFamily="18" charset="0"/>
                      </a:rPr>
                      <m:t>𝟗</m:t>
                    </m:r>
                    <m:sSup>
                      <m:sSupPr>
                        <m:ctrlPr>
                          <a:rPr lang="es-MX" sz="1400" b="1" i="1">
                            <a:solidFill>
                              <a:srgbClr val="00B0F0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MX" sz="1400" b="1" i="1">
                            <a:solidFill>
                              <a:srgbClr val="00B0F0"/>
                            </a:solidFill>
                            <a:latin typeface="Cambria Math" panose="02040503050406030204" pitchFamily="18" charset="0"/>
                          </a:rPr>
                          <m:t>𝟎</m:t>
                        </m:r>
                        <m:r>
                          <a:rPr lang="es-MX" sz="1400" b="1" i="1">
                            <a:solidFill>
                              <a:srgbClr val="00B0F0"/>
                            </a:solidFill>
                            <a:latin typeface="Cambria Math" panose="02040503050406030204" pitchFamily="18" charset="0"/>
                          </a:rPr>
                          <m:t>𝒎</m:t>
                        </m:r>
                      </m:e>
                      <m:sup>
                        <m:r>
                          <a:rPr lang="es-MX" sz="1400" b="1" i="1">
                            <a:solidFill>
                              <a:srgbClr val="00B0F0"/>
                            </a:solidFill>
                            <a:latin typeface="Cambria Math" panose="02040503050406030204" pitchFamily="18" charset="0"/>
                          </a:rPr>
                          <m:t>𝟐</m:t>
                        </m:r>
                      </m:sup>
                    </m:sSup>
                  </m:oMath>
                </m:oMathPara>
              </a14:m>
              <a:endParaRPr lang="es-MX" sz="1400" b="1" i="0">
                <a:solidFill>
                  <a:srgbClr val="00B0F0"/>
                </a:solidFill>
              </a:endParaRPr>
            </a:p>
          </xdr:txBody>
        </xdr:sp>
      </mc:Choice>
      <mc:Fallback xmlns="">
        <xdr:sp macro="" textlink="">
          <xdr:nvSpPr>
            <xdr:cNvPr id="21" name="CuadroTexto 20">
              <a:extLst>
                <a:ext uri="{FF2B5EF4-FFF2-40B4-BE49-F238E27FC236}">
                  <a16:creationId xmlns:a16="http://schemas.microsoft.com/office/drawing/2014/main" id="{0A409FB1-FCDC-4A87-9E40-E7DA6C26086D}"/>
                </a:ext>
              </a:extLst>
            </xdr:cNvPr>
            <xdr:cNvSpPr txBox="1"/>
          </xdr:nvSpPr>
          <xdr:spPr>
            <a:xfrm>
              <a:off x="13334998" y="1329714"/>
              <a:ext cx="1329269" cy="28227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s-MX" sz="1400" b="1" i="0">
                  <a:solidFill>
                    <a:srgbClr val="00B0F0"/>
                  </a:solidFill>
                  <a:latin typeface="Cambria Math" panose="02040503050406030204" pitchFamily="18" charset="0"/>
                </a:rPr>
                <a:t>𝑨_𝑻𝟐=𝟑.𝟗〖𝟎𝒎〗^𝟐</a:t>
              </a:r>
              <a:endParaRPr lang="es-MX" sz="1400" b="1" i="0">
                <a:solidFill>
                  <a:srgbClr val="00B0F0"/>
                </a:solidFill>
              </a:endParaRPr>
            </a:p>
          </xdr:txBody>
        </xdr:sp>
      </mc:Fallback>
    </mc:AlternateContent>
    <xdr:clientData/>
  </xdr:oneCellAnchor>
  <xdr:oneCellAnchor>
    <xdr:from>
      <xdr:col>21</xdr:col>
      <xdr:colOff>29484</xdr:colOff>
      <xdr:row>2</xdr:row>
      <xdr:rowOff>41684</xdr:rowOff>
    </xdr:from>
    <xdr:ext cx="176400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" name="CuadroTexto 21">
              <a:extLst>
                <a:ext uri="{FF2B5EF4-FFF2-40B4-BE49-F238E27FC236}">
                  <a16:creationId xmlns:a16="http://schemas.microsoft.com/office/drawing/2014/main" id="{9B29DA65-76AC-4943-86D8-1BD48AF6EF8B}"/>
                </a:ext>
              </a:extLst>
            </xdr:cNvPr>
            <xdr:cNvSpPr txBox="1"/>
          </xdr:nvSpPr>
          <xdr:spPr>
            <a:xfrm>
              <a:off x="14637024" y="407444"/>
              <a:ext cx="17640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MX" sz="1100" b="1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b="1" i="0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𝐏</m:t>
                        </m:r>
                      </m:e>
                      <m:sub>
                        <m:r>
                          <a:rPr lang="es-MX" sz="1100" b="1" i="0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𝐔𝟏</m:t>
                        </m:r>
                      </m:sub>
                    </m:sSub>
                    <m:r>
                      <a:rPr lang="es-MX" sz="1100" b="1" i="0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=</m:t>
                    </m:r>
                    <m:r>
                      <a:rPr lang="es-MX" sz="1100" b="1" i="0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𝟏</m:t>
                    </m:r>
                    <m:r>
                      <a:rPr lang="es-MX" sz="1100" b="1" i="0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.</m:t>
                    </m:r>
                    <m:r>
                      <a:rPr lang="es-MX" sz="1100" b="1" i="0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𝟒</m:t>
                    </m:r>
                    <m:d>
                      <m:dPr>
                        <m:ctrlPr>
                          <a:rPr lang="es-MX" sz="1100" b="1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s-MX" sz="1100" b="1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MX" sz="1100" b="1" i="0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𝐖</m:t>
                            </m:r>
                          </m:e>
                          <m:sub>
                            <m:r>
                              <a:rPr lang="es-MX" sz="1100" b="1" i="0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𝐦</m:t>
                            </m:r>
                          </m:sub>
                        </m:sSub>
                        <m:r>
                          <a:rPr lang="es-MX" sz="1100" b="1" i="0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+</m:t>
                        </m:r>
                        <m:sSub>
                          <m:sSubPr>
                            <m:ctrlPr>
                              <a:rPr lang="es-MX" sz="1100" b="1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MX" sz="1100" b="1" i="0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𝐖</m:t>
                            </m:r>
                          </m:e>
                          <m:sub>
                            <m:r>
                              <a:rPr lang="es-MX" sz="1100" b="1" i="0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𝐋</m:t>
                            </m:r>
                          </m:sub>
                        </m:sSub>
                      </m:e>
                    </m:d>
                    <m:r>
                      <a:rPr lang="es-MX" sz="1100" b="1" i="0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s-MX" sz="1100" b="1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b="1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𝑷</m:t>
                        </m:r>
                      </m:e>
                      <m:sub>
                        <m:r>
                          <a:rPr lang="es-MX" sz="1100" b="1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𝑼</m:t>
                        </m:r>
                        <m:r>
                          <a:rPr lang="es-MX" sz="1100" b="1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𝟐</m:t>
                        </m:r>
                      </m:sub>
                    </m:sSub>
                  </m:oMath>
                </m:oMathPara>
              </a14:m>
              <a:endParaRPr lang="es-MX" sz="1100" b="1" i="0">
                <a:solidFill>
                  <a:sysClr val="windowText" lastClr="000000"/>
                </a:solidFill>
              </a:endParaRPr>
            </a:p>
          </xdr:txBody>
        </xdr:sp>
      </mc:Choice>
      <mc:Fallback xmlns="">
        <xdr:sp macro="" textlink="">
          <xdr:nvSpPr>
            <xdr:cNvPr id="22" name="CuadroTexto 21">
              <a:extLst>
                <a:ext uri="{FF2B5EF4-FFF2-40B4-BE49-F238E27FC236}">
                  <a16:creationId xmlns:a16="http://schemas.microsoft.com/office/drawing/2014/main" id="{9B29DA65-76AC-4943-86D8-1BD48AF6EF8B}"/>
                </a:ext>
              </a:extLst>
            </xdr:cNvPr>
            <xdr:cNvSpPr txBox="1"/>
          </xdr:nvSpPr>
          <xdr:spPr>
            <a:xfrm>
              <a:off x="14637024" y="407444"/>
              <a:ext cx="17640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1100" b="1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𝐏_𝐔𝟏=𝟏.𝟒(𝐖_𝐦+𝐖_𝐋 )+𝑷_𝑼𝟐</a:t>
              </a:r>
              <a:endParaRPr lang="es-MX" sz="1100" b="1" i="0">
                <a:solidFill>
                  <a:sysClr val="windowText" lastClr="000000"/>
                </a:solidFill>
              </a:endParaRPr>
            </a:p>
          </xdr:txBody>
        </xdr:sp>
      </mc:Fallback>
    </mc:AlternateContent>
    <xdr:clientData/>
  </xdr:oneCellAnchor>
  <xdr:oneCellAnchor>
    <xdr:from>
      <xdr:col>21</xdr:col>
      <xdr:colOff>15238</xdr:colOff>
      <xdr:row>5</xdr:row>
      <xdr:rowOff>17560</xdr:rowOff>
    </xdr:from>
    <xdr:ext cx="100905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" name="CuadroTexto 22">
              <a:extLst>
                <a:ext uri="{FF2B5EF4-FFF2-40B4-BE49-F238E27FC236}">
                  <a16:creationId xmlns:a16="http://schemas.microsoft.com/office/drawing/2014/main" id="{9F5903C8-1960-45B3-84C5-633736652A88}"/>
                </a:ext>
              </a:extLst>
            </xdr:cNvPr>
            <xdr:cNvSpPr txBox="1"/>
          </xdr:nvSpPr>
          <xdr:spPr>
            <a:xfrm>
              <a:off x="14622778" y="1023400"/>
              <a:ext cx="100905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MX" sz="1100" b="1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b="1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𝑾</m:t>
                        </m:r>
                      </m:e>
                      <m:sub>
                        <m:r>
                          <a:rPr lang="es-MX" sz="1100" b="1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𝒎</m:t>
                        </m:r>
                      </m:sub>
                    </m:sSub>
                    <m:r>
                      <a:rPr lang="es-MX" sz="1100" b="1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s-MX" sz="1100" b="1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b="1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𝑷</m:t>
                        </m:r>
                      </m:e>
                      <m:sub>
                        <m:r>
                          <a:rPr lang="es-MX" sz="1100" b="1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𝑬𝑴</m:t>
                        </m:r>
                      </m:sub>
                    </m:sSub>
                    <m:r>
                      <a:rPr lang="es-MX" sz="1100" b="1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(</m:t>
                    </m:r>
                    <m:sSub>
                      <m:sSubPr>
                        <m:ctrlPr>
                          <a:rPr lang="es-MX" sz="1100" b="1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b="1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𝑳</m:t>
                        </m:r>
                      </m:e>
                      <m:sub>
                        <m:r>
                          <a:rPr lang="es-MX" sz="1100" b="1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𝒎</m:t>
                        </m:r>
                      </m:sub>
                    </m:sSub>
                    <m:r>
                      <a:rPr lang="es-MX" sz="1100" b="1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s-MX" sz="1100" b="1" i="0">
                <a:solidFill>
                  <a:sysClr val="windowText" lastClr="000000"/>
                </a:solidFill>
              </a:endParaRPr>
            </a:p>
          </xdr:txBody>
        </xdr:sp>
      </mc:Choice>
      <mc:Fallback xmlns="">
        <xdr:sp macro="" textlink="">
          <xdr:nvSpPr>
            <xdr:cNvPr id="23" name="CuadroTexto 22">
              <a:extLst>
                <a:ext uri="{FF2B5EF4-FFF2-40B4-BE49-F238E27FC236}">
                  <a16:creationId xmlns:a16="http://schemas.microsoft.com/office/drawing/2014/main" id="{9F5903C8-1960-45B3-84C5-633736652A88}"/>
                </a:ext>
              </a:extLst>
            </xdr:cNvPr>
            <xdr:cNvSpPr txBox="1"/>
          </xdr:nvSpPr>
          <xdr:spPr>
            <a:xfrm>
              <a:off x="14622778" y="1023400"/>
              <a:ext cx="100905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1100" b="1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𝑾_𝒎=𝑷_𝑬𝑴 (𝑳_𝒎)</a:t>
              </a:r>
              <a:endParaRPr lang="es-MX" sz="1100" b="1" i="0">
                <a:solidFill>
                  <a:sysClr val="windowText" lastClr="000000"/>
                </a:solidFill>
              </a:endParaRPr>
            </a:p>
          </xdr:txBody>
        </xdr:sp>
      </mc:Fallback>
    </mc:AlternateContent>
    <xdr:clientData/>
  </xdr:oneCellAnchor>
  <xdr:oneCellAnchor>
    <xdr:from>
      <xdr:col>20</xdr:col>
      <xdr:colOff>820970</xdr:colOff>
      <xdr:row>7</xdr:row>
      <xdr:rowOff>33130</xdr:rowOff>
    </xdr:from>
    <xdr:ext cx="143186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4" name="CuadroTexto 23">
              <a:extLst>
                <a:ext uri="{FF2B5EF4-FFF2-40B4-BE49-F238E27FC236}">
                  <a16:creationId xmlns:a16="http://schemas.microsoft.com/office/drawing/2014/main" id="{2ED2FE61-B64B-47A6-9706-32F0709581D6}"/>
                </a:ext>
              </a:extLst>
            </xdr:cNvPr>
            <xdr:cNvSpPr txBox="1"/>
          </xdr:nvSpPr>
          <xdr:spPr>
            <a:xfrm>
              <a:off x="14597930" y="1404730"/>
              <a:ext cx="143186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MX" sz="1100" b="1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b="1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𝑾</m:t>
                        </m:r>
                      </m:e>
                      <m:sub>
                        <m:r>
                          <a:rPr lang="es-MX" sz="1100" b="1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𝑳</m:t>
                        </m:r>
                      </m:sub>
                    </m:sSub>
                    <m:r>
                      <a:rPr lang="es-MX" sz="1100" b="1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=(</m:t>
                    </m:r>
                    <m:r>
                      <a:rPr lang="es-MX" sz="1100" b="1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𝑪𝑴</m:t>
                    </m:r>
                    <m:r>
                      <a:rPr lang="es-MX" sz="1100" b="1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+ </m:t>
                    </m:r>
                    <m:sSub>
                      <m:sSubPr>
                        <m:ctrlPr>
                          <a:rPr lang="es-MX" sz="1100" b="1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b="1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𝑾</m:t>
                        </m:r>
                      </m:e>
                      <m:sub>
                        <m:r>
                          <a:rPr lang="es-MX" sz="1100" b="1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𝒂</m:t>
                        </m:r>
                      </m:sub>
                    </m:sSub>
                    <m:r>
                      <a:rPr lang="es-MX" sz="1100" b="1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)(</m:t>
                    </m:r>
                    <m:sSub>
                      <m:sSubPr>
                        <m:ctrlPr>
                          <a:rPr lang="es-MX" sz="1100" b="1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b="1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𝑨</m:t>
                        </m:r>
                      </m:e>
                      <m:sub>
                        <m:r>
                          <a:rPr lang="es-MX" sz="1100" b="1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𝑻</m:t>
                        </m:r>
                      </m:sub>
                    </m:sSub>
                    <m:r>
                      <a:rPr lang="es-MX" sz="1100" b="1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s-MX" sz="1100" b="1" i="0">
                <a:solidFill>
                  <a:sysClr val="windowText" lastClr="000000"/>
                </a:solidFill>
              </a:endParaRPr>
            </a:p>
          </xdr:txBody>
        </xdr:sp>
      </mc:Choice>
      <mc:Fallback xmlns="">
        <xdr:sp macro="" textlink="">
          <xdr:nvSpPr>
            <xdr:cNvPr id="24" name="CuadroTexto 23">
              <a:extLst>
                <a:ext uri="{FF2B5EF4-FFF2-40B4-BE49-F238E27FC236}">
                  <a16:creationId xmlns:a16="http://schemas.microsoft.com/office/drawing/2014/main" id="{2ED2FE61-B64B-47A6-9706-32F0709581D6}"/>
                </a:ext>
              </a:extLst>
            </xdr:cNvPr>
            <xdr:cNvSpPr txBox="1"/>
          </xdr:nvSpPr>
          <xdr:spPr>
            <a:xfrm>
              <a:off x="14597930" y="1404730"/>
              <a:ext cx="143186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1100" b="1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𝑾_𝑳=(𝑪𝑴+ 𝑾_𝒂)(𝑨_𝑻)</a:t>
              </a:r>
              <a:endParaRPr lang="es-MX" sz="1100" b="1" i="0">
                <a:solidFill>
                  <a:sysClr val="windowText" lastClr="000000"/>
                </a:solidFill>
              </a:endParaRPr>
            </a:p>
          </xdr:txBody>
        </xdr:sp>
      </mc:Fallback>
    </mc:AlternateContent>
    <xdr:clientData/>
  </xdr:oneCellAnchor>
  <xdr:twoCellAnchor>
    <xdr:from>
      <xdr:col>20</xdr:col>
      <xdr:colOff>234232</xdr:colOff>
      <xdr:row>36</xdr:row>
      <xdr:rowOff>7953</xdr:rowOff>
    </xdr:from>
    <xdr:to>
      <xdr:col>23</xdr:col>
      <xdr:colOff>426388</xdr:colOff>
      <xdr:row>44</xdr:row>
      <xdr:rowOff>144449</xdr:rowOff>
    </xdr:to>
    <xdr:cxnSp macro="">
      <xdr:nvCxnSpPr>
        <xdr:cNvPr id="26" name="Conector recto de flecha 25">
          <a:extLst>
            <a:ext uri="{FF2B5EF4-FFF2-40B4-BE49-F238E27FC236}">
              <a16:creationId xmlns:a16="http://schemas.microsoft.com/office/drawing/2014/main" id="{8B6FFB54-C83A-429B-81EA-7C938B1D1FDC}"/>
            </a:ext>
          </a:extLst>
        </xdr:cNvPr>
        <xdr:cNvCxnSpPr/>
      </xdr:nvCxnSpPr>
      <xdr:spPr>
        <a:xfrm flipV="1">
          <a:off x="14011192" y="6797373"/>
          <a:ext cx="2683896" cy="1614776"/>
        </a:xfrm>
        <a:prstGeom prst="straightConnector1">
          <a:avLst/>
        </a:prstGeom>
        <a:ln>
          <a:solidFill>
            <a:srgbClr val="00B050"/>
          </a:solidFill>
          <a:headEnd type="triangle"/>
          <a:tailEnd type="triangle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oneCellAnchor>
    <xdr:from>
      <xdr:col>22</xdr:col>
      <xdr:colOff>107008</xdr:colOff>
      <xdr:row>39</xdr:row>
      <xdr:rowOff>166646</xdr:rowOff>
    </xdr:from>
    <xdr:ext cx="1169342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8" name="CuadroTexto 27">
              <a:extLst>
                <a:ext uri="{FF2B5EF4-FFF2-40B4-BE49-F238E27FC236}">
                  <a16:creationId xmlns:a16="http://schemas.microsoft.com/office/drawing/2014/main" id="{D3B08E4C-1B09-45EA-B9D3-BE6146B6624B}"/>
                </a:ext>
              </a:extLst>
            </xdr:cNvPr>
            <xdr:cNvSpPr txBox="1"/>
          </xdr:nvSpPr>
          <xdr:spPr>
            <a:xfrm>
              <a:off x="16147108" y="4357646"/>
              <a:ext cx="1169342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s-MX" sz="1400" b="1" i="1">
                          <a:solidFill>
                            <a:srgbClr val="00B050"/>
                          </a:solidFill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s-MX" sz="1400" b="1" i="1">
                          <a:solidFill>
                            <a:srgbClr val="00B050"/>
                          </a:solidFill>
                          <a:latin typeface="Cambria Math" panose="02040503050406030204" pitchFamily="18" charset="0"/>
                        </a:rPr>
                        <m:t>𝑳</m:t>
                      </m:r>
                    </m:e>
                    <m:sub>
                      <m:r>
                        <a:rPr lang="es-MX" sz="1400" b="1" i="1">
                          <a:solidFill>
                            <a:srgbClr val="00B050"/>
                          </a:solidFill>
                          <a:latin typeface="Cambria Math" panose="02040503050406030204" pitchFamily="18" charset="0"/>
                        </a:rPr>
                        <m:t>𝒎</m:t>
                      </m:r>
                    </m:sub>
                  </m:sSub>
                  <m:r>
                    <a:rPr lang="es-MX" sz="1400" b="1" i="1">
                      <a:solidFill>
                        <a:srgbClr val="00B050"/>
                      </a:solidFill>
                      <a:latin typeface="Cambria Math" panose="02040503050406030204" pitchFamily="18" charset="0"/>
                    </a:rPr>
                    <m:t>=</m:t>
                  </m:r>
                </m:oMath>
              </a14:m>
              <a:r>
                <a:rPr lang="es-MX" sz="1400" b="1" i="0">
                  <a:solidFill>
                    <a:srgbClr val="00B050"/>
                  </a:solidFill>
                </a:rPr>
                <a:t>3.65 m</a:t>
              </a:r>
            </a:p>
          </xdr:txBody>
        </xdr:sp>
      </mc:Choice>
      <mc:Fallback xmlns="">
        <xdr:sp macro="" textlink="">
          <xdr:nvSpPr>
            <xdr:cNvPr id="28" name="CuadroTexto 27">
              <a:extLst>
                <a:ext uri="{FF2B5EF4-FFF2-40B4-BE49-F238E27FC236}">
                  <a16:creationId xmlns:a16="http://schemas.microsoft.com/office/drawing/2014/main" id="{D3B08E4C-1B09-45EA-B9D3-BE6146B6624B}"/>
                </a:ext>
              </a:extLst>
            </xdr:cNvPr>
            <xdr:cNvSpPr txBox="1"/>
          </xdr:nvSpPr>
          <xdr:spPr>
            <a:xfrm>
              <a:off x="16147108" y="4357646"/>
              <a:ext cx="1169342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MX" sz="1400" b="1" i="0">
                  <a:solidFill>
                    <a:srgbClr val="00B050"/>
                  </a:solidFill>
                  <a:latin typeface="Cambria Math" panose="02040503050406030204" pitchFamily="18" charset="0"/>
                </a:rPr>
                <a:t>𝑳_𝒎=</a:t>
              </a:r>
              <a:r>
                <a:rPr lang="es-MX" sz="1400" b="1" i="0">
                  <a:solidFill>
                    <a:srgbClr val="00B050"/>
                  </a:solidFill>
                </a:rPr>
                <a:t>3.65 m</a:t>
              </a:r>
            </a:p>
          </xdr:txBody>
        </xdr:sp>
      </mc:Fallback>
    </mc:AlternateContent>
    <xdr:clientData/>
  </xdr:oneCellAnchor>
  <xdr:oneCellAnchor>
    <xdr:from>
      <xdr:col>20</xdr:col>
      <xdr:colOff>693419</xdr:colOff>
      <xdr:row>32</xdr:row>
      <xdr:rowOff>114630</xdr:rowOff>
    </xdr:from>
    <xdr:ext cx="799193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1" name="CuadroTexto 30">
              <a:extLst>
                <a:ext uri="{FF2B5EF4-FFF2-40B4-BE49-F238E27FC236}">
                  <a16:creationId xmlns:a16="http://schemas.microsoft.com/office/drawing/2014/main" id="{3F24B0A7-684A-4900-BE5F-85ADB2B7648C}"/>
                </a:ext>
              </a:extLst>
            </xdr:cNvPr>
            <xdr:cNvSpPr txBox="1"/>
          </xdr:nvSpPr>
          <xdr:spPr>
            <a:xfrm>
              <a:off x="15110459" y="5448630"/>
              <a:ext cx="799193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s-MX" sz="1200" b="1" i="1">
                          <a:solidFill>
                            <a:schemeClr val="bg1"/>
                          </a:solidFill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s-MX" sz="1200" b="1" i="0">
                          <a:solidFill>
                            <a:schemeClr val="bg1"/>
                          </a:solidFill>
                          <a:latin typeface="Cambria Math" panose="02040503050406030204" pitchFamily="18" charset="0"/>
                        </a:rPr>
                        <m:t>𝐖</m:t>
                      </m:r>
                    </m:e>
                    <m:sub>
                      <m:r>
                        <a:rPr lang="es-MX" sz="1200" b="1" i="0">
                          <a:solidFill>
                            <a:schemeClr val="bg1"/>
                          </a:solidFill>
                          <a:latin typeface="Cambria Math" panose="02040503050406030204" pitchFamily="18" charset="0"/>
                        </a:rPr>
                        <m:t>𝐦</m:t>
                      </m:r>
                    </m:sub>
                  </m:sSub>
                  <m:r>
                    <a:rPr lang="es-MX" sz="1200" b="1" i="0">
                      <a:solidFill>
                        <a:schemeClr val="bg1"/>
                      </a:solidFill>
                      <a:latin typeface="Cambria Math" panose="02040503050406030204" pitchFamily="18" charset="0"/>
                    </a:rPr>
                    <m:t>= </m:t>
                  </m:r>
                </m:oMath>
              </a14:m>
              <a:r>
                <a:rPr lang="es-MX" sz="1200" b="1" i="0">
                  <a:solidFill>
                    <a:schemeClr val="bg1"/>
                  </a:solidFill>
                </a:rPr>
                <a:t>2.81 t</a:t>
              </a:r>
            </a:p>
          </xdr:txBody>
        </xdr:sp>
      </mc:Choice>
      <mc:Fallback xmlns="">
        <xdr:sp macro="" textlink="">
          <xdr:nvSpPr>
            <xdr:cNvPr id="31" name="CuadroTexto 30">
              <a:extLst>
                <a:ext uri="{FF2B5EF4-FFF2-40B4-BE49-F238E27FC236}">
                  <a16:creationId xmlns:a16="http://schemas.microsoft.com/office/drawing/2014/main" id="{3F24B0A7-684A-4900-BE5F-85ADB2B7648C}"/>
                </a:ext>
              </a:extLst>
            </xdr:cNvPr>
            <xdr:cNvSpPr txBox="1"/>
          </xdr:nvSpPr>
          <xdr:spPr>
            <a:xfrm>
              <a:off x="15110459" y="5448630"/>
              <a:ext cx="799193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200" b="1" i="0">
                  <a:solidFill>
                    <a:schemeClr val="bg1"/>
                  </a:solidFill>
                  <a:latin typeface="Cambria Math" panose="02040503050406030204" pitchFamily="18" charset="0"/>
                </a:rPr>
                <a:t>𝐖_𝐦= </a:t>
              </a:r>
              <a:r>
                <a:rPr lang="es-MX" sz="1200" b="1" i="0">
                  <a:solidFill>
                    <a:schemeClr val="bg1"/>
                  </a:solidFill>
                </a:rPr>
                <a:t>2.81 t</a:t>
              </a:r>
            </a:p>
          </xdr:txBody>
        </xdr:sp>
      </mc:Fallback>
    </mc:AlternateContent>
    <xdr:clientData/>
  </xdr:oneCellAnchor>
  <xdr:oneCellAnchor>
    <xdr:from>
      <xdr:col>21</xdr:col>
      <xdr:colOff>32425</xdr:colOff>
      <xdr:row>8</xdr:row>
      <xdr:rowOff>68990</xdr:rowOff>
    </xdr:from>
    <xdr:ext cx="663130" cy="3429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CuadroTexto 18">
              <a:extLst>
                <a:ext uri="{FF2B5EF4-FFF2-40B4-BE49-F238E27FC236}">
                  <a16:creationId xmlns:a16="http://schemas.microsoft.com/office/drawing/2014/main" id="{7B981286-EB4C-44F1-B82D-BD3A5FA0F542}"/>
                </a:ext>
              </a:extLst>
            </xdr:cNvPr>
            <xdr:cNvSpPr txBox="1"/>
          </xdr:nvSpPr>
          <xdr:spPr>
            <a:xfrm>
              <a:off x="14639965" y="1623470"/>
              <a:ext cx="663130" cy="3429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MX" sz="1100" b="1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b="1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𝑨</m:t>
                        </m:r>
                      </m:e>
                      <m:sub>
                        <m:r>
                          <a:rPr lang="es-MX" sz="1100" b="1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𝑻</m:t>
                        </m:r>
                        <m:r>
                          <a:rPr lang="es-MX" sz="1100" b="1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𝟏</m:t>
                        </m:r>
                      </m:sub>
                    </m:sSub>
                    <m:r>
                      <a:rPr lang="es-MX" sz="1100" b="1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MX" sz="1100" b="1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s-MX" sz="1100" b="1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sSub>
                              <m:sSubPr>
                                <m:ctrlPr>
                                  <a:rPr lang="es-MX" sz="1100" b="1" i="1">
                                    <a:solidFill>
                                      <a:sysClr val="windowText" lastClr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s-MX" sz="1100" b="1" i="1">
                                    <a:solidFill>
                                      <a:sysClr val="windowText" lastClr="000000"/>
                                    </a:solidFill>
                                    <a:latin typeface="Cambria Math" panose="02040503050406030204" pitchFamily="18" charset="0"/>
                                  </a:rPr>
                                  <m:t>𝒂</m:t>
                                </m:r>
                              </m:e>
                              <m:sub>
                                <m:r>
                                  <a:rPr lang="es-MX" sz="1100" b="1" i="1">
                                    <a:solidFill>
                                      <a:sysClr val="windowText" lastClr="000000"/>
                                    </a:solidFill>
                                    <a:latin typeface="Cambria Math" panose="02040503050406030204" pitchFamily="18" charset="0"/>
                                  </a:rPr>
                                  <m:t>𝟏</m:t>
                                </m:r>
                              </m:sub>
                            </m:sSub>
                          </m:e>
                          <m:sup>
                            <m:r>
                              <a:rPr lang="es-MX" sz="1100" b="1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𝟐</m:t>
                            </m:r>
                          </m:sup>
                        </m:sSup>
                      </m:num>
                      <m:den>
                        <m:r>
                          <a:rPr lang="es-MX" sz="1100" b="1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𝟒</m:t>
                        </m:r>
                      </m:den>
                    </m:f>
                  </m:oMath>
                </m:oMathPara>
              </a14:m>
              <a:endParaRPr lang="es-MX" sz="1100" b="1" i="0">
                <a:solidFill>
                  <a:sysClr val="windowText" lastClr="000000"/>
                </a:solidFill>
              </a:endParaRPr>
            </a:p>
          </xdr:txBody>
        </xdr:sp>
      </mc:Choice>
      <mc:Fallback xmlns="">
        <xdr:sp macro="" textlink="">
          <xdr:nvSpPr>
            <xdr:cNvPr id="19" name="CuadroTexto 18">
              <a:extLst>
                <a:ext uri="{FF2B5EF4-FFF2-40B4-BE49-F238E27FC236}">
                  <a16:creationId xmlns:a16="http://schemas.microsoft.com/office/drawing/2014/main" id="{7B981286-EB4C-44F1-B82D-BD3A5FA0F542}"/>
                </a:ext>
              </a:extLst>
            </xdr:cNvPr>
            <xdr:cNvSpPr txBox="1"/>
          </xdr:nvSpPr>
          <xdr:spPr>
            <a:xfrm>
              <a:off x="14639965" y="1623470"/>
              <a:ext cx="663130" cy="3429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1100" b="1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𝑨_𝑻𝟏=〖𝒂_𝟏〗^𝟐/𝟒</a:t>
              </a:r>
              <a:endParaRPr lang="es-MX" sz="1100" b="1" i="0">
                <a:solidFill>
                  <a:sysClr val="windowText" lastClr="000000"/>
                </a:solidFill>
              </a:endParaRPr>
            </a:p>
          </xdr:txBody>
        </xdr:sp>
      </mc:Fallback>
    </mc:AlternateContent>
    <xdr:clientData/>
  </xdr:oneCellAnchor>
  <xdr:oneCellAnchor>
    <xdr:from>
      <xdr:col>22</xdr:col>
      <xdr:colOff>325371</xdr:colOff>
      <xdr:row>8</xdr:row>
      <xdr:rowOff>68989</xdr:rowOff>
    </xdr:from>
    <xdr:ext cx="1272143" cy="3429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5" name="CuadroTexto 24">
              <a:extLst>
                <a:ext uri="{FF2B5EF4-FFF2-40B4-BE49-F238E27FC236}">
                  <a16:creationId xmlns:a16="http://schemas.microsoft.com/office/drawing/2014/main" id="{0B8C9C43-7AA8-4249-BF18-6066FE5304C3}"/>
                </a:ext>
              </a:extLst>
            </xdr:cNvPr>
            <xdr:cNvSpPr txBox="1"/>
          </xdr:nvSpPr>
          <xdr:spPr>
            <a:xfrm>
              <a:off x="15763491" y="1623469"/>
              <a:ext cx="1272143" cy="3429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MX" sz="1100" b="1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b="1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𝑨</m:t>
                        </m:r>
                      </m:e>
                      <m:sub>
                        <m:r>
                          <a:rPr lang="es-MX" sz="1100" b="1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𝑻</m:t>
                        </m:r>
                        <m:r>
                          <a:rPr lang="es-MX" sz="1100" b="1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𝟐</m:t>
                        </m:r>
                      </m:sub>
                    </m:sSub>
                    <m:r>
                      <a:rPr lang="es-MX" sz="1100" b="1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MX" sz="1100" b="1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s-MX" sz="1100" b="1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MX" sz="1100" b="1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𝒂</m:t>
                            </m:r>
                          </m:e>
                          <m:sub>
                            <m:r>
                              <a:rPr lang="es-MX" sz="1100" b="1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𝟏</m:t>
                            </m:r>
                          </m:sub>
                        </m:sSub>
                        <m:r>
                          <a:rPr lang="es-MX" sz="1100" b="1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∗</m:t>
                        </m:r>
                        <m:sSub>
                          <m:sSubPr>
                            <m:ctrlPr>
                              <a:rPr lang="es-MX" sz="1100" b="1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MX" sz="1100" b="1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𝒂</m:t>
                            </m:r>
                          </m:e>
                          <m:sub>
                            <m:r>
                              <a:rPr lang="es-MX" sz="1100" b="1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𝟐</m:t>
                            </m:r>
                          </m:sub>
                        </m:sSub>
                      </m:num>
                      <m:den>
                        <m:r>
                          <a:rPr lang="es-MX" sz="1100" b="1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𝟐</m:t>
                        </m:r>
                      </m:den>
                    </m:f>
                    <m:r>
                      <a:rPr lang="es-MX" sz="1100" b="1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−</m:t>
                    </m:r>
                    <m:f>
                      <m:fPr>
                        <m:ctrlPr>
                          <a:rPr lang="es-MX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s-MX" sz="11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sSub>
                              <m:sSubPr>
                                <m:ctrlPr>
                                  <a:rPr lang="es-MX" sz="1100" b="1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MX" sz="1100" b="1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𝒂</m:t>
                                </m:r>
                              </m:e>
                              <m:sub>
                                <m:r>
                                  <a:rPr lang="es-MX" sz="1100" b="1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𝟏</m:t>
                                </m:r>
                              </m:sub>
                            </m:sSub>
                          </m:e>
                          <m:sup>
                            <m:r>
                              <a:rPr lang="es-MX" sz="11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𝟐</m:t>
                            </m:r>
                          </m:sup>
                        </m:sSup>
                      </m:num>
                      <m:den>
                        <m:r>
                          <a:rPr lang="es-MX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𝟒</m:t>
                        </m:r>
                      </m:den>
                    </m:f>
                  </m:oMath>
                </m:oMathPara>
              </a14:m>
              <a:endParaRPr lang="es-MX" sz="1100" b="1" i="0">
                <a:solidFill>
                  <a:sysClr val="windowText" lastClr="000000"/>
                </a:solidFill>
              </a:endParaRPr>
            </a:p>
          </xdr:txBody>
        </xdr:sp>
      </mc:Choice>
      <mc:Fallback xmlns="">
        <xdr:sp macro="" textlink="">
          <xdr:nvSpPr>
            <xdr:cNvPr id="25" name="CuadroTexto 24">
              <a:extLst>
                <a:ext uri="{FF2B5EF4-FFF2-40B4-BE49-F238E27FC236}">
                  <a16:creationId xmlns:a16="http://schemas.microsoft.com/office/drawing/2014/main" id="{0B8C9C43-7AA8-4249-BF18-6066FE5304C3}"/>
                </a:ext>
              </a:extLst>
            </xdr:cNvPr>
            <xdr:cNvSpPr txBox="1"/>
          </xdr:nvSpPr>
          <xdr:spPr>
            <a:xfrm>
              <a:off x="15763491" y="1623469"/>
              <a:ext cx="1272143" cy="3429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1100" b="1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𝑨_𝑻𝟐=(𝒂_𝟏∗𝒂_𝟐)/𝟐−</a:t>
              </a:r>
              <a:r>
                <a:rPr lang="es-MX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〖𝒂_𝟏〗^𝟐/𝟒</a:t>
              </a:r>
              <a:endParaRPr lang="es-MX" sz="1100" b="1" i="0">
                <a:solidFill>
                  <a:sysClr val="windowText" lastClr="000000"/>
                </a:solidFill>
              </a:endParaRPr>
            </a:p>
          </xdr:txBody>
        </xdr:sp>
      </mc:Fallback>
    </mc:AlternateContent>
    <xdr:clientData/>
  </xdr:oneCellAnchor>
  <xdr:oneCellAnchor>
    <xdr:from>
      <xdr:col>21</xdr:col>
      <xdr:colOff>25897</xdr:colOff>
      <xdr:row>3</xdr:row>
      <xdr:rowOff>44822</xdr:rowOff>
    </xdr:from>
    <xdr:ext cx="135203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7" name="CuadroTexto 26">
              <a:extLst>
                <a:ext uri="{FF2B5EF4-FFF2-40B4-BE49-F238E27FC236}">
                  <a16:creationId xmlns:a16="http://schemas.microsoft.com/office/drawing/2014/main" id="{9377A3F5-6A5A-4796-AB54-C3D9DF103BD0}"/>
                </a:ext>
              </a:extLst>
            </xdr:cNvPr>
            <xdr:cNvSpPr txBox="1"/>
          </xdr:nvSpPr>
          <xdr:spPr>
            <a:xfrm>
              <a:off x="14633437" y="639182"/>
              <a:ext cx="13520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MX" sz="1100" b="1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b="1" i="0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𝐏</m:t>
                        </m:r>
                      </m:e>
                      <m:sub>
                        <m:r>
                          <a:rPr lang="es-MX" sz="1100" b="1" i="0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𝐔</m:t>
                        </m:r>
                        <m:r>
                          <a:rPr lang="es-MX" sz="1100" b="1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𝟐</m:t>
                        </m:r>
                      </m:sub>
                    </m:sSub>
                    <m:r>
                      <a:rPr lang="es-MX" sz="1100" b="1" i="0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=</m:t>
                    </m:r>
                    <m:r>
                      <a:rPr lang="es-MX" sz="1100" b="1" i="0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𝟏</m:t>
                    </m:r>
                    <m:r>
                      <a:rPr lang="es-MX" sz="1100" b="1" i="0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.</m:t>
                    </m:r>
                    <m:r>
                      <a:rPr lang="es-MX" sz="1100" b="1" i="0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𝟒</m:t>
                    </m:r>
                    <m:d>
                      <m:dPr>
                        <m:ctrlPr>
                          <a:rPr lang="es-MX" sz="1100" b="1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s-MX" sz="1100" b="1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MX" sz="1100" b="1" i="0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𝐖</m:t>
                            </m:r>
                          </m:e>
                          <m:sub>
                            <m:r>
                              <a:rPr lang="es-MX" sz="1100" b="1" i="0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𝐦</m:t>
                            </m:r>
                          </m:sub>
                        </m:sSub>
                        <m:r>
                          <a:rPr lang="es-MX" sz="1100" b="1" i="0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+</m:t>
                        </m:r>
                        <m:sSub>
                          <m:sSubPr>
                            <m:ctrlPr>
                              <a:rPr lang="es-MX" sz="1100" b="1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MX" sz="1100" b="1" i="0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𝐖</m:t>
                            </m:r>
                          </m:e>
                          <m:sub>
                            <m:r>
                              <a:rPr lang="es-MX" sz="1100" b="1" i="0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𝐋</m:t>
                            </m:r>
                          </m:sub>
                        </m:sSub>
                      </m:e>
                    </m:d>
                  </m:oMath>
                </m:oMathPara>
              </a14:m>
              <a:endParaRPr lang="es-MX" sz="1100" b="1" i="0">
                <a:solidFill>
                  <a:sysClr val="windowText" lastClr="000000"/>
                </a:solidFill>
              </a:endParaRPr>
            </a:p>
          </xdr:txBody>
        </xdr:sp>
      </mc:Choice>
      <mc:Fallback xmlns="">
        <xdr:sp macro="" textlink="">
          <xdr:nvSpPr>
            <xdr:cNvPr id="27" name="CuadroTexto 26">
              <a:extLst>
                <a:ext uri="{FF2B5EF4-FFF2-40B4-BE49-F238E27FC236}">
                  <a16:creationId xmlns:a16="http://schemas.microsoft.com/office/drawing/2014/main" id="{9377A3F5-6A5A-4796-AB54-C3D9DF103BD0}"/>
                </a:ext>
              </a:extLst>
            </xdr:cNvPr>
            <xdr:cNvSpPr txBox="1"/>
          </xdr:nvSpPr>
          <xdr:spPr>
            <a:xfrm>
              <a:off x="14633437" y="639182"/>
              <a:ext cx="13520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1100" b="1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𝐏_𝐔𝟐=𝟏.𝟒(𝐖_𝐦+𝐖_𝐋 )</a:t>
              </a:r>
              <a:endParaRPr lang="es-MX" sz="1100" b="1" i="0">
                <a:solidFill>
                  <a:sysClr val="windowText" lastClr="000000"/>
                </a:solidFill>
              </a:endParaRPr>
            </a:p>
          </xdr:txBody>
        </xdr:sp>
      </mc:Fallback>
    </mc:AlternateContent>
    <xdr:clientData/>
  </xdr:oneCellAnchor>
  <xdr:oneCellAnchor>
    <xdr:from>
      <xdr:col>21</xdr:col>
      <xdr:colOff>7620</xdr:colOff>
      <xdr:row>10</xdr:row>
      <xdr:rowOff>91440</xdr:rowOff>
    </xdr:from>
    <xdr:ext cx="1865704" cy="40992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9" name="CuadroTexto 28">
              <a:extLst>
                <a:ext uri="{FF2B5EF4-FFF2-40B4-BE49-F238E27FC236}">
                  <a16:creationId xmlns:a16="http://schemas.microsoft.com/office/drawing/2014/main" id="{C7EC40DD-8B18-4B5F-A239-495D8715B27D}"/>
                </a:ext>
              </a:extLst>
            </xdr:cNvPr>
            <xdr:cNvSpPr txBox="1"/>
          </xdr:nvSpPr>
          <xdr:spPr>
            <a:xfrm>
              <a:off x="14615160" y="2011680"/>
              <a:ext cx="1865704" cy="4099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MX" sz="11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b="1" i="1">
                            <a:latin typeface="Cambria Math" panose="02040503050406030204" pitchFamily="18" charset="0"/>
                          </a:rPr>
                          <m:t>𝑷</m:t>
                        </m:r>
                      </m:e>
                      <m:sub>
                        <m:r>
                          <a:rPr lang="es-MX" sz="1100" b="1" i="1">
                            <a:latin typeface="Cambria Math" panose="02040503050406030204" pitchFamily="18" charset="0"/>
                          </a:rPr>
                          <m:t>𝑹</m:t>
                        </m:r>
                      </m:sub>
                    </m:sSub>
                    <m:r>
                      <a:rPr lang="es-MX" sz="1100" b="1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s-MX" sz="11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b="1" i="1">
                            <a:latin typeface="Cambria Math" panose="02040503050406030204" pitchFamily="18" charset="0"/>
                          </a:rPr>
                          <m:t>𝑭</m:t>
                        </m:r>
                      </m:e>
                      <m:sub>
                        <m:r>
                          <a:rPr lang="es-MX" sz="1100" b="1" i="1">
                            <a:latin typeface="Cambria Math" panose="02040503050406030204" pitchFamily="18" charset="0"/>
                          </a:rPr>
                          <m:t>𝑹</m:t>
                        </m:r>
                      </m:sub>
                    </m:sSub>
                    <m:sSub>
                      <m:sSubPr>
                        <m:ctrlPr>
                          <a:rPr lang="es-MX" sz="11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b="1" i="1">
                            <a:latin typeface="Cambria Math" panose="02040503050406030204" pitchFamily="18" charset="0"/>
                          </a:rPr>
                          <m:t>𝑭</m:t>
                        </m:r>
                      </m:e>
                      <m:sub>
                        <m:r>
                          <a:rPr lang="es-MX" sz="1100" b="1" i="1">
                            <a:latin typeface="Cambria Math" panose="02040503050406030204" pitchFamily="18" charset="0"/>
                          </a:rPr>
                          <m:t>𝑬</m:t>
                        </m:r>
                      </m:sub>
                    </m:sSub>
                    <m:r>
                      <a:rPr lang="es-MX" sz="1100" b="1" i="1">
                        <a:latin typeface="Cambria Math" panose="02040503050406030204" pitchFamily="18" charset="0"/>
                      </a:rPr>
                      <m:t>(</m:t>
                    </m:r>
                    <m:sSubSup>
                      <m:sSubSupPr>
                        <m:ctrlPr>
                          <a:rPr lang="es-MX" sz="1100" b="1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s-MX" sz="1100" b="1" i="1">
                            <a:latin typeface="Cambria Math" panose="02040503050406030204" pitchFamily="18" charset="0"/>
                          </a:rPr>
                          <m:t>𝒇</m:t>
                        </m:r>
                      </m:e>
                      <m:sub>
                        <m:r>
                          <a:rPr lang="es-MX" sz="1100" b="1" i="1">
                            <a:latin typeface="Cambria Math" panose="02040503050406030204" pitchFamily="18" charset="0"/>
                          </a:rPr>
                          <m:t>𝒎</m:t>
                        </m:r>
                      </m:sub>
                      <m:sup>
                        <m:r>
                          <a:rPr lang="es-MX" sz="1100" b="1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bSup>
                    <m:sSub>
                      <m:sSubPr>
                        <m:ctrlPr>
                          <a:rPr lang="es-MX" sz="11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b="1" i="1">
                            <a:latin typeface="Cambria Math" panose="02040503050406030204" pitchFamily="18" charset="0"/>
                          </a:rPr>
                          <m:t>𝑨</m:t>
                        </m:r>
                      </m:e>
                      <m:sub>
                        <m:r>
                          <a:rPr lang="es-MX" sz="1100" b="1" i="1">
                            <a:latin typeface="Cambria Math" panose="02040503050406030204" pitchFamily="18" charset="0"/>
                          </a:rPr>
                          <m:t>𝑻</m:t>
                        </m:r>
                      </m:sub>
                    </m:sSub>
                    <m:r>
                      <a:rPr lang="es-MX" sz="1100" b="1" i="1">
                        <a:latin typeface="Cambria Math" panose="02040503050406030204" pitchFamily="18" charset="0"/>
                      </a:rPr>
                      <m:t>+</m:t>
                    </m:r>
                    <m:nary>
                      <m:naryPr>
                        <m:chr m:val="∑"/>
                        <m:subHide m:val="on"/>
                        <m:supHide m:val="on"/>
                        <m:ctrlPr>
                          <a:rPr lang="es-MX" sz="1100" b="1" i="1">
                            <a:latin typeface="Cambria Math" panose="02040503050406030204" pitchFamily="18" charset="0"/>
                          </a:rPr>
                        </m:ctrlPr>
                      </m:naryPr>
                      <m:sub/>
                      <m:sup/>
                      <m:e>
                        <m:sSub>
                          <m:sSubPr>
                            <m:ctrlPr>
                              <a:rPr lang="es-MX" sz="1100" b="1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MX" sz="1100" b="1" i="1">
                                <a:latin typeface="Cambria Math" panose="02040503050406030204" pitchFamily="18" charset="0"/>
                              </a:rPr>
                              <m:t>𝑨</m:t>
                            </m:r>
                          </m:e>
                          <m:sub>
                            <m:r>
                              <a:rPr lang="es-MX" sz="1100" b="1" i="1">
                                <a:latin typeface="Cambria Math" panose="02040503050406030204" pitchFamily="18" charset="0"/>
                              </a:rPr>
                              <m:t>𝑺</m:t>
                            </m:r>
                          </m:sub>
                        </m:sSub>
                        <m:sSub>
                          <m:sSubPr>
                            <m:ctrlPr>
                              <a:rPr lang="es-MX" sz="1100" b="1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MX" sz="1100" b="1" i="1">
                                <a:latin typeface="Cambria Math" panose="02040503050406030204" pitchFamily="18" charset="0"/>
                              </a:rPr>
                              <m:t>𝒇</m:t>
                            </m:r>
                          </m:e>
                          <m:sub>
                            <m:r>
                              <a:rPr lang="es-MX" sz="1100" b="1" i="1">
                                <a:latin typeface="Cambria Math" panose="02040503050406030204" pitchFamily="18" charset="0"/>
                              </a:rPr>
                              <m:t>𝒚</m:t>
                            </m:r>
                          </m:sub>
                        </m:sSub>
                      </m:e>
                    </m:nary>
                    <m:r>
                      <a:rPr lang="es-MX" sz="1100" b="1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s-MX" sz="1100" b="1"/>
            </a:p>
          </xdr:txBody>
        </xdr:sp>
      </mc:Choice>
      <mc:Fallback xmlns="">
        <xdr:sp macro="" textlink="">
          <xdr:nvSpPr>
            <xdr:cNvPr id="29" name="CuadroTexto 28">
              <a:extLst>
                <a:ext uri="{FF2B5EF4-FFF2-40B4-BE49-F238E27FC236}">
                  <a16:creationId xmlns:a16="http://schemas.microsoft.com/office/drawing/2014/main" id="{C7EC40DD-8B18-4B5F-A239-495D8715B27D}"/>
                </a:ext>
              </a:extLst>
            </xdr:cNvPr>
            <xdr:cNvSpPr txBox="1"/>
          </xdr:nvSpPr>
          <xdr:spPr>
            <a:xfrm>
              <a:off x="14615160" y="2011680"/>
              <a:ext cx="1865704" cy="4099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100" b="1" i="0">
                  <a:latin typeface="Cambria Math" panose="02040503050406030204" pitchFamily="18" charset="0"/>
                </a:rPr>
                <a:t>𝑷_𝑹=𝑭_𝑹 𝑭_𝑬 (𝒇_𝒎^′ 𝑨_𝑻+∑▒〖𝑨_𝑺 𝒇_𝒚 〗)</a:t>
              </a:r>
              <a:endParaRPr lang="es-MX" sz="1100" b="1"/>
            </a:p>
          </xdr:txBody>
        </xdr:sp>
      </mc:Fallback>
    </mc:AlternateContent>
    <xdr:clientData/>
  </xdr:oneCellAnchor>
  <xdr:oneCellAnchor>
    <xdr:from>
      <xdr:col>20</xdr:col>
      <xdr:colOff>803910</xdr:colOff>
      <xdr:row>12</xdr:row>
      <xdr:rowOff>83820</xdr:rowOff>
    </xdr:from>
    <xdr:ext cx="3272790" cy="44958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9D406FAC-AC86-433B-8B81-DC90F16A2A84}"/>
                </a:ext>
              </a:extLst>
            </xdr:cNvPr>
            <xdr:cNvSpPr txBox="1"/>
          </xdr:nvSpPr>
          <xdr:spPr>
            <a:xfrm>
              <a:off x="14580870" y="2369820"/>
              <a:ext cx="3272790" cy="4495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MX" sz="11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b="1" i="1">
                            <a:latin typeface="Cambria Math" panose="02040503050406030204" pitchFamily="18" charset="0"/>
                          </a:rPr>
                          <m:t>𝑭</m:t>
                        </m:r>
                      </m:e>
                      <m:sub>
                        <m:r>
                          <a:rPr lang="es-MX" sz="1100" b="1" i="1">
                            <a:latin typeface="Cambria Math" panose="02040503050406030204" pitchFamily="18" charset="0"/>
                          </a:rPr>
                          <m:t>𝑬</m:t>
                        </m:r>
                      </m:sub>
                    </m:sSub>
                    <m:r>
                      <a:rPr lang="es-MX" sz="1100" b="1" i="1">
                        <a:latin typeface="Cambria Math" panose="02040503050406030204" pitchFamily="18" charset="0"/>
                      </a:rPr>
                      <m:t>=</m:t>
                    </m:r>
                    <m:d>
                      <m:dPr>
                        <m:ctrlPr>
                          <a:rPr lang="es-MX" sz="1100" b="1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MX" sz="1100" b="1" i="1">
                            <a:latin typeface="Cambria Math" panose="02040503050406030204" pitchFamily="18" charset="0"/>
                          </a:rPr>
                          <m:t>𝟎</m:t>
                        </m:r>
                        <m:r>
                          <a:rPr lang="es-MX" sz="1100" b="1" i="1">
                            <a:latin typeface="Cambria Math" panose="02040503050406030204" pitchFamily="18" charset="0"/>
                          </a:rPr>
                          <m:t>.</m:t>
                        </m:r>
                        <m:r>
                          <a:rPr lang="es-MX" sz="1100" b="1" i="1">
                            <a:latin typeface="Cambria Math" panose="02040503050406030204" pitchFamily="18" charset="0"/>
                          </a:rPr>
                          <m:t>𝟗𝟏𝟕</m:t>
                        </m:r>
                        <m:d>
                          <m:dPr>
                            <m:begChr m:val="["/>
                            <m:endChr m:val="]"/>
                            <m:ctrlPr>
                              <a:rPr lang="es-MX" sz="1100" b="1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s-MX" sz="1100" b="1" i="1">
                                <a:latin typeface="Cambria Math" panose="02040503050406030204" pitchFamily="18" charset="0"/>
                              </a:rPr>
                              <m:t>𝟏</m:t>
                            </m:r>
                            <m:r>
                              <a:rPr lang="es-MX" sz="1100" b="1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s-MX" sz="1100" b="1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s-MX" sz="1100" b="1" i="1">
                                    <a:latin typeface="Cambria Math" panose="02040503050406030204" pitchFamily="18" charset="0"/>
                                  </a:rPr>
                                  <m:t>(</m:t>
                                </m:r>
                                <m:f>
                                  <m:fPr>
                                    <m:type m:val="skw"/>
                                    <m:ctrlPr>
                                      <a:rPr lang="es-MX" sz="1100" b="1" i="1">
                                        <a:latin typeface="Cambria Math" panose="02040503050406030204" pitchFamily="18" charset="0"/>
                                      </a:rPr>
                                    </m:ctrlPr>
                                  </m:fPr>
                                  <m:num>
                                    <m:r>
                                      <a:rPr lang="es-MX" sz="1100" b="1" i="1">
                                        <a:latin typeface="Cambria Math" panose="02040503050406030204" pitchFamily="18" charset="0"/>
                                      </a:rPr>
                                      <m:t>𝒌𝑯</m:t>
                                    </m:r>
                                  </m:num>
                                  <m:den>
                                    <m:r>
                                      <a:rPr lang="es-MX" sz="1100" b="1" i="1">
                                        <a:latin typeface="Cambria Math" panose="02040503050406030204" pitchFamily="18" charset="0"/>
                                      </a:rPr>
                                      <m:t>𝟑𝟎</m:t>
                                    </m:r>
                                    <m:r>
                                      <a:rPr lang="es-MX" sz="1100" b="1" i="1">
                                        <a:latin typeface="Cambria Math" panose="02040503050406030204" pitchFamily="18" charset="0"/>
                                      </a:rPr>
                                      <m:t>𝒕</m:t>
                                    </m:r>
                                  </m:den>
                                </m:f>
                                <m:r>
                                  <a:rPr lang="es-MX" sz="1100" b="1" i="1">
                                    <a:latin typeface="Cambria Math" panose="02040503050406030204" pitchFamily="18" charset="0"/>
                                  </a:rPr>
                                  <m:t>)</m:t>
                                </m:r>
                              </m:e>
                              <m:sup>
                                <m:r>
                                  <a:rPr lang="es-MX" sz="1100" b="1" i="1">
                                    <a:latin typeface="Cambria Math" panose="02040503050406030204" pitchFamily="18" charset="0"/>
                                  </a:rPr>
                                  <m:t>𝟐</m:t>
                                </m:r>
                              </m:sup>
                            </m:sSup>
                          </m:e>
                        </m:d>
                        <m:d>
                          <m:dPr>
                            <m:ctrlPr>
                              <a:rPr lang="es-MX" sz="1100" b="1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s-MX" sz="1100" b="1" i="1">
                                <a:latin typeface="Cambria Math" panose="02040503050406030204" pitchFamily="18" charset="0"/>
                              </a:rPr>
                              <m:t>𝟏</m:t>
                            </m:r>
                            <m:r>
                              <a:rPr lang="es-MX" sz="1100" b="1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f>
                              <m:fPr>
                                <m:ctrlPr>
                                  <a:rPr lang="es-MX" sz="1100" b="1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s-MX" sz="1100" b="1" i="1">
                                    <a:latin typeface="Cambria Math" panose="02040503050406030204" pitchFamily="18" charset="0"/>
                                  </a:rPr>
                                  <m:t>𝑯</m:t>
                                </m:r>
                              </m:num>
                              <m:den>
                                <m:sSup>
                                  <m:sSupPr>
                                    <m:ctrlPr>
                                      <a:rPr lang="es-MX" sz="1100" b="1" i="1">
                                        <a:latin typeface="Cambria Math" panose="02040503050406030204" pitchFamily="18" charset="0"/>
                                      </a:rPr>
                                    </m:ctrlPr>
                                  </m:sSupPr>
                                  <m:e>
                                    <m:r>
                                      <a:rPr lang="es-MX" sz="1100" b="1" i="1">
                                        <a:latin typeface="Cambria Math" panose="02040503050406030204" pitchFamily="18" charset="0"/>
                                      </a:rPr>
                                      <m:t>𝑳</m:t>
                                    </m:r>
                                  </m:e>
                                  <m:sup>
                                    <m:r>
                                      <a:rPr lang="es-MX" sz="1100" b="1" i="1">
                                        <a:latin typeface="Cambria Math" panose="02040503050406030204" pitchFamily="18" charset="0"/>
                                      </a:rPr>
                                      <m:t>′</m:t>
                                    </m:r>
                                  </m:sup>
                                </m:sSup>
                              </m:den>
                            </m:f>
                          </m:e>
                        </m:d>
                        <m:r>
                          <a:rPr lang="es-MX" sz="1100" b="1" i="1">
                            <a:latin typeface="Cambria Math" panose="02040503050406030204" pitchFamily="18" charset="0"/>
                          </a:rPr>
                          <m:t>+</m:t>
                        </m:r>
                        <m:f>
                          <m:fPr>
                            <m:ctrlPr>
                              <a:rPr lang="es-MX" sz="1100" b="1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MX" sz="1100" b="1" i="1">
                                <a:latin typeface="Cambria Math" panose="02040503050406030204" pitchFamily="18" charset="0"/>
                              </a:rPr>
                              <m:t>𝑯</m:t>
                            </m:r>
                          </m:num>
                          <m:den>
                            <m:sSup>
                              <m:sSupPr>
                                <m:ctrlPr>
                                  <a:rPr lang="es-MX" sz="1100" b="1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s-MX" sz="1100" b="1" i="1">
                                    <a:latin typeface="Cambria Math" panose="02040503050406030204" pitchFamily="18" charset="0"/>
                                  </a:rPr>
                                  <m:t>𝑳</m:t>
                                </m:r>
                              </m:e>
                              <m:sup>
                                <m:r>
                                  <a:rPr lang="es-MX" sz="1100" b="1" i="1">
                                    <a:latin typeface="Cambria Math" panose="02040503050406030204" pitchFamily="18" charset="0"/>
                                  </a:rPr>
                                  <m:t>′</m:t>
                                </m:r>
                              </m:sup>
                            </m:sSup>
                          </m:den>
                        </m:f>
                      </m:e>
                    </m:d>
                    <m:r>
                      <a:rPr lang="es-MX" sz="11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≤</m:t>
                    </m:r>
                    <m:r>
                      <a:rPr lang="es-MX" sz="11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𝟎</m:t>
                    </m:r>
                    <m:r>
                      <a:rPr lang="es-MX" sz="11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.</m:t>
                    </m:r>
                    <m:r>
                      <a:rPr lang="es-MX" sz="11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𝟗</m:t>
                    </m:r>
                  </m:oMath>
                </m:oMathPara>
              </a14:m>
              <a:endParaRPr lang="es-MX" sz="1100" b="1"/>
            </a:p>
            <a:p>
              <a:endParaRPr lang="es-MX" sz="1100"/>
            </a:p>
          </xdr:txBody>
        </xdr:sp>
      </mc:Choice>
      <mc:Fallback xmlns="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9D406FAC-AC86-433B-8B81-DC90F16A2A84}"/>
                </a:ext>
              </a:extLst>
            </xdr:cNvPr>
            <xdr:cNvSpPr txBox="1"/>
          </xdr:nvSpPr>
          <xdr:spPr>
            <a:xfrm>
              <a:off x="14580870" y="2369820"/>
              <a:ext cx="3272790" cy="4495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s-MX" sz="1100" b="1" i="0">
                  <a:latin typeface="Cambria Math" panose="02040503050406030204" pitchFamily="18" charset="0"/>
                </a:rPr>
                <a:t>𝑭_𝑬=(𝟎.𝟗𝟏𝟕[𝟏−〖(𝒌𝑯⁄𝟑𝟎𝒕)〗^𝟐 ](𝟏−𝑯/𝑳^′ )+𝑯/𝑳^′ )</a:t>
              </a:r>
              <a:r>
                <a:rPr lang="es-MX" sz="11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≤𝟎.𝟗</a:t>
              </a:r>
              <a:endParaRPr lang="es-MX" sz="1100" b="1"/>
            </a:p>
            <a:p>
              <a:endParaRPr lang="es-MX" sz="1100"/>
            </a:p>
          </xdr:txBody>
        </xdr:sp>
      </mc:Fallback>
    </mc:AlternateContent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361450</xdr:colOff>
      <xdr:row>23</xdr:row>
      <xdr:rowOff>79764</xdr:rowOff>
    </xdr:from>
    <xdr:to>
      <xdr:col>5</xdr:col>
      <xdr:colOff>184932</xdr:colOff>
      <xdr:row>34</xdr:row>
      <xdr:rowOff>45943</xdr:rowOff>
    </xdr:to>
    <xdr:pic>
      <xdr:nvPicPr>
        <xdr:cNvPr id="41" name="Imagen 40">
          <a:extLst>
            <a:ext uri="{FF2B5EF4-FFF2-40B4-BE49-F238E27FC236}">
              <a16:creationId xmlns:a16="http://schemas.microsoft.com/office/drawing/2014/main" id="{62725E35-DCF9-403F-8C77-163D714E15B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357" b="98139" l="3915" r="97617">
                      <a14:foregroundMark x1="50383" y1="12531" x2="50383" y2="12531"/>
                      <a14:foregroundMark x1="56681" y1="11290" x2="45617" y2="15757"/>
                      <a14:foregroundMark x1="80170" y1="9181" x2="78638" y2="9181"/>
                      <a14:foregroundMark x1="80340" y1="4342" x2="57277" y2="16873"/>
                      <a14:foregroundMark x1="85872" y1="24069" x2="85872" y2="30893"/>
                      <a14:foregroundMark x1="74128" y1="2481" x2="74128" y2="2481"/>
                      <a14:backgroundMark x1="28340" y1="91315" x2="38894" y2="92432"/>
                      <a14:backgroundMark x1="5106" y1="98263" x2="4170" y2="98263"/>
                      <a14:backgroundMark x1="4681" y1="97519" x2="5277" y2="99876"/>
                      <a14:backgroundMark x1="5787" y1="97270" x2="14723" y2="92060"/>
                      <a14:backgroundMark x1="13191" y1="92060" x2="18979" y2="85980"/>
                      <a14:backgroundMark x1="20511" y1="84491" x2="20255" y2="89702"/>
                      <a14:backgroundMark x1="20936" y1="88213" x2="24851" y2="87345"/>
                      <a14:backgroundMark x1="26383" y1="86973" x2="44511" y2="87841"/>
                      <a14:backgroundMark x1="45106" y1="87097" x2="50383" y2="87097"/>
                      <a14:backgroundMark x1="83064" y1="55707" x2="83660" y2="58313"/>
                      <a14:backgroundMark x1="83064" y1="56824" x2="83064" y2="60174"/>
                      <a14:backgroundMark x1="82894" y1="59677" x2="77872" y2="64268"/>
                      <a14:backgroundMark x1="77617" y1="64268" x2="66809" y2="73945"/>
                      <a14:backgroundMark x1="66723" y1="73201" x2="61787" y2="78040"/>
                      <a14:backgroundMark x1="61362" y1="78412" x2="53872" y2="85732"/>
                      <a14:backgroundMark x1="54128" y1="83871" x2="50043" y2="87593"/>
                      <a14:backgroundMark x1="27915" y1="91687" x2="22553" y2="89082"/>
                      <a14:backgroundMark x1="20851" y1="92060" x2="30468" y2="90323"/>
                      <a14:backgroundMark x1="50213" y1="98883" x2="3574" y2="98263"/>
                      <a14:backgroundMark x1="40170" y1="93424" x2="42723" y2="88834"/>
                      <a14:backgroundMark x1="38383" y1="92556" x2="56255" y2="86352"/>
                      <a14:backgroundMark x1="48340" y1="93672" x2="49447" y2="95658"/>
                      <a14:backgroundMark x1="48340" y1="94293" x2="48936" y2="95037"/>
                      <a14:backgroundMark x1="51234" y1="98015" x2="50043" y2="95658"/>
                      <a14:backgroundMark x1="51489" y1="94665" x2="48936" y2="95533"/>
                      <a14:backgroundMark x1="60511" y1="79032" x2="64000" y2="75682"/>
                      <a14:backgroundMark x1="63489" y1="81638" x2="72766" y2="70471"/>
                      <a14:backgroundMark x1="67064" y1="79901" x2="81617" y2="62655"/>
                      <a14:backgroundMark x1="80766" y1="67494" x2="92340" y2="57444"/>
                      <a14:backgroundMark x1="82043" y1="66005" x2="88681" y2="56203"/>
                      <a14:backgroundMark x1="82383" y1="64640" x2="87149" y2="56948"/>
                      <a14:backgroundMark x1="80426" y1="65509" x2="83149" y2="62035"/>
                      <a14:backgroundMark x1="85191" y1="58313" x2="86809" y2="60794"/>
                      <a14:backgroundMark x1="80766" y1="65509" x2="79745" y2="66377"/>
                      <a14:backgroundMark x1="93787" y1="57444" x2="98383" y2="55707"/>
                    </a14:backgroundRemoval>
                  </a14:imgEffect>
                </a14:imgLayer>
              </a14:imgProps>
            </a:ext>
          </a:extLst>
        </a:blip>
        <a:srcRect l="-230" t="1002" r="-646" b="-1002"/>
        <a:stretch/>
      </xdr:blipFill>
      <xdr:spPr>
        <a:xfrm>
          <a:off x="1012081" y="3989410"/>
          <a:ext cx="3018021" cy="1964965"/>
        </a:xfrm>
        <a:prstGeom prst="rect">
          <a:avLst/>
        </a:prstGeom>
      </xdr:spPr>
    </xdr:pic>
    <xdr:clientData/>
  </xdr:twoCellAnchor>
  <xdr:twoCellAnchor>
    <xdr:from>
      <xdr:col>2</xdr:col>
      <xdr:colOff>89501</xdr:colOff>
      <xdr:row>26</xdr:row>
      <xdr:rowOff>107468</xdr:rowOff>
    </xdr:from>
    <xdr:to>
      <xdr:col>2</xdr:col>
      <xdr:colOff>674380</xdr:colOff>
      <xdr:row>28</xdr:row>
      <xdr:rowOff>35946</xdr:rowOff>
    </xdr:to>
    <xdr:cxnSp macro="">
      <xdr:nvCxnSpPr>
        <xdr:cNvPr id="37" name="Conector recto de flecha 36">
          <a:extLst>
            <a:ext uri="{FF2B5EF4-FFF2-40B4-BE49-F238E27FC236}">
              <a16:creationId xmlns:a16="http://schemas.microsoft.com/office/drawing/2014/main" id="{FAF13665-E009-4F99-8000-D7387D4FC04D}"/>
            </a:ext>
          </a:extLst>
        </xdr:cNvPr>
        <xdr:cNvCxnSpPr/>
      </xdr:nvCxnSpPr>
      <xdr:spPr>
        <a:xfrm flipV="1">
          <a:off x="1388214" y="4613207"/>
          <a:ext cx="584879" cy="299539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</xdr:col>
      <xdr:colOff>651510</xdr:colOff>
      <xdr:row>14</xdr:row>
      <xdr:rowOff>114300</xdr:rowOff>
    </xdr:from>
    <xdr:ext cx="1413510" cy="35003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3696B6A7-0CEE-464A-91FF-23185E28BA5F}"/>
                </a:ext>
              </a:extLst>
            </xdr:cNvPr>
            <xdr:cNvSpPr txBox="1"/>
          </xdr:nvSpPr>
          <xdr:spPr>
            <a:xfrm>
              <a:off x="2007870" y="2156460"/>
              <a:ext cx="1413510" cy="3500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MX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s-MX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num>
                      <m:den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𝑄</m:t>
                        </m:r>
                      </m:den>
                    </m:f>
                    <m:sSub>
                      <m:sSub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𝑊</m:t>
                        </m:r>
                      </m:e>
                      <m:sub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sSub>
                      <m:sSub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h</m:t>
                        </m:r>
                      </m:e>
                      <m:sub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f>
                      <m:f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MX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∑</m:t>
                        </m:r>
                        <m:sSub>
                          <m:sSubPr>
                            <m:ctrlPr>
                              <a:rPr lang="es-MX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MX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𝑊</m:t>
                            </m:r>
                          </m:e>
                          <m:sub>
                            <m:r>
                              <a:rPr lang="es-MX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</m:num>
                      <m:den>
                        <m:r>
                          <a:rPr lang="es-MX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∑</m:t>
                        </m:r>
                        <m:sSub>
                          <m:sSubPr>
                            <m:ctrlPr>
                              <a:rPr lang="es-MX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MX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𝑊</m:t>
                            </m:r>
                          </m:e>
                          <m:sub>
                            <m:r>
                              <a:rPr lang="es-MX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  <m:sSub>
                          <m:sSubPr>
                            <m:ctrlPr>
                              <a:rPr lang="es-MX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MX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h</m:t>
                            </m:r>
                          </m:e>
                          <m:sub>
                            <m:r>
                              <a:rPr lang="es-MX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3696B6A7-0CEE-464A-91FF-23185E28BA5F}"/>
                </a:ext>
              </a:extLst>
            </xdr:cNvPr>
            <xdr:cNvSpPr txBox="1"/>
          </xdr:nvSpPr>
          <xdr:spPr>
            <a:xfrm>
              <a:off x="2007870" y="2156460"/>
              <a:ext cx="1413510" cy="3500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MX" sz="1100" b="0" i="0">
                  <a:latin typeface="Cambria Math" panose="02040503050406030204" pitchFamily="18" charset="0"/>
                </a:rPr>
                <a:t>𝐹_𝑖=𝑐/𝑄 𝑊_𝑖 ℎ_𝑖 </a:t>
              </a:r>
              <a:r>
                <a:rPr lang="es-MX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(∑𝑊_𝑖)/(∑𝑊_𝑖 ℎ_𝑖 )</a:t>
              </a:r>
              <a:endParaRPr lang="es-MX" sz="1100"/>
            </a:p>
          </xdr:txBody>
        </xdr:sp>
      </mc:Fallback>
    </mc:AlternateContent>
    <xdr:clientData/>
  </xdr:oneCellAnchor>
  <xdr:twoCellAnchor>
    <xdr:from>
      <xdr:col>2</xdr:col>
      <xdr:colOff>132246</xdr:colOff>
      <xdr:row>29</xdr:row>
      <xdr:rowOff>87732</xdr:rowOff>
    </xdr:from>
    <xdr:to>
      <xdr:col>2</xdr:col>
      <xdr:colOff>718532</xdr:colOff>
      <xdr:row>31</xdr:row>
      <xdr:rowOff>15037</xdr:rowOff>
    </xdr:to>
    <xdr:cxnSp macro="">
      <xdr:nvCxnSpPr>
        <xdr:cNvPr id="55" name="Conector recto de flecha 54">
          <a:extLst>
            <a:ext uri="{FF2B5EF4-FFF2-40B4-BE49-F238E27FC236}">
              <a16:creationId xmlns:a16="http://schemas.microsoft.com/office/drawing/2014/main" id="{0EA7897A-8769-4084-AAD0-16298CE49E6F}"/>
            </a:ext>
          </a:extLst>
        </xdr:cNvPr>
        <xdr:cNvCxnSpPr/>
      </xdr:nvCxnSpPr>
      <xdr:spPr>
        <a:xfrm flipV="1">
          <a:off x="1430959" y="5150062"/>
          <a:ext cx="586286" cy="298366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0</xdr:col>
      <xdr:colOff>398586</xdr:colOff>
      <xdr:row>28</xdr:row>
      <xdr:rowOff>24644</xdr:rowOff>
    </xdr:from>
    <xdr:ext cx="313868" cy="140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0" name="CuadroTexto 109">
              <a:extLst>
                <a:ext uri="{FF2B5EF4-FFF2-40B4-BE49-F238E27FC236}">
                  <a16:creationId xmlns:a16="http://schemas.microsoft.com/office/drawing/2014/main" id="{1C3F1F64-1231-4B13-B23E-CCF6FFCDD3CB}"/>
                </a:ext>
              </a:extLst>
            </xdr:cNvPr>
            <xdr:cNvSpPr txBox="1"/>
          </xdr:nvSpPr>
          <xdr:spPr>
            <a:xfrm>
              <a:off x="398586" y="4842829"/>
              <a:ext cx="313868" cy="140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MX" sz="9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s-MX" sz="900" b="0" i="0">
                            <a:latin typeface="Cambria Math" panose="02040503050406030204" pitchFamily="18" charset="0"/>
                          </a:rPr>
                          <m:t>F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es-MX" sz="900" b="0" i="0">
                            <a:latin typeface="Cambria Math" panose="02040503050406030204" pitchFamily="18" charset="0"/>
                          </a:rPr>
                          <m:t>Y</m:t>
                        </m:r>
                        <m:r>
                          <a:rPr lang="es-MX" sz="900" b="0" i="0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s-MX" sz="900" b="0" i="0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MX" sz="1100" i="0"/>
            </a:p>
          </xdr:txBody>
        </xdr:sp>
      </mc:Choice>
      <mc:Fallback xmlns="">
        <xdr:sp macro="" textlink="">
          <xdr:nvSpPr>
            <xdr:cNvPr id="110" name="CuadroTexto 109">
              <a:extLst>
                <a:ext uri="{FF2B5EF4-FFF2-40B4-BE49-F238E27FC236}">
                  <a16:creationId xmlns:a16="http://schemas.microsoft.com/office/drawing/2014/main" id="{1C3F1F64-1231-4B13-B23E-CCF6FFCDD3CB}"/>
                </a:ext>
              </a:extLst>
            </xdr:cNvPr>
            <xdr:cNvSpPr txBox="1"/>
          </xdr:nvSpPr>
          <xdr:spPr>
            <a:xfrm>
              <a:off x="398586" y="4842829"/>
              <a:ext cx="313868" cy="140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900" b="0" i="0">
                  <a:latin typeface="Cambria Math" panose="02040503050406030204" pitchFamily="18" charset="0"/>
                </a:rPr>
                <a:t>F_Y2=</a:t>
              </a:r>
              <a:endParaRPr lang="es-MX" sz="1100" i="0"/>
            </a:p>
          </xdr:txBody>
        </xdr:sp>
      </mc:Fallback>
    </mc:AlternateContent>
    <xdr:clientData/>
  </xdr:oneCellAnchor>
  <xdr:oneCellAnchor>
    <xdr:from>
      <xdr:col>0</xdr:col>
      <xdr:colOff>404447</xdr:colOff>
      <xdr:row>31</xdr:row>
      <xdr:rowOff>36192</xdr:rowOff>
    </xdr:from>
    <xdr:ext cx="313868" cy="140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3" name="CuadroTexto 112">
              <a:extLst>
                <a:ext uri="{FF2B5EF4-FFF2-40B4-BE49-F238E27FC236}">
                  <a16:creationId xmlns:a16="http://schemas.microsoft.com/office/drawing/2014/main" id="{790681A2-34B6-4274-9C52-20A24366BF07}"/>
                </a:ext>
              </a:extLst>
            </xdr:cNvPr>
            <xdr:cNvSpPr txBox="1"/>
          </xdr:nvSpPr>
          <xdr:spPr>
            <a:xfrm>
              <a:off x="404447" y="5399500"/>
              <a:ext cx="313868" cy="140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MX" sz="9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s-MX" sz="900" b="0" i="0">
                            <a:latin typeface="Cambria Math" panose="02040503050406030204" pitchFamily="18" charset="0"/>
                          </a:rPr>
                          <m:t>F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es-MX" sz="900" b="0" i="0">
                            <a:latin typeface="Cambria Math" panose="02040503050406030204" pitchFamily="18" charset="0"/>
                          </a:rPr>
                          <m:t>Y</m:t>
                        </m:r>
                        <m:r>
                          <a:rPr lang="es-MX" sz="900" b="0" i="0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s-MX" sz="900" b="0" i="0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MX" sz="1100" i="0"/>
            </a:p>
          </xdr:txBody>
        </xdr:sp>
      </mc:Choice>
      <mc:Fallback xmlns="">
        <xdr:sp macro="" textlink="">
          <xdr:nvSpPr>
            <xdr:cNvPr id="113" name="CuadroTexto 112">
              <a:extLst>
                <a:ext uri="{FF2B5EF4-FFF2-40B4-BE49-F238E27FC236}">
                  <a16:creationId xmlns:a16="http://schemas.microsoft.com/office/drawing/2014/main" id="{790681A2-34B6-4274-9C52-20A24366BF07}"/>
                </a:ext>
              </a:extLst>
            </xdr:cNvPr>
            <xdr:cNvSpPr txBox="1"/>
          </xdr:nvSpPr>
          <xdr:spPr>
            <a:xfrm>
              <a:off x="404447" y="5399500"/>
              <a:ext cx="313868" cy="140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900" b="0" i="0">
                  <a:latin typeface="Cambria Math" panose="02040503050406030204" pitchFamily="18" charset="0"/>
                </a:rPr>
                <a:t>F_Y1=</a:t>
              </a:r>
              <a:endParaRPr lang="es-MX" sz="1100" i="0"/>
            </a:p>
          </xdr:txBody>
        </xdr:sp>
      </mc:Fallback>
    </mc:AlternateContent>
    <xdr:clientData/>
  </xdr:oneCellAnchor>
  <xdr:oneCellAnchor>
    <xdr:from>
      <xdr:col>4</xdr:col>
      <xdr:colOff>682088</xdr:colOff>
      <xdr:row>40</xdr:row>
      <xdr:rowOff>24516</xdr:rowOff>
    </xdr:from>
    <xdr:ext cx="31431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1" name="CuadroTexto 140">
              <a:extLst>
                <a:ext uri="{FF2B5EF4-FFF2-40B4-BE49-F238E27FC236}">
                  <a16:creationId xmlns:a16="http://schemas.microsoft.com/office/drawing/2014/main" id="{9B3092E9-6507-4F3D-B025-033CF667E80B}"/>
                </a:ext>
              </a:extLst>
            </xdr:cNvPr>
            <xdr:cNvSpPr txBox="1"/>
          </xdr:nvSpPr>
          <xdr:spPr>
            <a:xfrm>
              <a:off x="4478836" y="7207194"/>
              <a:ext cx="31431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MX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s-MX" sz="1100" b="0" i="0">
                            <a:latin typeface="Cambria Math" panose="02040503050406030204" pitchFamily="18" charset="0"/>
                          </a:rPr>
                          <m:t>F</m:t>
                        </m:r>
                      </m:e>
                      <m:sub>
                        <m:r>
                          <a:rPr lang="es-MX" sz="1100" b="0" i="0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s-MX" sz="1100" b="0" i="0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MX" sz="1400" i="0"/>
            </a:p>
          </xdr:txBody>
        </xdr:sp>
      </mc:Choice>
      <mc:Fallback xmlns="">
        <xdr:sp macro="" textlink="">
          <xdr:nvSpPr>
            <xdr:cNvPr id="141" name="CuadroTexto 140">
              <a:extLst>
                <a:ext uri="{FF2B5EF4-FFF2-40B4-BE49-F238E27FC236}">
                  <a16:creationId xmlns:a16="http://schemas.microsoft.com/office/drawing/2014/main" id="{9B3092E9-6507-4F3D-B025-033CF667E80B}"/>
                </a:ext>
              </a:extLst>
            </xdr:cNvPr>
            <xdr:cNvSpPr txBox="1"/>
          </xdr:nvSpPr>
          <xdr:spPr>
            <a:xfrm>
              <a:off x="4478836" y="7207194"/>
              <a:ext cx="31431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100" b="0" i="0">
                  <a:latin typeface="Cambria Math" panose="02040503050406030204" pitchFamily="18" charset="0"/>
                </a:rPr>
                <a:t>F_1=</a:t>
              </a:r>
              <a:endParaRPr lang="es-MX" sz="1400" i="0"/>
            </a:p>
          </xdr:txBody>
        </xdr:sp>
      </mc:Fallback>
    </mc:AlternateContent>
    <xdr:clientData/>
  </xdr:oneCellAnchor>
  <xdr:oneCellAnchor>
    <xdr:from>
      <xdr:col>4</xdr:col>
      <xdr:colOff>669909</xdr:colOff>
      <xdr:row>36</xdr:row>
      <xdr:rowOff>99163</xdr:rowOff>
    </xdr:from>
    <xdr:ext cx="31758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2" name="CuadroTexto 141">
              <a:extLst>
                <a:ext uri="{FF2B5EF4-FFF2-40B4-BE49-F238E27FC236}">
                  <a16:creationId xmlns:a16="http://schemas.microsoft.com/office/drawing/2014/main" id="{E35B3C05-DFD6-4561-87B9-5F7DDD87DBBA}"/>
                </a:ext>
              </a:extLst>
            </xdr:cNvPr>
            <xdr:cNvSpPr txBox="1"/>
          </xdr:nvSpPr>
          <xdr:spPr>
            <a:xfrm>
              <a:off x="4466657" y="6460206"/>
              <a:ext cx="31758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MX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s-MX" sz="1100" b="0" i="0">
                            <a:latin typeface="Cambria Math" panose="02040503050406030204" pitchFamily="18" charset="0"/>
                          </a:rPr>
                          <m:t>F</m:t>
                        </m:r>
                      </m:e>
                      <m:sub>
                        <m:r>
                          <a:rPr lang="es-MX" sz="1100" b="0" i="0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s-MX" sz="1100" b="0" i="0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MX" sz="1600" i="0"/>
            </a:p>
          </xdr:txBody>
        </xdr:sp>
      </mc:Choice>
      <mc:Fallback xmlns="">
        <xdr:sp macro="" textlink="">
          <xdr:nvSpPr>
            <xdr:cNvPr id="142" name="CuadroTexto 141">
              <a:extLst>
                <a:ext uri="{FF2B5EF4-FFF2-40B4-BE49-F238E27FC236}">
                  <a16:creationId xmlns:a16="http://schemas.microsoft.com/office/drawing/2014/main" id="{E35B3C05-DFD6-4561-87B9-5F7DDD87DBBA}"/>
                </a:ext>
              </a:extLst>
            </xdr:cNvPr>
            <xdr:cNvSpPr txBox="1"/>
          </xdr:nvSpPr>
          <xdr:spPr>
            <a:xfrm>
              <a:off x="4466657" y="6460206"/>
              <a:ext cx="31758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100" b="0" i="0">
                  <a:latin typeface="Cambria Math" panose="02040503050406030204" pitchFamily="18" charset="0"/>
                </a:rPr>
                <a:t>F_2=</a:t>
              </a:r>
              <a:endParaRPr lang="es-MX" sz="1600" i="0"/>
            </a:p>
          </xdr:txBody>
        </xdr:sp>
      </mc:Fallback>
    </mc:AlternateContent>
    <xdr:clientData/>
  </xdr:oneCellAnchor>
  <xdr:oneCellAnchor>
    <xdr:from>
      <xdr:col>2</xdr:col>
      <xdr:colOff>9678</xdr:colOff>
      <xdr:row>38</xdr:row>
      <xdr:rowOff>2890</xdr:rowOff>
    </xdr:from>
    <xdr:ext cx="31463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3" name="CuadroTexto 142">
              <a:extLst>
                <a:ext uri="{FF2B5EF4-FFF2-40B4-BE49-F238E27FC236}">
                  <a16:creationId xmlns:a16="http://schemas.microsoft.com/office/drawing/2014/main" id="{9664CBB1-EEDB-418E-A6CD-39FB678CDBB3}"/>
                </a:ext>
              </a:extLst>
            </xdr:cNvPr>
            <xdr:cNvSpPr txBox="1"/>
          </xdr:nvSpPr>
          <xdr:spPr>
            <a:xfrm>
              <a:off x="1259358" y="7112350"/>
              <a:ext cx="3146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MX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s-MX" sz="1100" b="0" i="0">
                            <a:latin typeface="Cambria Math" panose="02040503050406030204" pitchFamily="18" charset="0"/>
                          </a:rPr>
                          <m:t>V</m:t>
                        </m:r>
                      </m:e>
                      <m:sub>
                        <m:r>
                          <a:rPr lang="es-MX" sz="1100" b="0" i="0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s-MX" sz="1100" b="0" i="0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MX" sz="1600" i="0"/>
            </a:p>
          </xdr:txBody>
        </xdr:sp>
      </mc:Choice>
      <mc:Fallback xmlns="">
        <xdr:sp macro="" textlink="">
          <xdr:nvSpPr>
            <xdr:cNvPr id="143" name="CuadroTexto 142">
              <a:extLst>
                <a:ext uri="{FF2B5EF4-FFF2-40B4-BE49-F238E27FC236}">
                  <a16:creationId xmlns:a16="http://schemas.microsoft.com/office/drawing/2014/main" id="{9664CBB1-EEDB-418E-A6CD-39FB678CDBB3}"/>
                </a:ext>
              </a:extLst>
            </xdr:cNvPr>
            <xdr:cNvSpPr txBox="1"/>
          </xdr:nvSpPr>
          <xdr:spPr>
            <a:xfrm>
              <a:off x="1259358" y="7112350"/>
              <a:ext cx="3146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1100" b="0" i="0">
                  <a:latin typeface="Cambria Math" panose="02040503050406030204" pitchFamily="18" charset="0"/>
                </a:rPr>
                <a:t>V_2=</a:t>
              </a:r>
              <a:endParaRPr lang="es-MX" sz="1600" i="0"/>
            </a:p>
          </xdr:txBody>
        </xdr:sp>
      </mc:Fallback>
    </mc:AlternateContent>
    <xdr:clientData/>
  </xdr:oneCellAnchor>
  <xdr:oneCellAnchor>
    <xdr:from>
      <xdr:col>1</xdr:col>
      <xdr:colOff>646661</xdr:colOff>
      <xdr:row>42</xdr:row>
      <xdr:rowOff>43799</xdr:rowOff>
    </xdr:from>
    <xdr:ext cx="31136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4" name="CuadroTexto 143">
              <a:extLst>
                <a:ext uri="{FF2B5EF4-FFF2-40B4-BE49-F238E27FC236}">
                  <a16:creationId xmlns:a16="http://schemas.microsoft.com/office/drawing/2014/main" id="{7503978B-DDD6-457A-BBFF-FD4A352EC1E7}"/>
                </a:ext>
              </a:extLst>
            </xdr:cNvPr>
            <xdr:cNvSpPr txBox="1"/>
          </xdr:nvSpPr>
          <xdr:spPr>
            <a:xfrm>
              <a:off x="1248641" y="7884779"/>
              <a:ext cx="31136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MX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s-MX" sz="1100" b="0" i="0">
                            <a:latin typeface="Cambria Math" panose="02040503050406030204" pitchFamily="18" charset="0"/>
                          </a:rPr>
                          <m:t>V</m:t>
                        </m:r>
                      </m:e>
                      <m:sub>
                        <m:r>
                          <a:rPr lang="es-MX" sz="1100" b="0" i="0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s-MX" sz="1100" b="0" i="0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MX" sz="1600" i="0"/>
            </a:p>
          </xdr:txBody>
        </xdr:sp>
      </mc:Choice>
      <mc:Fallback xmlns="">
        <xdr:sp macro="" textlink="">
          <xdr:nvSpPr>
            <xdr:cNvPr id="144" name="CuadroTexto 143">
              <a:extLst>
                <a:ext uri="{FF2B5EF4-FFF2-40B4-BE49-F238E27FC236}">
                  <a16:creationId xmlns:a16="http://schemas.microsoft.com/office/drawing/2014/main" id="{7503978B-DDD6-457A-BBFF-FD4A352EC1E7}"/>
                </a:ext>
              </a:extLst>
            </xdr:cNvPr>
            <xdr:cNvSpPr txBox="1"/>
          </xdr:nvSpPr>
          <xdr:spPr>
            <a:xfrm>
              <a:off x="1248641" y="7884779"/>
              <a:ext cx="31136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1100" b="0" i="0">
                  <a:latin typeface="Cambria Math" panose="02040503050406030204" pitchFamily="18" charset="0"/>
                </a:rPr>
                <a:t>V_1=</a:t>
              </a:r>
              <a:endParaRPr lang="es-MX" sz="1600" i="0"/>
            </a:p>
          </xdr:txBody>
        </xdr:sp>
      </mc:Fallback>
    </mc:AlternateContent>
    <xdr:clientData/>
  </xdr:oneCellAnchor>
  <xdr:twoCellAnchor>
    <xdr:from>
      <xdr:col>4</xdr:col>
      <xdr:colOff>135089</xdr:colOff>
      <xdr:row>24</xdr:row>
      <xdr:rowOff>132085</xdr:rowOff>
    </xdr:from>
    <xdr:to>
      <xdr:col>4</xdr:col>
      <xdr:colOff>675686</xdr:colOff>
      <xdr:row>24</xdr:row>
      <xdr:rowOff>137578</xdr:rowOff>
    </xdr:to>
    <xdr:cxnSp macro="">
      <xdr:nvCxnSpPr>
        <xdr:cNvPr id="149" name="Conector recto de flecha 148">
          <a:extLst>
            <a:ext uri="{FF2B5EF4-FFF2-40B4-BE49-F238E27FC236}">
              <a16:creationId xmlns:a16="http://schemas.microsoft.com/office/drawing/2014/main" id="{323D8985-C423-4A7A-A5B3-B86C23BB1929}"/>
            </a:ext>
          </a:extLst>
        </xdr:cNvPr>
        <xdr:cNvCxnSpPr/>
      </xdr:nvCxnSpPr>
      <xdr:spPr>
        <a:xfrm flipH="1" flipV="1">
          <a:off x="3156585" y="4266763"/>
          <a:ext cx="540597" cy="5493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144540</xdr:colOff>
      <xdr:row>27</xdr:row>
      <xdr:rowOff>103107</xdr:rowOff>
    </xdr:from>
    <xdr:to>
      <xdr:col>4</xdr:col>
      <xdr:colOff>644997</xdr:colOff>
      <xdr:row>27</xdr:row>
      <xdr:rowOff>104274</xdr:rowOff>
    </xdr:to>
    <xdr:cxnSp macro="">
      <xdr:nvCxnSpPr>
        <xdr:cNvPr id="150" name="Conector recto de flecha 149">
          <a:extLst>
            <a:ext uri="{FF2B5EF4-FFF2-40B4-BE49-F238E27FC236}">
              <a16:creationId xmlns:a16="http://schemas.microsoft.com/office/drawing/2014/main" id="{80318ADA-988E-4C05-AE57-F9DF171F4EAF}"/>
            </a:ext>
          </a:extLst>
        </xdr:cNvPr>
        <xdr:cNvCxnSpPr/>
      </xdr:nvCxnSpPr>
      <xdr:spPr>
        <a:xfrm flipH="1" flipV="1">
          <a:off x="3166036" y="4794377"/>
          <a:ext cx="500457" cy="1167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</xdr:col>
      <xdr:colOff>680237</xdr:colOff>
      <xdr:row>24</xdr:row>
      <xdr:rowOff>49217</xdr:rowOff>
    </xdr:from>
    <xdr:ext cx="305981" cy="140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8" name="CuadroTexto 157">
              <a:extLst>
                <a:ext uri="{FF2B5EF4-FFF2-40B4-BE49-F238E27FC236}">
                  <a16:creationId xmlns:a16="http://schemas.microsoft.com/office/drawing/2014/main" id="{629A0D99-63DB-4B6E-9BB2-5B650D53F21F}"/>
                </a:ext>
              </a:extLst>
            </xdr:cNvPr>
            <xdr:cNvSpPr txBox="1"/>
          </xdr:nvSpPr>
          <xdr:spPr>
            <a:xfrm>
              <a:off x="3652037" y="4133537"/>
              <a:ext cx="305981" cy="140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MX" sz="9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s-MX" sz="900" b="0" i="0">
                            <a:latin typeface="Cambria Math" panose="02040503050406030204" pitchFamily="18" charset="0"/>
                          </a:rPr>
                          <m:t>F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es-MX" sz="900" b="0" i="0">
                            <a:latin typeface="Cambria Math" panose="02040503050406030204" pitchFamily="18" charset="0"/>
                          </a:rPr>
                          <m:t>x</m:t>
                        </m:r>
                        <m:r>
                          <a:rPr lang="es-MX" sz="900" b="0" i="0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s-MX" sz="900" b="0" i="0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MX" sz="1100" i="0"/>
            </a:p>
          </xdr:txBody>
        </xdr:sp>
      </mc:Choice>
      <mc:Fallback xmlns="">
        <xdr:sp macro="" textlink="">
          <xdr:nvSpPr>
            <xdr:cNvPr id="158" name="CuadroTexto 157">
              <a:extLst>
                <a:ext uri="{FF2B5EF4-FFF2-40B4-BE49-F238E27FC236}">
                  <a16:creationId xmlns:a16="http://schemas.microsoft.com/office/drawing/2014/main" id="{629A0D99-63DB-4B6E-9BB2-5B650D53F21F}"/>
                </a:ext>
              </a:extLst>
            </xdr:cNvPr>
            <xdr:cNvSpPr txBox="1"/>
          </xdr:nvSpPr>
          <xdr:spPr>
            <a:xfrm>
              <a:off x="3652037" y="4133537"/>
              <a:ext cx="305981" cy="140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900" b="0" i="0">
                  <a:latin typeface="Cambria Math" panose="02040503050406030204" pitchFamily="18" charset="0"/>
                </a:rPr>
                <a:t>F_x2=</a:t>
              </a:r>
              <a:endParaRPr lang="es-MX" sz="1100" i="0"/>
            </a:p>
          </xdr:txBody>
        </xdr:sp>
      </mc:Fallback>
    </mc:AlternateContent>
    <xdr:clientData/>
  </xdr:oneCellAnchor>
  <xdr:oneCellAnchor>
    <xdr:from>
      <xdr:col>4</xdr:col>
      <xdr:colOff>642557</xdr:colOff>
      <xdr:row>27</xdr:row>
      <xdr:rowOff>41598</xdr:rowOff>
    </xdr:from>
    <xdr:ext cx="305981" cy="140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9" name="CuadroTexto 158">
              <a:extLst>
                <a:ext uri="{FF2B5EF4-FFF2-40B4-BE49-F238E27FC236}">
                  <a16:creationId xmlns:a16="http://schemas.microsoft.com/office/drawing/2014/main" id="{EF546E25-5819-4739-90BC-35E169ACD4AF}"/>
                </a:ext>
              </a:extLst>
            </xdr:cNvPr>
            <xdr:cNvSpPr txBox="1"/>
          </xdr:nvSpPr>
          <xdr:spPr>
            <a:xfrm>
              <a:off x="3667111" y="4678075"/>
              <a:ext cx="305981" cy="140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MX" sz="9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s-MX" sz="900" b="0" i="0">
                            <a:latin typeface="Cambria Math" panose="02040503050406030204" pitchFamily="18" charset="0"/>
                          </a:rPr>
                          <m:t>F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es-MX" sz="900" b="0" i="0">
                            <a:latin typeface="Cambria Math" panose="02040503050406030204" pitchFamily="18" charset="0"/>
                          </a:rPr>
                          <m:t>x</m:t>
                        </m:r>
                        <m:r>
                          <a:rPr lang="es-MX" sz="900" b="0" i="0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s-MX" sz="900" b="0" i="0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MX" sz="1100" i="0"/>
            </a:p>
          </xdr:txBody>
        </xdr:sp>
      </mc:Choice>
      <mc:Fallback xmlns="">
        <xdr:sp macro="" textlink="">
          <xdr:nvSpPr>
            <xdr:cNvPr id="159" name="CuadroTexto 158">
              <a:extLst>
                <a:ext uri="{FF2B5EF4-FFF2-40B4-BE49-F238E27FC236}">
                  <a16:creationId xmlns:a16="http://schemas.microsoft.com/office/drawing/2014/main" id="{EF546E25-5819-4739-90BC-35E169ACD4AF}"/>
                </a:ext>
              </a:extLst>
            </xdr:cNvPr>
            <xdr:cNvSpPr txBox="1"/>
          </xdr:nvSpPr>
          <xdr:spPr>
            <a:xfrm>
              <a:off x="3667111" y="4678075"/>
              <a:ext cx="305981" cy="140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900" b="0" i="0">
                  <a:latin typeface="Cambria Math" panose="02040503050406030204" pitchFamily="18" charset="0"/>
                </a:rPr>
                <a:t>F_x1=</a:t>
              </a:r>
              <a:endParaRPr lang="es-MX" sz="1100" i="0"/>
            </a:p>
          </xdr:txBody>
        </xdr:sp>
      </mc:Fallback>
    </mc:AlternateContent>
    <xdr:clientData/>
  </xdr:oneCellAnchor>
  <xdr:twoCellAnchor>
    <xdr:from>
      <xdr:col>1</xdr:col>
      <xdr:colOff>142270</xdr:colOff>
      <xdr:row>32</xdr:row>
      <xdr:rowOff>164408</xdr:rowOff>
    </xdr:from>
    <xdr:to>
      <xdr:col>2</xdr:col>
      <xdr:colOff>316727</xdr:colOff>
      <xdr:row>34</xdr:row>
      <xdr:rowOff>93090</xdr:rowOff>
    </xdr:to>
    <xdr:grpSp>
      <xdr:nvGrpSpPr>
        <xdr:cNvPr id="172" name="Grupo 171">
          <a:extLst>
            <a:ext uri="{FF2B5EF4-FFF2-40B4-BE49-F238E27FC236}">
              <a16:creationId xmlns:a16="http://schemas.microsoft.com/office/drawing/2014/main" id="{065F73C3-4355-4CB7-A05E-2C1FA863A6C4}"/>
            </a:ext>
          </a:extLst>
        </xdr:cNvPr>
        <xdr:cNvGrpSpPr/>
      </xdr:nvGrpSpPr>
      <xdr:grpSpPr>
        <a:xfrm>
          <a:off x="724353" y="6376825"/>
          <a:ext cx="798874" cy="309682"/>
          <a:chOff x="1961148" y="5310121"/>
          <a:chExt cx="826168" cy="300606"/>
        </a:xfrm>
      </xdr:grpSpPr>
      <xdr:cxnSp macro="">
        <xdr:nvCxnSpPr>
          <xdr:cNvPr id="167" name="Conector recto de flecha 166">
            <a:extLst>
              <a:ext uri="{FF2B5EF4-FFF2-40B4-BE49-F238E27FC236}">
                <a16:creationId xmlns:a16="http://schemas.microsoft.com/office/drawing/2014/main" id="{ADADE71A-4071-476E-B757-840885C65DEA}"/>
              </a:ext>
            </a:extLst>
          </xdr:cNvPr>
          <xdr:cNvCxnSpPr/>
        </xdr:nvCxnSpPr>
        <xdr:spPr>
          <a:xfrm flipV="1">
            <a:off x="1961461" y="5310121"/>
            <a:ext cx="586636" cy="297319"/>
          </a:xfrm>
          <a:prstGeom prst="straightConnector1">
            <a:avLst/>
          </a:prstGeom>
          <a:ln w="28575">
            <a:solidFill>
              <a:srgbClr val="FFC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8" name="Conector recto de flecha 167">
            <a:extLst>
              <a:ext uri="{FF2B5EF4-FFF2-40B4-BE49-F238E27FC236}">
                <a16:creationId xmlns:a16="http://schemas.microsoft.com/office/drawing/2014/main" id="{AF6AE040-91E0-4433-9ECF-B59A6784DE2B}"/>
              </a:ext>
            </a:extLst>
          </xdr:cNvPr>
          <xdr:cNvCxnSpPr/>
        </xdr:nvCxnSpPr>
        <xdr:spPr>
          <a:xfrm flipV="1">
            <a:off x="1961148" y="5610726"/>
            <a:ext cx="826168" cy="1"/>
          </a:xfrm>
          <a:prstGeom prst="straightConnector1">
            <a:avLst/>
          </a:prstGeom>
          <a:ln w="28575">
            <a:solidFill>
              <a:srgbClr val="FFC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oneCellAnchor>
    <xdr:from>
      <xdr:col>7</xdr:col>
      <xdr:colOff>14085</xdr:colOff>
      <xdr:row>28</xdr:row>
      <xdr:rowOff>28200</xdr:rowOff>
    </xdr:from>
    <xdr:ext cx="274498" cy="140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2" name="CuadroTexto 191">
              <a:extLst>
                <a:ext uri="{FF2B5EF4-FFF2-40B4-BE49-F238E27FC236}">
                  <a16:creationId xmlns:a16="http://schemas.microsoft.com/office/drawing/2014/main" id="{1A093FC1-111F-4FCB-9BAF-31E007206035}"/>
                </a:ext>
              </a:extLst>
            </xdr:cNvPr>
            <xdr:cNvSpPr txBox="1"/>
          </xdr:nvSpPr>
          <xdr:spPr>
            <a:xfrm>
              <a:off x="5595078" y="5220310"/>
              <a:ext cx="274498" cy="140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MX" sz="9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s-MX" sz="900" b="0" i="0">
                            <a:latin typeface="Cambria Math" panose="02040503050406030204" pitchFamily="18" charset="0"/>
                          </a:rPr>
                          <m:t>H</m:t>
                        </m:r>
                      </m:e>
                      <m:sub>
                        <m:r>
                          <a:rPr lang="es-MX" sz="900" b="0" i="0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s-MX" sz="900" b="0" i="0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MX" sz="1100" i="0"/>
            </a:p>
          </xdr:txBody>
        </xdr:sp>
      </mc:Choice>
      <mc:Fallback xmlns="">
        <xdr:sp macro="" textlink="">
          <xdr:nvSpPr>
            <xdr:cNvPr id="192" name="CuadroTexto 191">
              <a:extLst>
                <a:ext uri="{FF2B5EF4-FFF2-40B4-BE49-F238E27FC236}">
                  <a16:creationId xmlns:a16="http://schemas.microsoft.com/office/drawing/2014/main" id="{1A093FC1-111F-4FCB-9BAF-31E007206035}"/>
                </a:ext>
              </a:extLst>
            </xdr:cNvPr>
            <xdr:cNvSpPr txBox="1"/>
          </xdr:nvSpPr>
          <xdr:spPr>
            <a:xfrm>
              <a:off x="5595078" y="5220310"/>
              <a:ext cx="274498" cy="140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900" b="0" i="0">
                  <a:latin typeface="Cambria Math" panose="02040503050406030204" pitchFamily="18" charset="0"/>
                </a:rPr>
                <a:t>H_1=</a:t>
              </a:r>
              <a:endParaRPr lang="es-MX" sz="1100" i="0"/>
            </a:p>
          </xdr:txBody>
        </xdr:sp>
      </mc:Fallback>
    </mc:AlternateContent>
    <xdr:clientData/>
  </xdr:oneCellAnchor>
  <xdr:oneCellAnchor>
    <xdr:from>
      <xdr:col>7</xdr:col>
      <xdr:colOff>624554</xdr:colOff>
      <xdr:row>28</xdr:row>
      <xdr:rowOff>51644</xdr:rowOff>
    </xdr:from>
    <xdr:ext cx="148332" cy="14429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3" name="CuadroTexto 192">
              <a:extLst>
                <a:ext uri="{FF2B5EF4-FFF2-40B4-BE49-F238E27FC236}">
                  <a16:creationId xmlns:a16="http://schemas.microsoft.com/office/drawing/2014/main" id="{D40F5F6D-3AF7-4324-99B6-B9323701ECAD}"/>
                </a:ext>
              </a:extLst>
            </xdr:cNvPr>
            <xdr:cNvSpPr txBox="1"/>
          </xdr:nvSpPr>
          <xdr:spPr>
            <a:xfrm>
              <a:off x="6208925" y="4906673"/>
              <a:ext cx="148332" cy="1442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s-MX" sz="900" b="0" i="0">
                        <a:latin typeface="Cambria Math" panose="02040503050406030204" pitchFamily="18" charset="0"/>
                      </a:rPr>
                      <m:t>m</m:t>
                    </m:r>
                  </m:oMath>
                </m:oMathPara>
              </a14:m>
              <a:endParaRPr lang="es-MX" sz="1100" i="0"/>
            </a:p>
          </xdr:txBody>
        </xdr:sp>
      </mc:Choice>
      <mc:Fallback xmlns="">
        <xdr:sp macro="" textlink="">
          <xdr:nvSpPr>
            <xdr:cNvPr id="193" name="CuadroTexto 192">
              <a:extLst>
                <a:ext uri="{FF2B5EF4-FFF2-40B4-BE49-F238E27FC236}">
                  <a16:creationId xmlns:a16="http://schemas.microsoft.com/office/drawing/2014/main" id="{D40F5F6D-3AF7-4324-99B6-B9323701ECAD}"/>
                </a:ext>
              </a:extLst>
            </xdr:cNvPr>
            <xdr:cNvSpPr txBox="1"/>
          </xdr:nvSpPr>
          <xdr:spPr>
            <a:xfrm>
              <a:off x="6208925" y="4906673"/>
              <a:ext cx="148332" cy="1442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MX" sz="900" b="0" i="0">
                  <a:latin typeface="Cambria Math" panose="02040503050406030204" pitchFamily="18" charset="0"/>
                </a:rPr>
                <a:t>m</a:t>
              </a:r>
              <a:endParaRPr lang="es-MX" sz="1100" i="0"/>
            </a:p>
          </xdr:txBody>
        </xdr:sp>
      </mc:Fallback>
    </mc:AlternateContent>
    <xdr:clientData/>
  </xdr:oneCellAnchor>
  <xdr:twoCellAnchor>
    <xdr:from>
      <xdr:col>4</xdr:col>
      <xdr:colOff>463062</xdr:colOff>
      <xdr:row>23</xdr:row>
      <xdr:rowOff>99731</xdr:rowOff>
    </xdr:from>
    <xdr:to>
      <xdr:col>7</xdr:col>
      <xdr:colOff>5443</xdr:colOff>
      <xdr:row>30</xdr:row>
      <xdr:rowOff>0</xdr:rowOff>
    </xdr:to>
    <xdr:grpSp>
      <xdr:nvGrpSpPr>
        <xdr:cNvPr id="222" name="Grupo 221">
          <a:extLst>
            <a:ext uri="{FF2B5EF4-FFF2-40B4-BE49-F238E27FC236}">
              <a16:creationId xmlns:a16="http://schemas.microsoft.com/office/drawing/2014/main" id="{3195134A-2395-44CD-8234-01096844C95F}"/>
            </a:ext>
          </a:extLst>
        </xdr:cNvPr>
        <xdr:cNvGrpSpPr/>
      </xdr:nvGrpSpPr>
      <xdr:grpSpPr>
        <a:xfrm>
          <a:off x="3341729" y="4597648"/>
          <a:ext cx="1849547" cy="1233769"/>
          <a:chOff x="3440724" y="3827669"/>
          <a:chExt cx="1910442" cy="1172223"/>
        </a:xfrm>
      </xdr:grpSpPr>
      <xdr:sp macro="" textlink="">
        <xdr:nvSpPr>
          <xdr:cNvPr id="44" name="Elipse 43">
            <a:extLst>
              <a:ext uri="{FF2B5EF4-FFF2-40B4-BE49-F238E27FC236}">
                <a16:creationId xmlns:a16="http://schemas.microsoft.com/office/drawing/2014/main" id="{F611A9EE-41AA-40BB-AAF3-54161978D5C4}"/>
              </a:ext>
            </a:extLst>
          </xdr:cNvPr>
          <xdr:cNvSpPr/>
        </xdr:nvSpPr>
        <xdr:spPr>
          <a:xfrm>
            <a:off x="4947448" y="3827669"/>
            <a:ext cx="257600" cy="181623"/>
          </a:xfrm>
          <a:prstGeom prst="ellipse">
            <a:avLst/>
          </a:prstGeom>
          <a:gradFill flip="none" rotWithShape="1">
            <a:gsLst>
              <a:gs pos="0">
                <a:schemeClr val="accent1">
                  <a:lumMod val="60000"/>
                  <a:lumOff val="40000"/>
                  <a:tint val="66000"/>
                  <a:satMod val="160000"/>
                </a:schemeClr>
              </a:gs>
              <a:gs pos="50000">
                <a:schemeClr val="accent1">
                  <a:lumMod val="60000"/>
                  <a:lumOff val="40000"/>
                  <a:tint val="44500"/>
                  <a:satMod val="160000"/>
                </a:schemeClr>
              </a:gs>
              <a:gs pos="100000">
                <a:schemeClr val="accent1">
                  <a:lumMod val="60000"/>
                  <a:lumOff val="40000"/>
                  <a:tint val="23500"/>
                  <a:satMod val="160000"/>
                </a:schemeClr>
              </a:gs>
            </a:gsLst>
            <a:path path="circle">
              <a:fillToRect l="50000" t="50000" r="50000" b="50000"/>
            </a:path>
            <a:tileRect/>
          </a:gradFill>
          <a:ln>
            <a:solidFill>
              <a:srgbClr val="00B0F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MX" sz="1100"/>
          </a:p>
        </xdr:txBody>
      </xdr:sp>
      <xdr:cxnSp macro="">
        <xdr:nvCxnSpPr>
          <xdr:cNvPr id="59" name="Conector recto 58">
            <a:extLst>
              <a:ext uri="{FF2B5EF4-FFF2-40B4-BE49-F238E27FC236}">
                <a16:creationId xmlns:a16="http://schemas.microsoft.com/office/drawing/2014/main" id="{E2B04E7A-A896-4B49-AFDA-8CFABEEF3F63}"/>
              </a:ext>
            </a:extLst>
          </xdr:cNvPr>
          <xdr:cNvCxnSpPr>
            <a:endCxn id="44" idx="2"/>
          </xdr:cNvCxnSpPr>
        </xdr:nvCxnSpPr>
        <xdr:spPr>
          <a:xfrm>
            <a:off x="3459966" y="3910011"/>
            <a:ext cx="1487482" cy="6795"/>
          </a:xfrm>
          <a:prstGeom prst="line">
            <a:avLst/>
          </a:prstGeom>
          <a:ln>
            <a:solidFill>
              <a:schemeClr val="accent1">
                <a:lumMod val="60000"/>
                <a:lumOff val="40000"/>
              </a:schemeClr>
            </a:solidFill>
            <a:prstDash val="lg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0" name="Conector recto 89">
            <a:extLst>
              <a:ext uri="{FF2B5EF4-FFF2-40B4-BE49-F238E27FC236}">
                <a16:creationId xmlns:a16="http://schemas.microsoft.com/office/drawing/2014/main" id="{3C22B53C-C297-40DD-8A4D-56E017AE5AF9}"/>
              </a:ext>
            </a:extLst>
          </xdr:cNvPr>
          <xdr:cNvCxnSpPr>
            <a:cxnSpLocks/>
            <a:stCxn id="44" idx="4"/>
            <a:endCxn id="95" idx="0"/>
          </xdr:cNvCxnSpPr>
        </xdr:nvCxnSpPr>
        <xdr:spPr>
          <a:xfrm flipH="1">
            <a:off x="5076072" y="4009292"/>
            <a:ext cx="176" cy="896026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95" name="Rectángulo 94">
            <a:extLst>
              <a:ext uri="{FF2B5EF4-FFF2-40B4-BE49-F238E27FC236}">
                <a16:creationId xmlns:a16="http://schemas.microsoft.com/office/drawing/2014/main" id="{9BCF86FF-BB51-4893-B725-6660B192C247}"/>
              </a:ext>
            </a:extLst>
          </xdr:cNvPr>
          <xdr:cNvSpPr/>
        </xdr:nvSpPr>
        <xdr:spPr>
          <a:xfrm>
            <a:off x="4848960" y="4905318"/>
            <a:ext cx="454224" cy="86948"/>
          </a:xfrm>
          <a:prstGeom prst="rect">
            <a:avLst/>
          </a:prstGeom>
          <a:gradFill flip="none" rotWithShape="1">
            <a:gsLst>
              <a:gs pos="0">
                <a:schemeClr val="accent1">
                  <a:lumMod val="60000"/>
                  <a:lumOff val="40000"/>
                  <a:tint val="66000"/>
                  <a:satMod val="160000"/>
                </a:schemeClr>
              </a:gs>
              <a:gs pos="50000">
                <a:schemeClr val="accent1">
                  <a:lumMod val="60000"/>
                  <a:lumOff val="40000"/>
                  <a:tint val="44500"/>
                  <a:satMod val="160000"/>
                </a:schemeClr>
              </a:gs>
              <a:gs pos="100000">
                <a:schemeClr val="accent1">
                  <a:lumMod val="60000"/>
                  <a:lumOff val="40000"/>
                  <a:tint val="23500"/>
                  <a:satMod val="160000"/>
                </a:schemeClr>
              </a:gs>
            </a:gsLst>
            <a:path path="circle">
              <a:fillToRect l="50000" t="50000" r="50000" b="50000"/>
            </a:path>
            <a:tileRect/>
          </a:gradFill>
          <a:ln>
            <a:solidFill>
              <a:srgbClr val="00B0F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MX" sz="1100"/>
          </a:p>
        </xdr:txBody>
      </xdr:sp>
      <xdr:cxnSp macro="">
        <xdr:nvCxnSpPr>
          <xdr:cNvPr id="174" name="Conector recto 173">
            <a:extLst>
              <a:ext uri="{FF2B5EF4-FFF2-40B4-BE49-F238E27FC236}">
                <a16:creationId xmlns:a16="http://schemas.microsoft.com/office/drawing/2014/main" id="{B6ACC989-760D-433F-878E-127CFD729546}"/>
              </a:ext>
            </a:extLst>
          </xdr:cNvPr>
          <xdr:cNvCxnSpPr>
            <a:endCxn id="178" idx="2"/>
          </xdr:cNvCxnSpPr>
        </xdr:nvCxnSpPr>
        <xdr:spPr>
          <a:xfrm flipV="1">
            <a:off x="3442381" y="4447694"/>
            <a:ext cx="1505068" cy="1579"/>
          </a:xfrm>
          <a:prstGeom prst="line">
            <a:avLst/>
          </a:prstGeom>
          <a:ln>
            <a:solidFill>
              <a:schemeClr val="accent1">
                <a:lumMod val="60000"/>
                <a:lumOff val="40000"/>
              </a:schemeClr>
            </a:solidFill>
            <a:prstDash val="lg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5" name="Conector recto 174">
            <a:extLst>
              <a:ext uri="{FF2B5EF4-FFF2-40B4-BE49-F238E27FC236}">
                <a16:creationId xmlns:a16="http://schemas.microsoft.com/office/drawing/2014/main" id="{C6D9201B-974A-47ED-B24C-72D9C3F19242}"/>
              </a:ext>
            </a:extLst>
          </xdr:cNvPr>
          <xdr:cNvCxnSpPr>
            <a:endCxn id="95" idx="1"/>
          </xdr:cNvCxnSpPr>
        </xdr:nvCxnSpPr>
        <xdr:spPr>
          <a:xfrm flipV="1">
            <a:off x="3440724" y="4948792"/>
            <a:ext cx="1408236" cy="10069"/>
          </a:xfrm>
          <a:prstGeom prst="line">
            <a:avLst/>
          </a:prstGeom>
          <a:ln>
            <a:solidFill>
              <a:schemeClr val="accent1">
                <a:lumMod val="60000"/>
                <a:lumOff val="40000"/>
              </a:schemeClr>
            </a:solidFill>
            <a:prstDash val="lg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78" name="Elipse 177">
            <a:extLst>
              <a:ext uri="{FF2B5EF4-FFF2-40B4-BE49-F238E27FC236}">
                <a16:creationId xmlns:a16="http://schemas.microsoft.com/office/drawing/2014/main" id="{DABBEA5A-C6C2-4795-A00A-971A1B3FED32}"/>
              </a:ext>
            </a:extLst>
          </xdr:cNvPr>
          <xdr:cNvSpPr/>
        </xdr:nvSpPr>
        <xdr:spPr>
          <a:xfrm>
            <a:off x="4947449" y="4355208"/>
            <a:ext cx="257600" cy="181622"/>
          </a:xfrm>
          <a:prstGeom prst="ellipse">
            <a:avLst/>
          </a:prstGeom>
          <a:gradFill flip="none" rotWithShape="1">
            <a:gsLst>
              <a:gs pos="0">
                <a:schemeClr val="accent1">
                  <a:lumMod val="60000"/>
                  <a:lumOff val="40000"/>
                  <a:tint val="66000"/>
                  <a:satMod val="160000"/>
                </a:schemeClr>
              </a:gs>
              <a:gs pos="50000">
                <a:schemeClr val="accent1">
                  <a:lumMod val="60000"/>
                  <a:lumOff val="40000"/>
                  <a:tint val="44500"/>
                  <a:satMod val="160000"/>
                </a:schemeClr>
              </a:gs>
              <a:gs pos="100000">
                <a:schemeClr val="accent1">
                  <a:lumMod val="60000"/>
                  <a:lumOff val="40000"/>
                  <a:tint val="23500"/>
                  <a:satMod val="160000"/>
                </a:schemeClr>
              </a:gs>
            </a:gsLst>
            <a:path path="circle">
              <a:fillToRect l="50000" t="50000" r="50000" b="50000"/>
            </a:path>
            <a:tileRect/>
          </a:gradFill>
          <a:ln>
            <a:solidFill>
              <a:srgbClr val="00B0F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MX" sz="1100"/>
          </a:p>
        </xdr:txBody>
      </xdr:sp>
      <xdr:cxnSp macro="">
        <xdr:nvCxnSpPr>
          <xdr:cNvPr id="189" name="Conector recto de flecha 188">
            <a:extLst>
              <a:ext uri="{FF2B5EF4-FFF2-40B4-BE49-F238E27FC236}">
                <a16:creationId xmlns:a16="http://schemas.microsoft.com/office/drawing/2014/main" id="{39062AB8-8529-4F6C-8F9E-42F3EDE14227}"/>
              </a:ext>
            </a:extLst>
          </xdr:cNvPr>
          <xdr:cNvCxnSpPr/>
        </xdr:nvCxnSpPr>
        <xdr:spPr>
          <a:xfrm flipH="1">
            <a:off x="5344048" y="4436348"/>
            <a:ext cx="7118" cy="556008"/>
          </a:xfrm>
          <a:prstGeom prst="straightConnector1">
            <a:avLst/>
          </a:prstGeom>
          <a:ln>
            <a:headEnd type="triangle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94" name="Conector recto de flecha 193">
            <a:extLst>
              <a:ext uri="{FF2B5EF4-FFF2-40B4-BE49-F238E27FC236}">
                <a16:creationId xmlns:a16="http://schemas.microsoft.com/office/drawing/2014/main" id="{4CB42229-94AB-4765-A367-78D903060D5C}"/>
              </a:ext>
            </a:extLst>
          </xdr:cNvPr>
          <xdr:cNvCxnSpPr/>
        </xdr:nvCxnSpPr>
        <xdr:spPr>
          <a:xfrm flipH="1">
            <a:off x="5262406" y="3909646"/>
            <a:ext cx="5442" cy="1090246"/>
          </a:xfrm>
          <a:prstGeom prst="straightConnector1">
            <a:avLst/>
          </a:prstGeom>
          <a:ln>
            <a:headEnd type="triangle"/>
            <a:tailEnd type="triangle"/>
          </a:ln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</xdr:grpSp>
    <xdr:clientData/>
  </xdr:twoCellAnchor>
  <xdr:oneCellAnchor>
    <xdr:from>
      <xdr:col>6</xdr:col>
      <xdr:colOff>818764</xdr:colOff>
      <xdr:row>25</xdr:row>
      <xdr:rowOff>22107</xdr:rowOff>
    </xdr:from>
    <xdr:ext cx="277192" cy="140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6" name="CuadroTexto 195">
              <a:extLst>
                <a:ext uri="{FF2B5EF4-FFF2-40B4-BE49-F238E27FC236}">
                  <a16:creationId xmlns:a16="http://schemas.microsoft.com/office/drawing/2014/main" id="{5EEF0151-7480-45A3-89DF-703E4ACCB7DB}"/>
                </a:ext>
              </a:extLst>
            </xdr:cNvPr>
            <xdr:cNvSpPr txBox="1"/>
          </xdr:nvSpPr>
          <xdr:spPr>
            <a:xfrm>
              <a:off x="5501123" y="4662424"/>
              <a:ext cx="277192" cy="140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MX" sz="9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s-MX" sz="900" b="0" i="0">
                            <a:latin typeface="Cambria Math" panose="02040503050406030204" pitchFamily="18" charset="0"/>
                          </a:rPr>
                          <m:t>H</m:t>
                        </m:r>
                      </m:e>
                      <m:sub>
                        <m:r>
                          <a:rPr lang="es-MX" sz="900" b="0" i="0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s-MX" sz="900" b="0" i="0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MX" sz="1100" i="0"/>
            </a:p>
          </xdr:txBody>
        </xdr:sp>
      </mc:Choice>
      <mc:Fallback xmlns="">
        <xdr:sp macro="" textlink="">
          <xdr:nvSpPr>
            <xdr:cNvPr id="196" name="CuadroTexto 195">
              <a:extLst>
                <a:ext uri="{FF2B5EF4-FFF2-40B4-BE49-F238E27FC236}">
                  <a16:creationId xmlns:a16="http://schemas.microsoft.com/office/drawing/2014/main" id="{5EEF0151-7480-45A3-89DF-703E4ACCB7DB}"/>
                </a:ext>
              </a:extLst>
            </xdr:cNvPr>
            <xdr:cNvSpPr txBox="1"/>
          </xdr:nvSpPr>
          <xdr:spPr>
            <a:xfrm>
              <a:off x="5501123" y="4662424"/>
              <a:ext cx="277192" cy="140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900" b="0" i="0">
                  <a:latin typeface="Cambria Math" panose="02040503050406030204" pitchFamily="18" charset="0"/>
                </a:rPr>
                <a:t>H_2=</a:t>
              </a:r>
              <a:endParaRPr lang="es-MX" sz="1100" i="0"/>
            </a:p>
          </xdr:txBody>
        </xdr:sp>
      </mc:Fallback>
    </mc:AlternateContent>
    <xdr:clientData/>
  </xdr:oneCellAnchor>
  <xdr:oneCellAnchor>
    <xdr:from>
      <xdr:col>7</xdr:col>
      <xdr:colOff>532026</xdr:colOff>
      <xdr:row>25</xdr:row>
      <xdr:rowOff>46202</xdr:rowOff>
    </xdr:from>
    <xdr:ext cx="148332" cy="14429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7" name="CuadroTexto 196">
              <a:extLst>
                <a:ext uri="{FF2B5EF4-FFF2-40B4-BE49-F238E27FC236}">
                  <a16:creationId xmlns:a16="http://schemas.microsoft.com/office/drawing/2014/main" id="{F02C604D-1CFF-447A-AAEC-1F28814B3780}"/>
                </a:ext>
              </a:extLst>
            </xdr:cNvPr>
            <xdr:cNvSpPr txBox="1"/>
          </xdr:nvSpPr>
          <xdr:spPr>
            <a:xfrm>
              <a:off x="6116397" y="4346059"/>
              <a:ext cx="148332" cy="1442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s-MX" sz="900" b="0" i="0">
                        <a:latin typeface="Cambria Math" panose="02040503050406030204" pitchFamily="18" charset="0"/>
                      </a:rPr>
                      <m:t>m</m:t>
                    </m:r>
                  </m:oMath>
                </m:oMathPara>
              </a14:m>
              <a:endParaRPr lang="es-MX" sz="1100" i="0"/>
            </a:p>
          </xdr:txBody>
        </xdr:sp>
      </mc:Choice>
      <mc:Fallback xmlns="">
        <xdr:sp macro="" textlink="">
          <xdr:nvSpPr>
            <xdr:cNvPr id="197" name="CuadroTexto 196">
              <a:extLst>
                <a:ext uri="{FF2B5EF4-FFF2-40B4-BE49-F238E27FC236}">
                  <a16:creationId xmlns:a16="http://schemas.microsoft.com/office/drawing/2014/main" id="{F02C604D-1CFF-447A-AAEC-1F28814B3780}"/>
                </a:ext>
              </a:extLst>
            </xdr:cNvPr>
            <xdr:cNvSpPr txBox="1"/>
          </xdr:nvSpPr>
          <xdr:spPr>
            <a:xfrm>
              <a:off x="6116397" y="4346059"/>
              <a:ext cx="148332" cy="1442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MX" sz="900" b="0" i="0">
                  <a:latin typeface="Cambria Math" panose="02040503050406030204" pitchFamily="18" charset="0"/>
                </a:rPr>
                <a:t>m</a:t>
              </a:r>
              <a:endParaRPr lang="es-MX" sz="1100" i="0"/>
            </a:p>
          </xdr:txBody>
        </xdr:sp>
      </mc:Fallback>
    </mc:AlternateContent>
    <xdr:clientData/>
  </xdr:oneCellAnchor>
  <xdr:twoCellAnchor>
    <xdr:from>
      <xdr:col>3</xdr:col>
      <xdr:colOff>425669</xdr:colOff>
      <xdr:row>36</xdr:row>
      <xdr:rowOff>20700</xdr:rowOff>
    </xdr:from>
    <xdr:to>
      <xdr:col>4</xdr:col>
      <xdr:colOff>569967</xdr:colOff>
      <xdr:row>44</xdr:row>
      <xdr:rowOff>84083</xdr:rowOff>
    </xdr:to>
    <xdr:grpSp>
      <xdr:nvGrpSpPr>
        <xdr:cNvPr id="207" name="Grupo 206">
          <a:extLst>
            <a:ext uri="{FF2B5EF4-FFF2-40B4-BE49-F238E27FC236}">
              <a16:creationId xmlns:a16="http://schemas.microsoft.com/office/drawing/2014/main" id="{F170EB49-DAA2-44CD-B455-BFBCEA05DEC0}"/>
            </a:ext>
          </a:extLst>
        </xdr:cNvPr>
        <xdr:cNvGrpSpPr/>
      </xdr:nvGrpSpPr>
      <xdr:grpSpPr>
        <a:xfrm>
          <a:off x="2468252" y="6995117"/>
          <a:ext cx="980382" cy="1714383"/>
          <a:chOff x="3400097" y="6316397"/>
          <a:chExt cx="969360" cy="1666210"/>
        </a:xfrm>
      </xdr:grpSpPr>
      <xdr:cxnSp macro="">
        <xdr:nvCxnSpPr>
          <xdr:cNvPr id="145" name="Conector recto de flecha 144">
            <a:extLst>
              <a:ext uri="{FF2B5EF4-FFF2-40B4-BE49-F238E27FC236}">
                <a16:creationId xmlns:a16="http://schemas.microsoft.com/office/drawing/2014/main" id="{3FD9B257-2B04-4AF3-BDC4-BCBC5A052AC6}"/>
              </a:ext>
            </a:extLst>
          </xdr:cNvPr>
          <xdr:cNvCxnSpPr>
            <a:endCxn id="198" idx="6"/>
          </xdr:cNvCxnSpPr>
        </xdr:nvCxnSpPr>
        <xdr:spPr>
          <a:xfrm flipH="1" flipV="1">
            <a:off x="3962914" y="6446424"/>
            <a:ext cx="406543" cy="1017"/>
          </a:xfrm>
          <a:prstGeom prst="straightConnector1">
            <a:avLst/>
          </a:prstGeom>
          <a:ln w="28575"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46" name="Conector recto de flecha 145">
            <a:extLst>
              <a:ext uri="{FF2B5EF4-FFF2-40B4-BE49-F238E27FC236}">
                <a16:creationId xmlns:a16="http://schemas.microsoft.com/office/drawing/2014/main" id="{79D85268-5C82-4B26-B604-531DE0C3BEFE}"/>
              </a:ext>
            </a:extLst>
          </xdr:cNvPr>
          <xdr:cNvCxnSpPr>
            <a:endCxn id="201" idx="6"/>
          </xdr:cNvCxnSpPr>
        </xdr:nvCxnSpPr>
        <xdr:spPr>
          <a:xfrm flipH="1">
            <a:off x="3962916" y="7199586"/>
            <a:ext cx="383112" cy="2484"/>
          </a:xfrm>
          <a:prstGeom prst="straightConnector1">
            <a:avLst/>
          </a:prstGeom>
          <a:ln w="28575"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47" name="Conector recto de flecha 146">
            <a:extLst>
              <a:ext uri="{FF2B5EF4-FFF2-40B4-BE49-F238E27FC236}">
                <a16:creationId xmlns:a16="http://schemas.microsoft.com/office/drawing/2014/main" id="{514B62D1-F7C0-411A-87CA-73543B1A5E6D}"/>
              </a:ext>
            </a:extLst>
          </xdr:cNvPr>
          <xdr:cNvCxnSpPr/>
        </xdr:nvCxnSpPr>
        <xdr:spPr>
          <a:xfrm flipV="1">
            <a:off x="3400097" y="6849046"/>
            <a:ext cx="399660" cy="1804"/>
          </a:xfrm>
          <a:prstGeom prst="straightConnector1">
            <a:avLst/>
          </a:prstGeom>
          <a:ln w="28575"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48" name="Conector recto de flecha 147">
            <a:extLst>
              <a:ext uri="{FF2B5EF4-FFF2-40B4-BE49-F238E27FC236}">
                <a16:creationId xmlns:a16="http://schemas.microsoft.com/office/drawing/2014/main" id="{B311859E-DCE5-476F-AB38-244C9776A8F4}"/>
              </a:ext>
            </a:extLst>
          </xdr:cNvPr>
          <xdr:cNvCxnSpPr/>
        </xdr:nvCxnSpPr>
        <xdr:spPr>
          <a:xfrm>
            <a:off x="3415863" y="7617355"/>
            <a:ext cx="382403" cy="2206"/>
          </a:xfrm>
          <a:prstGeom prst="straightConnector1">
            <a:avLst/>
          </a:prstGeom>
          <a:ln w="28575"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98" name="Elipse 197">
            <a:extLst>
              <a:ext uri="{FF2B5EF4-FFF2-40B4-BE49-F238E27FC236}">
                <a16:creationId xmlns:a16="http://schemas.microsoft.com/office/drawing/2014/main" id="{70B1B189-07B6-4563-B617-BC4C42F42216}"/>
              </a:ext>
            </a:extLst>
          </xdr:cNvPr>
          <xdr:cNvSpPr/>
        </xdr:nvSpPr>
        <xdr:spPr>
          <a:xfrm>
            <a:off x="3660786" y="6316397"/>
            <a:ext cx="302128" cy="260053"/>
          </a:xfrm>
          <a:prstGeom prst="ellipse">
            <a:avLst/>
          </a:prstGeom>
          <a:gradFill flip="none" rotWithShape="1">
            <a:gsLst>
              <a:gs pos="0">
                <a:schemeClr val="accent1">
                  <a:lumMod val="60000"/>
                  <a:lumOff val="40000"/>
                  <a:tint val="66000"/>
                  <a:satMod val="160000"/>
                </a:schemeClr>
              </a:gs>
              <a:gs pos="50000">
                <a:schemeClr val="accent1">
                  <a:lumMod val="60000"/>
                  <a:lumOff val="40000"/>
                  <a:tint val="44500"/>
                  <a:satMod val="160000"/>
                </a:schemeClr>
              </a:gs>
              <a:gs pos="100000">
                <a:schemeClr val="accent1">
                  <a:lumMod val="60000"/>
                  <a:lumOff val="40000"/>
                  <a:tint val="23500"/>
                  <a:satMod val="160000"/>
                </a:schemeClr>
              </a:gs>
            </a:gsLst>
            <a:path path="circle">
              <a:fillToRect l="50000" t="50000" r="50000" b="50000"/>
            </a:path>
            <a:tileRect/>
          </a:gradFill>
          <a:ln>
            <a:solidFill>
              <a:srgbClr val="00B0F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MX" sz="1100"/>
          </a:p>
        </xdr:txBody>
      </xdr:sp>
      <xdr:cxnSp macro="">
        <xdr:nvCxnSpPr>
          <xdr:cNvPr id="199" name="Conector recto 198">
            <a:extLst>
              <a:ext uri="{FF2B5EF4-FFF2-40B4-BE49-F238E27FC236}">
                <a16:creationId xmlns:a16="http://schemas.microsoft.com/office/drawing/2014/main" id="{20FC67F3-00B6-4E59-95BD-BCEAB3579CFC}"/>
              </a:ext>
            </a:extLst>
          </xdr:cNvPr>
          <xdr:cNvCxnSpPr>
            <a:cxnSpLocks/>
            <a:stCxn id="198" idx="4"/>
            <a:endCxn id="200" idx="0"/>
          </xdr:cNvCxnSpPr>
        </xdr:nvCxnSpPr>
        <xdr:spPr>
          <a:xfrm flipH="1">
            <a:off x="3811644" y="6576450"/>
            <a:ext cx="206" cy="1283167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00" name="Rectángulo 199">
            <a:extLst>
              <a:ext uri="{FF2B5EF4-FFF2-40B4-BE49-F238E27FC236}">
                <a16:creationId xmlns:a16="http://schemas.microsoft.com/office/drawing/2014/main" id="{F9DDEE4B-48CB-49EB-B88B-901ABB9F2F8B}"/>
              </a:ext>
            </a:extLst>
          </xdr:cNvPr>
          <xdr:cNvSpPr/>
        </xdr:nvSpPr>
        <xdr:spPr>
          <a:xfrm>
            <a:off x="3545274" y="7859618"/>
            <a:ext cx="532740" cy="122989"/>
          </a:xfrm>
          <a:prstGeom prst="rect">
            <a:avLst/>
          </a:prstGeom>
          <a:gradFill flip="none" rotWithShape="1">
            <a:gsLst>
              <a:gs pos="0">
                <a:schemeClr val="accent1">
                  <a:lumMod val="60000"/>
                  <a:lumOff val="40000"/>
                  <a:tint val="66000"/>
                  <a:satMod val="160000"/>
                </a:schemeClr>
              </a:gs>
              <a:gs pos="50000">
                <a:schemeClr val="accent1">
                  <a:lumMod val="60000"/>
                  <a:lumOff val="40000"/>
                  <a:tint val="44500"/>
                  <a:satMod val="160000"/>
                </a:schemeClr>
              </a:gs>
              <a:gs pos="100000">
                <a:schemeClr val="accent1">
                  <a:lumMod val="60000"/>
                  <a:lumOff val="40000"/>
                  <a:tint val="23500"/>
                  <a:satMod val="160000"/>
                </a:schemeClr>
              </a:gs>
            </a:gsLst>
            <a:path path="circle">
              <a:fillToRect l="50000" t="50000" r="50000" b="50000"/>
            </a:path>
            <a:tileRect/>
          </a:gradFill>
          <a:ln>
            <a:solidFill>
              <a:srgbClr val="00B0F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MX" sz="1100"/>
          </a:p>
        </xdr:txBody>
      </xdr:sp>
      <xdr:sp macro="" textlink="">
        <xdr:nvSpPr>
          <xdr:cNvPr id="201" name="Elipse 200">
            <a:extLst>
              <a:ext uri="{FF2B5EF4-FFF2-40B4-BE49-F238E27FC236}">
                <a16:creationId xmlns:a16="http://schemas.microsoft.com/office/drawing/2014/main" id="{777CCCF0-5D91-4827-ABC5-54CAB5D88B68}"/>
              </a:ext>
            </a:extLst>
          </xdr:cNvPr>
          <xdr:cNvSpPr/>
        </xdr:nvSpPr>
        <xdr:spPr>
          <a:xfrm>
            <a:off x="3660788" y="7072043"/>
            <a:ext cx="302128" cy="260053"/>
          </a:xfrm>
          <a:prstGeom prst="ellipse">
            <a:avLst/>
          </a:prstGeom>
          <a:gradFill flip="none" rotWithShape="1">
            <a:gsLst>
              <a:gs pos="0">
                <a:schemeClr val="accent1">
                  <a:lumMod val="60000"/>
                  <a:lumOff val="40000"/>
                  <a:tint val="66000"/>
                  <a:satMod val="160000"/>
                </a:schemeClr>
              </a:gs>
              <a:gs pos="50000">
                <a:schemeClr val="accent1">
                  <a:lumMod val="60000"/>
                  <a:lumOff val="40000"/>
                  <a:tint val="44500"/>
                  <a:satMod val="160000"/>
                </a:schemeClr>
              </a:gs>
              <a:gs pos="100000">
                <a:schemeClr val="accent1">
                  <a:lumMod val="60000"/>
                  <a:lumOff val="40000"/>
                  <a:tint val="23500"/>
                  <a:satMod val="160000"/>
                </a:schemeClr>
              </a:gs>
            </a:gsLst>
            <a:path path="circle">
              <a:fillToRect l="50000" t="50000" r="50000" b="50000"/>
            </a:path>
            <a:tileRect/>
          </a:gradFill>
          <a:ln>
            <a:solidFill>
              <a:srgbClr val="00B0F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MX" sz="1100"/>
          </a:p>
        </xdr:txBody>
      </xdr:sp>
    </xdr:grpSp>
    <xdr:clientData/>
  </xdr:twoCellAnchor>
  <xdr:oneCellAnchor>
    <xdr:from>
      <xdr:col>5</xdr:col>
      <xdr:colOff>13250</xdr:colOff>
      <xdr:row>7</xdr:row>
      <xdr:rowOff>123931</xdr:rowOff>
    </xdr:from>
    <xdr:ext cx="1415067" cy="31579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3" name="CuadroTexto 222">
              <a:extLst>
                <a:ext uri="{FF2B5EF4-FFF2-40B4-BE49-F238E27FC236}">
                  <a16:creationId xmlns:a16="http://schemas.microsoft.com/office/drawing/2014/main" id="{F3E74EDA-B862-494F-9C9F-81B5327498E3}"/>
                </a:ext>
              </a:extLst>
            </xdr:cNvPr>
            <xdr:cNvSpPr txBox="1"/>
          </xdr:nvSpPr>
          <xdr:spPr>
            <a:xfrm>
              <a:off x="3982276" y="1449148"/>
              <a:ext cx="1415067" cy="3157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MX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𝑊</m:t>
                        </m:r>
                      </m:e>
                      <m:sub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s-MX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𝑊</m:t>
                        </m:r>
                      </m:e>
                      <m:sub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𝑙𝑜𝑠𝑎</m:t>
                        </m:r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s-MX" sz="1100" b="0" i="1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s-MX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𝑊</m:t>
                            </m:r>
                          </m:e>
                          <m:sub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𝑚𝑢𝑟𝑜</m:t>
                            </m:r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</m:num>
                      <m:den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223" name="CuadroTexto 222">
              <a:extLst>
                <a:ext uri="{FF2B5EF4-FFF2-40B4-BE49-F238E27FC236}">
                  <a16:creationId xmlns:a16="http://schemas.microsoft.com/office/drawing/2014/main" id="{F3E74EDA-B862-494F-9C9F-81B5327498E3}"/>
                </a:ext>
              </a:extLst>
            </xdr:cNvPr>
            <xdr:cNvSpPr txBox="1"/>
          </xdr:nvSpPr>
          <xdr:spPr>
            <a:xfrm>
              <a:off x="3982276" y="1449148"/>
              <a:ext cx="1415067" cy="3157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100" b="0" i="0">
                  <a:latin typeface="Cambria Math" panose="02040503050406030204" pitchFamily="18" charset="0"/>
                </a:rPr>
                <a:t>𝑊_2=𝑊_𝑙𝑜𝑠𝑎2+𝑊_𝑚𝑢𝑟𝑜2/2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4</xdr:col>
      <xdr:colOff>839144</xdr:colOff>
      <xdr:row>10</xdr:row>
      <xdr:rowOff>108785</xdr:rowOff>
    </xdr:from>
    <xdr:ext cx="2102819" cy="31579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4" name="CuadroTexto 223">
              <a:extLst>
                <a:ext uri="{FF2B5EF4-FFF2-40B4-BE49-F238E27FC236}">
                  <a16:creationId xmlns:a16="http://schemas.microsoft.com/office/drawing/2014/main" id="{2A193782-C3F0-4C80-834C-A2763E0ADB45}"/>
                </a:ext>
              </a:extLst>
            </xdr:cNvPr>
            <xdr:cNvSpPr txBox="1"/>
          </xdr:nvSpPr>
          <xdr:spPr>
            <a:xfrm>
              <a:off x="3946779" y="1990594"/>
              <a:ext cx="2102819" cy="3157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MX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𝑊</m:t>
                        </m:r>
                      </m:e>
                      <m:sub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s-MX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𝑊</m:t>
                        </m:r>
                      </m:e>
                      <m:sub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𝑙𝑜𝑠𝑎</m:t>
                        </m:r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s-MX" sz="1100" b="0" i="1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s-MX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𝑊</m:t>
                            </m:r>
                          </m:e>
                          <m:sub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𝑚𝑢𝑟𝑜</m:t>
                            </m:r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</m:num>
                      <m:den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  <m:r>
                      <a:rPr lang="es-MX" sz="1100" b="0" i="0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s-MX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𝑊</m:t>
                            </m:r>
                          </m:e>
                          <m:sub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𝑚𝑢𝑟𝑜</m:t>
                            </m:r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</m:num>
                      <m:den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224" name="CuadroTexto 223">
              <a:extLst>
                <a:ext uri="{FF2B5EF4-FFF2-40B4-BE49-F238E27FC236}">
                  <a16:creationId xmlns:a16="http://schemas.microsoft.com/office/drawing/2014/main" id="{2A193782-C3F0-4C80-834C-A2763E0ADB45}"/>
                </a:ext>
              </a:extLst>
            </xdr:cNvPr>
            <xdr:cNvSpPr txBox="1"/>
          </xdr:nvSpPr>
          <xdr:spPr>
            <a:xfrm>
              <a:off x="3946779" y="1990594"/>
              <a:ext cx="2102819" cy="3157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100" b="0" i="0">
                  <a:latin typeface="Cambria Math" panose="02040503050406030204" pitchFamily="18" charset="0"/>
                </a:rPr>
                <a:t>𝑊_1=𝑊_𝑙𝑜𝑠𝑎1+𝑊_𝑚𝑢𝑟𝑜2/2+𝑊_𝑚𝑢𝑟𝑜1/2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6</xdr:col>
      <xdr:colOff>324678</xdr:colOff>
      <xdr:row>22</xdr:row>
      <xdr:rowOff>130557</xdr:rowOff>
    </xdr:from>
    <xdr:ext cx="21249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5" name="CuadroTexto 224">
              <a:extLst>
                <a:ext uri="{FF2B5EF4-FFF2-40B4-BE49-F238E27FC236}">
                  <a16:creationId xmlns:a16="http://schemas.microsoft.com/office/drawing/2014/main" id="{C7B94DC6-5DC5-4D6D-B07F-659CDC137975}"/>
                </a:ext>
              </a:extLst>
            </xdr:cNvPr>
            <xdr:cNvSpPr txBox="1"/>
          </xdr:nvSpPr>
          <xdr:spPr>
            <a:xfrm>
              <a:off x="5009321" y="4265235"/>
              <a:ext cx="21249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MX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𝑊</m:t>
                        </m:r>
                      </m:e>
                      <m:sub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225" name="CuadroTexto 224">
              <a:extLst>
                <a:ext uri="{FF2B5EF4-FFF2-40B4-BE49-F238E27FC236}">
                  <a16:creationId xmlns:a16="http://schemas.microsoft.com/office/drawing/2014/main" id="{C7B94DC6-5DC5-4D6D-B07F-659CDC137975}"/>
                </a:ext>
              </a:extLst>
            </xdr:cNvPr>
            <xdr:cNvSpPr txBox="1"/>
          </xdr:nvSpPr>
          <xdr:spPr>
            <a:xfrm>
              <a:off x="5009321" y="4265235"/>
              <a:ext cx="21249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100" b="0" i="0">
                  <a:latin typeface="Cambria Math" panose="02040503050406030204" pitchFamily="18" charset="0"/>
                </a:rPr>
                <a:t>𝑊_2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6</xdr:col>
      <xdr:colOff>311426</xdr:colOff>
      <xdr:row>25</xdr:row>
      <xdr:rowOff>130558</xdr:rowOff>
    </xdr:from>
    <xdr:ext cx="20922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6" name="CuadroTexto 225">
              <a:extLst>
                <a:ext uri="{FF2B5EF4-FFF2-40B4-BE49-F238E27FC236}">
                  <a16:creationId xmlns:a16="http://schemas.microsoft.com/office/drawing/2014/main" id="{A603DDCA-8904-4D6F-8DD4-7C96BB5C5581}"/>
                </a:ext>
              </a:extLst>
            </xdr:cNvPr>
            <xdr:cNvSpPr txBox="1"/>
          </xdr:nvSpPr>
          <xdr:spPr>
            <a:xfrm>
              <a:off x="4996069" y="4821828"/>
              <a:ext cx="20922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MX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𝑊</m:t>
                        </m:r>
                      </m:e>
                      <m:sub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226" name="CuadroTexto 225">
              <a:extLst>
                <a:ext uri="{FF2B5EF4-FFF2-40B4-BE49-F238E27FC236}">
                  <a16:creationId xmlns:a16="http://schemas.microsoft.com/office/drawing/2014/main" id="{A603DDCA-8904-4D6F-8DD4-7C96BB5C5581}"/>
                </a:ext>
              </a:extLst>
            </xdr:cNvPr>
            <xdr:cNvSpPr txBox="1"/>
          </xdr:nvSpPr>
          <xdr:spPr>
            <a:xfrm>
              <a:off x="4996069" y="4821828"/>
              <a:ext cx="20922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100" b="0" i="0">
                  <a:latin typeface="Cambria Math" panose="02040503050406030204" pitchFamily="18" charset="0"/>
                </a:rPr>
                <a:t>𝑊_1</a:t>
              </a:r>
              <a:endParaRPr lang="es-MX" sz="1100"/>
            </a:p>
          </xdr:txBody>
        </xdr:sp>
      </mc:Fallback>
    </mc:AlternateContent>
    <xdr:clientData/>
  </xdr:oneCellAnchor>
  <xdr:twoCellAnchor>
    <xdr:from>
      <xdr:col>6</xdr:col>
      <xdr:colOff>54578</xdr:colOff>
      <xdr:row>25</xdr:row>
      <xdr:rowOff>92242</xdr:rowOff>
    </xdr:from>
    <xdr:to>
      <xdr:col>6</xdr:col>
      <xdr:colOff>725905</xdr:colOff>
      <xdr:row>25</xdr:row>
      <xdr:rowOff>98172</xdr:rowOff>
    </xdr:to>
    <xdr:cxnSp macro="">
      <xdr:nvCxnSpPr>
        <xdr:cNvPr id="228" name="Conector recto 227">
          <a:extLst>
            <a:ext uri="{FF2B5EF4-FFF2-40B4-BE49-F238E27FC236}">
              <a16:creationId xmlns:a16="http://schemas.microsoft.com/office/drawing/2014/main" id="{C2BA6783-BD9C-47D7-AA3C-71A820EB80AE}"/>
            </a:ext>
          </a:extLst>
        </xdr:cNvPr>
        <xdr:cNvCxnSpPr/>
      </xdr:nvCxnSpPr>
      <xdr:spPr>
        <a:xfrm flipV="1">
          <a:off x="4742883" y="4768516"/>
          <a:ext cx="671327" cy="5930"/>
        </a:xfrm>
        <a:prstGeom prst="line">
          <a:avLst/>
        </a:prstGeom>
        <a:ln>
          <a:prstDash val="dash"/>
        </a:ln>
      </xdr:spPr>
      <xdr:style>
        <a:lnRef idx="2">
          <a:schemeClr val="accent3"/>
        </a:lnRef>
        <a:fillRef idx="0">
          <a:schemeClr val="accent3"/>
        </a:fillRef>
        <a:effectRef idx="1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6</xdr:col>
      <xdr:colOff>58589</xdr:colOff>
      <xdr:row>28</xdr:row>
      <xdr:rowOff>48127</xdr:rowOff>
    </xdr:from>
    <xdr:to>
      <xdr:col>6</xdr:col>
      <xdr:colOff>729916</xdr:colOff>
      <xdr:row>28</xdr:row>
      <xdr:rowOff>54057</xdr:rowOff>
    </xdr:to>
    <xdr:cxnSp macro="">
      <xdr:nvCxnSpPr>
        <xdr:cNvPr id="234" name="Conector recto 233">
          <a:extLst>
            <a:ext uri="{FF2B5EF4-FFF2-40B4-BE49-F238E27FC236}">
              <a16:creationId xmlns:a16="http://schemas.microsoft.com/office/drawing/2014/main" id="{04AA8452-D5AA-4E91-9818-01B91C4CDCA2}"/>
            </a:ext>
          </a:extLst>
        </xdr:cNvPr>
        <xdr:cNvCxnSpPr/>
      </xdr:nvCxnSpPr>
      <xdr:spPr>
        <a:xfrm flipV="1">
          <a:off x="4746894" y="5277853"/>
          <a:ext cx="671327" cy="5930"/>
        </a:xfrm>
        <a:prstGeom prst="line">
          <a:avLst/>
        </a:prstGeom>
        <a:ln>
          <a:prstDash val="dash"/>
        </a:ln>
      </xdr:spPr>
      <xdr:style>
        <a:lnRef idx="2">
          <a:schemeClr val="accent3"/>
        </a:lnRef>
        <a:fillRef idx="0">
          <a:schemeClr val="accent3"/>
        </a:fillRef>
        <a:effectRef idx="1">
          <a:schemeClr val="accent3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110581</xdr:colOff>
      <xdr:row>12</xdr:row>
      <xdr:rowOff>77464</xdr:rowOff>
    </xdr:from>
    <xdr:to>
      <xdr:col>26</xdr:col>
      <xdr:colOff>318863</xdr:colOff>
      <xdr:row>38</xdr:row>
      <xdr:rowOff>163460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6465FBAD-D765-436B-81C4-C645F1A8EF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260524" y="2330807"/>
          <a:ext cx="4148910" cy="5104310"/>
        </a:xfrm>
        <a:prstGeom prst="rect">
          <a:avLst/>
        </a:prstGeom>
      </xdr:spPr>
    </xdr:pic>
    <xdr:clientData/>
  </xdr:twoCellAnchor>
  <xdr:twoCellAnchor>
    <xdr:from>
      <xdr:col>20</xdr:col>
      <xdr:colOff>390697</xdr:colOff>
      <xdr:row>11</xdr:row>
      <xdr:rowOff>8325</xdr:rowOff>
    </xdr:from>
    <xdr:to>
      <xdr:col>23</xdr:col>
      <xdr:colOff>23996</xdr:colOff>
      <xdr:row>18</xdr:row>
      <xdr:rowOff>132749</xdr:rowOff>
    </xdr:to>
    <mc:AlternateContent xmlns:mc="http://schemas.openxmlformats.org/markup-compatibility/2006">
      <mc:Choice xmlns:am3d="http://schemas.microsoft.com/office/drawing/2017/model3d" Requires="am3d">
        <xdr:graphicFrame macro="">
          <xdr:nvGraphicFramePr>
            <xdr:cNvPr id="7" name="Modelo 3D 6" descr="Flecha apuntando">
              <a:extLst>
                <a:ext uri="{FF2B5EF4-FFF2-40B4-BE49-F238E27FC236}">
                  <a16:creationId xmlns:a16="http://schemas.microsoft.com/office/drawing/2014/main" id="{6CBFA6B8-844A-4303-A930-38061458EB28}"/>
                </a:ext>
              </a:extLst>
            </xdr:cNvPr>
            <xdr:cNvGraphicFramePr>
              <a:graphicFrameLocks noChangeAspect="1"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7/model3d">
              <am3d:model3d xmlns:r="http://schemas.openxmlformats.org/officeDocument/2006/relationships" r:embed="rId2">
                <am3d:spPr>
                  <a:xfrm>
                    <a:off x="0" y="0"/>
                    <a:ext cx="690574" cy="1391249"/>
                  </a:xfrm>
                  <a:prstGeom prst="rect">
                    <a:avLst/>
                  </a:prstGeom>
                </am3d:spPr>
                <am3d:camera>
                  <am3d:pos x="0" y="0" z="53229038"/>
                  <am3d:up dx="0" dy="36000000" dz="0"/>
                  <am3d:lookAt x="0" y="0" z="0"/>
                  <am3d:perspective fov="2700000"/>
                </am3d:camera>
                <am3d:trans>
                  <am3d:meterPerModelUnit n="121206" d="1000000"/>
                  <am3d:preTrans dx="0" dy="-18000000" dz="0"/>
                  <am3d:scale>
                    <am3d:sx n="1000000" d="1000000"/>
                    <am3d:sy n="1000000" d="1000000"/>
                    <am3d:sz n="1000000" d="1000000"/>
                  </am3d:scale>
                  <am3d:rot ax="1257992" ay="2622594" az="871221"/>
                  <am3d:postTrans dx="0" dy="0" dz="0"/>
                </am3d:trans>
                <am3d:raster rName="Office3DRenderer" rVer="16.0.8326">
                  <am3d:blip r:embed="rId3"/>
                </am3d:raster>
                <am3d:objViewport viewportSz="1543257"/>
                <am3d:ambientLight>
                  <am3d:clr>
                    <a:scrgbClr r="50000" g="50000" b="50000"/>
                  </am3d:clr>
                  <am3d:illuminance n="500000" d="1000000"/>
                </am3d:ambientLight>
                <am3d:ptLight rad="0">
                  <am3d:clr>
                    <a:scrgbClr r="100000" g="75000" b="50000"/>
                  </am3d:clr>
                  <am3d:intensity n="9765625" d="1000000"/>
                  <am3d:pos x="21959998" y="70920001" z="16344003"/>
                </am3d:ptLight>
                <am3d:ptLight rad="0">
                  <am3d:clr>
                    <a:scrgbClr r="40000" g="60000" b="95000"/>
                  </am3d:clr>
                  <am3d:intensity n="12250000" d="1000000"/>
                  <am3d:pos x="-37964106" y="51130435" z="57631972"/>
                </am3d:ptLight>
                <am3d:ptLight rad="0">
                  <am3d:clr>
                    <a:scrgbClr r="86837" g="72700" b="100000"/>
                  </am3d:clr>
                  <am3d:intensity n="3125000" d="1000000"/>
                  <am3d:pos x="-37739122" y="58056624" z="-34769649"/>
                </am3d:ptLight>
              </am3d:model3d>
            </a:graphicData>
          </a:graphic>
        </xdr:graphicFrame>
      </mc:Choice>
      <mc:Fallback>
        <xdr:pic>
          <xdr:nvPicPr>
            <xdr:cNvPr id="7" name="Modelo 3D 6" descr="Flecha apuntando">
              <a:extLst>
                <a:ext uri="{FF2B5EF4-FFF2-40B4-BE49-F238E27FC236}">
                  <a16:creationId xmlns:a16="http://schemas.microsoft.com/office/drawing/2014/main" id="{6CBFA6B8-844A-4303-A930-38061458EB28}"/>
                </a:ext>
              </a:extLst>
            </xdr:cNvPr>
            <xdr:cNvPicPr>
              <a:picLocks noGrp="1" noRot="1" noChangeAspect="1" noMove="1" noResize="1" noEditPoints="1" noAdjustHandles="1" noChangeArrowheads="1" noChangeShapeType="1" noCrop="1"/>
            </xdr:cNvPicPr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13963822" y="2065725"/>
              <a:ext cx="690574" cy="1391249"/>
            </a:xfrm>
            <a:prstGeom prst="rect">
              <a:avLst/>
            </a:prstGeom>
          </xdr:spPr>
        </xdr:pic>
      </mc:Fallback>
    </mc:AlternateContent>
    <xdr:clientData/>
  </xdr:twoCellAnchor>
  <xdr:oneCellAnchor>
    <xdr:from>
      <xdr:col>21</xdr:col>
      <xdr:colOff>44087</xdr:colOff>
      <xdr:row>2</xdr:row>
      <xdr:rowOff>25581</xdr:rowOff>
    </xdr:from>
    <xdr:ext cx="272132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786E8B43-FB4F-440C-95CD-34939852DB23}"/>
                </a:ext>
              </a:extLst>
            </xdr:cNvPr>
            <xdr:cNvSpPr txBox="1"/>
          </xdr:nvSpPr>
          <xdr:spPr>
            <a:xfrm>
              <a:off x="15120801" y="406581"/>
              <a:ext cx="272132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MX" sz="11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b="1" i="1">
                            <a:latin typeface="Cambria Math" panose="02040503050406030204" pitchFamily="18" charset="0"/>
                          </a:rPr>
                          <m:t>𝑽</m:t>
                        </m:r>
                      </m:e>
                      <m:sub>
                        <m:r>
                          <a:rPr lang="es-MX" sz="1100" b="1" i="1">
                            <a:latin typeface="Cambria Math" panose="02040503050406030204" pitchFamily="18" charset="0"/>
                          </a:rPr>
                          <m:t>𝒎𝑹</m:t>
                        </m:r>
                      </m:sub>
                    </m:sSub>
                    <m:r>
                      <a:rPr lang="es-MX" sz="1100" b="1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s-MX" sz="11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b="1" i="1">
                            <a:latin typeface="Cambria Math" panose="02040503050406030204" pitchFamily="18" charset="0"/>
                          </a:rPr>
                          <m:t>𝑭</m:t>
                        </m:r>
                      </m:e>
                      <m:sub>
                        <m:r>
                          <a:rPr lang="es-MX" sz="1100" b="1" i="1">
                            <a:latin typeface="Cambria Math" panose="02040503050406030204" pitchFamily="18" charset="0"/>
                          </a:rPr>
                          <m:t>𝑹</m:t>
                        </m:r>
                      </m:sub>
                    </m:sSub>
                    <m:r>
                      <a:rPr lang="es-MX" sz="1100" b="1" i="1">
                        <a:latin typeface="Cambria Math" panose="02040503050406030204" pitchFamily="18" charset="0"/>
                      </a:rPr>
                      <m:t>𝒇</m:t>
                    </m:r>
                    <m:d>
                      <m:dPr>
                        <m:begChr m:val="["/>
                        <m:endChr m:val="]"/>
                        <m:ctrlPr>
                          <a:rPr lang="es-MX" sz="1100" b="1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MX" sz="1100" b="1" i="1">
                            <a:latin typeface="Cambria Math" panose="02040503050406030204" pitchFamily="18" charset="0"/>
                          </a:rPr>
                          <m:t>𝟎</m:t>
                        </m:r>
                        <m:r>
                          <a:rPr lang="es-MX" sz="1100" b="1" i="1">
                            <a:latin typeface="Cambria Math" panose="02040503050406030204" pitchFamily="18" charset="0"/>
                          </a:rPr>
                          <m:t>.</m:t>
                        </m:r>
                        <m:r>
                          <a:rPr lang="es-MX" sz="1100" b="1" i="1">
                            <a:latin typeface="Cambria Math" panose="02040503050406030204" pitchFamily="18" charset="0"/>
                          </a:rPr>
                          <m:t>𝟓</m:t>
                        </m:r>
                        <m:sSubSup>
                          <m:sSubSupPr>
                            <m:ctrlPr>
                              <a:rPr lang="es-MX" sz="1100" b="1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s-MX" sz="1100" b="1" i="1">
                                <a:latin typeface="Cambria Math" panose="02040503050406030204" pitchFamily="18" charset="0"/>
                              </a:rPr>
                              <m:t>𝒗</m:t>
                            </m:r>
                          </m:e>
                          <m:sub>
                            <m:r>
                              <a:rPr lang="es-MX" sz="1100" b="1" i="1">
                                <a:latin typeface="Cambria Math" panose="02040503050406030204" pitchFamily="18" charset="0"/>
                              </a:rPr>
                              <m:t>𝒎</m:t>
                            </m:r>
                          </m:sub>
                          <m:sup>
                            <m:r>
                              <a:rPr lang="es-MX" sz="1100" b="1" i="1">
                                <a:latin typeface="Cambria Math" panose="02040503050406030204" pitchFamily="18" charset="0"/>
                              </a:rPr>
                              <m:t>′</m:t>
                            </m:r>
                          </m:sup>
                        </m:sSubSup>
                        <m:r>
                          <a:rPr lang="es-MX" sz="1100" b="1" i="1">
                            <a:latin typeface="Cambria Math" panose="02040503050406030204" pitchFamily="18" charset="0"/>
                          </a:rPr>
                          <m:t>+</m:t>
                        </m:r>
                        <m:r>
                          <a:rPr lang="es-MX" sz="1100" b="1" i="1">
                            <a:latin typeface="Cambria Math" panose="02040503050406030204" pitchFamily="18" charset="0"/>
                          </a:rPr>
                          <m:t>𝟎</m:t>
                        </m:r>
                        <m:r>
                          <a:rPr lang="es-MX" sz="1100" b="1" i="1">
                            <a:latin typeface="Cambria Math" panose="02040503050406030204" pitchFamily="18" charset="0"/>
                          </a:rPr>
                          <m:t>.</m:t>
                        </m:r>
                        <m:r>
                          <a:rPr lang="es-MX" sz="1100" b="1" i="1">
                            <a:latin typeface="Cambria Math" panose="02040503050406030204" pitchFamily="18" charset="0"/>
                          </a:rPr>
                          <m:t>𝟑</m:t>
                        </m:r>
                        <m:r>
                          <a:rPr lang="es-MX" sz="1100" b="1" i="1">
                            <a:latin typeface="Cambria Math" panose="02040503050406030204" pitchFamily="18" charset="0"/>
                          </a:rPr>
                          <m:t>𝑷</m:t>
                        </m:r>
                      </m:e>
                    </m:d>
                    <m:r>
                      <a:rPr lang="es-MX" sz="11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≤</m:t>
                    </m:r>
                    <m:r>
                      <a:rPr lang="es-MX" sz="11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𝟏</m:t>
                    </m:r>
                    <m:r>
                      <a:rPr lang="es-MX" sz="11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.</m:t>
                    </m:r>
                    <m:r>
                      <a:rPr lang="es-MX" sz="11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𝟓</m:t>
                    </m:r>
                    <m:sSub>
                      <m:sSubPr>
                        <m:ctrlPr>
                          <a:rPr lang="es-MX" sz="1100" b="1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b="1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𝑭</m:t>
                        </m:r>
                      </m:e>
                      <m:sub>
                        <m:r>
                          <a:rPr lang="es-MX" sz="1100" b="1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𝑹</m:t>
                        </m:r>
                      </m:sub>
                    </m:sSub>
                    <m:sSubSup>
                      <m:sSubSupPr>
                        <m:ctrlPr>
                          <a:rPr lang="es-MX" sz="1100" b="1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s-MX" sz="1100" b="1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𝒗</m:t>
                        </m:r>
                      </m:e>
                      <m:sub>
                        <m:r>
                          <a:rPr lang="es-MX" sz="1100" b="1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𝒎</m:t>
                        </m:r>
                      </m:sub>
                      <m:sup>
                        <m:r>
                          <a:rPr lang="es-MX" sz="1100" b="1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′</m:t>
                        </m:r>
                      </m:sup>
                    </m:sSubSup>
                    <m:sSub>
                      <m:sSubPr>
                        <m:ctrlPr>
                          <a:rPr lang="es-MX" sz="1100" b="1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b="1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𝑨</m:t>
                        </m:r>
                      </m:e>
                      <m:sub>
                        <m:r>
                          <a:rPr lang="es-MX" sz="1100" b="1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𝑻</m:t>
                        </m:r>
                      </m:sub>
                    </m:sSub>
                    <m:r>
                      <a:rPr lang="es-MX" sz="11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𝒇</m:t>
                    </m:r>
                  </m:oMath>
                </m:oMathPara>
              </a14:m>
              <a:endParaRPr lang="es-MX" sz="1100" b="1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786E8B43-FB4F-440C-95CD-34939852DB23}"/>
                </a:ext>
              </a:extLst>
            </xdr:cNvPr>
            <xdr:cNvSpPr txBox="1"/>
          </xdr:nvSpPr>
          <xdr:spPr>
            <a:xfrm>
              <a:off x="15120801" y="406581"/>
              <a:ext cx="272132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100" b="1" i="0">
                  <a:latin typeface="Cambria Math" panose="02040503050406030204" pitchFamily="18" charset="0"/>
                </a:rPr>
                <a:t>𝑽_𝒎𝑹=𝑭_𝑹 𝒇[𝟎.𝟓𝒗_𝒎^′+𝟎.𝟑𝑷]</a:t>
              </a:r>
              <a:r>
                <a:rPr lang="es-MX" sz="11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≤𝟏.𝟓𝑭_𝑹 𝒗_𝒎^′ 𝑨_𝑻 𝒇</a:t>
              </a:r>
              <a:endParaRPr lang="es-MX" sz="1100" b="1"/>
            </a:p>
          </xdr:txBody>
        </xdr:sp>
      </mc:Fallback>
    </mc:AlternateContent>
    <xdr:clientData/>
  </xdr:oneCellAnchor>
  <xdr:oneCellAnchor>
    <xdr:from>
      <xdr:col>20</xdr:col>
      <xdr:colOff>414202</xdr:colOff>
      <xdr:row>3</xdr:row>
      <xdr:rowOff>142058</xdr:rowOff>
    </xdr:from>
    <xdr:ext cx="2846070" cy="83439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407CE2C6-51B1-46C7-8288-16F53EEEF2B7}"/>
                </a:ext>
              </a:extLst>
            </xdr:cNvPr>
            <xdr:cNvSpPr txBox="1"/>
          </xdr:nvSpPr>
          <xdr:spPr>
            <a:xfrm>
              <a:off x="15033716" y="719001"/>
              <a:ext cx="2846070" cy="8343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100" b="1" i="1">
                        <a:latin typeface="Cambria Math" panose="02040503050406030204" pitchFamily="18" charset="0"/>
                      </a:rPr>
                      <m:t>𝒇</m:t>
                    </m:r>
                    <m:r>
                      <a:rPr lang="es-MX" sz="1100" b="1" i="1">
                        <a:latin typeface="Cambria Math" panose="02040503050406030204" pitchFamily="18" charset="0"/>
                      </a:rPr>
                      <m:t>=</m:t>
                    </m:r>
                    <m:d>
                      <m:dPr>
                        <m:begChr m:val="{"/>
                        <m:endChr m:val=""/>
                        <m:ctrlPr>
                          <a:rPr lang="es-MX" sz="1100" b="1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eqArr>
                          <m:eqArrPr>
                            <m:ctrlPr>
                              <a:rPr lang="es-MX" sz="1100" b="1" i="1">
                                <a:latin typeface="Cambria Math" panose="02040503050406030204" pitchFamily="18" charset="0"/>
                              </a:rPr>
                            </m:ctrlPr>
                          </m:eqArrPr>
                          <m:e>
                            <m:r>
                              <a:rPr lang="es-MX" sz="1100" b="1" i="1">
                                <a:latin typeface="Cambria Math" panose="02040503050406030204" pitchFamily="18" charset="0"/>
                              </a:rPr>
                              <m:t>𝟏</m:t>
                            </m:r>
                            <m:r>
                              <a:rPr lang="es-MX" sz="1100" b="1" i="1">
                                <a:latin typeface="Cambria Math" panose="02040503050406030204" pitchFamily="18" charset="0"/>
                              </a:rPr>
                              <m:t>.</m:t>
                            </m:r>
                            <m:r>
                              <a:rPr lang="es-MX" sz="1100" b="1" i="1">
                                <a:latin typeface="Cambria Math" panose="02040503050406030204" pitchFamily="18" charset="0"/>
                              </a:rPr>
                              <m:t>𝟓</m:t>
                            </m:r>
                            <m:r>
                              <a:rPr lang="es-MX" sz="1100" b="1" i="1">
                                <a:latin typeface="Cambria Math" panose="02040503050406030204" pitchFamily="18" charset="0"/>
                              </a:rPr>
                              <m:t> </m:t>
                            </m:r>
                            <m:r>
                              <a:rPr lang="es-MX" sz="1100" b="1" i="1">
                                <a:latin typeface="Cambria Math" panose="02040503050406030204" pitchFamily="18" charset="0"/>
                              </a:rPr>
                              <m:t>𝒔𝒊</m:t>
                            </m:r>
                            <m:r>
                              <a:rPr lang="es-MX" sz="1100" b="1" i="1">
                                <a:latin typeface="Cambria Math" panose="02040503050406030204" pitchFamily="18" charset="0"/>
                              </a:rPr>
                              <m:t> </m:t>
                            </m:r>
                            <m:r>
                              <a:rPr lang="es-MX" sz="1100" b="1" i="1">
                                <a:latin typeface="Cambria Math" panose="02040503050406030204" pitchFamily="18" charset="0"/>
                              </a:rPr>
                              <m:t>𝑯</m:t>
                            </m:r>
                            <m:r>
                              <a:rPr lang="es-MX" sz="1100" b="1" i="1">
                                <a:latin typeface="Cambria Math" panose="02040503050406030204" pitchFamily="18" charset="0"/>
                              </a:rPr>
                              <m:t>/</m:t>
                            </m:r>
                            <m:r>
                              <a:rPr lang="es-MX" sz="1100" b="1" i="1">
                                <a:latin typeface="Cambria Math" panose="02040503050406030204" pitchFamily="18" charset="0"/>
                              </a:rPr>
                              <m:t>𝑳</m:t>
                            </m:r>
                            <m:r>
                              <a:rPr lang="es-MX" sz="1100" b="1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≤</m:t>
                            </m:r>
                            <m:r>
                              <a:rPr lang="es-MX" sz="1100" b="1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𝟎</m:t>
                            </m:r>
                            <m:r>
                              <a:rPr lang="es-MX" sz="1100" b="1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.</m:t>
                            </m:r>
                            <m:r>
                              <a:rPr lang="es-MX" sz="1100" b="1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𝟐</m:t>
                            </m:r>
                          </m:e>
                          <m:e>
                            <m:r>
                              <a:rPr lang="es-MX" sz="1100" b="1" i="1">
                                <a:latin typeface="Cambria Math" panose="02040503050406030204" pitchFamily="18" charset="0"/>
                              </a:rPr>
                              <m:t>𝟏</m:t>
                            </m:r>
                            <m:r>
                              <a:rPr lang="es-MX" sz="1100" b="1" i="1">
                                <a:latin typeface="Cambria Math" panose="02040503050406030204" pitchFamily="18" charset="0"/>
                              </a:rPr>
                              <m:t>.</m:t>
                            </m:r>
                            <m:r>
                              <a:rPr lang="es-MX" sz="1100" b="1" i="1">
                                <a:latin typeface="Cambria Math" panose="02040503050406030204" pitchFamily="18" charset="0"/>
                              </a:rPr>
                              <m:t>𝟔𝟐𝟓</m:t>
                            </m:r>
                            <m:r>
                              <a:rPr lang="es-MX" sz="1100" b="1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r>
                              <a:rPr lang="es-MX" sz="1100" b="1" i="1">
                                <a:latin typeface="Cambria Math" panose="02040503050406030204" pitchFamily="18" charset="0"/>
                              </a:rPr>
                              <m:t>𝟎</m:t>
                            </m:r>
                            <m:r>
                              <a:rPr lang="es-MX" sz="1100" b="1" i="1">
                                <a:latin typeface="Cambria Math" panose="02040503050406030204" pitchFamily="18" charset="0"/>
                              </a:rPr>
                              <m:t>.</m:t>
                            </m:r>
                            <m:r>
                              <a:rPr lang="es-MX" sz="1100" b="1" i="1">
                                <a:latin typeface="Cambria Math" panose="02040503050406030204" pitchFamily="18" charset="0"/>
                              </a:rPr>
                              <m:t>𝟔𝟑𝟓</m:t>
                            </m:r>
                            <m:f>
                              <m:fPr>
                                <m:type m:val="skw"/>
                                <m:ctrlPr>
                                  <a:rPr lang="es-MX" sz="1100" b="1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s-MX" sz="1100" b="1" i="1">
                                    <a:latin typeface="Cambria Math" panose="02040503050406030204" pitchFamily="18" charset="0"/>
                                  </a:rPr>
                                  <m:t>𝑯</m:t>
                                </m:r>
                              </m:num>
                              <m:den>
                                <m:r>
                                  <a:rPr lang="es-MX" sz="1100" b="1" i="1">
                                    <a:latin typeface="Cambria Math" panose="02040503050406030204" pitchFamily="18" charset="0"/>
                                  </a:rPr>
                                  <m:t>𝑳</m:t>
                                </m:r>
                              </m:den>
                            </m:f>
                            <m:r>
                              <a:rPr lang="es-MX" sz="1100" b="1" i="1">
                                <a:latin typeface="Cambria Math" panose="02040503050406030204" pitchFamily="18" charset="0"/>
                              </a:rPr>
                              <m:t>𝒔𝒊</m:t>
                            </m:r>
                            <m:r>
                              <a:rPr lang="es-MX" sz="1100" b="1" i="1">
                                <a:latin typeface="Cambria Math" panose="02040503050406030204" pitchFamily="18" charset="0"/>
                              </a:rPr>
                              <m:t> </m:t>
                            </m:r>
                            <m:r>
                              <a:rPr lang="es-MX" sz="1100" b="1" i="1">
                                <a:latin typeface="Cambria Math" panose="02040503050406030204" pitchFamily="18" charset="0"/>
                              </a:rPr>
                              <m:t>𝟎</m:t>
                            </m:r>
                            <m:r>
                              <a:rPr lang="es-MX" sz="1100" b="1" i="1">
                                <a:latin typeface="Cambria Math" panose="02040503050406030204" pitchFamily="18" charset="0"/>
                              </a:rPr>
                              <m:t>.</m:t>
                            </m:r>
                            <m:r>
                              <a:rPr lang="es-MX" sz="1100" b="1" i="1">
                                <a:latin typeface="Cambria Math" panose="02040503050406030204" pitchFamily="18" charset="0"/>
                              </a:rPr>
                              <m:t>𝟐</m:t>
                            </m:r>
                            <m:r>
                              <a:rPr lang="es-MX" sz="1100" b="1" i="1">
                                <a:latin typeface="Cambria Math" panose="02040503050406030204" pitchFamily="18" charset="0"/>
                              </a:rPr>
                              <m:t>&lt;</m:t>
                            </m:r>
                            <m:f>
                              <m:fPr>
                                <m:ctrlPr>
                                  <a:rPr lang="es-MX" sz="1100" b="1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s-MX" sz="1100" b="1" i="1">
                                    <a:latin typeface="Cambria Math" panose="02040503050406030204" pitchFamily="18" charset="0"/>
                                  </a:rPr>
                                  <m:t>𝑯</m:t>
                                </m:r>
                              </m:num>
                              <m:den>
                                <m:r>
                                  <a:rPr lang="es-MX" sz="1100" b="1" i="1">
                                    <a:latin typeface="Cambria Math" panose="02040503050406030204" pitchFamily="18" charset="0"/>
                                  </a:rPr>
                                  <m:t>𝑳</m:t>
                                </m:r>
                              </m:den>
                            </m:f>
                            <m:r>
                              <a:rPr lang="es-MX" sz="1100" b="1" i="1">
                                <a:latin typeface="Cambria Math" panose="02040503050406030204" pitchFamily="18" charset="0"/>
                              </a:rPr>
                              <m:t>&lt;</m:t>
                            </m:r>
                            <m:r>
                              <a:rPr lang="es-MX" sz="1100" b="1" i="1">
                                <a:latin typeface="Cambria Math" panose="02040503050406030204" pitchFamily="18" charset="0"/>
                              </a:rPr>
                              <m:t>𝟏</m:t>
                            </m:r>
                            <m:r>
                              <a:rPr lang="es-MX" sz="1100" b="1" i="1">
                                <a:latin typeface="Cambria Math" panose="02040503050406030204" pitchFamily="18" charset="0"/>
                              </a:rPr>
                              <m:t>.</m:t>
                            </m:r>
                            <m:r>
                              <a:rPr lang="es-MX" sz="1100" b="1" i="1">
                                <a:latin typeface="Cambria Math" panose="02040503050406030204" pitchFamily="18" charset="0"/>
                              </a:rPr>
                              <m:t>𝟎</m:t>
                            </m:r>
                          </m:e>
                          <m:e>
                            <m:r>
                              <a:rPr lang="es-MX" sz="1100" b="1" i="1">
                                <a:latin typeface="Cambria Math" panose="02040503050406030204" pitchFamily="18" charset="0"/>
                              </a:rPr>
                              <m:t>𝟏</m:t>
                            </m:r>
                            <m:r>
                              <a:rPr lang="es-MX" sz="1100" b="1" i="1">
                                <a:latin typeface="Cambria Math" panose="02040503050406030204" pitchFamily="18" charset="0"/>
                              </a:rPr>
                              <m:t>.</m:t>
                            </m:r>
                            <m:r>
                              <a:rPr lang="es-MX" sz="1100" b="1" i="1">
                                <a:latin typeface="Cambria Math" panose="02040503050406030204" pitchFamily="18" charset="0"/>
                              </a:rPr>
                              <m:t>𝟎</m:t>
                            </m:r>
                            <m:r>
                              <a:rPr lang="es-MX" sz="1100" b="1" i="1">
                                <a:latin typeface="Cambria Math" panose="02040503050406030204" pitchFamily="18" charset="0"/>
                              </a:rPr>
                              <m:t> </m:t>
                            </m:r>
                            <m:r>
                              <a:rPr lang="es-MX" sz="1100" b="1" i="1">
                                <a:latin typeface="Cambria Math" panose="02040503050406030204" pitchFamily="18" charset="0"/>
                              </a:rPr>
                              <m:t>𝒔𝒊</m:t>
                            </m:r>
                            <m:r>
                              <a:rPr lang="es-MX" sz="1100" b="1" i="1">
                                <a:latin typeface="Cambria Math" panose="02040503050406030204" pitchFamily="18" charset="0"/>
                              </a:rPr>
                              <m:t> </m:t>
                            </m:r>
                            <m:f>
                              <m:fPr>
                                <m:type m:val="skw"/>
                                <m:ctrlPr>
                                  <a:rPr lang="es-MX" sz="1100" b="1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s-MX" sz="1100" b="1" i="1">
                                    <a:latin typeface="Cambria Math" panose="02040503050406030204" pitchFamily="18" charset="0"/>
                                  </a:rPr>
                                  <m:t>𝑯</m:t>
                                </m:r>
                              </m:num>
                              <m:den>
                                <m:r>
                                  <a:rPr lang="es-MX" sz="1100" b="1" i="1">
                                    <a:latin typeface="Cambria Math" panose="02040503050406030204" pitchFamily="18" charset="0"/>
                                  </a:rPr>
                                  <m:t>𝑳</m:t>
                                </m:r>
                              </m:den>
                            </m:f>
                            <m:r>
                              <a:rPr lang="es-MX" sz="1100" b="1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≥</m:t>
                            </m:r>
                            <m:r>
                              <a:rPr lang="es-MX" sz="1100" b="1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𝟏</m:t>
                            </m:r>
                            <m:r>
                              <a:rPr lang="es-MX" sz="1100" b="1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.</m:t>
                            </m:r>
                            <m:r>
                              <a:rPr lang="es-MX" sz="1100" b="1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𝟎</m:t>
                            </m:r>
                            <m:r>
                              <a:rPr lang="es-MX" sz="1100" b="1" i="1">
                                <a:latin typeface="Cambria Math" panose="02040503050406030204" pitchFamily="18" charset="0"/>
                              </a:rPr>
                              <m:t> </m:t>
                            </m:r>
                          </m:e>
                        </m:eqArr>
                      </m:e>
                    </m:d>
                  </m:oMath>
                </m:oMathPara>
              </a14:m>
              <a:endParaRPr lang="es-MX" sz="1100" b="1"/>
            </a:p>
          </xdr:txBody>
        </xdr:sp>
      </mc:Choice>
      <mc:Fallback xmlns="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407CE2C6-51B1-46C7-8288-16F53EEEF2B7}"/>
                </a:ext>
              </a:extLst>
            </xdr:cNvPr>
            <xdr:cNvSpPr txBox="1"/>
          </xdr:nvSpPr>
          <xdr:spPr>
            <a:xfrm>
              <a:off x="15033716" y="719001"/>
              <a:ext cx="2846070" cy="8343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s-MX" sz="1100" b="1" i="0">
                  <a:latin typeface="Cambria Math" panose="02040503050406030204" pitchFamily="18" charset="0"/>
                </a:rPr>
                <a:t>𝒇={█(𝟏.𝟓 𝒔𝒊 𝑯/𝑳</a:t>
              </a:r>
              <a:r>
                <a:rPr lang="es-MX" sz="11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≤𝟎.𝟐@</a:t>
              </a:r>
              <a:r>
                <a:rPr lang="es-MX" sz="1100" b="1" i="0">
                  <a:latin typeface="Cambria Math" panose="02040503050406030204" pitchFamily="18" charset="0"/>
                </a:rPr>
                <a:t>𝟏.𝟔𝟐𝟓−𝟎.𝟔𝟑𝟓 𝑯⁄𝑳 𝒔𝒊 𝟎.𝟐&lt;𝑯/𝑳&lt;𝟏.𝟎@𝟏.𝟎 𝒔𝒊 𝑯⁄𝑳</a:t>
              </a:r>
              <a:r>
                <a:rPr lang="es-MX" sz="11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≥𝟏.𝟎</a:t>
              </a:r>
              <a:r>
                <a:rPr lang="es-MX" sz="1100" b="1" i="0">
                  <a:latin typeface="Cambria Math" panose="02040503050406030204" pitchFamily="18" charset="0"/>
                </a:rPr>
                <a:t> )┤</a:t>
              </a:r>
              <a:endParaRPr lang="es-MX" sz="1100" b="1"/>
            </a:p>
          </xdr:txBody>
        </xdr:sp>
      </mc:Fallback>
    </mc:AlternateContent>
    <xdr:clientData/>
  </xdr:oneCellAnchor>
  <xdr:twoCellAnchor>
    <xdr:from>
      <xdr:col>25</xdr:col>
      <xdr:colOff>202007</xdr:colOff>
      <xdr:row>18</xdr:row>
      <xdr:rowOff>44711</xdr:rowOff>
    </xdr:from>
    <xdr:to>
      <xdr:col>27</xdr:col>
      <xdr:colOff>248001</xdr:colOff>
      <xdr:row>22</xdr:row>
      <xdr:rowOff>66903</xdr:rowOff>
    </xdr:to>
    <mc:AlternateContent xmlns:mc="http://schemas.openxmlformats.org/markup-compatibility/2006">
      <mc:Choice xmlns:am3d="http://schemas.microsoft.com/office/drawing/2017/model3d" Requires="am3d">
        <xdr:graphicFrame macro="">
          <xdr:nvGraphicFramePr>
            <xdr:cNvPr id="10" name="Modelo 3D 9" descr="Flecha roja recta">
              <a:extLst>
                <a:ext uri="{FF2B5EF4-FFF2-40B4-BE49-F238E27FC236}">
                  <a16:creationId xmlns:a16="http://schemas.microsoft.com/office/drawing/2014/main" id="{BA189E42-DBBA-416C-A857-88C25FA977F3}"/>
                </a:ext>
              </a:extLst>
            </xdr:cNvPr>
            <xdr:cNvGraphicFramePr>
              <a:graphicFrameLocks noChangeAspect="1"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7/model3d">
              <am3d:model3d xmlns:r="http://schemas.openxmlformats.org/officeDocument/2006/relationships" r:embed="rId4">
                <am3d:spPr>
                  <a:xfrm>
                    <a:off x="0" y="0"/>
                    <a:ext cx="1436644" cy="879442"/>
                  </a:xfrm>
                  <a:prstGeom prst="rect">
                    <a:avLst/>
                  </a:prstGeom>
                </am3d:spPr>
                <am3d:camera>
                  <am3d:pos x="0" y="0" z="49265132"/>
                  <am3d:up dx="0" dy="36000000" dz="0"/>
                  <am3d:lookAt x="0" y="0" z="0"/>
                  <am3d:perspective fov="2700000"/>
                </am3d:camera>
                <am3d:trans>
                  <am3d:meterPerModelUnit n="2106943" d="1000000"/>
                  <am3d:preTrans dx="0" dy="-9860495" dz="-1482"/>
                  <am3d:scale>
                    <am3d:sx n="1000000" d="1000000"/>
                    <am3d:sy n="1000000" d="1000000"/>
                    <am3d:sz n="1000000" d="1000000"/>
                  </am3d:scale>
                  <am3d:rot ax="9145490" ay="-3054508" az="-9437793"/>
                  <am3d:postTrans dx="0" dy="0" dz="0"/>
                </am3d:trans>
                <am3d:raster rName="Office3DRenderer" rVer="16.0.8326">
                  <am3d:blip r:embed="rId5"/>
                </am3d:raster>
                <am3d:objViewport viewportSz="1865883"/>
                <am3d:ambientLight>
                  <am3d:clr>
                    <a:scrgbClr r="50000" g="50000" b="50000"/>
                  </am3d:clr>
                  <am3d:illuminance n="500000" d="1000000"/>
                </am3d:ambientLight>
                <am3d:ptLight rad="0">
                  <am3d:clr>
                    <a:scrgbClr r="100000" g="75000" b="50000"/>
                  </am3d:clr>
                  <am3d:intensity n="9765625" d="1000000"/>
                  <am3d:pos x="21959998" y="70920001" z="16344003"/>
                </am3d:ptLight>
                <am3d:ptLight rad="0">
                  <am3d:clr>
                    <a:scrgbClr r="40000" g="60000" b="95000"/>
                  </am3d:clr>
                  <am3d:intensity n="12250000" d="1000000"/>
                  <am3d:pos x="-37964106" y="51130435" z="57631972"/>
                </am3d:ptLight>
                <am3d:ptLight rad="0">
                  <am3d:clr>
                    <a:scrgbClr r="86837" g="72700" b="100000"/>
                  </am3d:clr>
                  <am3d:intensity n="3125000" d="1000000"/>
                  <am3d:pos x="-37739122" y="58056624" z="-34769649"/>
                </am3d:ptLight>
              </am3d:model3d>
            </a:graphicData>
          </a:graphic>
        </xdr:graphicFrame>
      </mc:Choice>
      <mc:Fallback>
        <xdr:pic>
          <xdr:nvPicPr>
            <xdr:cNvPr id="10" name="Modelo 3D 9" descr="Flecha roja recta">
              <a:extLst>
                <a:ext uri="{FF2B5EF4-FFF2-40B4-BE49-F238E27FC236}">
                  <a16:creationId xmlns:a16="http://schemas.microsoft.com/office/drawing/2014/main" id="{BA189E42-DBBA-416C-A857-88C25FA977F3}"/>
                </a:ext>
              </a:extLst>
            </xdr:cNvPr>
            <xdr:cNvPicPr>
              <a:picLocks noGrp="1" noRot="1" noChangeAspect="1" noMove="1" noResize="1" noEditPoints="1" noAdjustHandles="1" noChangeArrowheads="1" noChangeShapeType="1" noCrop="1"/>
            </xdr:cNvPicPr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15680132" y="3368936"/>
              <a:ext cx="1436644" cy="879442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20</xdr:col>
      <xdr:colOff>124105</xdr:colOff>
      <xdr:row>21</xdr:row>
      <xdr:rowOff>177415</xdr:rowOff>
    </xdr:from>
    <xdr:to>
      <xdr:col>24</xdr:col>
      <xdr:colOff>330733</xdr:colOff>
      <xdr:row>28</xdr:row>
      <xdr:rowOff>85826</xdr:rowOff>
    </xdr:to>
    <mc:AlternateContent xmlns:mc="http://schemas.openxmlformats.org/markup-compatibility/2006">
      <mc:Choice xmlns:am3d="http://schemas.microsoft.com/office/drawing/2017/model3d" Requires="am3d">
        <xdr:graphicFrame macro="">
          <xdr:nvGraphicFramePr>
            <xdr:cNvPr id="11" name="Modelo 3D 10" descr="Flecha gruesa recta">
              <a:extLst>
                <a:ext uri="{FF2B5EF4-FFF2-40B4-BE49-F238E27FC236}">
                  <a16:creationId xmlns:a16="http://schemas.microsoft.com/office/drawing/2014/main" id="{B23CFC4A-CC9F-4708-A61B-6A6094E327F6}"/>
                </a:ext>
              </a:extLst>
            </xdr:cNvPr>
            <xdr:cNvGraphicFramePr>
              <a:graphicFrameLocks noChangeAspect="1"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7/model3d">
              <am3d:model3d xmlns:r="http://schemas.openxmlformats.org/officeDocument/2006/relationships" r:embed="rId6">
                <am3d:spPr>
                  <a:xfrm>
                    <a:off x="0" y="0"/>
                    <a:ext cx="1663953" cy="1327636"/>
                  </a:xfrm>
                  <a:prstGeom prst="rect">
                    <a:avLst/>
                  </a:prstGeom>
                </am3d:spPr>
                <am3d:camera>
                  <am3d:pos x="0" y="0" z="49265132"/>
                  <am3d:up dx="0" dy="36000000" dz="0"/>
                  <am3d:lookAt x="0" y="0" z="0"/>
                  <am3d:perspective fov="2700000"/>
                </am3d:camera>
                <am3d:trans>
                  <am3d:meterPerModelUnit n="2106943" d="1000000"/>
                  <am3d:preTrans dx="0" dy="-9860495" dz="-1482"/>
                  <am3d:scale>
                    <am3d:sx n="1000000" d="1000000"/>
                    <am3d:sy n="1000000" d="1000000"/>
                    <am3d:sz n="1000000" d="1000000"/>
                  </am3d:scale>
                  <am3d:rot ax="2452822" ay="2248487" az="1666431"/>
                  <am3d:postTrans dx="0" dy="0" dz="0"/>
                </am3d:trans>
                <am3d:raster rName="Office3DRenderer" rVer="16.0.8326">
                  <am3d:blip r:embed="rId7"/>
                </am3d:raster>
                <am3d:objViewport viewportSz="1921043"/>
                <am3d:ambientLight>
                  <am3d:clr>
                    <a:scrgbClr r="50000" g="50000" b="50000"/>
                  </am3d:clr>
                  <am3d:illuminance n="500000" d="1000000"/>
                </am3d:ambientLight>
                <am3d:ptLight rad="0">
                  <am3d:clr>
                    <a:scrgbClr r="100000" g="75000" b="50000"/>
                  </am3d:clr>
                  <am3d:intensity n="9765625" d="1000000"/>
                  <am3d:pos x="21959998" y="70920001" z="16344003"/>
                </am3d:ptLight>
                <am3d:ptLight rad="0">
                  <am3d:clr>
                    <a:scrgbClr r="40000" g="60000" b="95000"/>
                  </am3d:clr>
                  <am3d:intensity n="12250000" d="1000000"/>
                  <am3d:pos x="-37964106" y="51130435" z="57631972"/>
                </am3d:ptLight>
                <am3d:ptLight rad="0">
                  <am3d:clr>
                    <a:scrgbClr r="86837" g="72700" b="100000"/>
                  </am3d:clr>
                  <am3d:intensity n="3125000" d="1000000"/>
                  <am3d:pos x="-37739122" y="58056624" z="-34769649"/>
                </am3d:ptLight>
              </am3d:model3d>
            </a:graphicData>
          </a:graphic>
        </xdr:graphicFrame>
      </mc:Choice>
      <mc:Fallback>
        <xdr:pic>
          <xdr:nvPicPr>
            <xdr:cNvPr id="11" name="Modelo 3D 10" descr="Flecha gruesa recta">
              <a:extLst>
                <a:ext uri="{FF2B5EF4-FFF2-40B4-BE49-F238E27FC236}">
                  <a16:creationId xmlns:a16="http://schemas.microsoft.com/office/drawing/2014/main" id="{B23CFC4A-CC9F-4708-A61B-6A6094E327F6}"/>
                </a:ext>
              </a:extLst>
            </xdr:cNvPr>
            <xdr:cNvPicPr>
              <a:picLocks noGrp="1" noRot="1" noChangeAspect="1" noMove="1" noResize="1" noEditPoints="1" noAdjustHandles="1" noChangeArrowheads="1" noChangeShapeType="1" noCrop="1"/>
            </xdr:cNvPicPr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13697230" y="4149340"/>
              <a:ext cx="1663953" cy="1327636"/>
            </a:xfrm>
            <a:prstGeom prst="rect">
              <a:avLst/>
            </a:prstGeom>
          </xdr:spPr>
        </xdr:pic>
      </mc:Fallback>
    </mc:AlternateContent>
    <xdr:clientData/>
  </xdr:twoCellAnchor>
  <xdr:oneCellAnchor>
    <xdr:from>
      <xdr:col>19</xdr:col>
      <xdr:colOff>429984</xdr:colOff>
      <xdr:row>22</xdr:row>
      <xdr:rowOff>150496</xdr:rowOff>
    </xdr:from>
    <xdr:ext cx="1400175" cy="342786"/>
    <xdr:sp macro="" textlink="">
      <xdr:nvSpPr>
        <xdr:cNvPr id="12" name="CuadroTexto 11">
          <a:extLst>
            <a:ext uri="{FF2B5EF4-FFF2-40B4-BE49-F238E27FC236}">
              <a16:creationId xmlns:a16="http://schemas.microsoft.com/office/drawing/2014/main" id="{0A19789A-B844-4359-8F45-38A8C4D6FEB2}"/>
            </a:ext>
          </a:extLst>
        </xdr:cNvPr>
        <xdr:cNvSpPr txBox="1"/>
      </xdr:nvSpPr>
      <xdr:spPr>
        <a:xfrm>
          <a:off x="14396355" y="4297953"/>
          <a:ext cx="1400175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s-MX" sz="1600" b="1">
              <a:solidFill>
                <a:srgbClr val="0070C0"/>
              </a:solidFill>
            </a:rPr>
            <a:t>v</a:t>
          </a:r>
          <a:r>
            <a:rPr lang="es-MX" sz="1100" b="1">
              <a:solidFill>
                <a:srgbClr val="0070C0"/>
              </a:solidFill>
            </a:rPr>
            <a:t>R</a:t>
          </a:r>
          <a:r>
            <a:rPr lang="es-MX" sz="1600" b="1">
              <a:solidFill>
                <a:srgbClr val="0070C0"/>
              </a:solidFill>
            </a:rPr>
            <a:t>=</a:t>
          </a:r>
          <a:r>
            <a:rPr lang="es-MX" sz="1600" b="1" baseline="0">
              <a:solidFill>
                <a:srgbClr val="0070C0"/>
              </a:solidFill>
            </a:rPr>
            <a:t> </a:t>
          </a:r>
          <a:r>
            <a:rPr lang="es-MX" sz="1600" b="1">
              <a:solidFill>
                <a:srgbClr val="0070C0"/>
              </a:solidFill>
            </a:rPr>
            <a:t>v</a:t>
          </a:r>
          <a:r>
            <a:rPr lang="es-MX" sz="1100" b="1">
              <a:solidFill>
                <a:srgbClr val="0070C0"/>
              </a:solidFill>
            </a:rPr>
            <a:t>mR</a:t>
          </a:r>
          <a:r>
            <a:rPr lang="es-MX" sz="1600" b="1" baseline="0">
              <a:solidFill>
                <a:srgbClr val="0070C0"/>
              </a:solidFill>
            </a:rPr>
            <a:t> + v</a:t>
          </a:r>
          <a:r>
            <a:rPr lang="es-MX" sz="1100" b="1" baseline="0">
              <a:solidFill>
                <a:srgbClr val="0070C0"/>
              </a:solidFill>
            </a:rPr>
            <a:t>SR</a:t>
          </a:r>
          <a:endParaRPr lang="es-MX" sz="1600" b="1">
            <a:solidFill>
              <a:srgbClr val="0070C0"/>
            </a:solidFill>
          </a:endParaRP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p/Desktop/13vo%20Semestre/RESIDENCIA/Documentos%20Dr.%20Sulpicio/espesorlos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ulpicio/Documents/docencia/maestria/dise&#241;odeestructurasdeconcreto/material%20de%20apoyo/dise&#241;oporflex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PESOR DE LOSA"/>
      <sheetName val="DISEÑO DE LOSA TABLERO CRITICO"/>
    </sheetNames>
    <sheetDataSet>
      <sheetData sheetId="0">
        <row r="21">
          <cell r="F21">
            <v>0.83333333333333337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lexion"/>
      <sheetName val="Hoja3"/>
    </sheetNames>
    <sheetDataSet>
      <sheetData sheetId="0"/>
      <sheetData sheetId="1">
        <row r="13">
          <cell r="D13">
            <v>1.712900399257872</v>
          </cell>
          <cell r="E13">
            <v>0.40989948103883572</v>
          </cell>
        </row>
        <row r="14">
          <cell r="D14">
            <v>2.1974703859492761</v>
          </cell>
          <cell r="E14">
            <v>0.52188006514116259</v>
          </cell>
        </row>
        <row r="15">
          <cell r="D15">
            <v>2.6820403726406807</v>
          </cell>
          <cell r="E15">
            <v>0.63210638432532251</v>
          </cell>
        </row>
        <row r="16">
          <cell r="D16">
            <v>3.1666103593320849</v>
          </cell>
          <cell r="E16">
            <v>0.74057843859131489</v>
          </cell>
        </row>
        <row r="17">
          <cell r="D17">
            <v>3.6511803460234895</v>
          </cell>
          <cell r="E17">
            <v>0.84729622793914039</v>
          </cell>
        </row>
        <row r="18">
          <cell r="D18">
            <v>4.1357503327148937</v>
          </cell>
          <cell r="E18">
            <v>0.95225975236879823</v>
          </cell>
        </row>
        <row r="19">
          <cell r="D19">
            <v>4.6203203194062965</v>
          </cell>
          <cell r="E19">
            <v>1.0554690118802887</v>
          </cell>
        </row>
        <row r="20">
          <cell r="D20">
            <v>5.1048903060977011</v>
          </cell>
          <cell r="E20">
            <v>1.1569240064736124</v>
          </cell>
        </row>
        <row r="21">
          <cell r="D21">
            <v>5.5894602927891057</v>
          </cell>
          <cell r="E21">
            <v>1.2566247361487681</v>
          </cell>
        </row>
        <row r="22">
          <cell r="D22">
            <v>6.0740302794805103</v>
          </cell>
          <cell r="E22">
            <v>1.3545712009057571</v>
          </cell>
        </row>
        <row r="23">
          <cell r="D23">
            <v>6.5586002661719149</v>
          </cell>
          <cell r="E23">
            <v>1.4507634007445789</v>
          </cell>
        </row>
        <row r="24">
          <cell r="D24">
            <v>7.0431702528633187</v>
          </cell>
          <cell r="E24">
            <v>1.545201335665233</v>
          </cell>
        </row>
        <row r="25">
          <cell r="D25">
            <v>7.5277402395547224</v>
          </cell>
          <cell r="E25">
            <v>1.6378850056677201</v>
          </cell>
        </row>
        <row r="26">
          <cell r="D26">
            <v>8.012310226246127</v>
          </cell>
          <cell r="E26">
            <v>1.7288144107520398</v>
          </cell>
        </row>
        <row r="27">
          <cell r="D27">
            <v>8.4968802129375298</v>
          </cell>
          <cell r="E27">
            <v>1.8179895509181916</v>
          </cell>
        </row>
        <row r="28">
          <cell r="D28">
            <v>8.9814501996289362</v>
          </cell>
          <cell r="E28">
            <v>1.9054104261661777</v>
          </cell>
        </row>
        <row r="29">
          <cell r="D29">
            <v>9.4660201863203408</v>
          </cell>
          <cell r="E29">
            <v>1.991077036495996</v>
          </cell>
        </row>
        <row r="30">
          <cell r="D30">
            <v>9.9505901730117436</v>
          </cell>
          <cell r="E30">
            <v>2.0749893819076459</v>
          </cell>
        </row>
        <row r="31">
          <cell r="D31">
            <v>10.43516015970315</v>
          </cell>
          <cell r="E31">
            <v>2.1571474624011295</v>
          </cell>
        </row>
        <row r="32">
          <cell r="D32">
            <v>10.919730146394555</v>
          </cell>
          <cell r="E32">
            <v>2.2375512779764457</v>
          </cell>
        </row>
        <row r="33">
          <cell r="D33">
            <v>11.404300133085959</v>
          </cell>
          <cell r="E33">
            <v>2.3162008286335944</v>
          </cell>
        </row>
        <row r="34">
          <cell r="D34">
            <v>11.888870119777364</v>
          </cell>
          <cell r="E34">
            <v>2.3930961143725766</v>
          </cell>
        </row>
        <row r="35">
          <cell r="D35">
            <v>12.373440106468768</v>
          </cell>
          <cell r="E35">
            <v>2.4682371351933905</v>
          </cell>
        </row>
        <row r="36">
          <cell r="D36">
            <v>12.858010093160171</v>
          </cell>
          <cell r="E36">
            <v>2.5416238910960369</v>
          </cell>
        </row>
        <row r="37">
          <cell r="D37">
            <v>13.342580079851576</v>
          </cell>
          <cell r="E37">
            <v>2.6132563820805172</v>
          </cell>
        </row>
        <row r="38">
          <cell r="D38">
            <v>13.827150066542977</v>
          </cell>
          <cell r="E38">
            <v>2.6831346081468288</v>
          </cell>
        </row>
        <row r="39">
          <cell r="D39">
            <v>14.311720053234383</v>
          </cell>
          <cell r="E39">
            <v>2.7512585692949743</v>
          </cell>
        </row>
        <row r="40">
          <cell r="D40">
            <v>14.796290039925788</v>
          </cell>
          <cell r="E40">
            <v>2.8176282655249523</v>
          </cell>
        </row>
        <row r="41">
          <cell r="D41">
            <v>15.280860026617193</v>
          </cell>
          <cell r="E41">
            <v>2.8822436968367633</v>
          </cell>
        </row>
        <row r="42">
          <cell r="D42">
            <v>15.765430013308597</v>
          </cell>
          <cell r="E42">
            <v>2.945104863230406</v>
          </cell>
        </row>
        <row r="43">
          <cell r="D43">
            <v>16.25</v>
          </cell>
          <cell r="E43">
            <v>3.0062117647058826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stizapa@uagro.mx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5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6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7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248A0-7726-4102-BE31-4BB6B407392E}">
  <dimension ref="A2:H35"/>
  <sheetViews>
    <sheetView showGridLines="0" view="pageLayout" topLeftCell="A14" zoomScale="80" zoomScaleNormal="80" zoomScalePageLayoutView="80" workbookViewId="0">
      <selection activeCell="I8" sqref="I8"/>
    </sheetView>
  </sheetViews>
  <sheetFormatPr baseColWidth="10" defaultRowHeight="15"/>
  <sheetData>
    <row r="2" spans="1:8">
      <c r="A2" s="447" t="s">
        <v>368</v>
      </c>
      <c r="B2" s="448"/>
      <c r="C2" s="448"/>
      <c r="D2" s="448"/>
      <c r="E2" s="448"/>
      <c r="F2" s="449"/>
      <c r="G2" s="449"/>
      <c r="H2" s="449"/>
    </row>
    <row r="3" spans="1:8">
      <c r="A3" s="448"/>
      <c r="B3" s="448"/>
      <c r="C3" s="448"/>
      <c r="D3" s="448"/>
      <c r="E3" s="448"/>
      <c r="F3" s="449"/>
      <c r="G3" s="449"/>
      <c r="H3" s="449"/>
    </row>
    <row r="4" spans="1:8">
      <c r="A4" s="448"/>
      <c r="B4" s="448"/>
      <c r="C4" s="448"/>
      <c r="D4" s="448"/>
      <c r="E4" s="448"/>
      <c r="F4" s="449"/>
      <c r="G4" s="449"/>
      <c r="H4" s="449"/>
    </row>
    <row r="5" spans="1:8">
      <c r="A5" s="448"/>
      <c r="B5" s="448"/>
      <c r="C5" s="448"/>
      <c r="D5" s="448"/>
      <c r="E5" s="448"/>
      <c r="F5" s="449"/>
      <c r="G5" s="449"/>
      <c r="H5" s="449"/>
    </row>
    <row r="6" spans="1:8">
      <c r="D6" t="s">
        <v>373</v>
      </c>
    </row>
    <row r="10" spans="1:8">
      <c r="A10" s="101"/>
      <c r="B10" s="101"/>
      <c r="C10" s="101"/>
      <c r="D10" s="101"/>
      <c r="E10" s="101"/>
      <c r="F10" s="17"/>
      <c r="G10" s="101"/>
      <c r="H10" s="101"/>
    </row>
    <row r="11" spans="1:8">
      <c r="A11" s="101"/>
      <c r="B11" s="101"/>
      <c r="C11" s="101"/>
      <c r="D11" s="101"/>
      <c r="E11" s="101"/>
      <c r="F11" s="352">
        <f>E6</f>
        <v>0</v>
      </c>
      <c r="G11" s="101" t="s">
        <v>225</v>
      </c>
      <c r="H11" s="101"/>
    </row>
    <row r="12" spans="1:8">
      <c r="A12" s="101"/>
      <c r="B12" s="101"/>
      <c r="C12" s="101"/>
      <c r="D12" s="101"/>
      <c r="E12" s="266"/>
      <c r="F12" s="267"/>
      <c r="G12" s="440"/>
      <c r="H12" s="268">
        <f>C6</f>
        <v>0</v>
      </c>
    </row>
    <row r="13" spans="1:8">
      <c r="A13" s="101"/>
      <c r="B13" s="101"/>
      <c r="C13" s="101"/>
      <c r="D13" s="101"/>
      <c r="E13" s="266"/>
      <c r="F13" s="267"/>
      <c r="G13" s="440"/>
      <c r="H13" s="101"/>
    </row>
    <row r="14" spans="1:8">
      <c r="A14" s="101"/>
      <c r="B14" s="101"/>
      <c r="C14" s="101"/>
      <c r="D14" s="101"/>
      <c r="E14" s="101"/>
      <c r="F14" s="352">
        <f>E7</f>
        <v>0</v>
      </c>
      <c r="G14" s="101" t="s">
        <v>225</v>
      </c>
      <c r="H14" s="101"/>
    </row>
    <row r="15" spans="1:8">
      <c r="A15" s="101"/>
      <c r="B15" s="352">
        <f>E6</f>
        <v>0</v>
      </c>
      <c r="C15" s="101" t="s">
        <v>225</v>
      </c>
      <c r="D15" s="101"/>
      <c r="E15" s="262"/>
      <c r="F15" s="17"/>
      <c r="G15" s="101"/>
      <c r="H15" s="441">
        <f>C7</f>
        <v>0</v>
      </c>
    </row>
    <row r="16" spans="1:8">
      <c r="A16" s="101"/>
      <c r="B16" s="441"/>
      <c r="C16" s="101"/>
      <c r="D16" s="101"/>
      <c r="E16" s="101"/>
      <c r="F16" s="17"/>
      <c r="G16" s="101"/>
      <c r="H16" s="101"/>
    </row>
    <row r="17" spans="1:8">
      <c r="A17" s="101"/>
      <c r="B17" s="441"/>
      <c r="C17" s="101"/>
      <c r="D17" s="101"/>
      <c r="E17" s="101"/>
      <c r="F17" s="17"/>
      <c r="G17" s="101"/>
      <c r="H17" s="101"/>
    </row>
    <row r="18" spans="1:8">
      <c r="A18" s="101"/>
      <c r="B18" s="352">
        <f>E7</f>
        <v>0</v>
      </c>
      <c r="C18" s="101" t="s">
        <v>225</v>
      </c>
      <c r="D18" s="118"/>
      <c r="E18" s="117"/>
      <c r="F18" s="119"/>
      <c r="G18" s="117"/>
      <c r="H18" s="117"/>
    </row>
    <row r="19" spans="1:8">
      <c r="A19" s="117"/>
      <c r="B19" s="117"/>
      <c r="C19" s="301" t="s">
        <v>11</v>
      </c>
      <c r="D19" s="118"/>
      <c r="E19" s="117"/>
      <c r="F19" s="119"/>
      <c r="G19" s="117"/>
      <c r="H19" s="117"/>
    </row>
    <row r="20" spans="1:8">
      <c r="A20" s="117"/>
      <c r="B20" s="117"/>
      <c r="C20" s="117"/>
      <c r="D20" s="118"/>
      <c r="E20" s="117"/>
      <c r="F20" s="119"/>
      <c r="G20" s="117"/>
      <c r="H20" s="117"/>
    </row>
    <row r="21" spans="1:8">
      <c r="A21" s="117"/>
      <c r="B21" s="117"/>
      <c r="C21" s="300" t="s">
        <v>10</v>
      </c>
      <c r="D21" s="118"/>
      <c r="E21" s="117"/>
      <c r="F21" s="119"/>
      <c r="G21" s="117"/>
      <c r="H21" s="117"/>
    </row>
    <row r="22" spans="1:8">
      <c r="A22" s="101"/>
      <c r="B22" s="101"/>
      <c r="C22" s="101"/>
      <c r="D22" s="101"/>
      <c r="E22" s="17"/>
      <c r="F22" s="354">
        <f>E6</f>
        <v>0</v>
      </c>
      <c r="G22" s="101" t="s">
        <v>225</v>
      </c>
      <c r="H22" s="101"/>
    </row>
    <row r="23" spans="1:8">
      <c r="A23" s="101"/>
      <c r="B23" s="101"/>
      <c r="C23" s="101"/>
      <c r="D23" s="101"/>
      <c r="E23" s="17"/>
      <c r="F23" s="101"/>
      <c r="G23" s="101"/>
      <c r="H23" s="101"/>
    </row>
    <row r="24" spans="1:8">
      <c r="A24" s="101"/>
      <c r="B24" s="101"/>
      <c r="C24" s="353">
        <f>F6</f>
        <v>0</v>
      </c>
      <c r="D24" s="101" t="s">
        <v>225</v>
      </c>
      <c r="E24" s="17"/>
      <c r="F24" s="101"/>
      <c r="G24" s="101"/>
      <c r="H24" s="101"/>
    </row>
    <row r="25" spans="1:8">
      <c r="A25" s="101"/>
      <c r="B25" s="101"/>
      <c r="C25" s="101"/>
      <c r="D25" s="101"/>
      <c r="E25" s="17"/>
      <c r="F25" s="101"/>
      <c r="G25" s="101"/>
      <c r="H25" s="101"/>
    </row>
    <row r="26" spans="1:8">
      <c r="A26" s="117"/>
      <c r="B26" s="117"/>
      <c r="C26" s="117"/>
      <c r="D26" s="117"/>
      <c r="E26" s="119"/>
      <c r="F26" s="355">
        <f>E7</f>
        <v>0</v>
      </c>
      <c r="G26" s="101" t="s">
        <v>225</v>
      </c>
      <c r="H26" s="101"/>
    </row>
    <row r="27" spans="1:8">
      <c r="A27" s="120"/>
      <c r="B27" s="120"/>
      <c r="C27" s="120"/>
      <c r="D27" s="120"/>
      <c r="E27" s="121"/>
      <c r="F27" s="117"/>
      <c r="G27" s="101"/>
      <c r="H27" s="101"/>
    </row>
    <row r="28" spans="1:8">
      <c r="A28" s="122"/>
      <c r="B28" s="122"/>
      <c r="C28" s="355">
        <f>F7</f>
        <v>0</v>
      </c>
      <c r="D28" s="208" t="s">
        <v>225</v>
      </c>
      <c r="E28" s="124"/>
      <c r="F28" s="117"/>
      <c r="G28" s="101"/>
      <c r="H28" s="101"/>
    </row>
    <row r="29" spans="1:8">
      <c r="A29" s="122"/>
      <c r="B29" s="122"/>
      <c r="C29" s="123"/>
      <c r="D29" s="123"/>
      <c r="E29" s="124"/>
      <c r="F29" s="117"/>
      <c r="G29" s="101"/>
      <c r="H29" s="101"/>
    </row>
    <row r="30" spans="1:8">
      <c r="A30" s="125"/>
      <c r="B30" s="125"/>
      <c r="C30" s="123"/>
      <c r="D30" s="122"/>
      <c r="E30" s="126"/>
      <c r="F30" s="117"/>
      <c r="G30" s="101"/>
      <c r="H30" s="101"/>
    </row>
    <row r="31" spans="1:8">
      <c r="A31" s="442" t="s">
        <v>374</v>
      </c>
      <c r="B31" s="101"/>
      <c r="C31" s="101"/>
      <c r="D31" s="101"/>
    </row>
    <row r="32" spans="1:8">
      <c r="A32" s="442" t="s">
        <v>369</v>
      </c>
      <c r="B32" s="101"/>
      <c r="C32" s="101"/>
      <c r="D32" s="101"/>
    </row>
    <row r="33" spans="1:4">
      <c r="A33" s="443" t="s">
        <v>370</v>
      </c>
      <c r="B33" s="101"/>
      <c r="C33" s="101"/>
      <c r="D33" s="101"/>
    </row>
    <row r="34" spans="1:4">
      <c r="A34" s="444" t="s">
        <v>371</v>
      </c>
      <c r="B34" s="101"/>
      <c r="C34" s="445" t="s">
        <v>372</v>
      </c>
      <c r="D34" s="446"/>
    </row>
    <row r="35" spans="1:4">
      <c r="A35" s="101"/>
      <c r="B35" s="101"/>
      <c r="C35" s="101"/>
      <c r="D35" s="101"/>
    </row>
  </sheetData>
  <mergeCells count="1">
    <mergeCell ref="A2:H5"/>
  </mergeCells>
  <hyperlinks>
    <hyperlink ref="C34" r:id="rId1" xr:uid="{CA204834-937A-4E65-85B7-32FE42F90F3F}"/>
  </hyperlinks>
  <pageMargins left="0.7" right="0.7" top="0.75" bottom="0.75" header="0.3" footer="0.3"/>
  <pageSetup orientation="landscape" r:id="rId2"/>
  <headerFooter>
    <oddHeader>&amp;CDCM</oddHeader>
    <oddFooter>&amp;C&amp;"-,Negrita"Proyecto: Equipo 1</oddFooter>
  </headerFooter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4401B-3A95-4415-A221-EE9B5767F1EF}">
  <sheetPr>
    <tabColor theme="4" tint="0.79998168889431442"/>
  </sheetPr>
  <dimension ref="A1:L45"/>
  <sheetViews>
    <sheetView showGridLines="0" topLeftCell="A26" zoomScaleNormal="100" workbookViewId="0">
      <selection activeCell="G43" sqref="G43"/>
    </sheetView>
  </sheetViews>
  <sheetFormatPr baseColWidth="10" defaultColWidth="11.5703125" defaultRowHeight="15"/>
  <cols>
    <col min="1" max="3" width="7.42578125" customWidth="1"/>
    <col min="4" max="4" width="10" customWidth="1"/>
    <col min="5" max="5" width="7.42578125" customWidth="1"/>
    <col min="6" max="6" width="15" customWidth="1"/>
    <col min="7" max="7" width="9.42578125" customWidth="1"/>
    <col min="8" max="8" width="22.5703125" customWidth="1"/>
  </cols>
  <sheetData>
    <row r="1" spans="1:12">
      <c r="A1" s="204" t="s">
        <v>299</v>
      </c>
    </row>
    <row r="2" spans="1:12">
      <c r="B2" t="s">
        <v>185</v>
      </c>
    </row>
    <row r="7" spans="1:12">
      <c r="B7" t="s">
        <v>95</v>
      </c>
    </row>
    <row r="10" spans="1:12">
      <c r="I10" s="101"/>
    </row>
    <row r="11" spans="1:12">
      <c r="I11" s="219"/>
      <c r="J11" s="219"/>
      <c r="K11" s="219"/>
      <c r="L11" s="219"/>
    </row>
    <row r="12" spans="1:12">
      <c r="A12" t="s">
        <v>184</v>
      </c>
      <c r="I12" s="219"/>
      <c r="J12" s="219"/>
      <c r="K12" s="219"/>
      <c r="L12" s="219"/>
    </row>
    <row r="13" spans="1:12">
      <c r="A13" s="10" t="s">
        <v>157</v>
      </c>
      <c r="B13" s="193">
        <f>'2. Espesor mínimo de losa.'!C41</f>
        <v>8</v>
      </c>
      <c r="C13" s="198" t="s">
        <v>158</v>
      </c>
    </row>
    <row r="14" spans="1:12" ht="18">
      <c r="A14" s="10" t="s">
        <v>278</v>
      </c>
      <c r="B14" s="193">
        <v>0.75</v>
      </c>
      <c r="C14" s="198"/>
    </row>
    <row r="15" spans="1:12">
      <c r="A15" s="10" t="s">
        <v>160</v>
      </c>
      <c r="B15" s="193">
        <v>100</v>
      </c>
      <c r="C15" s="198" t="s">
        <v>158</v>
      </c>
    </row>
    <row r="16" spans="1:12" ht="18.75">
      <c r="A16" s="10" t="s">
        <v>279</v>
      </c>
      <c r="B16" s="193">
        <v>250</v>
      </c>
      <c r="C16" s="198" t="s">
        <v>161</v>
      </c>
    </row>
    <row r="17" spans="1:8" ht="19.899999999999999" customHeight="1"/>
    <row r="18" spans="1:8">
      <c r="A18" t="s">
        <v>145</v>
      </c>
    </row>
    <row r="19" spans="1:8" ht="18.75">
      <c r="B19" s="374" t="s">
        <v>277</v>
      </c>
      <c r="C19" s="220">
        <f>0.5*B14*B15*B13*SQRT(B16)</f>
        <v>4743.416490252569</v>
      </c>
    </row>
    <row r="20" spans="1:8" ht="15.75" thickBot="1"/>
    <row r="21" spans="1:8" ht="15.75" thickBot="1">
      <c r="A21" s="585" t="s">
        <v>162</v>
      </c>
      <c r="B21" s="586"/>
      <c r="C21" s="586"/>
      <c r="D21" s="586"/>
      <c r="E21" s="586"/>
      <c r="F21" s="586"/>
      <c r="G21" s="586"/>
      <c r="H21" s="587"/>
    </row>
    <row r="22" spans="1:8" ht="19.5" thickBot="1">
      <c r="A22" s="231" t="s">
        <v>146</v>
      </c>
      <c r="B22" s="372" t="s">
        <v>274</v>
      </c>
      <c r="C22" s="372" t="s">
        <v>275</v>
      </c>
      <c r="D22" s="372" t="s">
        <v>276</v>
      </c>
      <c r="E22" s="232" t="s">
        <v>147</v>
      </c>
      <c r="F22" s="232" t="s">
        <v>164</v>
      </c>
      <c r="G22" s="233" t="s">
        <v>302</v>
      </c>
      <c r="H22" s="373" t="s">
        <v>303</v>
      </c>
    </row>
    <row r="23" spans="1:8">
      <c r="A23" s="286" t="s">
        <v>148</v>
      </c>
      <c r="B23" s="225">
        <v>3.5</v>
      </c>
      <c r="C23" s="225">
        <v>4.1749999999999998</v>
      </c>
      <c r="D23" s="225">
        <f>MROUND(B23/C23,0.05)</f>
        <v>0.85000000000000009</v>
      </c>
      <c r="E23" s="366">
        <f>1.4*'2. Espesor mínimo de losa.'!$C$65</f>
        <v>785.4</v>
      </c>
      <c r="F23" s="367">
        <f>E23*(B23)^2/10000</f>
        <v>0.96211499999999994</v>
      </c>
      <c r="G23" s="225">
        <f t="shared" ref="G23:G33" si="0">(D23/2-$B$13/100)*1.4*E23/(1+D23^6)</f>
        <v>275.45897935986858</v>
      </c>
      <c r="H23" s="228" t="str">
        <f t="shared" ref="H23:H33" si="1">IF(G23&lt;=$C$19,"Se acepta peralte de losa","Aumentar peralte de losa")</f>
        <v>Se acepta peralte de losa</v>
      </c>
    </row>
    <row r="24" spans="1:8">
      <c r="A24" s="287" t="s">
        <v>9</v>
      </c>
      <c r="B24" s="223">
        <v>1.35</v>
      </c>
      <c r="C24" s="223">
        <v>2.0499999999999998</v>
      </c>
      <c r="D24" s="223">
        <f t="shared" ref="D24:D33" si="2">MROUND(B24/C24,0.05)</f>
        <v>0.65</v>
      </c>
      <c r="E24" s="224">
        <f>1.4*'2. Espesor mínimo de losa.'!$C$65</f>
        <v>785.4</v>
      </c>
      <c r="F24" s="223">
        <f t="shared" ref="F24:F32" si="3">E24*(B24)^2/10000</f>
        <v>0.14313915000000002</v>
      </c>
      <c r="G24" s="223">
        <f t="shared" si="0"/>
        <v>250.49978417566908</v>
      </c>
      <c r="H24" s="229" t="str">
        <f t="shared" si="1"/>
        <v>Se acepta peralte de losa</v>
      </c>
    </row>
    <row r="25" spans="1:8">
      <c r="A25" s="287" t="s">
        <v>149</v>
      </c>
      <c r="B25" s="223">
        <v>1.35</v>
      </c>
      <c r="C25" s="223">
        <v>2.0499999999999998</v>
      </c>
      <c r="D25" s="223">
        <f t="shared" si="2"/>
        <v>0.65</v>
      </c>
      <c r="E25" s="224">
        <f>1.4*'2. Espesor mínimo de losa.'!$C$65</f>
        <v>785.4</v>
      </c>
      <c r="F25" s="223">
        <f t="shared" si="3"/>
        <v>0.14313915000000002</v>
      </c>
      <c r="G25" s="223">
        <f t="shared" si="0"/>
        <v>250.49978417566908</v>
      </c>
      <c r="H25" s="229" t="str">
        <f t="shared" si="1"/>
        <v>Se acepta peralte de losa</v>
      </c>
    </row>
    <row r="26" spans="1:8">
      <c r="A26" s="288" t="s">
        <v>150</v>
      </c>
      <c r="B26" s="223">
        <v>1.1499999999999999</v>
      </c>
      <c r="C26" s="223">
        <v>3.9</v>
      </c>
      <c r="D26" s="223">
        <f t="shared" si="2"/>
        <v>0.30000000000000004</v>
      </c>
      <c r="E26" s="224">
        <f>1.4*'2. Espesor mínimo de losa.'!$C$65</f>
        <v>785.4</v>
      </c>
      <c r="F26" s="223">
        <f t="shared" si="3"/>
        <v>0.10386914999999999</v>
      </c>
      <c r="G26" s="223">
        <f t="shared" si="0"/>
        <v>76.913130327990913</v>
      </c>
      <c r="H26" s="229" t="str">
        <f t="shared" si="1"/>
        <v>Se acepta peralte de losa</v>
      </c>
    </row>
    <row r="27" spans="1:8">
      <c r="A27" s="287" t="s">
        <v>151</v>
      </c>
      <c r="B27" s="223">
        <v>2.75</v>
      </c>
      <c r="C27" s="223">
        <v>3.35</v>
      </c>
      <c r="D27" s="223">
        <f t="shared" si="2"/>
        <v>0.8</v>
      </c>
      <c r="E27" s="224">
        <f>1.4*'2. Espesor mínimo de losa.'!$C$65</f>
        <v>785.4</v>
      </c>
      <c r="F27" s="223">
        <f t="shared" si="3"/>
        <v>0.59395874999999998</v>
      </c>
      <c r="G27" s="223">
        <f t="shared" si="0"/>
        <v>278.77896658384452</v>
      </c>
      <c r="H27" s="229" t="str">
        <f t="shared" si="1"/>
        <v>Se acepta peralte de losa</v>
      </c>
    </row>
    <row r="28" spans="1:8">
      <c r="A28" s="287" t="s">
        <v>152</v>
      </c>
      <c r="B28" s="223">
        <v>2.0249999999999999</v>
      </c>
      <c r="C28" s="223">
        <v>2.8</v>
      </c>
      <c r="D28" s="223">
        <f t="shared" si="2"/>
        <v>0.70000000000000007</v>
      </c>
      <c r="E28" s="224">
        <f>1.4*'2. Espesor mínimo de losa.'!$C$65</f>
        <v>785.4</v>
      </c>
      <c r="F28" s="223">
        <f t="shared" si="3"/>
        <v>0.32206308749999996</v>
      </c>
      <c r="G28" s="223">
        <f t="shared" si="0"/>
        <v>265.6300860109032</v>
      </c>
      <c r="H28" s="229" t="str">
        <f t="shared" si="1"/>
        <v>Se acepta peralte de losa</v>
      </c>
    </row>
    <row r="29" spans="1:8">
      <c r="A29" s="287" t="s">
        <v>153</v>
      </c>
      <c r="B29" s="223">
        <v>2.35</v>
      </c>
      <c r="C29" s="223">
        <v>3.35</v>
      </c>
      <c r="D29" s="223">
        <f t="shared" si="2"/>
        <v>0.70000000000000007</v>
      </c>
      <c r="E29" s="224">
        <f>1.4*'2. Espesor mínimo de losa.'!$C$65</f>
        <v>785.4</v>
      </c>
      <c r="F29" s="223">
        <f t="shared" si="3"/>
        <v>0.43373715000000002</v>
      </c>
      <c r="G29" s="223">
        <f t="shared" si="0"/>
        <v>265.6300860109032</v>
      </c>
      <c r="H29" s="229" t="str">
        <f t="shared" si="1"/>
        <v>Se acepta peralte de losa</v>
      </c>
    </row>
    <row r="30" spans="1:8">
      <c r="A30" s="287" t="s">
        <v>154</v>
      </c>
      <c r="B30" s="223">
        <v>3.4</v>
      </c>
      <c r="C30" s="223">
        <v>3.4449999999999998</v>
      </c>
      <c r="D30" s="223">
        <f t="shared" si="2"/>
        <v>1</v>
      </c>
      <c r="E30" s="224">
        <f>1.4*'2. Espesor mínimo de losa.'!$C$65</f>
        <v>785.4</v>
      </c>
      <c r="F30" s="223">
        <f>E30*(B30)^2/10000</f>
        <v>0.9079223999999998</v>
      </c>
      <c r="G30" s="223">
        <f t="shared" si="0"/>
        <v>230.90759999999997</v>
      </c>
      <c r="H30" s="229" t="str">
        <f t="shared" si="1"/>
        <v>Se acepta peralte de losa</v>
      </c>
    </row>
    <row r="31" spans="1:8">
      <c r="A31" s="287" t="s">
        <v>155</v>
      </c>
      <c r="B31" s="223">
        <v>2.8</v>
      </c>
      <c r="C31" s="223">
        <v>3.4449999999999998</v>
      </c>
      <c r="D31" s="223">
        <f t="shared" si="2"/>
        <v>0.8</v>
      </c>
      <c r="E31" s="224">
        <f>1.4*'2. Espesor mínimo de losa.'!$C$65</f>
        <v>785.4</v>
      </c>
      <c r="F31" s="223">
        <f t="shared" si="3"/>
        <v>0.6157535999999999</v>
      </c>
      <c r="G31" s="223">
        <f t="shared" si="0"/>
        <v>278.77896658384452</v>
      </c>
      <c r="H31" s="229" t="str">
        <f t="shared" si="1"/>
        <v>Se acepta peralte de losa</v>
      </c>
    </row>
    <row r="32" spans="1:8">
      <c r="A32" s="288" t="s">
        <v>10</v>
      </c>
      <c r="B32" s="223">
        <v>1.35</v>
      </c>
      <c r="C32" s="223">
        <v>3.12</v>
      </c>
      <c r="D32" s="223">
        <f t="shared" si="2"/>
        <v>0.45</v>
      </c>
      <c r="E32" s="224">
        <f>1.4*'2. Espesor mínimo de losa.'!$C$65</f>
        <v>785.4</v>
      </c>
      <c r="F32" s="223">
        <f t="shared" si="3"/>
        <v>0.14313915000000002</v>
      </c>
      <c r="G32" s="223">
        <f t="shared" si="0"/>
        <v>158.12318215550155</v>
      </c>
      <c r="H32" s="229" t="str">
        <f t="shared" si="1"/>
        <v>Se acepta peralte de losa</v>
      </c>
    </row>
    <row r="33" spans="1:8" ht="15.75" thickBot="1">
      <c r="A33" s="289" t="s">
        <v>156</v>
      </c>
      <c r="B33" s="226">
        <v>1.85</v>
      </c>
      <c r="C33" s="226">
        <v>3.12</v>
      </c>
      <c r="D33" s="226">
        <f t="shared" si="2"/>
        <v>0.60000000000000009</v>
      </c>
      <c r="E33" s="227">
        <f>1.4*'2. Espesor mínimo de losa.'!$C$65</f>
        <v>785.4</v>
      </c>
      <c r="F33" s="226">
        <f>E33*(B33)^2/10000</f>
        <v>0.26880314999999999</v>
      </c>
      <c r="G33" s="226">
        <f t="shared" si="0"/>
        <v>231.12006237006236</v>
      </c>
      <c r="H33" s="230" t="str">
        <f t="shared" si="1"/>
        <v>Se acepta peralte de losa</v>
      </c>
    </row>
    <row r="35" spans="1:8">
      <c r="B35" t="s">
        <v>187</v>
      </c>
    </row>
    <row r="37" spans="1:8">
      <c r="C37" s="201" t="s">
        <v>245</v>
      </c>
      <c r="D37" s="193">
        <v>580</v>
      </c>
    </row>
    <row r="39" spans="1:8">
      <c r="B39" s="30" t="s">
        <v>167</v>
      </c>
      <c r="C39" s="200">
        <v>780</v>
      </c>
      <c r="D39" s="198" t="s">
        <v>165</v>
      </c>
    </row>
    <row r="41" spans="1:8" ht="17.25">
      <c r="B41" s="30" t="s">
        <v>181</v>
      </c>
      <c r="C41" s="199">
        <v>3.17</v>
      </c>
      <c r="D41" t="s">
        <v>220</v>
      </c>
    </row>
    <row r="43" spans="1:8" ht="17.25">
      <c r="B43" t="s">
        <v>280</v>
      </c>
      <c r="G43" s="290">
        <f>(B15*0.71)/C41</f>
        <v>22.397476340694006</v>
      </c>
      <c r="H43" t="s">
        <v>158</v>
      </c>
    </row>
    <row r="44" spans="1:8" ht="7.15" customHeight="1"/>
    <row r="45" spans="1:8">
      <c r="B45" s="30" t="s">
        <v>182</v>
      </c>
      <c r="C45" s="205">
        <f>IF(G43&lt;20,G43,20)</f>
        <v>20</v>
      </c>
      <c r="D45" t="s">
        <v>158</v>
      </c>
      <c r="E45" s="30"/>
      <c r="F45" s="204"/>
    </row>
  </sheetData>
  <mergeCells count="1">
    <mergeCell ref="A21:H21"/>
  </mergeCells>
  <conditionalFormatting sqref="G23:G33">
    <cfRule type="cellIs" dxfId="0" priority="1" operator="greaterThan">
      <formula>$C$19</formula>
    </cfRule>
  </conditionalFormatting>
  <printOptions horizontalCentered="1"/>
  <pageMargins left="0.70866141732283472" right="0.70866141732283472" top="0.74803149606299213" bottom="0.74803149606299213" header="0.31496062992125984" footer="0.31496062992125984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066EB6-8AEE-4425-A4A2-AC1EBD673DFC}">
  <sheetPr>
    <tabColor theme="6" tint="0.79998168889431442"/>
  </sheetPr>
  <dimension ref="A1:M46"/>
  <sheetViews>
    <sheetView showGridLines="0" topLeftCell="A9" zoomScaleNormal="100" workbookViewId="0">
      <selection activeCell="G7" sqref="G7"/>
    </sheetView>
  </sheetViews>
  <sheetFormatPr baseColWidth="10" defaultRowHeight="15"/>
  <sheetData>
    <row r="1" spans="1:13">
      <c r="A1" s="101" t="s">
        <v>168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</row>
    <row r="2" spans="1:1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</row>
    <row r="3" spans="1:13">
      <c r="A3" s="193" t="s">
        <v>109</v>
      </c>
      <c r="B3" s="101"/>
      <c r="C3" s="101"/>
      <c r="D3" s="101" t="s">
        <v>183</v>
      </c>
      <c r="E3" s="101"/>
      <c r="F3" s="101"/>
      <c r="G3" s="101"/>
      <c r="H3" s="101"/>
      <c r="I3" s="101"/>
      <c r="J3" s="101"/>
      <c r="K3" s="101"/>
      <c r="L3" s="101"/>
      <c r="M3" s="101"/>
    </row>
    <row r="4" spans="1:13">
      <c r="A4" s="206" t="s">
        <v>169</v>
      </c>
      <c r="B4" s="122">
        <v>2</v>
      </c>
      <c r="C4" s="101"/>
      <c r="D4" s="101"/>
      <c r="E4" s="101"/>
      <c r="F4" s="101"/>
      <c r="G4" s="101"/>
      <c r="H4" s="101"/>
      <c r="I4" s="101"/>
      <c r="J4" s="101"/>
      <c r="K4" s="101"/>
      <c r="L4" s="101"/>
      <c r="M4" s="101"/>
    </row>
    <row r="5" spans="1:13" ht="18">
      <c r="A5" s="206" t="s">
        <v>163</v>
      </c>
      <c r="B5" s="122">
        <v>10</v>
      </c>
      <c r="C5" s="101" t="s">
        <v>158</v>
      </c>
      <c r="D5" s="209" t="s">
        <v>170</v>
      </c>
      <c r="E5" s="207">
        <f>IF(B8&lt;=250,0.85,1.05-B8/1400)</f>
        <v>0.85</v>
      </c>
      <c r="F5" s="101"/>
      <c r="G5" s="101"/>
      <c r="H5" s="101"/>
      <c r="I5" s="101"/>
      <c r="J5" s="101"/>
      <c r="K5" s="101"/>
      <c r="L5" s="101"/>
      <c r="M5" s="101"/>
    </row>
    <row r="6" spans="1:13">
      <c r="A6" s="206" t="s">
        <v>160</v>
      </c>
      <c r="B6" s="122">
        <v>100</v>
      </c>
      <c r="C6" s="101" t="s">
        <v>158</v>
      </c>
      <c r="D6" s="206" t="s">
        <v>171</v>
      </c>
      <c r="E6" s="207">
        <f>0.85*B8</f>
        <v>212.5</v>
      </c>
      <c r="F6" s="101"/>
      <c r="G6" s="101"/>
      <c r="H6" s="101"/>
      <c r="I6" s="101"/>
      <c r="J6" s="101"/>
      <c r="K6" s="101"/>
      <c r="L6" s="101"/>
      <c r="M6" s="101"/>
    </row>
    <row r="7" spans="1:13" ht="18">
      <c r="A7" s="206" t="s">
        <v>172</v>
      </c>
      <c r="B7" s="122">
        <v>2</v>
      </c>
      <c r="C7" s="101" t="s">
        <v>158</v>
      </c>
      <c r="D7" s="209" t="s">
        <v>173</v>
      </c>
      <c r="E7" s="208">
        <f>E6*6000*E5/(B9*(B9+6000))</f>
        <v>2.5297619047619048E-2</v>
      </c>
      <c r="F7" s="101"/>
      <c r="G7" s="101"/>
      <c r="H7" s="101"/>
      <c r="I7" s="101"/>
      <c r="J7" s="101"/>
      <c r="K7" s="101"/>
      <c r="L7" s="101"/>
      <c r="M7" s="101"/>
    </row>
    <row r="8" spans="1:13" ht="18.75">
      <c r="A8" s="206" t="s">
        <v>279</v>
      </c>
      <c r="B8" s="122">
        <v>250</v>
      </c>
      <c r="C8" s="198" t="s">
        <v>161</v>
      </c>
      <c r="D8" s="209" t="s">
        <v>174</v>
      </c>
      <c r="E8" s="208">
        <f>IF(B4=2,0.9*E7,IF(B4=3,0.75*E7,0.025))</f>
        <v>2.2767857142857145E-2</v>
      </c>
      <c r="F8" s="101"/>
      <c r="G8" s="101"/>
      <c r="H8" s="101"/>
      <c r="I8" s="101"/>
      <c r="J8" s="101"/>
      <c r="K8" s="101"/>
      <c r="L8" s="101"/>
      <c r="M8" s="101"/>
    </row>
    <row r="9" spans="1:13" ht="18.75">
      <c r="A9" s="206" t="s">
        <v>281</v>
      </c>
      <c r="B9" s="122">
        <v>4200</v>
      </c>
      <c r="C9" s="198" t="s">
        <v>161</v>
      </c>
      <c r="D9" s="209" t="s">
        <v>175</v>
      </c>
      <c r="E9" s="208">
        <f>0.7*SQRT(B8)/B9</f>
        <v>2.6352313834736491E-3</v>
      </c>
      <c r="F9" s="101"/>
      <c r="G9" s="101"/>
      <c r="H9" s="101"/>
      <c r="I9" s="101"/>
      <c r="J9" s="101"/>
      <c r="K9" s="101"/>
      <c r="L9" s="101"/>
      <c r="M9" s="101"/>
    </row>
    <row r="10" spans="1:13">
      <c r="A10" s="101"/>
      <c r="B10" s="101"/>
      <c r="C10" s="101"/>
      <c r="D10" s="209" t="s">
        <v>176</v>
      </c>
      <c r="E10" s="208">
        <f>(E8-E9)/30</f>
        <v>6.7108752531278319E-4</v>
      </c>
      <c r="F10" s="101"/>
      <c r="G10" s="101"/>
      <c r="H10" s="101"/>
      <c r="I10" s="101"/>
      <c r="J10" s="101"/>
      <c r="K10" s="101"/>
      <c r="L10" s="101"/>
      <c r="M10" s="101"/>
    </row>
    <row r="11" spans="1:13" ht="15.75" thickBot="1">
      <c r="A11" s="101"/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</row>
    <row r="12" spans="1:13" ht="18" thickBot="1">
      <c r="A12" s="210" t="s">
        <v>177</v>
      </c>
      <c r="B12" s="211" t="s">
        <v>178</v>
      </c>
      <c r="C12" s="212" t="s">
        <v>179</v>
      </c>
      <c r="D12" s="213" t="s">
        <v>282</v>
      </c>
      <c r="E12" s="214" t="s">
        <v>180</v>
      </c>
      <c r="F12" s="101"/>
      <c r="G12" s="101"/>
      <c r="H12" s="101"/>
      <c r="I12" s="101"/>
      <c r="J12" s="101"/>
      <c r="K12" s="101"/>
      <c r="L12" s="101"/>
      <c r="M12" s="101"/>
    </row>
    <row r="13" spans="1:13">
      <c r="A13" s="114">
        <v>1</v>
      </c>
      <c r="B13" s="215">
        <f>E9</f>
        <v>2.6352313834736491E-3</v>
      </c>
      <c r="C13" s="215">
        <f>B13*$B$9/$E$6</f>
        <v>5.2084573226302715E-2</v>
      </c>
      <c r="D13" s="110">
        <f>B13*$B$6*($B$5-$B$7)</f>
        <v>2.1081851067789192</v>
      </c>
      <c r="E13" s="158">
        <f>0.9*D13*$B$9*($B$5-$B$7)*(1-0.5*C13)/100000</f>
        <v>0.62091282334876874</v>
      </c>
      <c r="F13" s="11"/>
      <c r="G13" s="202"/>
      <c r="H13" s="11"/>
      <c r="I13" s="101"/>
      <c r="J13" s="101"/>
      <c r="K13" s="101"/>
      <c r="L13" s="101"/>
      <c r="M13" s="101"/>
    </row>
    <row r="14" spans="1:13">
      <c r="A14" s="116">
        <f>A13+1</f>
        <v>2</v>
      </c>
      <c r="B14" s="216">
        <f>$E$9+(A14-1)*$E$10</f>
        <v>3.3063189087864323E-3</v>
      </c>
      <c r="C14" s="216">
        <f t="shared" ref="C14:C43" si="0">B14*$B$9/$E$6</f>
        <v>6.5348420785425965E-2</v>
      </c>
      <c r="D14" s="8">
        <f t="shared" ref="D14:D43" si="1">B14*$B$6*($B$5-$B$7)</f>
        <v>2.645055127029146</v>
      </c>
      <c r="E14" s="156">
        <f t="shared" ref="E14:E43" si="2">0.9*D14*$B$9*($B$5-$B$7)*(1-0.5*C14)/100000</f>
        <v>0.77372972388682126</v>
      </c>
      <c r="F14" s="11"/>
      <c r="G14" s="11"/>
      <c r="H14" s="11"/>
      <c r="I14" s="101"/>
      <c r="J14" s="101"/>
      <c r="K14" s="101"/>
      <c r="L14" s="101"/>
      <c r="M14" s="101"/>
    </row>
    <row r="15" spans="1:13">
      <c r="A15" s="116">
        <f t="shared" ref="A15:A43" si="3">A14+1</f>
        <v>3</v>
      </c>
      <c r="B15" s="216">
        <f t="shared" ref="B15:B42" si="4">$E$9+(A15-1)*$E$10</f>
        <v>3.9774064340992159E-3</v>
      </c>
      <c r="C15" s="216">
        <f t="shared" si="0"/>
        <v>7.8612268344549222E-2</v>
      </c>
      <c r="D15" s="8">
        <f t="shared" si="1"/>
        <v>3.1819251472793728</v>
      </c>
      <c r="E15" s="156">
        <f t="shared" si="2"/>
        <v>0.92439324548351676</v>
      </c>
      <c r="F15" s="11"/>
      <c r="G15" s="11"/>
      <c r="H15" s="11"/>
      <c r="I15" s="101"/>
      <c r="J15" s="101"/>
      <c r="K15" s="101"/>
      <c r="L15" s="101"/>
      <c r="M15" s="101"/>
    </row>
    <row r="16" spans="1:13">
      <c r="A16" s="116">
        <f t="shared" si="3"/>
        <v>4</v>
      </c>
      <c r="B16" s="216">
        <f t="shared" si="4"/>
        <v>4.6484939594119987E-3</v>
      </c>
      <c r="C16" s="216">
        <f t="shared" si="0"/>
        <v>9.1876115903672437E-2</v>
      </c>
      <c r="D16" s="8">
        <f t="shared" si="1"/>
        <v>3.7187951675295992</v>
      </c>
      <c r="E16" s="156">
        <f t="shared" si="2"/>
        <v>1.072903388138855</v>
      </c>
      <c r="F16" s="11"/>
      <c r="G16" s="11"/>
      <c r="H16" s="11"/>
      <c r="I16" s="101"/>
      <c r="J16" s="101"/>
      <c r="K16" s="101"/>
      <c r="L16" s="101"/>
      <c r="M16" s="101"/>
    </row>
    <row r="17" spans="1:13">
      <c r="A17" s="116">
        <f t="shared" si="3"/>
        <v>5</v>
      </c>
      <c r="B17" s="216">
        <f t="shared" si="4"/>
        <v>5.3195814847247815E-3</v>
      </c>
      <c r="C17" s="216">
        <f t="shared" si="0"/>
        <v>0.10513996346279568</v>
      </c>
      <c r="D17" s="8">
        <f t="shared" si="1"/>
        <v>4.2556651877798251</v>
      </c>
      <c r="E17" s="156">
        <f t="shared" si="2"/>
        <v>1.2192601518528361</v>
      </c>
      <c r="F17" s="11"/>
      <c r="G17" s="11"/>
      <c r="H17" s="11"/>
      <c r="I17" s="101"/>
      <c r="J17" s="101"/>
      <c r="K17" s="101"/>
      <c r="L17" s="101"/>
      <c r="M17" s="101"/>
    </row>
    <row r="18" spans="1:13">
      <c r="A18" s="116">
        <f t="shared" si="3"/>
        <v>6</v>
      </c>
      <c r="B18" s="216">
        <f t="shared" si="4"/>
        <v>5.9906690100375651E-3</v>
      </c>
      <c r="C18" s="216">
        <f t="shared" si="0"/>
        <v>0.11840381102191894</v>
      </c>
      <c r="D18" s="8">
        <f t="shared" si="1"/>
        <v>4.7925352080300518</v>
      </c>
      <c r="E18" s="156">
        <f>0.9*D18*$B$9*($B$5-$B$7)*(1-0.5*C18)/100000</f>
        <v>1.3634635366254602</v>
      </c>
      <c r="F18" s="11"/>
      <c r="G18" s="11"/>
      <c r="H18" s="11"/>
      <c r="I18" s="101"/>
      <c r="J18" s="101"/>
      <c r="K18" s="101"/>
      <c r="L18" s="101"/>
      <c r="M18" s="101"/>
    </row>
    <row r="19" spans="1:13">
      <c r="A19" s="116">
        <f t="shared" si="3"/>
        <v>7</v>
      </c>
      <c r="B19" s="216">
        <f t="shared" si="4"/>
        <v>6.6617565353503487E-3</v>
      </c>
      <c r="C19" s="216">
        <f t="shared" si="0"/>
        <v>0.13166765858104218</v>
      </c>
      <c r="D19" s="8">
        <f t="shared" si="1"/>
        <v>5.3294052282802786</v>
      </c>
      <c r="E19" s="156">
        <f t="shared" si="2"/>
        <v>1.5055135424567272</v>
      </c>
      <c r="F19" s="11"/>
      <c r="G19" s="11"/>
      <c r="H19" s="11"/>
      <c r="I19" s="101"/>
      <c r="J19" s="101"/>
      <c r="K19" s="101"/>
      <c r="L19" s="101"/>
      <c r="M19" s="101"/>
    </row>
    <row r="20" spans="1:13">
      <c r="A20" s="116">
        <f t="shared" si="3"/>
        <v>8</v>
      </c>
      <c r="B20" s="216">
        <f t="shared" si="4"/>
        <v>7.3328440606631306E-3</v>
      </c>
      <c r="C20" s="216">
        <f t="shared" si="0"/>
        <v>0.14493150614016539</v>
      </c>
      <c r="D20" s="8">
        <f t="shared" si="1"/>
        <v>5.8662752485305045</v>
      </c>
      <c r="E20" s="156">
        <f t="shared" si="2"/>
        <v>1.645410169346637</v>
      </c>
      <c r="F20" s="11"/>
      <c r="G20" s="11"/>
      <c r="H20" s="11"/>
      <c r="I20" s="101"/>
      <c r="J20" s="101"/>
      <c r="K20" s="101"/>
      <c r="L20" s="101"/>
      <c r="M20" s="101"/>
    </row>
    <row r="21" spans="1:13">
      <c r="A21" s="116">
        <f t="shared" si="3"/>
        <v>9</v>
      </c>
      <c r="B21" s="216">
        <f t="shared" si="4"/>
        <v>8.0039315859759142E-3</v>
      </c>
      <c r="C21" s="216">
        <f t="shared" si="0"/>
        <v>0.15819535369928864</v>
      </c>
      <c r="D21" s="8">
        <f t="shared" si="1"/>
        <v>6.4031452687807313</v>
      </c>
      <c r="E21" s="156">
        <f t="shared" si="2"/>
        <v>1.7831534172951899</v>
      </c>
      <c r="F21" s="11"/>
      <c r="G21" s="11"/>
      <c r="H21" s="11"/>
      <c r="I21" s="101"/>
      <c r="J21" s="101"/>
      <c r="K21" s="101"/>
      <c r="L21" s="101"/>
      <c r="M21" s="101"/>
    </row>
    <row r="22" spans="1:13">
      <c r="A22" s="116">
        <f t="shared" si="3"/>
        <v>10</v>
      </c>
      <c r="B22" s="216">
        <f t="shared" si="4"/>
        <v>8.6750191112886978E-3</v>
      </c>
      <c r="C22" s="216">
        <f t="shared" si="0"/>
        <v>0.17145920125841191</v>
      </c>
      <c r="D22" s="8">
        <f t="shared" si="1"/>
        <v>6.9400152890309581</v>
      </c>
      <c r="E22" s="156">
        <f t="shared" si="2"/>
        <v>1.9187432863023854</v>
      </c>
      <c r="F22" s="11"/>
      <c r="G22" s="11"/>
      <c r="H22" s="11"/>
      <c r="I22" s="101"/>
      <c r="J22" s="101"/>
      <c r="K22" s="101"/>
      <c r="L22" s="101"/>
      <c r="M22" s="101"/>
    </row>
    <row r="23" spans="1:13">
      <c r="A23" s="116">
        <f t="shared" si="3"/>
        <v>11</v>
      </c>
      <c r="B23" s="216">
        <f t="shared" si="4"/>
        <v>9.3461066366014815E-3</v>
      </c>
      <c r="C23" s="216">
        <f t="shared" si="0"/>
        <v>0.18472304881753518</v>
      </c>
      <c r="D23" s="8">
        <f t="shared" si="1"/>
        <v>7.4768853092811849</v>
      </c>
      <c r="E23" s="156">
        <f t="shared" si="2"/>
        <v>2.0521797763682241</v>
      </c>
      <c r="F23" s="11"/>
      <c r="G23" s="11"/>
      <c r="H23" s="11"/>
      <c r="I23" s="101"/>
      <c r="J23" s="101"/>
      <c r="K23" s="101"/>
      <c r="L23" s="101"/>
      <c r="M23" s="101"/>
    </row>
    <row r="24" spans="1:13">
      <c r="A24" s="116">
        <f t="shared" si="3"/>
        <v>12</v>
      </c>
      <c r="B24" s="216">
        <f t="shared" si="4"/>
        <v>1.0017194161914263E-2</v>
      </c>
      <c r="C24" s="216">
        <f t="shared" si="0"/>
        <v>0.19798689637665839</v>
      </c>
      <c r="D24" s="8">
        <f t="shared" si="1"/>
        <v>8.0137553295314099</v>
      </c>
      <c r="E24" s="156">
        <f t="shared" si="2"/>
        <v>2.1834628874927051</v>
      </c>
      <c r="F24" s="11"/>
      <c r="G24" s="11"/>
      <c r="H24" s="11"/>
      <c r="I24" s="101"/>
      <c r="J24" s="101"/>
      <c r="K24" s="101"/>
      <c r="L24" s="101"/>
      <c r="M24" s="101"/>
    </row>
    <row r="25" spans="1:13">
      <c r="A25" s="116">
        <f t="shared" si="3"/>
        <v>13</v>
      </c>
      <c r="B25" s="216">
        <f t="shared" si="4"/>
        <v>1.0688281687227047E-2</v>
      </c>
      <c r="C25" s="216">
        <f t="shared" si="0"/>
        <v>0.21125074393578164</v>
      </c>
      <c r="D25" s="8">
        <f t="shared" si="1"/>
        <v>8.5506253497816367</v>
      </c>
      <c r="E25" s="156">
        <f t="shared" si="2"/>
        <v>2.3125926196758293</v>
      </c>
      <c r="F25" s="11"/>
      <c r="G25" s="11"/>
      <c r="H25" s="11"/>
      <c r="I25" s="101"/>
      <c r="J25" s="101"/>
      <c r="K25" s="101"/>
      <c r="L25" s="101"/>
      <c r="M25" s="101"/>
    </row>
    <row r="26" spans="1:13">
      <c r="A26" s="116">
        <f t="shared" si="3"/>
        <v>14</v>
      </c>
      <c r="B26" s="216">
        <f t="shared" si="4"/>
        <v>1.1359369212539831E-2</v>
      </c>
      <c r="C26" s="216">
        <f t="shared" si="0"/>
        <v>0.22451459149490488</v>
      </c>
      <c r="D26" s="8">
        <f t="shared" si="1"/>
        <v>9.0874953700318652</v>
      </c>
      <c r="E26" s="156">
        <f t="shared" si="2"/>
        <v>2.4395689729175967</v>
      </c>
      <c r="F26" s="11"/>
      <c r="G26" s="11"/>
      <c r="H26" s="11"/>
      <c r="I26" s="101"/>
      <c r="J26" s="101"/>
      <c r="K26" s="101"/>
      <c r="L26" s="101"/>
      <c r="M26" s="101"/>
    </row>
    <row r="27" spans="1:13">
      <c r="A27" s="116">
        <f t="shared" si="3"/>
        <v>15</v>
      </c>
      <c r="B27" s="216">
        <f t="shared" si="4"/>
        <v>1.2030456737852612E-2</v>
      </c>
      <c r="C27" s="216">
        <f t="shared" si="0"/>
        <v>0.2377784390540281</v>
      </c>
      <c r="D27" s="8">
        <f t="shared" si="1"/>
        <v>9.6243653902820903</v>
      </c>
      <c r="E27" s="156">
        <f t="shared" si="2"/>
        <v>2.5643919472180068</v>
      </c>
      <c r="F27" s="11"/>
      <c r="G27" s="11"/>
      <c r="H27" s="11"/>
      <c r="I27" s="101"/>
      <c r="J27" s="101"/>
      <c r="K27" s="101"/>
      <c r="L27" s="101"/>
      <c r="M27" s="101"/>
    </row>
    <row r="28" spans="1:13">
      <c r="A28" s="116">
        <f t="shared" si="3"/>
        <v>16</v>
      </c>
      <c r="B28" s="216">
        <f t="shared" si="4"/>
        <v>1.2701544263165396E-2</v>
      </c>
      <c r="C28" s="216">
        <f t="shared" si="0"/>
        <v>0.25104228661315137</v>
      </c>
      <c r="D28" s="8">
        <f t="shared" si="1"/>
        <v>10.161235410532317</v>
      </c>
      <c r="E28" s="156">
        <f t="shared" si="2"/>
        <v>2.6870615425770596</v>
      </c>
      <c r="F28" s="11"/>
      <c r="G28" s="11"/>
      <c r="H28" s="11"/>
      <c r="I28" s="101"/>
      <c r="J28" s="101"/>
      <c r="K28" s="101"/>
      <c r="L28" s="101"/>
      <c r="M28" s="101"/>
    </row>
    <row r="29" spans="1:13">
      <c r="A29" s="116">
        <f t="shared" si="3"/>
        <v>17</v>
      </c>
      <c r="B29" s="216">
        <f t="shared" si="4"/>
        <v>1.337263178847818E-2</v>
      </c>
      <c r="C29" s="216">
        <f t="shared" si="0"/>
        <v>0.26430613417227461</v>
      </c>
      <c r="D29" s="8">
        <f t="shared" si="1"/>
        <v>10.698105430782544</v>
      </c>
      <c r="E29" s="156">
        <f t="shared" si="2"/>
        <v>2.8075777589947557</v>
      </c>
      <c r="F29" s="11"/>
      <c r="G29" s="11"/>
      <c r="H29" s="11"/>
      <c r="I29" s="101"/>
      <c r="J29" s="101"/>
      <c r="K29" s="101"/>
      <c r="L29" s="101"/>
      <c r="M29" s="101"/>
    </row>
    <row r="30" spans="1:13">
      <c r="A30" s="116">
        <f t="shared" si="3"/>
        <v>18</v>
      </c>
      <c r="B30" s="216">
        <f t="shared" si="4"/>
        <v>1.4043719313790963E-2</v>
      </c>
      <c r="C30" s="216">
        <f t="shared" si="0"/>
        <v>0.27756998173139785</v>
      </c>
      <c r="D30" s="8">
        <f t="shared" si="1"/>
        <v>11.234975451032771</v>
      </c>
      <c r="E30" s="156">
        <f t="shared" si="2"/>
        <v>2.9259405964710949</v>
      </c>
      <c r="F30" s="11"/>
      <c r="G30" s="11"/>
      <c r="H30" s="11"/>
      <c r="I30" s="101"/>
      <c r="J30" s="101"/>
      <c r="K30" s="101"/>
      <c r="L30" s="101"/>
      <c r="M30" s="101"/>
    </row>
    <row r="31" spans="1:13">
      <c r="A31" s="116">
        <f t="shared" si="3"/>
        <v>19</v>
      </c>
      <c r="B31" s="216">
        <f t="shared" si="4"/>
        <v>1.4714806839103747E-2</v>
      </c>
      <c r="C31" s="216">
        <f t="shared" si="0"/>
        <v>0.2908338292905211</v>
      </c>
      <c r="D31" s="8">
        <f t="shared" si="1"/>
        <v>11.771845471282997</v>
      </c>
      <c r="E31" s="156">
        <f t="shared" si="2"/>
        <v>3.042150055006076</v>
      </c>
      <c r="F31" s="11"/>
      <c r="G31" s="11"/>
      <c r="H31" s="11"/>
      <c r="I31" s="101"/>
      <c r="J31" s="101"/>
      <c r="K31" s="101"/>
      <c r="L31" s="101"/>
      <c r="M31" s="101"/>
    </row>
    <row r="32" spans="1:13">
      <c r="A32" s="116">
        <f t="shared" si="3"/>
        <v>20</v>
      </c>
      <c r="B32" s="216">
        <f t="shared" si="4"/>
        <v>1.5385894364416529E-2</v>
      </c>
      <c r="C32" s="216">
        <f t="shared" si="0"/>
        <v>0.30409767684964434</v>
      </c>
      <c r="D32" s="8">
        <f t="shared" si="1"/>
        <v>12.308715491533222</v>
      </c>
      <c r="E32" s="156">
        <f t="shared" si="2"/>
        <v>3.1562061345996999</v>
      </c>
      <c r="F32" s="11"/>
      <c r="G32" s="11"/>
      <c r="H32" s="11"/>
      <c r="I32" s="101"/>
      <c r="J32" s="101"/>
      <c r="K32" s="101"/>
      <c r="L32" s="101"/>
      <c r="M32" s="101"/>
    </row>
    <row r="33" spans="1:13">
      <c r="A33" s="116">
        <f t="shared" si="3"/>
        <v>21</v>
      </c>
      <c r="B33" s="216">
        <f t="shared" si="4"/>
        <v>1.6056981889729312E-2</v>
      </c>
      <c r="C33" s="216">
        <f t="shared" si="0"/>
        <v>0.31736152440876764</v>
      </c>
      <c r="D33" s="8">
        <f t="shared" si="1"/>
        <v>12.845585511783449</v>
      </c>
      <c r="E33" s="156">
        <f t="shared" si="2"/>
        <v>3.2681088352519683</v>
      </c>
      <c r="F33" s="11"/>
      <c r="G33" s="11"/>
      <c r="H33" s="11"/>
      <c r="I33" s="101"/>
      <c r="J33" s="101"/>
      <c r="K33" s="101"/>
      <c r="L33" s="101"/>
      <c r="M33" s="101"/>
    </row>
    <row r="34" spans="1:13">
      <c r="A34" s="116">
        <f t="shared" si="3"/>
        <v>22</v>
      </c>
      <c r="B34" s="216">
        <f t="shared" si="4"/>
        <v>1.6728069415042096E-2</v>
      </c>
      <c r="C34" s="216">
        <f t="shared" si="0"/>
        <v>0.33062537196789082</v>
      </c>
      <c r="D34" s="8">
        <f t="shared" si="1"/>
        <v>13.382455532033678</v>
      </c>
      <c r="E34" s="156">
        <f t="shared" si="2"/>
        <v>3.3778581569628785</v>
      </c>
      <c r="F34" s="11"/>
      <c r="G34" s="11"/>
      <c r="H34" s="11"/>
      <c r="I34" s="101"/>
      <c r="J34" s="101"/>
      <c r="K34" s="101"/>
      <c r="L34" s="101"/>
      <c r="M34" s="101"/>
    </row>
    <row r="35" spans="1:13">
      <c r="A35" s="116">
        <f t="shared" si="3"/>
        <v>23</v>
      </c>
      <c r="B35" s="216">
        <f t="shared" si="4"/>
        <v>1.739915694035488E-2</v>
      </c>
      <c r="C35" s="216">
        <f t="shared" si="0"/>
        <v>0.34388921952701407</v>
      </c>
      <c r="D35" s="8">
        <f t="shared" si="1"/>
        <v>13.919325552283905</v>
      </c>
      <c r="E35" s="156">
        <f t="shared" si="2"/>
        <v>3.4854540997324315</v>
      </c>
      <c r="F35" s="11"/>
      <c r="G35" s="11"/>
      <c r="H35" s="11"/>
      <c r="I35" s="101"/>
      <c r="J35" s="101"/>
      <c r="K35" s="101"/>
      <c r="L35" s="101"/>
      <c r="M35" s="101"/>
    </row>
    <row r="36" spans="1:13">
      <c r="A36" s="116">
        <f t="shared" si="3"/>
        <v>24</v>
      </c>
      <c r="B36" s="216">
        <f t="shared" si="4"/>
        <v>1.8070244465667663E-2</v>
      </c>
      <c r="C36" s="216">
        <f t="shared" si="0"/>
        <v>0.35715306708613731</v>
      </c>
      <c r="D36" s="8">
        <f t="shared" si="1"/>
        <v>14.456195572534131</v>
      </c>
      <c r="E36" s="156">
        <f t="shared" si="2"/>
        <v>3.5908966635606281</v>
      </c>
      <c r="F36" s="11"/>
      <c r="G36" s="11"/>
      <c r="H36" s="11"/>
      <c r="I36" s="101"/>
      <c r="J36" s="101"/>
      <c r="K36" s="101"/>
      <c r="L36" s="101"/>
      <c r="M36" s="101"/>
    </row>
    <row r="37" spans="1:13">
      <c r="A37" s="116">
        <f t="shared" si="3"/>
        <v>25</v>
      </c>
      <c r="B37" s="216">
        <f t="shared" si="4"/>
        <v>1.8741331990980447E-2</v>
      </c>
      <c r="C37" s="216">
        <f t="shared" si="0"/>
        <v>0.37041691464526061</v>
      </c>
      <c r="D37" s="8">
        <f t="shared" si="1"/>
        <v>14.993065592784358</v>
      </c>
      <c r="E37" s="156">
        <f t="shared" si="2"/>
        <v>3.694185848447467</v>
      </c>
      <c r="F37" s="11"/>
      <c r="G37" s="11"/>
      <c r="H37" s="11"/>
      <c r="I37" s="101"/>
      <c r="J37" s="101"/>
      <c r="K37" s="101"/>
      <c r="L37" s="101"/>
      <c r="M37" s="101"/>
    </row>
    <row r="38" spans="1:13">
      <c r="A38" s="116">
        <f t="shared" si="3"/>
        <v>26</v>
      </c>
      <c r="B38" s="216">
        <f t="shared" si="4"/>
        <v>1.9412419516293231E-2</v>
      </c>
      <c r="C38" s="216">
        <f t="shared" si="0"/>
        <v>0.38368076220438385</v>
      </c>
      <c r="D38" s="8">
        <f t="shared" si="1"/>
        <v>15.529935613034585</v>
      </c>
      <c r="E38" s="156">
        <f t="shared" si="2"/>
        <v>3.7953216543929482</v>
      </c>
      <c r="F38" s="11"/>
      <c r="G38" s="11"/>
      <c r="H38" s="11"/>
      <c r="I38" s="101"/>
      <c r="J38" s="101"/>
      <c r="K38" s="101"/>
      <c r="L38" s="101"/>
      <c r="M38" s="101"/>
    </row>
    <row r="39" spans="1:13">
      <c r="A39" s="116">
        <f t="shared" si="3"/>
        <v>27</v>
      </c>
      <c r="B39" s="216">
        <f t="shared" si="4"/>
        <v>2.0083507041606014E-2</v>
      </c>
      <c r="C39" s="216">
        <f t="shared" si="0"/>
        <v>0.39694460976350709</v>
      </c>
      <c r="D39" s="8">
        <f t="shared" si="1"/>
        <v>16.066805633284812</v>
      </c>
      <c r="E39" s="156">
        <f t="shared" si="2"/>
        <v>3.8943040813970731</v>
      </c>
      <c r="F39" s="11"/>
      <c r="G39" s="11"/>
      <c r="H39" s="11"/>
      <c r="I39" s="101"/>
      <c r="J39" s="101"/>
      <c r="K39" s="101"/>
      <c r="L39" s="101"/>
      <c r="M39" s="101"/>
    </row>
    <row r="40" spans="1:13">
      <c r="A40" s="116">
        <f t="shared" si="3"/>
        <v>28</v>
      </c>
      <c r="B40" s="216">
        <f t="shared" si="4"/>
        <v>2.0754594566918798E-2</v>
      </c>
      <c r="C40" s="216">
        <f t="shared" si="0"/>
        <v>0.41020845732263034</v>
      </c>
      <c r="D40" s="8">
        <f t="shared" si="1"/>
        <v>16.603675653535038</v>
      </c>
      <c r="E40" s="156">
        <f t="shared" si="2"/>
        <v>3.9911331294598407</v>
      </c>
      <c r="F40" s="11"/>
      <c r="G40" s="11"/>
      <c r="H40" s="11"/>
      <c r="I40" s="101"/>
      <c r="J40" s="101"/>
      <c r="K40" s="101"/>
      <c r="L40" s="101"/>
      <c r="M40" s="101"/>
    </row>
    <row r="41" spans="1:13">
      <c r="A41" s="116">
        <f t="shared" si="3"/>
        <v>29</v>
      </c>
      <c r="B41" s="216">
        <f t="shared" si="4"/>
        <v>2.1425682092231578E-2</v>
      </c>
      <c r="C41" s="216">
        <f t="shared" si="0"/>
        <v>0.42347230488175353</v>
      </c>
      <c r="D41" s="8">
        <f t="shared" si="1"/>
        <v>17.140545673785262</v>
      </c>
      <c r="E41" s="156">
        <f t="shared" si="2"/>
        <v>4.085808798581251</v>
      </c>
      <c r="F41" s="11"/>
      <c r="G41" s="11"/>
      <c r="H41" s="11"/>
      <c r="I41" s="101"/>
      <c r="J41" s="101"/>
      <c r="K41" s="101"/>
      <c r="L41" s="101"/>
      <c r="M41" s="101"/>
    </row>
    <row r="42" spans="1:13">
      <c r="A42" s="116">
        <f t="shared" si="3"/>
        <v>30</v>
      </c>
      <c r="B42" s="216">
        <f t="shared" si="4"/>
        <v>2.2096769617544362E-2</v>
      </c>
      <c r="C42" s="216">
        <f t="shared" si="0"/>
        <v>0.43673615244087682</v>
      </c>
      <c r="D42" s="8">
        <f t="shared" si="1"/>
        <v>17.677415694035489</v>
      </c>
      <c r="E42" s="156">
        <f t="shared" si="2"/>
        <v>4.1783310887613041</v>
      </c>
      <c r="F42" s="11"/>
      <c r="G42" s="11"/>
      <c r="H42" s="11"/>
      <c r="I42" s="101"/>
      <c r="J42" s="101"/>
      <c r="K42" s="101"/>
      <c r="L42" s="101"/>
      <c r="M42" s="101"/>
    </row>
    <row r="43" spans="1:13" ht="15.75" thickBot="1">
      <c r="A43" s="192">
        <f t="shared" si="3"/>
        <v>31</v>
      </c>
      <c r="B43" s="217">
        <f>$E$9+(A43-1)*$E$10</f>
        <v>2.2767857142857145E-2</v>
      </c>
      <c r="C43" s="217">
        <f t="shared" si="0"/>
        <v>0.45000000000000007</v>
      </c>
      <c r="D43" s="112">
        <f t="shared" si="1"/>
        <v>18.214285714285715</v>
      </c>
      <c r="E43" s="218">
        <f t="shared" si="2"/>
        <v>4.2687000000000008</v>
      </c>
      <c r="F43" s="11"/>
      <c r="G43" s="11"/>
      <c r="H43" s="11"/>
      <c r="I43" s="101"/>
      <c r="J43" s="101"/>
      <c r="K43" s="101"/>
      <c r="L43" s="101"/>
      <c r="M43" s="101"/>
    </row>
    <row r="44" spans="1:13">
      <c r="A44" s="101"/>
      <c r="B44" s="101"/>
      <c r="C44" s="101"/>
      <c r="D44" s="101"/>
      <c r="E44" s="11"/>
      <c r="F44" s="11"/>
      <c r="G44" s="11"/>
      <c r="H44" s="11"/>
      <c r="I44" s="11"/>
      <c r="J44" s="101"/>
      <c r="K44" s="101"/>
      <c r="L44" s="101"/>
      <c r="M44" s="101"/>
    </row>
    <row r="45" spans="1:13">
      <c r="A45" s="101"/>
      <c r="B45" s="203"/>
      <c r="C45" s="203"/>
      <c r="D45" s="203"/>
      <c r="E45" s="101"/>
      <c r="F45" s="101"/>
      <c r="G45" s="101"/>
      <c r="H45" s="101"/>
      <c r="I45" s="101"/>
      <c r="J45" s="101"/>
      <c r="K45" s="101"/>
      <c r="L45" s="101"/>
      <c r="M45" s="101"/>
    </row>
    <row r="46" spans="1:13">
      <c r="A46" s="101"/>
      <c r="B46" s="203"/>
      <c r="C46" s="203"/>
      <c r="D46" s="203"/>
      <c r="E46" s="101"/>
      <c r="F46" s="101"/>
      <c r="G46" s="101"/>
      <c r="H46" s="101"/>
      <c r="I46" s="101"/>
      <c r="J46" s="101"/>
      <c r="K46" s="101"/>
      <c r="L46" s="101"/>
      <c r="M46" s="101"/>
    </row>
  </sheetData>
  <printOptions horizontalCentered="1"/>
  <pageMargins left="0.70866141732283472" right="0.70866141732283472" top="0.74803149606299213" bottom="0.74803149606299213" header="0.31496062992125984" footer="0.31496062992125984"/>
  <pageSetup orientation="portrait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ABE09D-44DB-44EB-BF6F-AF4CD8A98532}">
  <sheetPr>
    <tabColor theme="7" tint="0.79998168889431442"/>
  </sheetPr>
  <dimension ref="A1:AV95"/>
  <sheetViews>
    <sheetView showGridLines="0" topLeftCell="E3" zoomScaleNormal="100" zoomScalePageLayoutView="90" workbookViewId="0">
      <selection activeCell="U23" sqref="U23"/>
    </sheetView>
  </sheetViews>
  <sheetFormatPr baseColWidth="10" defaultColWidth="11.5703125" defaultRowHeight="15"/>
  <cols>
    <col min="1" max="1" width="11.5703125" style="101"/>
    <col min="2" max="2" width="11.5703125" style="101" customWidth="1"/>
    <col min="3" max="7" width="11.5703125" style="101"/>
    <col min="8" max="8" width="9.7109375" customWidth="1"/>
    <col min="10" max="10" width="7.42578125" customWidth="1"/>
    <col min="12" max="12" width="7.42578125" customWidth="1"/>
    <col min="16" max="17" width="7.42578125" style="101" customWidth="1"/>
    <col min="18" max="20" width="7.42578125" customWidth="1"/>
    <col min="21" max="21" width="5" customWidth="1"/>
    <col min="22" max="26" width="7.42578125" customWidth="1"/>
    <col min="27" max="27" width="10.7109375" customWidth="1"/>
    <col min="28" max="28" width="9.7109375" customWidth="1"/>
    <col min="30" max="30" width="7.42578125" customWidth="1"/>
    <col min="32" max="32" width="7.42578125" customWidth="1"/>
    <col min="36" max="36" width="7.42578125" customWidth="1"/>
    <col min="37" max="37" width="7.42578125" style="101" customWidth="1"/>
    <col min="38" max="40" width="7.42578125" customWidth="1"/>
    <col min="41" max="41" width="5" customWidth="1"/>
    <col min="42" max="46" width="7.42578125" customWidth="1"/>
  </cols>
  <sheetData>
    <row r="1" spans="1:48" ht="14.1" customHeight="1" thickBot="1">
      <c r="A1" s="542" t="s">
        <v>306</v>
      </c>
      <c r="B1" s="542"/>
      <c r="C1" s="542"/>
      <c r="D1" s="542"/>
      <c r="H1" s="588" t="s">
        <v>210</v>
      </c>
      <c r="I1" s="588"/>
      <c r="J1" s="588"/>
      <c r="K1" s="588"/>
      <c r="L1" s="101"/>
      <c r="M1" s="101"/>
      <c r="N1" s="101"/>
      <c r="O1" s="101"/>
      <c r="R1" s="101"/>
      <c r="S1" s="101"/>
      <c r="T1" s="101"/>
      <c r="AB1" s="588" t="s">
        <v>216</v>
      </c>
      <c r="AC1" s="588"/>
      <c r="AD1" s="588"/>
      <c r="AE1" s="588"/>
      <c r="AF1" s="101"/>
      <c r="AG1" s="101"/>
      <c r="AH1" s="101"/>
      <c r="AI1" s="101"/>
      <c r="AJ1" s="101"/>
      <c r="AL1" s="101"/>
      <c r="AM1" s="101"/>
      <c r="AN1" s="101"/>
      <c r="AO1" s="101"/>
      <c r="AP1" s="101"/>
      <c r="AQ1" s="101"/>
      <c r="AR1" s="101"/>
      <c r="AS1" s="101"/>
    </row>
    <row r="2" spans="1:48" ht="15.75" thickBot="1">
      <c r="A2" s="390" t="s">
        <v>184</v>
      </c>
      <c r="B2" s="391"/>
      <c r="C2" s="392"/>
      <c r="F2" s="403">
        <f>B4</f>
        <v>20</v>
      </c>
      <c r="H2" s="302" t="s">
        <v>184</v>
      </c>
      <c r="I2" s="580" t="s">
        <v>244</v>
      </c>
      <c r="J2" s="581"/>
      <c r="K2" s="101"/>
      <c r="L2" s="101"/>
      <c r="O2" s="34"/>
      <c r="P2" s="34"/>
      <c r="Q2" s="34"/>
      <c r="R2" s="204" t="s">
        <v>209</v>
      </c>
      <c r="S2" s="101"/>
      <c r="T2" s="101"/>
      <c r="U2" s="101"/>
      <c r="AB2" s="195" t="s">
        <v>184</v>
      </c>
      <c r="AC2" s="589" t="s">
        <v>313</v>
      </c>
      <c r="AD2" s="590"/>
      <c r="AE2" s="101"/>
      <c r="AF2" s="101"/>
      <c r="AG2" s="101"/>
      <c r="AH2" s="101"/>
      <c r="AI2" s="34"/>
      <c r="AJ2" s="34"/>
      <c r="AK2" s="34"/>
      <c r="AL2" s="34"/>
      <c r="AM2" s="204" t="s">
        <v>209</v>
      </c>
      <c r="AN2" s="101"/>
      <c r="AO2" s="101"/>
      <c r="AP2" s="101"/>
      <c r="AQ2" s="101"/>
      <c r="AR2" s="101"/>
      <c r="AS2" s="101"/>
    </row>
    <row r="3" spans="1:48" ht="18">
      <c r="A3" s="399" t="s">
        <v>304</v>
      </c>
      <c r="B3" s="109">
        <v>55</v>
      </c>
      <c r="C3" s="222" t="s">
        <v>158</v>
      </c>
      <c r="H3" s="255" t="s">
        <v>188</v>
      </c>
      <c r="I3" s="254">
        <v>5140</v>
      </c>
      <c r="J3" s="221" t="s">
        <v>189</v>
      </c>
      <c r="K3" s="101"/>
      <c r="L3" s="101"/>
      <c r="N3" s="234" t="s">
        <v>198</v>
      </c>
      <c r="O3" s="2" t="s">
        <v>199</v>
      </c>
      <c r="P3" s="2"/>
      <c r="Q3" s="2"/>
      <c r="R3" s="101"/>
      <c r="S3" s="101"/>
      <c r="T3" s="101"/>
      <c r="U3" s="101"/>
      <c r="AB3" s="255" t="s">
        <v>188</v>
      </c>
      <c r="AC3" s="254">
        <v>2630</v>
      </c>
      <c r="AD3" s="221" t="s">
        <v>189</v>
      </c>
      <c r="AE3" s="101"/>
      <c r="AF3" s="101"/>
      <c r="AG3" s="101"/>
      <c r="AH3" s="234" t="s">
        <v>198</v>
      </c>
      <c r="AI3" s="303" t="s">
        <v>199</v>
      </c>
      <c r="AJ3" s="303"/>
      <c r="AK3" s="394"/>
      <c r="AL3" s="2"/>
      <c r="AM3" s="101"/>
      <c r="AN3" s="101"/>
      <c r="AO3" s="101"/>
      <c r="AP3" s="101"/>
      <c r="AQ3" s="101"/>
      <c r="AR3" s="101"/>
      <c r="AS3" s="101"/>
    </row>
    <row r="4" spans="1:48">
      <c r="A4" s="256" t="s">
        <v>190</v>
      </c>
      <c r="B4" s="393">
        <v>20</v>
      </c>
      <c r="C4" s="222" t="s">
        <v>158</v>
      </c>
      <c r="H4" s="256" t="s">
        <v>190</v>
      </c>
      <c r="I4" s="239">
        <v>20</v>
      </c>
      <c r="J4" s="222" t="s">
        <v>158</v>
      </c>
      <c r="K4" s="101"/>
      <c r="L4" s="101"/>
      <c r="N4" s="379" t="s">
        <v>200</v>
      </c>
      <c r="O4" s="379">
        <v>0.71</v>
      </c>
      <c r="P4" s="269"/>
      <c r="Q4" s="269"/>
      <c r="R4" s="101"/>
      <c r="S4" s="101"/>
      <c r="T4" s="258">
        <f>ROUND((J24-M20/100)*L17,0)</f>
        <v>2506</v>
      </c>
      <c r="U4" s="101" t="s">
        <v>159</v>
      </c>
      <c r="AB4" s="256" t="s">
        <v>190</v>
      </c>
      <c r="AC4" s="239">
        <v>20</v>
      </c>
      <c r="AD4" s="222" t="s">
        <v>158</v>
      </c>
      <c r="AE4" s="101"/>
      <c r="AF4" s="101"/>
      <c r="AG4" s="101"/>
      <c r="AH4" s="379" t="s">
        <v>200</v>
      </c>
      <c r="AI4" s="379">
        <v>0.71</v>
      </c>
      <c r="AJ4" s="269"/>
      <c r="AK4" s="269"/>
      <c r="AL4" s="269"/>
      <c r="AM4" s="101"/>
      <c r="AN4" s="101"/>
      <c r="AO4" s="258">
        <f>ROUND((AD24-AG20/100)*AF17,0)</f>
        <v>1890</v>
      </c>
      <c r="AP4" s="101" t="s">
        <v>159</v>
      </c>
      <c r="AQ4" s="101"/>
      <c r="AR4" s="101"/>
      <c r="AS4" s="101"/>
    </row>
    <row r="5" spans="1:48" ht="18.75">
      <c r="A5" s="256" t="s">
        <v>163</v>
      </c>
      <c r="B5" s="393">
        <v>15</v>
      </c>
      <c r="C5" s="222" t="s">
        <v>158</v>
      </c>
      <c r="H5" s="256" t="s">
        <v>219</v>
      </c>
      <c r="I5" s="239">
        <v>200</v>
      </c>
      <c r="J5" s="222" t="s">
        <v>161</v>
      </c>
      <c r="K5" s="101"/>
      <c r="L5" s="101"/>
      <c r="N5" s="379" t="s">
        <v>201</v>
      </c>
      <c r="O5" s="379">
        <v>1.27</v>
      </c>
      <c r="P5" s="269"/>
      <c r="Q5" s="269"/>
      <c r="R5" s="101"/>
      <c r="S5" s="101"/>
      <c r="T5" s="101"/>
      <c r="U5" s="34"/>
      <c r="W5" s="259" t="s">
        <v>215</v>
      </c>
      <c r="X5" s="378" t="str">
        <f>IF(T6&gt;ABS(T4),"Cumple","NO PASA")</f>
        <v>Cumple</v>
      </c>
      <c r="AB5" s="256" t="s">
        <v>219</v>
      </c>
      <c r="AC5" s="239">
        <v>200</v>
      </c>
      <c r="AD5" s="222" t="s">
        <v>161</v>
      </c>
      <c r="AE5" s="101"/>
      <c r="AF5" s="101"/>
      <c r="AG5" s="101"/>
      <c r="AH5" s="379" t="s">
        <v>201</v>
      </c>
      <c r="AI5" s="379">
        <v>1.27</v>
      </c>
      <c r="AJ5" s="269"/>
      <c r="AK5" s="269"/>
      <c r="AL5" s="269"/>
      <c r="AM5" s="101"/>
      <c r="AN5" s="101"/>
      <c r="AO5" s="101"/>
      <c r="AP5" s="34"/>
      <c r="AR5" s="259" t="s">
        <v>215</v>
      </c>
      <c r="AS5" s="378" t="str">
        <f>IF(AO6&gt;ABS(AO4),"Cumple","NO PASA")</f>
        <v>Cumple</v>
      </c>
    </row>
    <row r="6" spans="1:48" ht="18.75">
      <c r="A6" s="256" t="s">
        <v>219</v>
      </c>
      <c r="B6" s="239">
        <v>200</v>
      </c>
      <c r="C6" s="222" t="s">
        <v>161</v>
      </c>
      <c r="E6" s="402">
        <f>B3</f>
        <v>55</v>
      </c>
      <c r="H6" s="256" t="s">
        <v>217</v>
      </c>
      <c r="I6" s="239">
        <v>4200</v>
      </c>
      <c r="J6" s="222" t="s">
        <v>161</v>
      </c>
      <c r="K6" s="101"/>
      <c r="L6" s="101"/>
      <c r="N6" s="379" t="s">
        <v>203</v>
      </c>
      <c r="O6" s="379">
        <v>1.99</v>
      </c>
      <c r="P6" s="269"/>
      <c r="Q6" s="269"/>
      <c r="R6" s="101"/>
      <c r="S6" s="101"/>
      <c r="T6" s="240">
        <f>ROUND((0.5*0.8*I9*M20*SQRT(0.8*I5)),0)</f>
        <v>6072</v>
      </c>
      <c r="U6" s="101" t="s">
        <v>159</v>
      </c>
      <c r="AB6" s="256" t="s">
        <v>217</v>
      </c>
      <c r="AC6" s="239">
        <v>4200</v>
      </c>
      <c r="AD6" s="222" t="s">
        <v>161</v>
      </c>
      <c r="AE6" s="101"/>
      <c r="AF6" s="101"/>
      <c r="AG6" s="101"/>
      <c r="AH6" s="379" t="s">
        <v>203</v>
      </c>
      <c r="AI6" s="379">
        <v>1.99</v>
      </c>
      <c r="AJ6" s="269"/>
      <c r="AK6" s="269"/>
      <c r="AL6" s="269"/>
      <c r="AM6" s="101"/>
      <c r="AN6" s="101"/>
      <c r="AO6" s="240">
        <f>ROUND((0.5*0.8*AC9*AG20*SQRT(0.8*AC5)),0)</f>
        <v>6072</v>
      </c>
      <c r="AP6" s="101" t="s">
        <v>159</v>
      </c>
      <c r="AQ6" s="101"/>
      <c r="AR6" s="101"/>
      <c r="AS6" s="101"/>
    </row>
    <row r="7" spans="1:48" ht="18.75">
      <c r="A7" s="256" t="s">
        <v>217</v>
      </c>
      <c r="B7" s="239">
        <v>4200</v>
      </c>
      <c r="C7" s="222" t="s">
        <v>161</v>
      </c>
      <c r="H7" s="256" t="s">
        <v>218</v>
      </c>
      <c r="I7" s="239">
        <v>6500</v>
      </c>
      <c r="J7" s="222" t="s">
        <v>283</v>
      </c>
      <c r="K7" s="101"/>
      <c r="L7" s="101"/>
      <c r="N7" s="379" t="s">
        <v>204</v>
      </c>
      <c r="O7" s="379">
        <v>2.87</v>
      </c>
      <c r="P7" s="269"/>
      <c r="Q7" s="269"/>
      <c r="R7" s="101"/>
      <c r="S7" s="101"/>
      <c r="T7" s="101"/>
      <c r="U7" s="101"/>
      <c r="AB7" s="256" t="s">
        <v>218</v>
      </c>
      <c r="AC7" s="239">
        <v>6500</v>
      </c>
      <c r="AD7" s="222" t="s">
        <v>283</v>
      </c>
      <c r="AE7" s="101"/>
      <c r="AF7" s="101"/>
      <c r="AG7" s="101"/>
      <c r="AH7" s="379" t="s">
        <v>204</v>
      </c>
      <c r="AI7" s="379">
        <v>2.87</v>
      </c>
      <c r="AJ7" s="269"/>
      <c r="AK7" s="269"/>
      <c r="AL7" s="269"/>
      <c r="AM7" s="101"/>
      <c r="AN7" s="101"/>
      <c r="AO7" s="101"/>
      <c r="AP7" s="101"/>
      <c r="AQ7" s="101"/>
      <c r="AR7" s="101"/>
      <c r="AS7" s="101"/>
    </row>
    <row r="8" spans="1:48" ht="18.75" thickBot="1">
      <c r="A8" s="257" t="s">
        <v>305</v>
      </c>
      <c r="B8" s="217">
        <f>0.7*(SQRT(B6)/B7)</f>
        <v>2.3570226039551583E-3</v>
      </c>
      <c r="C8" s="150"/>
      <c r="D8" s="199">
        <f>B5</f>
        <v>15</v>
      </c>
      <c r="H8" s="256" t="s">
        <v>163</v>
      </c>
      <c r="I8" s="239">
        <v>15</v>
      </c>
      <c r="J8" s="222" t="s">
        <v>158</v>
      </c>
      <c r="K8" s="101"/>
      <c r="L8" s="101"/>
      <c r="N8" s="379" t="s">
        <v>206</v>
      </c>
      <c r="O8" s="379">
        <v>5.07</v>
      </c>
      <c r="P8" s="269"/>
      <c r="R8" s="101"/>
      <c r="S8" s="101"/>
      <c r="T8" s="101"/>
      <c r="U8" s="101"/>
      <c r="AB8" s="256" t="s">
        <v>163</v>
      </c>
      <c r="AC8" s="239">
        <v>15</v>
      </c>
      <c r="AD8" s="222" t="s">
        <v>158</v>
      </c>
      <c r="AE8" s="101"/>
      <c r="AF8" s="101"/>
      <c r="AG8" s="101"/>
      <c r="AH8" s="379" t="s">
        <v>206</v>
      </c>
      <c r="AI8" s="379">
        <v>5.07</v>
      </c>
      <c r="AJ8" s="269"/>
      <c r="AK8" s="269"/>
      <c r="AL8" s="269"/>
      <c r="AM8" s="101"/>
      <c r="AN8" s="101"/>
      <c r="AO8" s="101"/>
      <c r="AP8" s="101"/>
      <c r="AQ8" s="101"/>
      <c r="AR8" s="101"/>
      <c r="AS8" s="101"/>
    </row>
    <row r="9" spans="1:48" s="101" customFormat="1">
      <c r="B9" s="395"/>
      <c r="H9" s="256" t="s">
        <v>160</v>
      </c>
      <c r="I9" s="239">
        <v>100</v>
      </c>
      <c r="J9" s="222" t="s">
        <v>158</v>
      </c>
      <c r="N9" s="269"/>
      <c r="O9" s="269"/>
      <c r="P9" s="269"/>
      <c r="R9" s="204" t="s">
        <v>291</v>
      </c>
      <c r="V9"/>
      <c r="W9"/>
      <c r="X9"/>
      <c r="Y9"/>
      <c r="Z9"/>
      <c r="AA9"/>
      <c r="AB9" s="256" t="s">
        <v>160</v>
      </c>
      <c r="AC9" s="239">
        <v>100</v>
      </c>
      <c r="AD9" s="222" t="s">
        <v>158</v>
      </c>
      <c r="AH9" s="269"/>
      <c r="AI9" s="269"/>
      <c r="AJ9" s="269"/>
      <c r="AK9" s="269"/>
      <c r="AM9" s="204" t="s">
        <v>291</v>
      </c>
      <c r="AT9"/>
      <c r="AU9"/>
      <c r="AV9"/>
    </row>
    <row r="10" spans="1:48" ht="15.75" thickBot="1">
      <c r="B10" s="400" t="s">
        <v>307</v>
      </c>
      <c r="H10" s="257" t="s">
        <v>284</v>
      </c>
      <c r="I10" s="111">
        <v>0.89</v>
      </c>
      <c r="J10" s="150"/>
      <c r="K10" s="101"/>
      <c r="L10" s="101"/>
      <c r="M10" s="101"/>
      <c r="N10" s="101"/>
      <c r="O10" s="101"/>
      <c r="R10" s="101"/>
      <c r="U10" s="30" t="s">
        <v>190</v>
      </c>
      <c r="V10" s="205">
        <f>I4</f>
        <v>20</v>
      </c>
      <c r="W10" s="204" t="str">
        <f>J4</f>
        <v>cm</v>
      </c>
      <c r="AB10" s="257" t="s">
        <v>284</v>
      </c>
      <c r="AC10" s="111">
        <v>0.89</v>
      </c>
      <c r="AD10" s="150"/>
      <c r="AE10" s="101"/>
      <c r="AF10" s="101"/>
      <c r="AG10" s="101"/>
      <c r="AH10" s="101"/>
      <c r="AI10" s="101"/>
      <c r="AJ10" s="101"/>
      <c r="AL10" s="101"/>
      <c r="AN10" s="101"/>
      <c r="AO10" s="101"/>
      <c r="AP10" s="101"/>
      <c r="AQ10" s="101"/>
      <c r="AR10" s="101"/>
      <c r="AS10" s="30" t="s">
        <v>196</v>
      </c>
      <c r="AT10" s="401">
        <f>AD24</f>
        <v>0.39999999999999997</v>
      </c>
      <c r="AU10" s="204" t="str">
        <f>AE24</f>
        <v>m</v>
      </c>
    </row>
    <row r="11" spans="1:48" ht="8.4499999999999993" customHeight="1">
      <c r="H11" s="101"/>
      <c r="I11" s="101"/>
      <c r="J11" s="101"/>
      <c r="K11" s="101"/>
      <c r="L11" s="101"/>
      <c r="M11" s="101"/>
      <c r="N11" s="101"/>
      <c r="O11" s="101"/>
      <c r="R11" s="101"/>
      <c r="S11" s="101"/>
      <c r="T11" s="101"/>
      <c r="U11" s="101"/>
      <c r="AB11" s="101"/>
      <c r="AC11" s="101"/>
      <c r="AD11" s="101"/>
      <c r="AE11" s="101"/>
      <c r="AF11" s="101"/>
      <c r="AG11" s="101"/>
      <c r="AH11" s="101"/>
      <c r="AI11" s="101"/>
      <c r="AJ11" s="101"/>
      <c r="AL11" s="101"/>
      <c r="AM11" s="101"/>
      <c r="AN11" s="101"/>
      <c r="AO11" s="101"/>
      <c r="AP11" s="101"/>
      <c r="AQ11" s="101"/>
      <c r="AR11" s="101"/>
    </row>
    <row r="12" spans="1:48" ht="17.25">
      <c r="D12" s="401">
        <f>B8*B3*B4</f>
        <v>2.5927248643506742</v>
      </c>
      <c r="E12" s="101" t="s">
        <v>220</v>
      </c>
      <c r="H12" s="101" t="s">
        <v>191</v>
      </c>
      <c r="I12" s="101"/>
      <c r="J12" s="101"/>
      <c r="K12" s="101"/>
      <c r="L12" s="244">
        <f>1.1*I3</f>
        <v>5654.0000000000009</v>
      </c>
      <c r="M12" s="101" t="s">
        <v>189</v>
      </c>
      <c r="R12" s="101"/>
      <c r="S12" s="101"/>
      <c r="T12" s="101"/>
      <c r="U12" s="101"/>
      <c r="AB12" s="101" t="s">
        <v>191</v>
      </c>
      <c r="AC12" s="101"/>
      <c r="AD12" s="101"/>
      <c r="AE12" s="101"/>
      <c r="AF12" s="244">
        <f>1.1*AC3</f>
        <v>2893.0000000000005</v>
      </c>
      <c r="AG12" s="101" t="s">
        <v>189</v>
      </c>
      <c r="AH12" s="101"/>
      <c r="AI12" s="101"/>
      <c r="AJ12" s="101"/>
      <c r="AL12" s="101"/>
      <c r="AM12" s="101"/>
      <c r="AN12" s="101"/>
      <c r="AO12" s="101"/>
      <c r="AP12" s="101"/>
      <c r="AQ12" s="101"/>
      <c r="AR12" s="101"/>
      <c r="AS12" s="101"/>
    </row>
    <row r="13" spans="1:48">
      <c r="H13" s="30"/>
      <c r="K13" s="101"/>
      <c r="L13" s="101"/>
      <c r="M13" s="101"/>
      <c r="R13" s="101"/>
      <c r="S13" s="101"/>
      <c r="T13" s="241"/>
      <c r="U13" s="101"/>
      <c r="AB13" s="30"/>
      <c r="AC13" s="101"/>
      <c r="AD13" s="101"/>
      <c r="AE13" s="101"/>
      <c r="AF13" s="101"/>
      <c r="AG13" s="101"/>
      <c r="AH13" s="101"/>
      <c r="AI13" s="101"/>
      <c r="AJ13" s="101"/>
      <c r="AL13" s="101"/>
      <c r="AM13" s="101"/>
      <c r="AN13" s="30" t="s">
        <v>190</v>
      </c>
      <c r="AO13" s="205">
        <f>AC4</f>
        <v>20</v>
      </c>
      <c r="AP13" s="271" t="str">
        <f>AD4</f>
        <v>cm</v>
      </c>
      <c r="AQ13" s="101"/>
      <c r="AR13" s="101"/>
      <c r="AS13" s="101"/>
    </row>
    <row r="14" spans="1:48" ht="17.25">
      <c r="B14" s="235" t="s">
        <v>207</v>
      </c>
      <c r="C14" s="407" t="str">
        <f>N5</f>
        <v>#4</v>
      </c>
      <c r="D14" s="404">
        <f>IF(C14=N4,O4,IF(C14=N5,O5,IF(C14=N6,O6,IF(C14=N7,O7,IF(C14=N8,O8,0)))))</f>
        <v>1.27</v>
      </c>
      <c r="E14" s="101" t="s">
        <v>220</v>
      </c>
      <c r="H14" s="101" t="s">
        <v>192</v>
      </c>
      <c r="I14" s="101"/>
      <c r="J14" s="101"/>
      <c r="K14" s="101"/>
      <c r="L14" s="242">
        <f>ROUND(1.4*L12/I7,1)</f>
        <v>1.2</v>
      </c>
      <c r="M14" s="101" t="s">
        <v>37</v>
      </c>
      <c r="R14" s="101"/>
      <c r="S14" s="30" t="s">
        <v>196</v>
      </c>
      <c r="T14" s="401">
        <f>J24</f>
        <v>0.5</v>
      </c>
      <c r="U14" s="204" t="str">
        <f>K24</f>
        <v>m</v>
      </c>
      <c r="AB14" s="101" t="s">
        <v>192</v>
      </c>
      <c r="AC14" s="101"/>
      <c r="AD14" s="101"/>
      <c r="AE14" s="101"/>
      <c r="AF14" s="242">
        <f>ROUND(1.4*AF12/AC7,1)</f>
        <v>0.6</v>
      </c>
      <c r="AG14" s="101" t="s">
        <v>37</v>
      </c>
      <c r="AH14" s="101"/>
      <c r="AI14" s="101"/>
      <c r="AJ14" s="101"/>
      <c r="AL14" s="101"/>
      <c r="AM14" s="101"/>
      <c r="AN14" s="101"/>
      <c r="AO14" s="241"/>
      <c r="AP14" s="101"/>
      <c r="AQ14" s="101"/>
      <c r="AR14" s="101"/>
      <c r="AS14" s="101"/>
    </row>
    <row r="15" spans="1:48" ht="15.75" thickBot="1">
      <c r="B15" s="405" t="s">
        <v>308</v>
      </c>
      <c r="D15" s="406">
        <f>ROUND(D12/D14,0)</f>
        <v>2</v>
      </c>
      <c r="J15" s="101"/>
      <c r="K15" s="101"/>
      <c r="M15" s="101"/>
      <c r="R15" s="101"/>
      <c r="S15" s="101"/>
      <c r="T15" s="101"/>
      <c r="U15" s="101"/>
      <c r="AB15" s="101"/>
      <c r="AC15" s="101"/>
      <c r="AD15" s="101"/>
      <c r="AE15" s="101"/>
      <c r="AF15" s="101"/>
      <c r="AG15" s="101"/>
      <c r="AH15" s="101"/>
      <c r="AI15" s="101"/>
      <c r="AJ15" s="101"/>
      <c r="AL15" s="101"/>
      <c r="AM15" s="101"/>
      <c r="AN15" s="101"/>
      <c r="AO15" s="101"/>
      <c r="AP15" s="101"/>
      <c r="AQ15" s="101"/>
      <c r="AR15" s="101"/>
      <c r="AS15" s="101"/>
    </row>
    <row r="16" spans="1:48" ht="15.75" thickTop="1">
      <c r="H16" s="101"/>
      <c r="I16" s="101"/>
      <c r="J16" s="101"/>
      <c r="K16" s="101"/>
      <c r="L16" s="101"/>
      <c r="M16" s="101"/>
      <c r="R16" s="101"/>
      <c r="S16" s="101"/>
      <c r="T16" s="101"/>
      <c r="U16" s="101"/>
      <c r="AB16" s="101"/>
      <c r="AC16" s="101"/>
      <c r="AD16" s="101"/>
      <c r="AE16" s="101"/>
      <c r="AF16" s="101"/>
      <c r="AG16" s="101"/>
      <c r="AH16" s="101"/>
      <c r="AI16" s="101"/>
      <c r="AJ16" s="101"/>
      <c r="AL16" s="101"/>
      <c r="AM16" s="101"/>
      <c r="AN16" s="101"/>
      <c r="AO16" s="101"/>
      <c r="AP16" s="101"/>
      <c r="AQ16" s="101"/>
      <c r="AR16" s="101"/>
      <c r="AS16" s="101"/>
    </row>
    <row r="17" spans="1:48" ht="17.25">
      <c r="H17" s="243" t="s">
        <v>212</v>
      </c>
      <c r="L17" s="246">
        <f>ROUND(1.4*L12/L14,0)</f>
        <v>6596</v>
      </c>
      <c r="M17" s="101" t="s">
        <v>283</v>
      </c>
      <c r="R17" s="101"/>
      <c r="S17" s="101"/>
      <c r="T17" s="101"/>
      <c r="U17" s="101"/>
      <c r="AB17" s="243" t="s">
        <v>212</v>
      </c>
      <c r="AC17" s="101"/>
      <c r="AD17" s="101"/>
      <c r="AE17" s="101"/>
      <c r="AF17" s="246">
        <f>ROUND(1.4*AF12/AF14,0)</f>
        <v>6750</v>
      </c>
      <c r="AG17" s="101" t="s">
        <v>283</v>
      </c>
      <c r="AH17" s="101"/>
      <c r="AI17" s="101"/>
      <c r="AJ17" s="101"/>
      <c r="AL17" s="101"/>
      <c r="AM17" s="101"/>
      <c r="AN17" s="101"/>
      <c r="AO17" s="101"/>
      <c r="AP17" s="101"/>
      <c r="AQ17" s="101"/>
      <c r="AR17" s="101"/>
      <c r="AS17" s="101"/>
    </row>
    <row r="18" spans="1:48">
      <c r="B18" s="101" t="s">
        <v>309</v>
      </c>
      <c r="I18" s="101"/>
      <c r="J18" s="101"/>
      <c r="K18" s="101"/>
      <c r="L18" s="101"/>
      <c r="M18" s="101"/>
      <c r="N18" s="101"/>
      <c r="O18" s="101"/>
      <c r="R18" s="101"/>
      <c r="T18" s="101"/>
      <c r="U18" s="101"/>
      <c r="V18" s="101"/>
      <c r="W18" s="101"/>
      <c r="AB18" s="101"/>
      <c r="AC18" s="101"/>
      <c r="AD18" s="101"/>
      <c r="AE18" s="101"/>
      <c r="AF18" s="101"/>
      <c r="AG18" s="101"/>
      <c r="AH18" s="101"/>
      <c r="AI18" s="101"/>
      <c r="AJ18" s="101"/>
      <c r="AL18" s="101"/>
      <c r="AM18" s="101"/>
      <c r="AN18" s="101"/>
      <c r="AO18" s="101"/>
      <c r="AP18" s="101"/>
      <c r="AQ18" s="101"/>
      <c r="AR18" s="101"/>
      <c r="AS18" s="101"/>
    </row>
    <row r="19" spans="1:48">
      <c r="D19" s="395">
        <f>B4</f>
        <v>20</v>
      </c>
      <c r="E19" s="9" t="s">
        <v>158</v>
      </c>
      <c r="H19" s="101" t="s">
        <v>193</v>
      </c>
      <c r="I19" s="249">
        <v>3</v>
      </c>
      <c r="J19" s="101" t="s">
        <v>158</v>
      </c>
      <c r="O19" s="101"/>
      <c r="Q19" s="30" t="s">
        <v>157</v>
      </c>
      <c r="R19" s="205">
        <f>M20</f>
        <v>12</v>
      </c>
      <c r="S19" s="204" t="str">
        <f>N20</f>
        <v>cm</v>
      </c>
      <c r="T19" s="101"/>
      <c r="U19" s="101"/>
      <c r="V19" s="101"/>
      <c r="W19" s="101"/>
      <c r="Y19" s="30" t="str">
        <f>H8</f>
        <v>h=</v>
      </c>
      <c r="Z19" s="205">
        <f>I8</f>
        <v>15</v>
      </c>
      <c r="AA19" s="204" t="str">
        <f>J8</f>
        <v>cm</v>
      </c>
      <c r="AB19" s="101" t="s">
        <v>193</v>
      </c>
      <c r="AC19" s="249">
        <v>3</v>
      </c>
      <c r="AD19" s="101" t="s">
        <v>158</v>
      </c>
      <c r="AE19" s="101"/>
      <c r="AF19" s="101"/>
      <c r="AG19" s="101"/>
      <c r="AH19" s="101"/>
      <c r="AI19" s="101"/>
      <c r="AJ19" s="101"/>
      <c r="AL19" s="101"/>
      <c r="AM19" s="101"/>
      <c r="AN19" s="101"/>
      <c r="AO19" s="101"/>
      <c r="AP19" s="101"/>
      <c r="AQ19" s="101"/>
      <c r="AR19" s="101"/>
      <c r="AS19" s="101"/>
    </row>
    <row r="20" spans="1:48">
      <c r="H20" s="101" t="s">
        <v>194</v>
      </c>
      <c r="I20" s="249">
        <v>5</v>
      </c>
      <c r="J20" s="101" t="s">
        <v>158</v>
      </c>
      <c r="K20" s="30" t="s">
        <v>157</v>
      </c>
      <c r="L20" s="101" t="s">
        <v>195</v>
      </c>
      <c r="M20" s="244">
        <f>I8-I19</f>
        <v>12</v>
      </c>
      <c r="N20" s="101" t="s">
        <v>158</v>
      </c>
      <c r="O20" s="101"/>
      <c r="R20" s="101"/>
      <c r="S20" s="235"/>
      <c r="T20" s="108"/>
      <c r="U20" s="34"/>
      <c r="V20" s="34"/>
      <c r="W20" s="101"/>
      <c r="AB20" s="101" t="s">
        <v>194</v>
      </c>
      <c r="AC20" s="249">
        <v>5</v>
      </c>
      <c r="AD20" s="101" t="s">
        <v>158</v>
      </c>
      <c r="AE20" s="30" t="s">
        <v>157</v>
      </c>
      <c r="AF20" s="101" t="s">
        <v>195</v>
      </c>
      <c r="AG20" s="244">
        <f>AC8-AC19</f>
        <v>12</v>
      </c>
      <c r="AH20" s="101" t="s">
        <v>158</v>
      </c>
      <c r="AI20" s="101"/>
      <c r="AJ20" s="101"/>
      <c r="AL20" s="101"/>
      <c r="AM20" s="101"/>
      <c r="AN20" s="101"/>
      <c r="AO20" s="101"/>
      <c r="AP20" s="101"/>
      <c r="AQ20" s="101"/>
      <c r="AR20" s="101"/>
      <c r="AS20" s="101"/>
    </row>
    <row r="21" spans="1:48" ht="8.4499999999999993" customHeight="1">
      <c r="K21" s="101"/>
      <c r="L21" s="101"/>
      <c r="M21" s="101"/>
      <c r="N21" s="101"/>
      <c r="O21" s="101"/>
      <c r="R21" s="101"/>
      <c r="S21" s="34"/>
      <c r="T21" s="34"/>
      <c r="U21" s="34"/>
      <c r="V21" s="34"/>
      <c r="W21" s="101"/>
      <c r="AB21" s="101"/>
      <c r="AC21" s="101"/>
      <c r="AD21" s="101"/>
      <c r="AE21" s="101"/>
      <c r="AF21" s="101"/>
      <c r="AG21" s="101"/>
      <c r="AH21" s="101"/>
      <c r="AI21" s="101"/>
      <c r="AJ21" s="101"/>
      <c r="AL21" s="101"/>
      <c r="AM21" s="101"/>
      <c r="AN21" s="235"/>
      <c r="AO21" s="108"/>
      <c r="AP21" s="34"/>
      <c r="AQ21" s="34"/>
      <c r="AR21" s="101"/>
      <c r="AS21" s="101"/>
    </row>
    <row r="22" spans="1:48" ht="18.75">
      <c r="D22" s="401">
        <f>(660*D19)/(B7*(100+D19))*B3</f>
        <v>1.4404761904761905</v>
      </c>
      <c r="E22" s="101" t="s">
        <v>220</v>
      </c>
      <c r="H22" s="204" t="s">
        <v>286</v>
      </c>
      <c r="O22" s="101"/>
      <c r="R22" s="101"/>
      <c r="S22" s="235"/>
      <c r="U22" s="30" t="s">
        <v>233</v>
      </c>
      <c r="V22" s="104">
        <f>L14</f>
        <v>1.2</v>
      </c>
      <c r="W22" s="273" t="str">
        <f>M14</f>
        <v>m</v>
      </c>
      <c r="AB22" s="204" t="s">
        <v>286</v>
      </c>
      <c r="AC22" s="101"/>
      <c r="AD22" s="101"/>
      <c r="AE22" s="101"/>
      <c r="AF22" s="101"/>
      <c r="AG22" s="101"/>
      <c r="AH22" s="101"/>
      <c r="AI22" s="101"/>
      <c r="AJ22" s="101"/>
      <c r="AL22" s="30" t="s">
        <v>157</v>
      </c>
      <c r="AM22" s="205">
        <f>AG20</f>
        <v>12</v>
      </c>
      <c r="AN22" s="377" t="str">
        <f>AH20</f>
        <v>cm</v>
      </c>
      <c r="AO22" s="34"/>
      <c r="AP22" s="34"/>
      <c r="AQ22" s="34"/>
      <c r="AR22" s="101"/>
      <c r="AS22" s="30" t="str">
        <f>AB8</f>
        <v>h=</v>
      </c>
      <c r="AT22" s="205">
        <f>AC8</f>
        <v>15</v>
      </c>
      <c r="AU22" s="204" t="str">
        <f>AD8</f>
        <v>cm</v>
      </c>
    </row>
    <row r="23" spans="1:48">
      <c r="K23" s="101"/>
      <c r="L23" s="101" t="s">
        <v>213</v>
      </c>
      <c r="M23" s="101"/>
      <c r="N23" s="101"/>
      <c r="O23" s="101"/>
      <c r="AB23" s="101"/>
      <c r="AC23" s="101"/>
      <c r="AD23" s="101"/>
      <c r="AE23" s="101"/>
      <c r="AF23" s="101" t="s">
        <v>213</v>
      </c>
      <c r="AG23" s="101"/>
      <c r="AH23" s="101"/>
      <c r="AI23" s="101"/>
      <c r="AJ23" s="101"/>
      <c r="AL23" s="101"/>
      <c r="AM23" s="101"/>
      <c r="AN23" s="235"/>
      <c r="AO23" s="108"/>
      <c r="AP23" s="34"/>
      <c r="AQ23" s="34"/>
      <c r="AR23" s="101"/>
      <c r="AS23" s="101"/>
    </row>
    <row r="24" spans="1:48" ht="18">
      <c r="H24" s="10" t="s">
        <v>196</v>
      </c>
      <c r="I24" s="101" t="s">
        <v>234</v>
      </c>
      <c r="J24" s="245">
        <f>0.5*(L14-I4/100)</f>
        <v>0.5</v>
      </c>
      <c r="K24" s="101" t="s">
        <v>37</v>
      </c>
      <c r="L24" s="101"/>
      <c r="M24" s="101"/>
      <c r="N24" s="101"/>
      <c r="O24" s="101"/>
      <c r="AB24" s="10" t="s">
        <v>196</v>
      </c>
      <c r="AC24" s="101" t="s">
        <v>235</v>
      </c>
      <c r="AD24" s="245">
        <f>(AF14-AC4/100)</f>
        <v>0.39999999999999997</v>
      </c>
      <c r="AE24" s="101" t="s">
        <v>37</v>
      </c>
      <c r="AF24" s="101"/>
      <c r="AG24" s="101"/>
      <c r="AH24" s="101"/>
      <c r="AI24" s="101"/>
      <c r="AJ24" s="101"/>
      <c r="AL24" s="101"/>
      <c r="AM24" s="101"/>
      <c r="AN24" s="101"/>
      <c r="AO24" s="101"/>
      <c r="AP24" s="101"/>
      <c r="AQ24" s="101"/>
      <c r="AR24" s="101"/>
      <c r="AS24" s="101"/>
    </row>
    <row r="25" spans="1:48" ht="18.75">
      <c r="B25" s="235" t="s">
        <v>207</v>
      </c>
      <c r="C25" s="407" t="str">
        <f>N4</f>
        <v>#3</v>
      </c>
      <c r="D25" s="404">
        <f>IF(C25=N4,O4,IF(C25=N5,O5,IF(C25=N6,O6,IF(C25=N7,O7,IF(C25=N8,O8,0)))))</f>
        <v>0.71</v>
      </c>
      <c r="E25" s="101" t="s">
        <v>220</v>
      </c>
      <c r="I25" s="101"/>
      <c r="J25" s="101"/>
      <c r="K25" s="101"/>
      <c r="L25" s="235"/>
      <c r="M25" s="101"/>
      <c r="N25" s="375">
        <f>((0.7*SQRT(I5))/I6)*I9*M20</f>
        <v>2.8284271247461898</v>
      </c>
      <c r="O25" s="101" t="s">
        <v>220</v>
      </c>
      <c r="R25" s="204" t="s">
        <v>290</v>
      </c>
      <c r="AB25" s="101"/>
      <c r="AC25" s="101"/>
      <c r="AD25" s="101"/>
      <c r="AE25" s="101"/>
      <c r="AF25" s="235"/>
      <c r="AG25" s="101"/>
      <c r="AH25" s="375">
        <f>((0.7*SQRT(AC5))/AC6)*AC9*AG20</f>
        <v>2.8284271247461898</v>
      </c>
      <c r="AI25" s="101" t="s">
        <v>220</v>
      </c>
      <c r="AJ25" s="101"/>
      <c r="AL25" s="101"/>
      <c r="AM25" s="101"/>
      <c r="AN25" s="236"/>
      <c r="AO25" s="30" t="s">
        <v>233</v>
      </c>
      <c r="AP25" s="270">
        <f>AF14</f>
        <v>0.6</v>
      </c>
      <c r="AQ25" s="272" t="str">
        <f>AG14</f>
        <v>m</v>
      </c>
      <c r="AR25" s="101"/>
      <c r="AS25" s="101"/>
    </row>
    <row r="26" spans="1:48" ht="15.75" thickBot="1">
      <c r="C26" s="271" t="s">
        <v>310</v>
      </c>
      <c r="D26" s="406">
        <f>ROUND(D22/D25,0)</f>
        <v>2</v>
      </c>
      <c r="H26" s="235"/>
      <c r="I26" s="101"/>
      <c r="J26" s="244">
        <f>ROUND(0.5*(L17*POWER(J24,2)),0)</f>
        <v>825</v>
      </c>
      <c r="K26" s="101" t="s">
        <v>197</v>
      </c>
      <c r="N26" s="101"/>
      <c r="O26" s="101"/>
      <c r="AB26" s="235"/>
      <c r="AC26" s="101"/>
      <c r="AD26" s="240">
        <f>ROUND(0.5*(AF17*POWER(AD24,2)),0)</f>
        <v>540</v>
      </c>
      <c r="AE26" s="101" t="s">
        <v>197</v>
      </c>
      <c r="AF26" s="101"/>
      <c r="AG26" s="101"/>
      <c r="AH26" s="101"/>
      <c r="AI26" s="101"/>
      <c r="AJ26" s="101"/>
      <c r="AL26" s="101"/>
    </row>
    <row r="27" spans="1:48" ht="15.75" thickTop="1">
      <c r="L27" s="101" t="s">
        <v>202</v>
      </c>
      <c r="M27" s="101"/>
      <c r="N27" s="101"/>
      <c r="O27" s="101"/>
      <c r="R27" s="101"/>
      <c r="S27" s="101"/>
      <c r="T27" s="101"/>
      <c r="U27" s="101"/>
      <c r="V27" s="101"/>
      <c r="W27" s="101"/>
      <c r="AB27" s="101"/>
      <c r="AC27" s="101"/>
      <c r="AD27" s="101"/>
      <c r="AE27" s="101"/>
      <c r="AF27" s="101" t="s">
        <v>202</v>
      </c>
      <c r="AG27" s="101"/>
      <c r="AH27" s="101"/>
      <c r="AI27" s="101"/>
      <c r="AJ27" s="101"/>
      <c r="AL27" s="101"/>
      <c r="AM27" s="204" t="s">
        <v>290</v>
      </c>
    </row>
    <row r="28" spans="1:48" ht="15.75">
      <c r="H28" s="101"/>
      <c r="I28" s="101"/>
      <c r="J28" s="101"/>
      <c r="K28" s="101"/>
      <c r="L28" s="101"/>
      <c r="M28" s="101"/>
      <c r="N28" s="101"/>
      <c r="O28" s="101"/>
      <c r="R28" s="101"/>
      <c r="S28" s="236"/>
      <c r="T28" s="237"/>
      <c r="U28" s="238"/>
      <c r="W28" s="101"/>
      <c r="AB28" s="101"/>
      <c r="AC28" s="101"/>
      <c r="AD28" s="101"/>
      <c r="AE28" s="101"/>
      <c r="AF28" s="101"/>
      <c r="AG28" s="101"/>
      <c r="AH28" s="101"/>
      <c r="AI28" s="101"/>
      <c r="AJ28" s="101"/>
      <c r="AL28" s="101"/>
      <c r="AM28" s="101"/>
      <c r="AN28" s="101"/>
      <c r="AO28" s="101"/>
      <c r="AP28" s="101"/>
      <c r="AQ28" s="101"/>
      <c r="AR28" s="101"/>
      <c r="AS28" s="101"/>
    </row>
    <row r="29" spans="1:48" ht="17.25">
      <c r="A29" s="204" t="s">
        <v>335</v>
      </c>
      <c r="I29" s="196"/>
      <c r="L29" s="101"/>
      <c r="N29" s="245">
        <f>(J26*100)/(0.9*I6*I10*M20)</f>
        <v>2.0435764817787287</v>
      </c>
      <c r="O29" s="101" t="s">
        <v>221</v>
      </c>
      <c r="R29" s="101"/>
      <c r="S29" s="101"/>
      <c r="T29" s="101"/>
      <c r="U29" s="101"/>
      <c r="AB29" s="101"/>
      <c r="AC29" s="304"/>
      <c r="AD29" s="101"/>
      <c r="AE29" s="101"/>
      <c r="AF29" s="101"/>
      <c r="AG29" s="101"/>
      <c r="AH29" s="245">
        <f>(AD26*100)/(0.9*AC6*AC10*AG20)</f>
        <v>1.3376136971642589</v>
      </c>
      <c r="AI29" s="101" t="s">
        <v>221</v>
      </c>
      <c r="AJ29" s="101"/>
      <c r="AL29" s="101"/>
      <c r="AM29" s="101"/>
      <c r="AN29" s="101"/>
      <c r="AO29" s="101"/>
      <c r="AP29" s="101"/>
      <c r="AQ29" s="101"/>
      <c r="AR29" s="101"/>
      <c r="AS29" s="101"/>
    </row>
    <row r="30" spans="1:48">
      <c r="F30" s="204" t="s">
        <v>312</v>
      </c>
      <c r="I30" s="101"/>
      <c r="J30" s="101"/>
      <c r="K30" s="101"/>
      <c r="L30" s="101"/>
      <c r="O30" s="101"/>
      <c r="R30" s="101"/>
      <c r="S30" s="101"/>
      <c r="T30" s="101"/>
      <c r="U30" s="101"/>
      <c r="AB30" s="101"/>
      <c r="AC30" s="101"/>
      <c r="AD30" s="101"/>
      <c r="AE30" s="101"/>
      <c r="AF30" s="101"/>
      <c r="AG30" s="101"/>
      <c r="AH30" s="101"/>
      <c r="AI30" s="101"/>
      <c r="AJ30" s="101"/>
      <c r="AL30" s="101"/>
      <c r="AM30" s="101"/>
      <c r="AN30" s="101"/>
      <c r="AO30" s="101"/>
      <c r="AP30" s="101"/>
      <c r="AQ30" s="101"/>
      <c r="AR30" s="101"/>
      <c r="AS30" s="101"/>
    </row>
    <row r="31" spans="1:48" s="101" customFormat="1" ht="17.25">
      <c r="B31" s="204">
        <f>D15</f>
        <v>2</v>
      </c>
      <c r="C31" s="199" t="str">
        <f>B14</f>
        <v>Var.</v>
      </c>
      <c r="D31" s="204" t="str">
        <f>C14</f>
        <v>#4</v>
      </c>
      <c r="I31" s="376" t="s">
        <v>285</v>
      </c>
      <c r="L31" s="285">
        <f>IF(N25&gt;N29,N25,N29)</f>
        <v>2.8284271247461898</v>
      </c>
      <c r="M31" s="101" t="s">
        <v>220</v>
      </c>
      <c r="N31" s="268"/>
      <c r="AC31" s="376" t="s">
        <v>285</v>
      </c>
      <c r="AF31" s="285">
        <f>IF(AH25&gt;AH29,AH25,AH29)</f>
        <v>2.8284271247461898</v>
      </c>
      <c r="AG31" s="101" t="s">
        <v>220</v>
      </c>
      <c r="AH31" s="268"/>
      <c r="AT31"/>
      <c r="AU31"/>
      <c r="AV31"/>
    </row>
    <row r="32" spans="1:48">
      <c r="H32" s="247" t="s">
        <v>205</v>
      </c>
      <c r="I32" s="92"/>
      <c r="O32" s="101"/>
      <c r="R32" s="101"/>
      <c r="S32" s="101"/>
      <c r="T32" s="101"/>
      <c r="U32" s="101"/>
      <c r="AB32" s="247" t="s">
        <v>205</v>
      </c>
      <c r="AC32" s="92"/>
      <c r="AD32" s="101"/>
      <c r="AE32" s="101"/>
      <c r="AF32" s="101"/>
      <c r="AG32" s="101"/>
      <c r="AH32" s="101"/>
      <c r="AI32" s="101"/>
      <c r="AJ32" s="101"/>
      <c r="AL32" s="101"/>
      <c r="AM32" s="101"/>
      <c r="AN32" s="101"/>
      <c r="AO32" s="101"/>
      <c r="AP32" s="101"/>
      <c r="AQ32" s="101"/>
      <c r="AR32" s="101"/>
      <c r="AS32" s="101"/>
    </row>
    <row r="33" spans="1:46">
      <c r="I33" s="235" t="s">
        <v>207</v>
      </c>
      <c r="J33" s="197" t="s">
        <v>200</v>
      </c>
      <c r="K33" s="249">
        <f>IF(J33=N4,O4,IF(J33=N5,O5,IF(J33=N6,O6,IF(J33=N7,O7,IF(J33=N8,O8,0)))))</f>
        <v>0.71</v>
      </c>
      <c r="L33" s="101"/>
      <c r="N33" s="244">
        <f>(K33/L31)*I9</f>
        <v>25.102290732122441</v>
      </c>
      <c r="O33" s="101" t="s">
        <v>158</v>
      </c>
      <c r="R33" s="101"/>
      <c r="S33" s="101"/>
      <c r="T33" s="101"/>
      <c r="U33" s="101"/>
      <c r="AB33" s="101"/>
      <c r="AC33" s="235" t="s">
        <v>207</v>
      </c>
      <c r="AD33" s="197" t="s">
        <v>200</v>
      </c>
      <c r="AE33" s="249">
        <f>IF(AD33=AH4,AI4,IF(AD33=AH5,AI5,IF(AD33=AH6,AI6,IF(AD33=AH7,AI7,IF(AD33=AH8,AI8,0)))))</f>
        <v>0.71</v>
      </c>
      <c r="AF33" s="101"/>
      <c r="AG33" s="101"/>
      <c r="AH33" s="244">
        <f>(AE33/AF31)*AC9</f>
        <v>25.102290732122441</v>
      </c>
      <c r="AI33" s="101" t="s">
        <v>158</v>
      </c>
      <c r="AJ33" s="101"/>
      <c r="AL33" s="101"/>
      <c r="AM33" s="101"/>
      <c r="AN33" s="101"/>
      <c r="AO33" s="101"/>
      <c r="AP33" s="101"/>
      <c r="AQ33" s="101"/>
      <c r="AR33" s="101"/>
      <c r="AS33" s="101"/>
    </row>
    <row r="34" spans="1:46" ht="8.4499999999999993" customHeight="1">
      <c r="H34" s="235"/>
      <c r="I34" s="95"/>
      <c r="J34" s="95"/>
      <c r="O34" s="101"/>
      <c r="R34" s="101"/>
      <c r="S34" s="101"/>
      <c r="T34" s="101"/>
      <c r="U34" s="101"/>
      <c r="AB34" s="235"/>
      <c r="AC34" s="95"/>
      <c r="AD34" s="95"/>
      <c r="AE34" s="101"/>
      <c r="AF34" s="101"/>
      <c r="AG34" s="101"/>
      <c r="AH34" s="101"/>
      <c r="AI34" s="101"/>
      <c r="AJ34" s="101"/>
      <c r="AL34" s="101"/>
      <c r="AM34" s="101"/>
      <c r="AN34" s="101"/>
      <c r="AO34" s="101"/>
      <c r="AP34" s="101"/>
      <c r="AQ34" s="101"/>
      <c r="AR34" s="101"/>
      <c r="AS34" s="101"/>
    </row>
    <row r="35" spans="1:46" ht="14.45" customHeight="1">
      <c r="H35" s="204"/>
      <c r="O35" s="101"/>
      <c r="R35" s="101"/>
      <c r="S35" s="101"/>
      <c r="T35" s="101"/>
      <c r="U35" s="101"/>
      <c r="AB35" s="204"/>
      <c r="AC35" s="101"/>
      <c r="AD35" s="101"/>
      <c r="AE35" s="101"/>
      <c r="AF35" s="101"/>
      <c r="AG35" s="101"/>
      <c r="AH35" s="101"/>
      <c r="AI35" s="101"/>
      <c r="AJ35" s="101"/>
      <c r="AL35" s="101"/>
      <c r="AM35" s="101"/>
      <c r="AN35" s="101"/>
      <c r="AO35" s="101"/>
      <c r="AP35" s="101"/>
      <c r="AQ35" s="101"/>
      <c r="AR35" s="101"/>
      <c r="AS35" s="101"/>
    </row>
    <row r="36" spans="1:46" ht="15.75" thickBot="1">
      <c r="H36" s="101"/>
      <c r="I36" s="204" t="s">
        <v>208</v>
      </c>
      <c r="J36" s="101"/>
      <c r="K36" s="101"/>
      <c r="L36" s="101"/>
      <c r="M36" s="248">
        <f>N33</f>
        <v>25.102290732122441</v>
      </c>
      <c r="N36" s="101" t="s">
        <v>158</v>
      </c>
      <c r="O36" s="101"/>
      <c r="R36" s="101"/>
      <c r="S36" s="101"/>
      <c r="T36" s="101"/>
      <c r="U36" s="101"/>
      <c r="AB36" s="101"/>
      <c r="AC36" s="204" t="s">
        <v>208</v>
      </c>
      <c r="AD36" s="101"/>
      <c r="AE36" s="101"/>
      <c r="AF36" s="101"/>
      <c r="AG36" s="248">
        <f>AH33</f>
        <v>25.102290732122441</v>
      </c>
      <c r="AH36" s="101" t="s">
        <v>158</v>
      </c>
      <c r="AI36" s="101"/>
      <c r="AJ36" s="101"/>
      <c r="AL36" s="101"/>
      <c r="AM36" s="101"/>
      <c r="AN36" s="101"/>
      <c r="AO36" s="101"/>
      <c r="AP36" s="101"/>
      <c r="AQ36" s="101"/>
      <c r="AR36" s="101"/>
      <c r="AS36" s="101"/>
    </row>
    <row r="37" spans="1:46" ht="15.75" thickTop="1">
      <c r="H37" s="247"/>
      <c r="K37" s="101"/>
      <c r="L37" s="101"/>
      <c r="M37" s="101"/>
      <c r="N37" s="101"/>
      <c r="O37" s="101"/>
      <c r="R37" s="101"/>
      <c r="S37" s="101"/>
      <c r="T37" s="101"/>
      <c r="U37" s="101"/>
      <c r="AB37" s="247"/>
      <c r="AC37" s="101"/>
      <c r="AD37" s="101"/>
      <c r="AE37" s="101"/>
      <c r="AF37" s="101"/>
      <c r="AG37" s="101"/>
      <c r="AH37" s="101"/>
      <c r="AI37" s="101"/>
      <c r="AJ37" s="101"/>
      <c r="AL37" s="101"/>
      <c r="AM37" s="101"/>
      <c r="AN37" s="101"/>
      <c r="AO37" s="101"/>
      <c r="AP37" s="101"/>
      <c r="AQ37" s="101"/>
      <c r="AR37" s="101"/>
      <c r="AS37" s="101"/>
    </row>
    <row r="38" spans="1:46">
      <c r="H38" s="204" t="s">
        <v>287</v>
      </c>
      <c r="K38" s="101"/>
      <c r="L38" s="101"/>
      <c r="M38" s="101"/>
      <c r="N38" s="101"/>
      <c r="O38" s="101"/>
      <c r="R38" s="101"/>
      <c r="S38" s="101"/>
      <c r="T38" s="101"/>
      <c r="U38" s="101"/>
      <c r="AB38" s="204" t="s">
        <v>287</v>
      </c>
      <c r="AC38" s="101"/>
      <c r="AD38" s="101"/>
      <c r="AE38" s="101"/>
      <c r="AF38" s="101"/>
      <c r="AG38" s="101"/>
      <c r="AH38" s="101"/>
      <c r="AI38" s="101"/>
      <c r="AJ38" s="101"/>
      <c r="AL38" s="101"/>
      <c r="AM38" s="101"/>
      <c r="AN38" s="101"/>
      <c r="AO38" s="101"/>
      <c r="AP38" s="101"/>
      <c r="AQ38" s="101"/>
      <c r="AR38" s="101"/>
      <c r="AS38" s="101"/>
    </row>
    <row r="39" spans="1:46" ht="17.25">
      <c r="H39" s="235"/>
      <c r="I39" s="108"/>
      <c r="K39" s="101"/>
      <c r="L39" s="101"/>
      <c r="M39" s="101"/>
      <c r="N39" s="245">
        <f>(0.7*(SQRT(200)/4200))*L14*100*M20</f>
        <v>3.3941125496954281</v>
      </c>
      <c r="O39" s="101" t="s">
        <v>220</v>
      </c>
      <c r="T39" s="101"/>
      <c r="U39" s="101"/>
      <c r="W39" s="30" t="str">
        <f>I33</f>
        <v>Var.</v>
      </c>
      <c r="X39" t="str">
        <f>J33</f>
        <v>#3</v>
      </c>
      <c r="AB39" s="235"/>
      <c r="AC39" s="108"/>
      <c r="AD39" s="101"/>
      <c r="AE39" s="101"/>
      <c r="AF39" s="101"/>
      <c r="AG39" s="101"/>
      <c r="AH39" s="245">
        <f>(0.7*(SQRT(200)/4200))*AF14*100*AG20</f>
        <v>1.697056274847714</v>
      </c>
      <c r="AI39" s="101" t="s">
        <v>220</v>
      </c>
      <c r="AJ39" s="101"/>
      <c r="AL39" s="101"/>
    </row>
    <row r="40" spans="1:46" s="101" customFormat="1">
      <c r="H40" s="235"/>
      <c r="I40" s="108"/>
      <c r="N40" s="245"/>
      <c r="Q40" s="30">
        <f>ROUND(((J24*100)/M45)*2,0)</f>
        <v>4</v>
      </c>
      <c r="R40" s="199" t="str">
        <f>I43</f>
        <v>Var.</v>
      </c>
      <c r="S40" s="101" t="str">
        <f>J43</f>
        <v>#3</v>
      </c>
      <c r="W40" s="382">
        <f>M36</f>
        <v>25.102290732122441</v>
      </c>
      <c r="X40" s="101" t="s">
        <v>158</v>
      </c>
      <c r="AB40" s="235"/>
      <c r="AC40" s="108"/>
      <c r="AH40" s="245"/>
    </row>
    <row r="41" spans="1:46" s="101" customFormat="1" ht="17.25">
      <c r="H41" s="235"/>
      <c r="I41" s="376" t="s">
        <v>285</v>
      </c>
      <c r="L41" s="285">
        <f>IF(N29&gt;N39,N29,N39)</f>
        <v>3.3941125496954281</v>
      </c>
      <c r="M41" s="101" t="s">
        <v>220</v>
      </c>
      <c r="N41" s="245"/>
      <c r="R41" s="382"/>
      <c r="AB41" s="235"/>
      <c r="AC41" s="376" t="s">
        <v>285</v>
      </c>
      <c r="AF41" s="285">
        <f>IF(AH29&gt;AH39,AH29,AH39)</f>
        <v>1.697056274847714</v>
      </c>
      <c r="AG41" s="101" t="s">
        <v>220</v>
      </c>
      <c r="AH41" s="245"/>
      <c r="AS41" s="30" t="str">
        <f>AC33</f>
        <v>Var.</v>
      </c>
      <c r="AT41" s="101" t="str">
        <f>AD33</f>
        <v>#3</v>
      </c>
    </row>
    <row r="42" spans="1:46">
      <c r="H42" s="247" t="s">
        <v>205</v>
      </c>
      <c r="I42" s="101"/>
      <c r="J42" s="101"/>
      <c r="K42" s="101"/>
      <c r="L42" s="101"/>
      <c r="M42" s="101"/>
      <c r="N42" s="101"/>
      <c r="O42" s="101"/>
      <c r="R42" s="101"/>
      <c r="S42" s="101"/>
      <c r="T42" s="101"/>
      <c r="U42" s="101"/>
      <c r="AB42" s="247" t="s">
        <v>205</v>
      </c>
      <c r="AC42" s="101"/>
      <c r="AD42" s="101"/>
      <c r="AE42" s="101"/>
      <c r="AF42" s="101"/>
      <c r="AG42" s="101"/>
      <c r="AH42" s="101"/>
      <c r="AI42" s="101"/>
      <c r="AJ42" s="101"/>
      <c r="AL42" s="101"/>
      <c r="AM42" s="30">
        <f>ROUND(((AD24*100)/AG45),0)</f>
        <v>2</v>
      </c>
      <c r="AN42" s="199" t="str">
        <f>AC43</f>
        <v>Var.</v>
      </c>
      <c r="AO42" s="101" t="str">
        <f>AD43</f>
        <v>#3</v>
      </c>
      <c r="AP42" s="101"/>
      <c r="AQ42" s="101"/>
      <c r="AS42" s="382">
        <f>AG36</f>
        <v>25.102290732122441</v>
      </c>
      <c r="AT42" s="101" t="s">
        <v>158</v>
      </c>
    </row>
    <row r="43" spans="1:46">
      <c r="I43" s="235" t="s">
        <v>207</v>
      </c>
      <c r="J43" s="251" t="s">
        <v>200</v>
      </c>
      <c r="K43" s="249">
        <f>IF(J43=N4,O4,IF(J43=N5,O5,IF(J43=N6,O6,IF(J43=N7,O7,IF(J43=N8,O8,0)))))</f>
        <v>0.71</v>
      </c>
      <c r="M43" s="101"/>
      <c r="N43" s="253">
        <f>(K43/L41)*L14*100</f>
        <v>25.102290732122434</v>
      </c>
      <c r="O43" s="101" t="s">
        <v>158</v>
      </c>
      <c r="R43" s="101"/>
      <c r="S43" s="101"/>
      <c r="T43" s="101"/>
      <c r="U43" s="101"/>
      <c r="AB43" s="101"/>
      <c r="AC43" s="235" t="s">
        <v>207</v>
      </c>
      <c r="AD43" s="251" t="s">
        <v>200</v>
      </c>
      <c r="AE43" s="249">
        <f>IF(AD43=AH4,AI4,IF(AD43=AH5,AI5,IF(AD43=AH6,AI6,IF(AD43=AH7,AI7,IF(AD43=AH8,AI8,0)))))</f>
        <v>0.71</v>
      </c>
      <c r="AF43" s="101"/>
      <c r="AG43" s="101"/>
      <c r="AH43" s="253">
        <f>(AE43/AF41)*AF14*100</f>
        <v>25.102290732122434</v>
      </c>
      <c r="AI43" s="101" t="s">
        <v>158</v>
      </c>
      <c r="AJ43" s="101"/>
      <c r="AL43" s="101"/>
      <c r="AO43" s="101"/>
      <c r="AP43" s="101"/>
      <c r="AQ43" s="101"/>
      <c r="AS43" s="101"/>
      <c r="AT43" s="101"/>
    </row>
    <row r="44" spans="1:46">
      <c r="A44" s="204">
        <f>D26</f>
        <v>2</v>
      </c>
      <c r="B44" s="199" t="str">
        <f>B25</f>
        <v>Var.</v>
      </c>
      <c r="C44" s="204" t="str">
        <f>C25</f>
        <v>#3</v>
      </c>
      <c r="E44" s="204">
        <f>B31</f>
        <v>2</v>
      </c>
      <c r="F44" s="199" t="str">
        <f t="shared" ref="F44:G44" si="0">C31</f>
        <v>Var.</v>
      </c>
      <c r="G44" s="204" t="str">
        <f t="shared" si="0"/>
        <v>#4</v>
      </c>
      <c r="H44" s="101"/>
      <c r="I44" s="101"/>
      <c r="J44" s="101"/>
      <c r="K44" s="250"/>
      <c r="L44" s="101"/>
      <c r="M44" s="101"/>
      <c r="N44" s="101"/>
      <c r="O44" s="101"/>
      <c r="R44" s="101"/>
      <c r="S44" s="101"/>
      <c r="T44" s="101"/>
      <c r="U44" s="101"/>
      <c r="AB44" s="101"/>
      <c r="AC44" s="101"/>
      <c r="AD44" s="101"/>
      <c r="AE44" s="250"/>
      <c r="AF44" s="101"/>
      <c r="AG44" s="101"/>
      <c r="AH44" s="101"/>
      <c r="AI44" s="101"/>
      <c r="AJ44" s="101"/>
      <c r="AL44" s="101"/>
      <c r="AM44" s="382"/>
      <c r="AN44" s="101"/>
      <c r="AO44" s="101"/>
      <c r="AP44" s="101"/>
      <c r="AQ44" s="101"/>
      <c r="AT44" s="101"/>
    </row>
    <row r="45" spans="1:46" ht="15.75" thickBot="1">
      <c r="B45" s="101" t="s">
        <v>311</v>
      </c>
      <c r="H45" s="101"/>
      <c r="I45" s="204" t="s">
        <v>214</v>
      </c>
      <c r="J45" s="101"/>
      <c r="K45" s="101"/>
      <c r="L45" s="101"/>
      <c r="M45" s="252">
        <f>N43</f>
        <v>25.102290732122434</v>
      </c>
      <c r="N45" s="101" t="s">
        <v>158</v>
      </c>
      <c r="O45" s="101"/>
      <c r="R45" s="101"/>
      <c r="S45" s="101"/>
      <c r="T45" s="101"/>
      <c r="U45" s="101"/>
      <c r="AB45" s="101"/>
      <c r="AC45" s="204" t="s">
        <v>214</v>
      </c>
      <c r="AD45" s="101"/>
      <c r="AE45" s="101"/>
      <c r="AF45" s="101"/>
      <c r="AG45" s="252">
        <f>AH43</f>
        <v>25.102290732122434</v>
      </c>
      <c r="AH45" s="101" t="s">
        <v>158</v>
      </c>
      <c r="AI45" s="101"/>
      <c r="AJ45" s="101"/>
      <c r="AL45" s="101"/>
      <c r="AM45" s="101"/>
      <c r="AN45" s="101"/>
      <c r="AO45" s="101"/>
      <c r="AP45" s="101"/>
      <c r="AQ45" s="101"/>
      <c r="AR45" s="101"/>
      <c r="AS45" s="101"/>
    </row>
    <row r="46" spans="1:46" ht="15.75" thickTop="1">
      <c r="R46" s="101"/>
      <c r="S46" s="101"/>
      <c r="T46" s="101"/>
      <c r="U46" s="101"/>
    </row>
    <row r="47" spans="1:46" ht="14.1" customHeight="1"/>
    <row r="56" ht="14.45" customHeight="1"/>
    <row r="66" ht="14.45" customHeight="1"/>
    <row r="78" ht="14.45" customHeight="1"/>
    <row r="86" spans="8:24" s="101" customFormat="1"/>
    <row r="87" spans="8:24" s="101" customFormat="1"/>
    <row r="92" spans="8:24">
      <c r="H92" s="101"/>
      <c r="I92" s="101"/>
      <c r="J92" s="101"/>
      <c r="K92" s="101"/>
      <c r="L92" s="101"/>
      <c r="M92" s="101"/>
      <c r="N92" s="101"/>
      <c r="O92" s="101"/>
      <c r="R92" s="101"/>
      <c r="S92" s="101"/>
      <c r="T92" s="101"/>
      <c r="U92" s="101"/>
      <c r="V92" s="101"/>
      <c r="W92" s="101"/>
      <c r="X92" s="101"/>
    </row>
    <row r="93" spans="8:24">
      <c r="H93" s="101"/>
      <c r="I93" s="101"/>
      <c r="J93" s="101"/>
      <c r="K93" s="101"/>
      <c r="L93" s="101"/>
      <c r="M93" s="101"/>
      <c r="N93" s="101"/>
      <c r="O93" s="101"/>
      <c r="R93" s="101"/>
      <c r="S93" s="101"/>
      <c r="T93" s="101"/>
      <c r="U93" s="101"/>
      <c r="V93" s="101"/>
      <c r="W93" s="101"/>
      <c r="X93" s="101"/>
    </row>
    <row r="94" spans="8:24">
      <c r="H94" s="101"/>
      <c r="I94" s="101"/>
      <c r="J94" s="101"/>
      <c r="K94" s="101"/>
      <c r="L94" s="101"/>
      <c r="M94" s="101"/>
      <c r="N94" s="101"/>
      <c r="O94" s="101"/>
      <c r="R94" s="101"/>
      <c r="S94" s="101"/>
      <c r="T94" s="101"/>
      <c r="U94" s="101"/>
      <c r="V94" s="101"/>
      <c r="W94" s="101"/>
      <c r="X94" s="101"/>
    </row>
    <row r="95" spans="8:24">
      <c r="H95" s="101"/>
      <c r="I95" s="101"/>
      <c r="J95" s="101"/>
      <c r="K95" s="101"/>
      <c r="L95" s="101"/>
      <c r="M95" s="101"/>
      <c r="N95" s="101"/>
      <c r="O95" s="101"/>
      <c r="R95" s="101"/>
      <c r="S95" s="101"/>
      <c r="T95" s="101"/>
      <c r="U95" s="101"/>
      <c r="V95" s="101"/>
      <c r="W95" s="101"/>
      <c r="X95" s="101"/>
    </row>
  </sheetData>
  <mergeCells count="5">
    <mergeCell ref="AB1:AE1"/>
    <mergeCell ref="AC2:AD2"/>
    <mergeCell ref="H1:K1"/>
    <mergeCell ref="I2:J2"/>
    <mergeCell ref="A1:D1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geOrder="overThenDown" orientation="portrait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1AF8C-6F83-4C53-A239-819B211CB955}">
  <dimension ref="A1:P46"/>
  <sheetViews>
    <sheetView showGridLines="0" zoomScaleNormal="100" zoomScalePageLayoutView="85" workbookViewId="0">
      <selection sqref="A1:D1"/>
    </sheetView>
  </sheetViews>
  <sheetFormatPr baseColWidth="10" defaultColWidth="11.5703125" defaultRowHeight="15"/>
  <cols>
    <col min="3" max="3" width="9" customWidth="1"/>
    <col min="6" max="6" width="10.28515625" customWidth="1"/>
    <col min="10" max="10" width="7.42578125" customWidth="1"/>
  </cols>
  <sheetData>
    <row r="1" spans="1:15" ht="16.5" thickBot="1">
      <c r="A1" s="542" t="s">
        <v>340</v>
      </c>
      <c r="B1" s="542"/>
      <c r="C1" s="542"/>
      <c r="D1" s="542"/>
    </row>
    <row r="2" spans="1:15" ht="15.75" thickBot="1">
      <c r="A2" s="428" t="s">
        <v>184</v>
      </c>
      <c r="B2" s="429"/>
      <c r="C2" s="430"/>
      <c r="E2" s="144" t="s">
        <v>346</v>
      </c>
    </row>
    <row r="3" spans="1:15" ht="18.75">
      <c r="A3" s="421" t="s">
        <v>279</v>
      </c>
      <c r="B3" s="110">
        <v>200</v>
      </c>
      <c r="C3" s="422" t="s">
        <v>283</v>
      </c>
      <c r="L3" s="10" t="s">
        <v>345</v>
      </c>
      <c r="M3" s="199">
        <v>363</v>
      </c>
      <c r="N3" t="s">
        <v>189</v>
      </c>
    </row>
    <row r="4" spans="1:15" ht="18.75">
      <c r="A4" s="423" t="s">
        <v>341</v>
      </c>
      <c r="B4" s="8">
        <f>'1. Datos generales.'!E28</f>
        <v>4200</v>
      </c>
      <c r="C4" s="336" t="s">
        <v>283</v>
      </c>
      <c r="G4" s="290">
        <f>(B8*B5)/4</f>
        <v>259.46250000000003</v>
      </c>
      <c r="H4" s="101" t="s">
        <v>189</v>
      </c>
    </row>
    <row r="5" spans="1:15" ht="18">
      <c r="A5" s="423" t="s">
        <v>343</v>
      </c>
      <c r="B5" s="8">
        <v>1.85</v>
      </c>
      <c r="C5" s="222" t="s">
        <v>37</v>
      </c>
      <c r="G5" s="382"/>
    </row>
    <row r="6" spans="1:15" ht="18">
      <c r="A6" s="423" t="s">
        <v>342</v>
      </c>
      <c r="B6" s="8">
        <v>3.12</v>
      </c>
      <c r="C6" s="222" t="s">
        <v>37</v>
      </c>
      <c r="E6" s="198" t="s">
        <v>349</v>
      </c>
      <c r="G6" s="290"/>
    </row>
    <row r="7" spans="1:15">
      <c r="A7" s="423" t="s">
        <v>344</v>
      </c>
      <c r="B7" s="8">
        <f>MROUND(B5/B6,0.05)</f>
        <v>0.60000000000000009</v>
      </c>
      <c r="C7" s="222"/>
      <c r="G7" s="290"/>
    </row>
    <row r="8" spans="1:15" ht="17.25">
      <c r="A8" s="423" t="s">
        <v>345</v>
      </c>
      <c r="B8" s="8">
        <f>'2. Espesor mínimo de losa.'!C65</f>
        <v>561</v>
      </c>
      <c r="C8" s="336" t="s">
        <v>283</v>
      </c>
      <c r="G8" s="290">
        <f>((B8*B5)/4)*(2-B7)</f>
        <v>363.2475</v>
      </c>
      <c r="H8" t="s">
        <v>189</v>
      </c>
      <c r="J8" s="401">
        <f>(M3*B9)/2</f>
        <v>593.505</v>
      </c>
    </row>
    <row r="9" spans="1:15">
      <c r="A9" s="426" t="s">
        <v>196</v>
      </c>
      <c r="B9" s="8">
        <v>3.27</v>
      </c>
      <c r="C9" s="427" t="s">
        <v>37</v>
      </c>
    </row>
    <row r="10" spans="1:15" s="101" customFormat="1" ht="18.75" thickBot="1">
      <c r="A10" s="431" t="s">
        <v>278</v>
      </c>
      <c r="B10" s="112">
        <v>0.9</v>
      </c>
      <c r="C10" s="150"/>
      <c r="F10" s="10" t="s">
        <v>350</v>
      </c>
      <c r="G10" s="401">
        <f>1.4*O16</f>
        <v>679.26647249999996</v>
      </c>
      <c r="H10" t="s">
        <v>197</v>
      </c>
      <c r="J10"/>
      <c r="K10"/>
      <c r="L10"/>
      <c r="M10"/>
      <c r="N10"/>
      <c r="O10"/>
    </row>
    <row r="11" spans="1:15">
      <c r="J11" s="424" t="s">
        <v>347</v>
      </c>
    </row>
    <row r="12" spans="1:15">
      <c r="B12" s="10" t="s">
        <v>352</v>
      </c>
    </row>
    <row r="13" spans="1:15">
      <c r="C13" s="432" t="s">
        <v>365</v>
      </c>
      <c r="D13">
        <v>1.8200000000000001E-2</v>
      </c>
      <c r="E13" s="432" t="s">
        <v>366</v>
      </c>
      <c r="F13">
        <v>2.3E-3</v>
      </c>
    </row>
    <row r="14" spans="1:15">
      <c r="B14" s="424" t="s">
        <v>367</v>
      </c>
      <c r="C14" s="432" t="s">
        <v>351</v>
      </c>
      <c r="D14" s="417">
        <v>3.8E-3</v>
      </c>
      <c r="O14" s="285">
        <f>-(M3*B9)/2</f>
        <v>-593.505</v>
      </c>
    </row>
    <row r="15" spans="1:15">
      <c r="B15" s="10" t="s">
        <v>353</v>
      </c>
      <c r="C15" s="10" t="s">
        <v>160</v>
      </c>
      <c r="D15" s="290">
        <v>15</v>
      </c>
      <c r="E15" t="s">
        <v>158</v>
      </c>
    </row>
    <row r="16" spans="1:15">
      <c r="O16" s="285">
        <f>(M3*B9^2)/8</f>
        <v>485.1903375</v>
      </c>
    </row>
    <row r="17" spans="1:15">
      <c r="A17" t="s">
        <v>354</v>
      </c>
    </row>
    <row r="18" spans="1:15" ht="17.25">
      <c r="C18" s="417">
        <f>0.8*B3</f>
        <v>160</v>
      </c>
      <c r="D18" s="339" t="s">
        <v>283</v>
      </c>
      <c r="J18" t="s">
        <v>348</v>
      </c>
    </row>
    <row r="19" spans="1:15" ht="17.25">
      <c r="C19" s="199">
        <f>0.85*C18</f>
        <v>136</v>
      </c>
      <c r="D19" s="339" t="s">
        <v>283</v>
      </c>
    </row>
    <row r="20" spans="1:15">
      <c r="L20" s="30"/>
      <c r="M20" s="199"/>
      <c r="N20" s="204"/>
    </row>
    <row r="21" spans="1:15">
      <c r="C21" s="439">
        <f>(B4/C19)*D14</f>
        <v>0.11735294117647059</v>
      </c>
    </row>
    <row r="23" spans="1:15" ht="18">
      <c r="A23" t="s">
        <v>355</v>
      </c>
      <c r="I23" s="204"/>
      <c r="J23" s="199"/>
      <c r="K23" s="204"/>
      <c r="M23" s="437" t="s">
        <v>157</v>
      </c>
      <c r="N23" s="199">
        <f>G27</f>
        <v>20</v>
      </c>
      <c r="O23" s="204" t="s">
        <v>158</v>
      </c>
    </row>
    <row r="25" spans="1:15">
      <c r="A25" t="s">
        <v>356</v>
      </c>
    </row>
    <row r="27" spans="1:15">
      <c r="D27" s="205">
        <f>SQRT((G10*100)/((B10)*(C19)*(D15)*(C21)*(1-0.5*C21)))</f>
        <v>18.300683260402476</v>
      </c>
      <c r="E27" s="204" t="s">
        <v>158</v>
      </c>
      <c r="F27" s="259" t="s">
        <v>357</v>
      </c>
      <c r="G27" s="199">
        <v>20</v>
      </c>
      <c r="H27" t="s">
        <v>158</v>
      </c>
    </row>
    <row r="28" spans="1:15">
      <c r="K28" s="30" t="s">
        <v>160</v>
      </c>
      <c r="L28" s="199">
        <f>D15</f>
        <v>15</v>
      </c>
      <c r="M28" s="204" t="s">
        <v>158</v>
      </c>
    </row>
    <row r="30" spans="1:15">
      <c r="A30" t="s">
        <v>358</v>
      </c>
    </row>
    <row r="31" spans="1:15">
      <c r="L31" s="204" t="s">
        <v>364</v>
      </c>
    </row>
    <row r="32" spans="1:15" ht="17.25">
      <c r="C32" s="438">
        <f>D14*D15*G27</f>
        <v>1.1400000000000001</v>
      </c>
      <c r="D32" t="s">
        <v>220</v>
      </c>
      <c r="G32" s="417">
        <v>2.54</v>
      </c>
      <c r="H32" s="101" t="s">
        <v>220</v>
      </c>
    </row>
    <row r="34" spans="1:16" ht="17.25">
      <c r="A34" s="376" t="s">
        <v>360</v>
      </c>
      <c r="D34" s="199">
        <f>IF(C32&lt;G32,G32,C32)</f>
        <v>2.54</v>
      </c>
      <c r="E34" s="101" t="s">
        <v>220</v>
      </c>
    </row>
    <row r="35" spans="1:16">
      <c r="G35" s="234" t="s">
        <v>198</v>
      </c>
      <c r="H35" s="418" t="s">
        <v>199</v>
      </c>
    </row>
    <row r="36" spans="1:16" ht="17.25">
      <c r="A36" s="101"/>
      <c r="B36" s="235" t="s">
        <v>207</v>
      </c>
      <c r="C36" s="197" t="str">
        <f>G37</f>
        <v>#4</v>
      </c>
      <c r="D36" s="404">
        <f>IF(C36=G36,H36,IF(C36=G37,H37,IF(C36=G38,H38,IF(C36=G39,H39,IF(C36=G40,H40,0)))))</f>
        <v>1.27</v>
      </c>
      <c r="E36" s="101" t="s">
        <v>220</v>
      </c>
      <c r="G36" s="379" t="s">
        <v>200</v>
      </c>
      <c r="H36" s="379">
        <v>0.71</v>
      </c>
    </row>
    <row r="37" spans="1:16">
      <c r="A37" s="101"/>
      <c r="B37" s="30"/>
      <c r="C37" s="101"/>
      <c r="D37" s="101"/>
      <c r="E37" s="101"/>
      <c r="G37" s="379" t="s">
        <v>201</v>
      </c>
      <c r="H37" s="379">
        <v>1.27</v>
      </c>
    </row>
    <row r="38" spans="1:16" ht="15.75" thickBot="1">
      <c r="A38" s="376" t="s">
        <v>319</v>
      </c>
      <c r="B38" s="101"/>
      <c r="C38" s="406">
        <f>ROUND(D34/D36,0)</f>
        <v>2</v>
      </c>
      <c r="D38" s="408" t="s">
        <v>320</v>
      </c>
      <c r="E38" s="101" t="s">
        <v>363</v>
      </c>
      <c r="G38" s="379" t="s">
        <v>203</v>
      </c>
      <c r="H38" s="379">
        <v>1.99</v>
      </c>
    </row>
    <row r="39" spans="1:16" ht="15.75" thickTop="1">
      <c r="G39" s="379" t="s">
        <v>204</v>
      </c>
      <c r="H39" s="379">
        <v>2.87</v>
      </c>
    </row>
    <row r="40" spans="1:16">
      <c r="A40" t="s">
        <v>359</v>
      </c>
      <c r="G40" s="379" t="s">
        <v>206</v>
      </c>
      <c r="H40" s="379">
        <v>5.07</v>
      </c>
    </row>
    <row r="42" spans="1:16">
      <c r="A42" s="543" t="s">
        <v>322</v>
      </c>
      <c r="B42" s="433">
        <v>20</v>
      </c>
      <c r="C42" s="101" t="s">
        <v>158</v>
      </c>
      <c r="D42" s="101"/>
      <c r="E42" s="538" t="s">
        <v>328</v>
      </c>
      <c r="F42" s="537">
        <f>IF(B42&lt;C43,B42,C43)</f>
        <v>20</v>
      </c>
      <c r="G42" s="541" t="s">
        <v>158</v>
      </c>
      <c r="I42" s="204">
        <f>C38</f>
        <v>2</v>
      </c>
      <c r="J42" s="199" t="str">
        <f>D38</f>
        <v>var.</v>
      </c>
      <c r="K42" s="204" t="str">
        <f>C36</f>
        <v>#4</v>
      </c>
    </row>
    <row r="43" spans="1:16">
      <c r="A43" s="543"/>
      <c r="B43" s="434" t="s">
        <v>331</v>
      </c>
      <c r="C43" s="433">
        <f>1.5*('1. Datos generales.'!E19*100)</f>
        <v>22.5</v>
      </c>
      <c r="D43" s="101" t="s">
        <v>158</v>
      </c>
      <c r="E43" s="539"/>
      <c r="F43" s="537"/>
      <c r="G43" s="541"/>
      <c r="N43" s="30" t="s">
        <v>362</v>
      </c>
      <c r="O43" s="199">
        <f>D45</f>
        <v>20</v>
      </c>
      <c r="P43" s="204" t="str">
        <f>E45</f>
        <v>cm</v>
      </c>
    </row>
    <row r="45" spans="1:16" ht="15.75" thickBot="1">
      <c r="A45" s="425" t="s">
        <v>361</v>
      </c>
      <c r="D45" s="435">
        <f>F42</f>
        <v>20</v>
      </c>
      <c r="E45" s="436" t="str">
        <f>G42</f>
        <v>cm</v>
      </c>
    </row>
    <row r="46" spans="1:16" ht="15.75" thickTop="1"/>
  </sheetData>
  <mergeCells count="5">
    <mergeCell ref="A1:D1"/>
    <mergeCell ref="A42:A43"/>
    <mergeCell ref="E42:E43"/>
    <mergeCell ref="F42:F43"/>
    <mergeCell ref="G42:G43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4FA02-5300-471E-841A-ED4559DEF5B2}">
  <sheetPr>
    <tabColor theme="7" tint="0.79998168889431442"/>
  </sheetPr>
  <dimension ref="B1:F39"/>
  <sheetViews>
    <sheetView showGridLines="0" showRowColHeaders="0" tabSelected="1" zoomScale="120" zoomScaleNormal="120" zoomScaleSheetLayoutView="80" workbookViewId="0">
      <selection activeCell="H16" sqref="H16"/>
    </sheetView>
  </sheetViews>
  <sheetFormatPr baseColWidth="10" defaultRowHeight="15"/>
  <cols>
    <col min="1" max="1" width="7.7109375" customWidth="1"/>
    <col min="2" max="3" width="11.5703125" customWidth="1"/>
    <col min="4" max="4" width="13.140625" customWidth="1"/>
    <col min="5" max="5" width="11.7109375" customWidth="1"/>
  </cols>
  <sheetData>
    <row r="1" spans="2:5" ht="14.45" customHeight="1">
      <c r="B1" s="469" t="s">
        <v>111</v>
      </c>
      <c r="C1" s="470"/>
      <c r="D1" s="470"/>
      <c r="E1" s="471"/>
    </row>
    <row r="2" spans="2:5" ht="14.45" customHeight="1" thickBot="1">
      <c r="B2" s="463" t="s">
        <v>0</v>
      </c>
      <c r="C2" s="464"/>
      <c r="D2" s="465"/>
      <c r="E2" s="141" t="s">
        <v>112</v>
      </c>
    </row>
    <row r="3" spans="2:5" ht="14.45" customHeight="1">
      <c r="B3" s="466" t="s">
        <v>63</v>
      </c>
      <c r="C3" s="467"/>
      <c r="D3" s="468"/>
      <c r="E3" s="306">
        <v>9.42</v>
      </c>
    </row>
    <row r="4" spans="2:5" ht="14.45" customHeight="1">
      <c r="B4" s="450" t="s">
        <v>64</v>
      </c>
      <c r="C4" s="451"/>
      <c r="D4" s="452"/>
      <c r="E4" s="307">
        <v>11.95</v>
      </c>
    </row>
    <row r="5" spans="2:5" ht="14.45" customHeight="1">
      <c r="B5" s="450" t="s">
        <v>296</v>
      </c>
      <c r="C5" s="451"/>
      <c r="D5" s="452"/>
      <c r="E5" s="65">
        <v>2</v>
      </c>
    </row>
    <row r="6" spans="2:5" ht="14.45" customHeight="1">
      <c r="B6" s="450" t="s">
        <v>65</v>
      </c>
      <c r="C6" s="451"/>
      <c r="D6" s="452"/>
      <c r="E6" s="308" t="s">
        <v>7</v>
      </c>
    </row>
    <row r="7" spans="2:5" ht="14.45" customHeight="1">
      <c r="B7" s="450" t="s">
        <v>297</v>
      </c>
      <c r="C7" s="451"/>
      <c r="D7" s="452"/>
      <c r="E7" s="308" t="s">
        <v>8</v>
      </c>
    </row>
    <row r="8" spans="2:5" ht="14.45" customHeight="1">
      <c r="B8" s="450" t="s">
        <v>66</v>
      </c>
      <c r="C8" s="451"/>
      <c r="D8" s="452"/>
      <c r="E8" s="308" t="s">
        <v>9</v>
      </c>
    </row>
    <row r="9" spans="2:5" ht="14.45" customHeight="1">
      <c r="B9" s="450" t="s">
        <v>298</v>
      </c>
      <c r="C9" s="451"/>
      <c r="D9" s="452"/>
      <c r="E9" s="308">
        <v>0.8</v>
      </c>
    </row>
    <row r="10" spans="2:5" ht="14.45" customHeight="1">
      <c r="B10" s="450" t="s">
        <v>96</v>
      </c>
      <c r="C10" s="451"/>
      <c r="D10" s="452"/>
      <c r="E10" s="308">
        <v>2</v>
      </c>
    </row>
    <row r="11" spans="2:5" ht="14.45" customHeight="1">
      <c r="B11" s="450" t="s">
        <v>231</v>
      </c>
      <c r="C11" s="451"/>
      <c r="D11" s="452"/>
      <c r="E11" s="308">
        <f>E9/E10</f>
        <v>0.4</v>
      </c>
    </row>
    <row r="12" spans="2:5" ht="14.45" customHeight="1">
      <c r="B12" s="450" t="s">
        <v>228</v>
      </c>
      <c r="C12" s="451"/>
      <c r="D12" s="452"/>
      <c r="E12" s="309">
        <v>0.6</v>
      </c>
    </row>
    <row r="13" spans="2:5" ht="14.45" customHeight="1">
      <c r="B13" s="450" t="s">
        <v>251</v>
      </c>
      <c r="C13" s="451"/>
      <c r="D13" s="452"/>
      <c r="E13" s="308">
        <v>0.7</v>
      </c>
    </row>
    <row r="14" spans="2:5" ht="14.45" customHeight="1" thickBot="1">
      <c r="B14" s="453" t="s">
        <v>252</v>
      </c>
      <c r="C14" s="454"/>
      <c r="D14" s="455"/>
      <c r="E14" s="310">
        <v>1.1000000000000001</v>
      </c>
    </row>
    <row r="15" spans="2:5" ht="14.45" customHeight="1" thickBot="1"/>
    <row r="16" spans="2:5" ht="14.45" customHeight="1" thickBot="1">
      <c r="B16" s="460" t="s">
        <v>113</v>
      </c>
      <c r="C16" s="461"/>
      <c r="D16" s="461"/>
      <c r="E16" s="462"/>
    </row>
    <row r="17" spans="2:6" ht="14.45" customHeight="1">
      <c r="B17" s="456" t="s">
        <v>4</v>
      </c>
      <c r="C17" s="457"/>
      <c r="D17" s="457"/>
      <c r="E17" s="32" t="s">
        <v>70</v>
      </c>
    </row>
    <row r="18" spans="2:6" ht="14.45" customHeight="1">
      <c r="B18" s="458" t="s">
        <v>39</v>
      </c>
      <c r="C18" s="459"/>
      <c r="D18" s="459"/>
      <c r="E18" s="86">
        <v>2.85</v>
      </c>
    </row>
    <row r="19" spans="2:6" ht="14.45" customHeight="1">
      <c r="B19" s="458" t="s">
        <v>99</v>
      </c>
      <c r="C19" s="459"/>
      <c r="D19" s="459"/>
      <c r="E19" s="86">
        <v>0.15</v>
      </c>
    </row>
    <row r="20" spans="2:6" ht="28.9" customHeight="1">
      <c r="B20" s="475" t="s">
        <v>266</v>
      </c>
      <c r="C20" s="476"/>
      <c r="D20" s="476"/>
      <c r="E20" s="86">
        <v>40</v>
      </c>
    </row>
    <row r="21" spans="2:6" ht="28.9" customHeight="1">
      <c r="B21" s="475" t="s">
        <v>265</v>
      </c>
      <c r="C21" s="476"/>
      <c r="D21" s="476"/>
      <c r="E21" s="311">
        <v>4.5</v>
      </c>
    </row>
    <row r="22" spans="2:6" ht="14.45" customHeight="1" thickBot="1">
      <c r="B22" s="477" t="s">
        <v>67</v>
      </c>
      <c r="C22" s="478"/>
      <c r="D22" s="478"/>
      <c r="E22" s="305">
        <f>270*E18</f>
        <v>769.5</v>
      </c>
      <c r="F22" s="297"/>
    </row>
    <row r="23" spans="2:6" s="17" customFormat="1" ht="14.45" customHeight="1" thickBot="1"/>
    <row r="24" spans="2:6" ht="14.45" customHeight="1" thickBot="1">
      <c r="B24" s="487" t="s">
        <v>114</v>
      </c>
      <c r="C24" s="488"/>
      <c r="D24" s="488"/>
      <c r="E24" s="489"/>
    </row>
    <row r="25" spans="2:6" ht="14.45" customHeight="1">
      <c r="B25" s="479" t="s">
        <v>68</v>
      </c>
      <c r="C25" s="480"/>
      <c r="D25" s="480"/>
      <c r="E25" s="312">
        <v>0.15</v>
      </c>
    </row>
    <row r="26" spans="2:6" ht="14.45" customHeight="1">
      <c r="B26" s="481" t="s">
        <v>71</v>
      </c>
      <c r="C26" s="482"/>
      <c r="D26" s="482"/>
      <c r="E26" s="86">
        <v>0.2</v>
      </c>
    </row>
    <row r="27" spans="2:6" ht="28.9" customHeight="1">
      <c r="B27" s="475" t="s">
        <v>253</v>
      </c>
      <c r="C27" s="476"/>
      <c r="D27" s="476"/>
      <c r="E27" s="313">
        <v>200</v>
      </c>
    </row>
    <row r="28" spans="2:6" ht="28.9" customHeight="1">
      <c r="B28" s="483" t="s">
        <v>267</v>
      </c>
      <c r="C28" s="484"/>
      <c r="D28" s="484"/>
      <c r="E28" s="314">
        <v>4200</v>
      </c>
    </row>
    <row r="29" spans="2:6" ht="14.45" customHeight="1" thickBot="1">
      <c r="B29" s="485" t="s">
        <v>254</v>
      </c>
      <c r="C29" s="486"/>
      <c r="D29" s="486"/>
      <c r="E29" s="315">
        <v>2.84</v>
      </c>
    </row>
    <row r="30" spans="2:6" ht="14.45" customHeight="1">
      <c r="B30" s="54"/>
    </row>
    <row r="31" spans="2:6" ht="14.45" customHeight="1" thickBot="1"/>
    <row r="32" spans="2:6" ht="14.45" customHeight="1" thickBot="1">
      <c r="B32" s="472" t="s">
        <v>115</v>
      </c>
      <c r="C32" s="473"/>
      <c r="D32" s="474"/>
    </row>
    <row r="33" spans="2:4" ht="14.45" customHeight="1">
      <c r="B33" s="23" t="s">
        <v>57</v>
      </c>
      <c r="C33" s="20" t="s">
        <v>255</v>
      </c>
      <c r="D33" s="22" t="s">
        <v>256</v>
      </c>
    </row>
    <row r="34" spans="2:4" ht="14.45" customHeight="1" thickBot="1">
      <c r="B34" s="21" t="s">
        <v>58</v>
      </c>
      <c r="C34" s="316">
        <v>4.5827</v>
      </c>
      <c r="D34" s="317">
        <v>4.9673999999999996</v>
      </c>
    </row>
    <row r="35" spans="2:4" ht="14.45" customHeight="1"/>
    <row r="36" spans="2:4" ht="14.45" customHeight="1"/>
    <row r="37" spans="2:4" ht="14.45" customHeight="1"/>
    <row r="38" spans="2:4" ht="14.45" customHeight="1"/>
    <row r="39" spans="2:4" ht="14.45" customHeight="1"/>
  </sheetData>
  <mergeCells count="28">
    <mergeCell ref="B32:D32"/>
    <mergeCell ref="B20:D20"/>
    <mergeCell ref="B21:D21"/>
    <mergeCell ref="B22:D22"/>
    <mergeCell ref="B25:D25"/>
    <mergeCell ref="B26:D26"/>
    <mergeCell ref="B27:D27"/>
    <mergeCell ref="B28:D28"/>
    <mergeCell ref="B29:D29"/>
    <mergeCell ref="B24:E24"/>
    <mergeCell ref="B1:E1"/>
    <mergeCell ref="B7:D7"/>
    <mergeCell ref="B8:D8"/>
    <mergeCell ref="B9:D9"/>
    <mergeCell ref="B10:D10"/>
    <mergeCell ref="B11:D11"/>
    <mergeCell ref="B12:D12"/>
    <mergeCell ref="B2:D2"/>
    <mergeCell ref="B3:D3"/>
    <mergeCell ref="B4:D4"/>
    <mergeCell ref="B5:D5"/>
    <mergeCell ref="B6:D6"/>
    <mergeCell ref="B13:D13"/>
    <mergeCell ref="B14:D14"/>
    <mergeCell ref="B17:D17"/>
    <mergeCell ref="B18:D18"/>
    <mergeCell ref="B19:D19"/>
    <mergeCell ref="B16:E16"/>
  </mergeCells>
  <printOptions horizontalCentered="1"/>
  <pageMargins left="0.7" right="0.7" top="0.75" bottom="0.75" header="0.3" footer="0.3"/>
  <pageSetup fitToWidth="0" orientation="landscape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08F5B-5742-4B0A-BDCF-BAA03D18C140}">
  <sheetPr>
    <tabColor theme="5" tint="0.79998168889431442"/>
  </sheetPr>
  <dimension ref="A1:O91"/>
  <sheetViews>
    <sheetView showGridLines="0" topLeftCell="A54" zoomScaleNormal="100" zoomScalePageLayoutView="55" workbookViewId="0">
      <selection activeCell="C72" sqref="C72"/>
    </sheetView>
  </sheetViews>
  <sheetFormatPr baseColWidth="10" defaultColWidth="53.7109375" defaultRowHeight="15"/>
  <cols>
    <col min="1" max="1" width="2.7109375" customWidth="1"/>
    <col min="2" max="2" width="27.42578125" customWidth="1"/>
    <col min="3" max="3" width="9.7109375" customWidth="1"/>
    <col min="4" max="4" width="2.85546875" customWidth="1"/>
    <col min="5" max="5" width="32" customWidth="1"/>
    <col min="6" max="6" width="9.7109375" customWidth="1"/>
    <col min="7" max="7" width="2.7109375" customWidth="1"/>
    <col min="8" max="82" width="11.5703125" customWidth="1"/>
  </cols>
  <sheetData>
    <row r="1" spans="1:8">
      <c r="A1" s="9"/>
      <c r="B1" s="490" t="s">
        <v>116</v>
      </c>
      <c r="C1" s="491"/>
      <c r="D1" s="491"/>
      <c r="E1" s="491"/>
      <c r="F1" s="491"/>
      <c r="G1" s="9"/>
    </row>
    <row r="3" spans="1:8" ht="18">
      <c r="B3" s="492" t="s">
        <v>72</v>
      </c>
      <c r="C3" s="492"/>
      <c r="D3" s="492"/>
      <c r="E3" s="492"/>
      <c r="H3" s="53"/>
    </row>
    <row r="4" spans="1:8" ht="18">
      <c r="B4" s="492" t="s">
        <v>73</v>
      </c>
      <c r="C4" s="492"/>
      <c r="D4" s="492"/>
      <c r="E4" s="492"/>
      <c r="H4" s="53"/>
    </row>
    <row r="6" spans="1:8" ht="15.75" thickBot="1">
      <c r="B6" s="501" t="s">
        <v>109</v>
      </c>
      <c r="C6" s="501"/>
      <c r="D6" s="55"/>
      <c r="E6" s="502" t="s">
        <v>110</v>
      </c>
      <c r="F6" s="502"/>
      <c r="G6" s="56"/>
    </row>
    <row r="7" spans="1:8">
      <c r="B7" s="37" t="s">
        <v>40</v>
      </c>
      <c r="C7" s="38">
        <v>1</v>
      </c>
      <c r="D7" s="503"/>
      <c r="E7" s="37" t="s">
        <v>259</v>
      </c>
      <c r="F7" s="42">
        <f>IF(C8="CM",C9+1.25*C10,C9+1.5*C10)</f>
        <v>18.880000000000003</v>
      </c>
      <c r="G7" s="9"/>
    </row>
    <row r="8" spans="1:8">
      <c r="B8" s="39" t="s">
        <v>74</v>
      </c>
      <c r="C8" s="40" t="s">
        <v>3</v>
      </c>
      <c r="D8" s="503"/>
      <c r="E8" s="39" t="s">
        <v>166</v>
      </c>
      <c r="F8" s="47">
        <f>ROUND(IF(C7=1,F7*100/250,F7*100/170),0)</f>
        <v>8</v>
      </c>
      <c r="G8" s="9"/>
    </row>
    <row r="9" spans="1:8" ht="15.75" thickBot="1">
      <c r="B9" s="39" t="s">
        <v>75</v>
      </c>
      <c r="C9" s="88">
        <f>F27</f>
        <v>3.58</v>
      </c>
      <c r="D9" s="503"/>
      <c r="E9" s="41" t="s">
        <v>77</v>
      </c>
      <c r="F9" s="48">
        <f>F8+2</f>
        <v>10</v>
      </c>
      <c r="G9" s="9"/>
    </row>
    <row r="10" spans="1:8">
      <c r="B10" s="39" t="s">
        <v>83</v>
      </c>
      <c r="C10" s="88">
        <f>F27+2*(F28)</f>
        <v>12.24</v>
      </c>
      <c r="D10" s="34"/>
      <c r="E10" s="34"/>
      <c r="F10" s="34"/>
      <c r="G10" s="9"/>
    </row>
    <row r="11" spans="1:8">
      <c r="B11" s="368" t="s">
        <v>257</v>
      </c>
      <c r="C11" s="90">
        <v>170</v>
      </c>
      <c r="D11" s="34"/>
      <c r="E11" s="34"/>
      <c r="F11" s="34"/>
    </row>
    <row r="12" spans="1:8">
      <c r="B12" s="368" t="s">
        <v>258</v>
      </c>
      <c r="C12" s="318">
        <v>4200</v>
      </c>
      <c r="E12" s="53"/>
    </row>
    <row r="13" spans="1:8" ht="15.75" thickBot="1">
      <c r="B13" s="41" t="s">
        <v>76</v>
      </c>
      <c r="C13" s="89">
        <v>2.85</v>
      </c>
    </row>
    <row r="24" spans="2:6" ht="15.75" thickBot="1"/>
    <row r="25" spans="2:6" ht="15.75" thickBot="1">
      <c r="B25" s="497" t="s">
        <v>41</v>
      </c>
      <c r="C25" s="498"/>
      <c r="E25" s="497" t="s">
        <v>47</v>
      </c>
      <c r="F25" s="498"/>
    </row>
    <row r="26" spans="2:6" ht="26.25">
      <c r="B26" s="78" t="s">
        <v>0</v>
      </c>
      <c r="C26" s="85" t="s">
        <v>260</v>
      </c>
      <c r="E26" s="499" t="s">
        <v>48</v>
      </c>
      <c r="F26" s="500"/>
    </row>
    <row r="27" spans="2:6" ht="18">
      <c r="B27" s="43" t="s">
        <v>85</v>
      </c>
      <c r="C27" s="47">
        <f>F9*24</f>
        <v>240</v>
      </c>
      <c r="E27" s="369" t="s">
        <v>268</v>
      </c>
      <c r="F27" s="90">
        <v>3.58</v>
      </c>
    </row>
    <row r="28" spans="2:6" ht="18">
      <c r="B28" s="43" t="s">
        <v>78</v>
      </c>
      <c r="C28" s="90">
        <f>2200*0.02</f>
        <v>44</v>
      </c>
      <c r="E28" s="369" t="s">
        <v>269</v>
      </c>
      <c r="F28" s="90">
        <v>4.33</v>
      </c>
    </row>
    <row r="29" spans="2:6" ht="18">
      <c r="B29" s="43" t="s">
        <v>79</v>
      </c>
      <c r="C29" s="90">
        <v>50</v>
      </c>
      <c r="E29" s="369" t="s">
        <v>270</v>
      </c>
      <c r="F29" s="47">
        <f>F27/F28</f>
        <v>0.82678983833718245</v>
      </c>
    </row>
    <row r="30" spans="2:6">
      <c r="B30" s="43" t="s">
        <v>42</v>
      </c>
      <c r="C30" s="90">
        <v>17</v>
      </c>
      <c r="E30" s="43" t="s">
        <v>261</v>
      </c>
      <c r="F30" s="47">
        <f>F28*F27</f>
        <v>15.5014</v>
      </c>
    </row>
    <row r="31" spans="2:6">
      <c r="B31" s="43" t="s">
        <v>43</v>
      </c>
      <c r="C31" s="319">
        <f>F36</f>
        <v>0</v>
      </c>
      <c r="E31" s="43" t="s">
        <v>80</v>
      </c>
      <c r="F31" s="90">
        <v>0</v>
      </c>
    </row>
    <row r="32" spans="2:6">
      <c r="B32" s="43" t="s">
        <v>44</v>
      </c>
      <c r="C32" s="90">
        <v>40</v>
      </c>
      <c r="E32" s="43" t="s">
        <v>81</v>
      </c>
      <c r="F32" s="90">
        <v>0</v>
      </c>
    </row>
    <row r="33" spans="2:6">
      <c r="B33" s="43" t="s">
        <v>45</v>
      </c>
      <c r="C33" s="90">
        <v>0</v>
      </c>
      <c r="E33" s="43" t="s">
        <v>49</v>
      </c>
      <c r="F33" s="318">
        <f>'1. Datos generales.'!E22</f>
        <v>769.5</v>
      </c>
    </row>
    <row r="34" spans="2:6" ht="15.75" thickBot="1">
      <c r="B34" s="46" t="s">
        <v>46</v>
      </c>
      <c r="C34" s="48">
        <f>ROUND(SUM(C27:C33),0)</f>
        <v>391</v>
      </c>
      <c r="E34" s="43" t="s">
        <v>50</v>
      </c>
      <c r="F34" s="47">
        <f>-0.3947*F29+2.0026</f>
        <v>1.6762660508083143</v>
      </c>
    </row>
    <row r="35" spans="2:6">
      <c r="E35" s="43" t="s">
        <v>51</v>
      </c>
      <c r="F35" s="47">
        <f>0.6053*'[1]ESPESOR DE LOSA'!F21+1.0026</f>
        <v>1.5070166666666664</v>
      </c>
    </row>
    <row r="36" spans="2:6" ht="15.75" thickBot="1">
      <c r="E36" s="46" t="s">
        <v>262</v>
      </c>
      <c r="F36" s="48">
        <f>(F33*F31*F34+F32*F33*F35)/F30</f>
        <v>0</v>
      </c>
    </row>
    <row r="37" spans="2:6" ht="15.75" thickBot="1"/>
    <row r="38" spans="2:6" ht="15.75" thickBot="1">
      <c r="B38" s="493" t="s">
        <v>52</v>
      </c>
      <c r="C38" s="494"/>
    </row>
    <row r="39" spans="2:6" ht="15.75">
      <c r="B39" s="49" t="s">
        <v>271</v>
      </c>
      <c r="C39" s="320">
        <f>0.6*C12</f>
        <v>2520</v>
      </c>
    </row>
    <row r="40" spans="2:6">
      <c r="B40" s="39" t="s">
        <v>82</v>
      </c>
      <c r="C40" s="47">
        <f>IF(C34*C39&gt;=957600,0.032*(C39*C34)^0.25,1)</f>
        <v>1.0081944511586203</v>
      </c>
    </row>
    <row r="41" spans="2:6" ht="18">
      <c r="B41" s="50" t="s">
        <v>292</v>
      </c>
      <c r="C41" s="47">
        <f>ROUND(C40*F8,0)</f>
        <v>8</v>
      </c>
    </row>
    <row r="42" spans="2:6" ht="15.75" thickBot="1">
      <c r="B42" s="41" t="s">
        <v>77</v>
      </c>
      <c r="C42" s="48">
        <f>ROUND(C41+2,0)</f>
        <v>10</v>
      </c>
    </row>
    <row r="48" spans="2:6" ht="15.75" thickBot="1"/>
    <row r="49" spans="1:13" ht="15.75" thickBot="1">
      <c r="B49" s="497" t="s">
        <v>88</v>
      </c>
      <c r="C49" s="498"/>
      <c r="E49" s="497" t="s">
        <v>86</v>
      </c>
      <c r="F49" s="498"/>
    </row>
    <row r="50" spans="1:13" ht="26.25">
      <c r="A50" s="26"/>
      <c r="B50" s="78" t="s">
        <v>0</v>
      </c>
      <c r="C50" s="85" t="s">
        <v>260</v>
      </c>
      <c r="D50" s="4"/>
      <c r="E50" s="79" t="s">
        <v>0</v>
      </c>
      <c r="F50" s="83" t="s">
        <v>260</v>
      </c>
      <c r="G50" s="9"/>
    </row>
    <row r="51" spans="1:13">
      <c r="A51" s="26"/>
      <c r="B51" s="43" t="s">
        <v>85</v>
      </c>
      <c r="C51" s="44">
        <f>C42*24</f>
        <v>240</v>
      </c>
      <c r="D51" s="4"/>
      <c r="E51" s="43" t="s">
        <v>1</v>
      </c>
      <c r="F51" s="44">
        <f>C42*24</f>
        <v>240</v>
      </c>
      <c r="G51" s="9"/>
    </row>
    <row r="52" spans="1:13">
      <c r="A52" s="26"/>
      <c r="B52" s="43" t="s">
        <v>53</v>
      </c>
      <c r="C52" s="45">
        <v>44</v>
      </c>
      <c r="D52" s="4"/>
      <c r="E52" s="43" t="s">
        <v>2</v>
      </c>
      <c r="F52" s="45">
        <v>23</v>
      </c>
      <c r="G52" s="9"/>
    </row>
    <row r="53" spans="1:13">
      <c r="A53" s="26"/>
      <c r="B53" s="43" t="s">
        <v>54</v>
      </c>
      <c r="C53" s="45">
        <v>50</v>
      </c>
      <c r="D53" s="4"/>
      <c r="E53" s="43" t="s">
        <v>272</v>
      </c>
      <c r="F53" s="45">
        <v>42</v>
      </c>
      <c r="G53" s="9"/>
    </row>
    <row r="54" spans="1:13">
      <c r="A54" s="26"/>
      <c r="B54" s="43" t="s">
        <v>55</v>
      </c>
      <c r="C54" s="45">
        <v>17</v>
      </c>
      <c r="D54" s="4"/>
      <c r="E54" s="43" t="s">
        <v>87</v>
      </c>
      <c r="F54" s="45">
        <v>42</v>
      </c>
      <c r="G54" s="9"/>
    </row>
    <row r="55" spans="1:13">
      <c r="A55" s="26"/>
      <c r="B55" s="43" t="s">
        <v>43</v>
      </c>
      <c r="C55" s="44">
        <f>F36</f>
        <v>0</v>
      </c>
      <c r="D55" s="4"/>
      <c r="E55" s="43" t="s">
        <v>44</v>
      </c>
      <c r="F55" s="45">
        <v>40</v>
      </c>
      <c r="G55" s="9"/>
    </row>
    <row r="56" spans="1:13" ht="15.75" thickBot="1">
      <c r="A56" s="26"/>
      <c r="B56" s="43" t="s">
        <v>44</v>
      </c>
      <c r="C56" s="45">
        <v>40</v>
      </c>
      <c r="D56" s="4"/>
      <c r="E56" s="46" t="s">
        <v>56</v>
      </c>
      <c r="F56" s="57">
        <f>ROUND(SUM(F51:F55),0)</f>
        <v>387</v>
      </c>
      <c r="G56" s="9"/>
    </row>
    <row r="57" spans="1:13">
      <c r="A57" s="26"/>
      <c r="B57" s="43" t="s">
        <v>45</v>
      </c>
      <c r="C57" s="45">
        <v>0</v>
      </c>
      <c r="D57" s="4"/>
      <c r="E57" s="58"/>
      <c r="F57" s="59"/>
      <c r="G57" s="9"/>
    </row>
    <row r="58" spans="1:13" ht="15.75" thickBot="1">
      <c r="B58" s="46" t="s">
        <v>56</v>
      </c>
      <c r="C58" s="57">
        <f>ROUND(SUM(C51:C57),0)</f>
        <v>391</v>
      </c>
      <c r="D58" s="52"/>
      <c r="E58" s="9"/>
      <c r="F58" s="9"/>
      <c r="G58" s="52"/>
    </row>
    <row r="59" spans="1:13" ht="15.75" thickBot="1">
      <c r="D59" s="34"/>
      <c r="E59" s="34"/>
      <c r="F59" s="34"/>
    </row>
    <row r="60" spans="1:13">
      <c r="B60" s="495" t="s">
        <v>89</v>
      </c>
      <c r="C60" s="496"/>
      <c r="D60" s="34"/>
      <c r="E60" s="34"/>
      <c r="F60" s="34"/>
    </row>
    <row r="61" spans="1:13" ht="26.25">
      <c r="A61" s="35"/>
      <c r="B61" s="82" t="s">
        <v>6</v>
      </c>
      <c r="C61" s="84" t="s">
        <v>260</v>
      </c>
      <c r="D61" s="34"/>
      <c r="E61" s="34"/>
      <c r="F61" s="34"/>
    </row>
    <row r="62" spans="1:13">
      <c r="A62" s="35"/>
      <c r="B62" s="43" t="s">
        <v>91</v>
      </c>
      <c r="C62" s="65">
        <f>C58</f>
        <v>391</v>
      </c>
      <c r="D62" s="34"/>
      <c r="E62" s="34"/>
      <c r="F62" s="34"/>
      <c r="I62" s="63"/>
      <c r="J62" s="63"/>
      <c r="K62" s="63"/>
      <c r="L62" s="63"/>
      <c r="M62" s="63"/>
    </row>
    <row r="63" spans="1:13">
      <c r="A63" s="35"/>
      <c r="B63" s="43" t="s">
        <v>92</v>
      </c>
      <c r="C63" s="65">
        <v>170</v>
      </c>
      <c r="D63" s="36"/>
      <c r="I63" s="64"/>
      <c r="J63" s="64"/>
      <c r="K63" s="64"/>
      <c r="L63" s="64"/>
      <c r="M63" s="61"/>
    </row>
    <row r="64" spans="1:13">
      <c r="A64" s="35"/>
      <c r="B64" s="43" t="s">
        <v>229</v>
      </c>
      <c r="C64" s="65">
        <v>90</v>
      </c>
      <c r="D64" s="34"/>
      <c r="I64" s="35"/>
      <c r="J64" s="35"/>
      <c r="K64" s="35"/>
      <c r="L64" s="35"/>
      <c r="M64" s="62"/>
    </row>
    <row r="65" spans="1:15">
      <c r="A65" s="35"/>
      <c r="B65" s="43" t="s">
        <v>94</v>
      </c>
      <c r="C65" s="65">
        <f>C62+C63</f>
        <v>561</v>
      </c>
      <c r="D65" s="34"/>
      <c r="I65" s="35"/>
      <c r="J65" s="35"/>
      <c r="K65" s="35"/>
      <c r="L65" s="35"/>
      <c r="M65" s="62"/>
    </row>
    <row r="66" spans="1:15" ht="15.75" thickBot="1">
      <c r="A66" s="35"/>
      <c r="B66" s="46" t="s">
        <v>93</v>
      </c>
      <c r="C66" s="66">
        <f>C62+C64</f>
        <v>481</v>
      </c>
      <c r="D66" s="34"/>
      <c r="I66" s="35"/>
      <c r="J66" s="35"/>
      <c r="K66" s="35"/>
      <c r="L66" s="35"/>
      <c r="M66" s="62"/>
    </row>
    <row r="67" spans="1:15" ht="15.75" thickBot="1">
      <c r="A67" s="35"/>
      <c r="B67" s="58"/>
      <c r="C67" s="130"/>
      <c r="D67" s="34"/>
      <c r="I67" s="35"/>
      <c r="J67" s="35"/>
      <c r="K67" s="35"/>
      <c r="L67" s="35"/>
      <c r="M67" s="62"/>
    </row>
    <row r="68" spans="1:15" ht="26.25">
      <c r="A68" s="35"/>
      <c r="B68" s="81" t="s">
        <v>90</v>
      </c>
      <c r="C68" s="83" t="s">
        <v>260</v>
      </c>
      <c r="D68" s="34"/>
      <c r="I68" s="35"/>
      <c r="J68" s="35"/>
      <c r="K68" s="35"/>
      <c r="L68" s="35"/>
      <c r="M68" s="62"/>
    </row>
    <row r="69" spans="1:15">
      <c r="A69" s="35"/>
      <c r="B69" s="43" t="s">
        <v>91</v>
      </c>
      <c r="C69" s="80">
        <f>F56</f>
        <v>387</v>
      </c>
      <c r="D69" s="34"/>
      <c r="I69" s="63"/>
      <c r="J69" s="63"/>
      <c r="K69" s="63"/>
      <c r="L69" s="63"/>
      <c r="M69" s="60"/>
    </row>
    <row r="70" spans="1:15">
      <c r="A70" s="35"/>
      <c r="B70" s="43" t="s">
        <v>92</v>
      </c>
      <c r="C70" s="65">
        <v>100</v>
      </c>
      <c r="D70" s="34"/>
    </row>
    <row r="71" spans="1:15">
      <c r="A71" s="35"/>
      <c r="B71" s="43" t="s">
        <v>230</v>
      </c>
      <c r="C71" s="65">
        <v>70</v>
      </c>
      <c r="D71" s="34"/>
      <c r="H71" s="16"/>
    </row>
    <row r="72" spans="1:15">
      <c r="A72" s="35"/>
      <c r="B72" s="43" t="s">
        <v>94</v>
      </c>
      <c r="C72" s="65">
        <f>C69+C70</f>
        <v>487</v>
      </c>
      <c r="D72" s="34"/>
      <c r="I72" s="16"/>
      <c r="J72" s="16"/>
      <c r="K72" s="16"/>
      <c r="L72" s="16"/>
      <c r="M72" s="16"/>
      <c r="N72" s="16"/>
      <c r="O72" s="16"/>
    </row>
    <row r="73" spans="1:15" ht="15.75" thickBot="1">
      <c r="A73" s="35"/>
      <c r="B73" s="46" t="s">
        <v>93</v>
      </c>
      <c r="C73" s="67">
        <f>C69+C71</f>
        <v>457</v>
      </c>
      <c r="D73" s="34"/>
      <c r="I73" s="72"/>
      <c r="J73" s="69"/>
      <c r="K73" s="70"/>
      <c r="L73" s="70"/>
      <c r="M73" s="70"/>
      <c r="N73" s="70"/>
      <c r="O73" s="70"/>
    </row>
    <row r="74" spans="1:15">
      <c r="A74" s="35"/>
      <c r="B74" s="58"/>
      <c r="C74" s="131"/>
      <c r="D74" s="34"/>
      <c r="I74" s="64"/>
      <c r="J74" s="71"/>
      <c r="K74" s="73"/>
      <c r="L74" s="61"/>
      <c r="M74" s="61"/>
      <c r="N74" s="61"/>
      <c r="O74" s="68"/>
    </row>
    <row r="75" spans="1:15">
      <c r="B75" s="34"/>
      <c r="C75" s="34"/>
      <c r="D75" s="34"/>
      <c r="E75" s="34"/>
      <c r="F75" s="34"/>
      <c r="I75" s="64"/>
      <c r="J75" s="71"/>
      <c r="K75" s="73"/>
      <c r="L75" s="61"/>
      <c r="M75" s="71"/>
      <c r="N75" s="71"/>
      <c r="O75" s="68"/>
    </row>
    <row r="76" spans="1:15">
      <c r="D76" s="34"/>
      <c r="E76" s="34"/>
      <c r="F76" s="34"/>
    </row>
    <row r="77" spans="1:15">
      <c r="D77" s="34"/>
      <c r="E77" s="34"/>
      <c r="F77" s="34"/>
    </row>
    <row r="78" spans="1:15">
      <c r="D78" s="34"/>
      <c r="E78" s="34"/>
      <c r="F78" s="34"/>
    </row>
    <row r="79" spans="1:15">
      <c r="D79" s="34"/>
      <c r="E79" s="34"/>
      <c r="F79" s="34"/>
    </row>
    <row r="80" spans="1:15">
      <c r="D80" s="34"/>
      <c r="E80" s="34"/>
      <c r="F80" s="34"/>
    </row>
    <row r="81" spans="2:6">
      <c r="B81" s="34"/>
      <c r="C81" s="34"/>
      <c r="D81" s="34"/>
      <c r="E81" s="34"/>
      <c r="F81" s="34"/>
    </row>
    <row r="82" spans="2:6">
      <c r="D82" s="34"/>
      <c r="E82" s="34"/>
      <c r="F82" s="34"/>
    </row>
    <row r="83" spans="2:6">
      <c r="D83" s="34"/>
      <c r="E83" s="34"/>
      <c r="F83" s="34"/>
    </row>
    <row r="84" spans="2:6">
      <c r="D84" s="34"/>
      <c r="E84" s="34"/>
      <c r="F84" s="34"/>
    </row>
    <row r="85" spans="2:6">
      <c r="D85" s="34"/>
      <c r="E85" s="34"/>
      <c r="F85" s="34"/>
    </row>
    <row r="86" spans="2:6">
      <c r="D86" s="34"/>
      <c r="E86" s="34"/>
      <c r="F86" s="34"/>
    </row>
    <row r="87" spans="2:6">
      <c r="D87" s="34"/>
      <c r="E87" s="34"/>
      <c r="F87" s="34"/>
    </row>
    <row r="88" spans="2:6">
      <c r="D88" s="34"/>
      <c r="E88" s="34"/>
      <c r="F88" s="34"/>
    </row>
    <row r="89" spans="2:6">
      <c r="D89" s="34"/>
      <c r="E89" s="34"/>
      <c r="F89" s="34"/>
    </row>
    <row r="90" spans="2:6">
      <c r="D90" s="34"/>
      <c r="E90" s="34"/>
      <c r="F90" s="34"/>
    </row>
    <row r="91" spans="2:6">
      <c r="D91" s="34"/>
      <c r="E91" s="34"/>
      <c r="F91" s="34"/>
    </row>
  </sheetData>
  <mergeCells count="13">
    <mergeCell ref="B1:F1"/>
    <mergeCell ref="B3:E3"/>
    <mergeCell ref="B4:E4"/>
    <mergeCell ref="B38:C38"/>
    <mergeCell ref="B60:C60"/>
    <mergeCell ref="B49:C49"/>
    <mergeCell ref="E26:F26"/>
    <mergeCell ref="B6:C6"/>
    <mergeCell ref="E6:F6"/>
    <mergeCell ref="E49:F49"/>
    <mergeCell ref="B25:C25"/>
    <mergeCell ref="E25:F25"/>
    <mergeCell ref="D7:D9"/>
  </mergeCells>
  <dataValidations disablePrompts="1" count="2">
    <dataValidation type="textLength" allowBlank="1" showInputMessage="1" showErrorMessage="1" prompt="CM para Colado monolítico_x000a_NM para Colado no monolítico" sqref="C8" xr:uid="{A0411065-63A6-43A4-9661-98D1C527DA88}">
      <formula1>1</formula1>
      <formula2>2</formula2>
    </dataValidation>
    <dataValidation type="whole" allowBlank="1" showInputMessage="1" showErrorMessage="1" prompt="1 para Concreto Clase 1_x000a_2 para Concreto Clase 2" sqref="C7" xr:uid="{9AF40C71-CF19-4F88-B81A-87CA3F3037F3}">
      <formula1>1</formula1>
      <formula2>2</formula2>
    </dataValidation>
  </dataValidations>
  <printOptions horizontalCentered="1"/>
  <pageMargins left="0.70866141732283472" right="0.70866141732283472" top="0.74803149606299213" bottom="0.74803149606299213" header="0.31496062992125984" footer="0.31496062992125984"/>
  <pageSetup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DF859-E99D-4154-8BB8-755FD8859F9B}">
  <sheetPr>
    <tabColor theme="9" tint="0.79998168889431442"/>
  </sheetPr>
  <dimension ref="A1:X46"/>
  <sheetViews>
    <sheetView showGridLines="0" showRuler="0" topLeftCell="N24" zoomScaleNormal="100" zoomScalePageLayoutView="80" workbookViewId="0">
      <selection activeCell="U34" sqref="U34:V34"/>
    </sheetView>
  </sheetViews>
  <sheetFormatPr baseColWidth="10" defaultColWidth="11.5703125" defaultRowHeight="15"/>
  <cols>
    <col min="1" max="1" width="9" customWidth="1"/>
    <col min="2" max="2" width="10" customWidth="1"/>
    <col min="3" max="3" width="15.7109375" customWidth="1"/>
    <col min="4" max="7" width="10" customWidth="1"/>
    <col min="8" max="8" width="10" style="9" customWidth="1"/>
    <col min="9" max="9" width="9" customWidth="1"/>
    <col min="10" max="10" width="10" customWidth="1"/>
    <col min="11" max="11" width="15.7109375" customWidth="1"/>
    <col min="12" max="15" width="10" customWidth="1"/>
    <col min="17" max="17" width="9" customWidth="1"/>
    <col min="18" max="18" width="10" customWidth="1"/>
    <col min="19" max="19" width="15.7109375" customWidth="1"/>
    <col min="20" max="23" width="10" customWidth="1"/>
  </cols>
  <sheetData>
    <row r="1" spans="1:24" ht="14.45" customHeight="1" thickBot="1">
      <c r="H1" s="4"/>
      <c r="P1" s="9"/>
    </row>
    <row r="2" spans="1:24" ht="14.45" customHeight="1">
      <c r="B2" s="87" t="s">
        <v>299</v>
      </c>
      <c r="H2" s="4"/>
      <c r="I2" s="460" t="s">
        <v>117</v>
      </c>
      <c r="J2" s="461"/>
      <c r="K2" s="461"/>
      <c r="L2" s="461"/>
      <c r="M2" s="461"/>
      <c r="N2" s="461"/>
      <c r="O2" s="461"/>
      <c r="P2" s="462"/>
      <c r="Q2" s="460" t="s">
        <v>117</v>
      </c>
      <c r="R2" s="461"/>
      <c r="S2" s="461"/>
      <c r="T2" s="461"/>
      <c r="U2" s="461"/>
      <c r="V2" s="461"/>
      <c r="W2" s="461"/>
      <c r="X2" s="462"/>
    </row>
    <row r="3" spans="1:24" ht="14.45" customHeight="1" thickBot="1">
      <c r="H3" s="6"/>
      <c r="I3" s="511" t="s">
        <v>118</v>
      </c>
      <c r="J3" s="512"/>
      <c r="K3" s="512"/>
      <c r="L3" s="512"/>
      <c r="M3" s="512"/>
      <c r="N3" s="512"/>
      <c r="O3" s="512"/>
      <c r="P3" s="513"/>
      <c r="Q3" s="511" t="s">
        <v>119</v>
      </c>
      <c r="R3" s="512"/>
      <c r="S3" s="512"/>
      <c r="T3" s="512"/>
      <c r="U3" s="512"/>
      <c r="V3" s="512"/>
      <c r="W3" s="512"/>
      <c r="X3" s="513"/>
    </row>
    <row r="4" spans="1:24" ht="14.45" customHeight="1" thickBot="1">
      <c r="H4" s="6"/>
      <c r="I4" s="522" t="s">
        <v>12</v>
      </c>
      <c r="J4" s="516" t="s">
        <v>120</v>
      </c>
      <c r="K4" s="31" t="s">
        <v>121</v>
      </c>
      <c r="L4" s="514" t="s">
        <v>236</v>
      </c>
      <c r="M4" s="514" t="s">
        <v>237</v>
      </c>
      <c r="N4" s="514" t="s">
        <v>238</v>
      </c>
      <c r="O4" s="514" t="s">
        <v>239</v>
      </c>
      <c r="P4" s="137" t="s">
        <v>238</v>
      </c>
      <c r="Q4" s="522" t="s">
        <v>12</v>
      </c>
      <c r="R4" s="516" t="s">
        <v>120</v>
      </c>
      <c r="S4" s="31" t="s">
        <v>121</v>
      </c>
      <c r="T4" s="514" t="s">
        <v>236</v>
      </c>
      <c r="U4" s="514" t="s">
        <v>237</v>
      </c>
      <c r="V4" s="514" t="s">
        <v>238</v>
      </c>
      <c r="W4" s="514" t="s">
        <v>239</v>
      </c>
      <c r="X4" s="137" t="s">
        <v>238</v>
      </c>
    </row>
    <row r="5" spans="1:24" ht="18.75" thickBot="1">
      <c r="H5" s="6"/>
      <c r="I5" s="523"/>
      <c r="J5" s="517"/>
      <c r="K5" s="138" t="s">
        <v>10</v>
      </c>
      <c r="L5" s="515"/>
      <c r="M5" s="515"/>
      <c r="N5" s="515"/>
      <c r="O5" s="594"/>
      <c r="P5" s="139" t="s">
        <v>240</v>
      </c>
      <c r="Q5" s="523"/>
      <c r="R5" s="517"/>
      <c r="S5" s="154" t="s">
        <v>10</v>
      </c>
      <c r="T5" s="515"/>
      <c r="U5" s="515"/>
      <c r="V5" s="515"/>
      <c r="W5" s="594"/>
      <c r="X5" s="139" t="s">
        <v>240</v>
      </c>
    </row>
    <row r="6" spans="1:24">
      <c r="H6" s="6"/>
      <c r="I6" s="151" t="s">
        <v>24</v>
      </c>
      <c r="J6" s="93">
        <v>11.35</v>
      </c>
      <c r="K6" s="324">
        <v>7.4999999999999997E-2</v>
      </c>
      <c r="L6" s="93">
        <f>'1. Datos generales.'!$E$18/'3. Análisis de torsión.'!J6</f>
        <v>0.25110132158590309</v>
      </c>
      <c r="M6" s="115">
        <f>0.6+0.6*L6-0.3*(L6^2)+0.05*(L6^3)</f>
        <v>0.73253685128164003</v>
      </c>
      <c r="N6" s="591">
        <f>M6*(J6*'1. Datos generales.'!$E$19)</f>
        <v>1.247143989306992</v>
      </c>
      <c r="O6" s="146">
        <f>N6*K6</f>
        <v>9.3535799198024391E-2</v>
      </c>
      <c r="P6" s="158">
        <f t="shared" ref="P6:P13" si="0">N6/$N$21</f>
        <v>0.28664791763007841</v>
      </c>
      <c r="Q6" s="151" t="s">
        <v>24</v>
      </c>
      <c r="R6" s="93">
        <v>11.35</v>
      </c>
      <c r="S6" s="324">
        <v>7.4999999999999997E-2</v>
      </c>
      <c r="T6" s="93">
        <f>'1. Datos generales.'!$E$18/'3. Análisis de torsión.'!R6</f>
        <v>0.25110132158590309</v>
      </c>
      <c r="U6" s="115">
        <f>0.6+0.6*T6-0.3*(T6^2)+0.05*(T6^3)</f>
        <v>0.73253685128164003</v>
      </c>
      <c r="V6" s="595">
        <f>U6*(R6*'1. Datos generales.'!$E$19)</f>
        <v>1.247143989306992</v>
      </c>
      <c r="W6" s="146">
        <f>V6*S6</f>
        <v>9.3535799198024391E-2</v>
      </c>
      <c r="X6" s="158">
        <f t="shared" ref="X6:X12" si="1">V6/$V$21</f>
        <v>0.27210699791522913</v>
      </c>
    </row>
    <row r="7" spans="1:24">
      <c r="H7" s="6"/>
      <c r="I7" s="152" t="s">
        <v>25</v>
      </c>
      <c r="J7" s="146">
        <v>1.7</v>
      </c>
      <c r="K7" s="325">
        <v>2.2749999999999999</v>
      </c>
      <c r="L7" s="146">
        <f>'1. Datos generales.'!$E$18/'3. Análisis de torsión.'!J7</f>
        <v>1.6764705882352942</v>
      </c>
      <c r="M7" s="5">
        <f t="shared" ref="M7:M12" si="2">0.6+0.6*L7-0.3*(L7^2)+0.05*(L7^3)</f>
        <v>0.9983067881131692</v>
      </c>
      <c r="N7" s="592">
        <f>M7*(J7*'1. Datos generales.'!$E$19)</f>
        <v>0.25456823096885817</v>
      </c>
      <c r="O7" s="146">
        <f t="shared" ref="O7:O13" si="3">N7*K7</f>
        <v>0.57914272545415235</v>
      </c>
      <c r="P7" s="156">
        <f t="shared" si="0"/>
        <v>5.8510848729299104E-2</v>
      </c>
      <c r="Q7" s="152" t="s">
        <v>25</v>
      </c>
      <c r="R7" s="146">
        <v>1.7</v>
      </c>
      <c r="S7" s="325">
        <v>2.2749999999999999</v>
      </c>
      <c r="T7" s="146">
        <f>'1. Datos generales.'!$E$18/'3. Análisis de torsión.'!R7</f>
        <v>1.6764705882352942</v>
      </c>
      <c r="U7" s="5">
        <f t="shared" ref="U7:U12" si="4">0.6+0.6*T7-0.3*(T7^2)+0.05*(T7^3)</f>
        <v>0.9983067881131692</v>
      </c>
      <c r="V7" s="593">
        <f>U7*(R7*'1. Datos generales.'!$E$19)</f>
        <v>0.25456823096885817</v>
      </c>
      <c r="W7" s="146">
        <f t="shared" ref="W7:W12" si="5">V7*S7</f>
        <v>0.57914272545415235</v>
      </c>
      <c r="X7" s="156">
        <f t="shared" si="1"/>
        <v>5.5542742207351878E-2</v>
      </c>
    </row>
    <row r="8" spans="1:24">
      <c r="A8" t="s">
        <v>95</v>
      </c>
      <c r="H8" s="6"/>
      <c r="I8" s="152" t="s">
        <v>26</v>
      </c>
      <c r="J8" s="146">
        <v>4.43</v>
      </c>
      <c r="K8" s="325">
        <v>3.5750000000000002</v>
      </c>
      <c r="L8" s="146">
        <f>'1. Datos generales.'!$E$18/'3. Análisis de torsión.'!J8</f>
        <v>0.64334085778781047</v>
      </c>
      <c r="M8" s="5">
        <f t="shared" si="2"/>
        <v>0.87515181253759644</v>
      </c>
      <c r="N8" s="592">
        <f>M8*(J8*'1. Datos generales.'!$E$19)</f>
        <v>0.58153837943123277</v>
      </c>
      <c r="O8" s="146">
        <f t="shared" si="3"/>
        <v>2.0789997064666572</v>
      </c>
      <c r="P8" s="156">
        <f t="shared" si="0"/>
        <v>0.1336628063120143</v>
      </c>
      <c r="Q8" s="152" t="s">
        <v>26</v>
      </c>
      <c r="R8" s="146">
        <v>4.43</v>
      </c>
      <c r="S8" s="325">
        <v>3.5750000000000002</v>
      </c>
      <c r="T8" s="146">
        <f>'1. Datos generales.'!$E$18/'3. Análisis de torsión.'!R8</f>
        <v>0.64334085778781047</v>
      </c>
      <c r="U8" s="5">
        <f t="shared" si="4"/>
        <v>0.87515181253759644</v>
      </c>
      <c r="V8" s="593">
        <f>U8*(R8*'1. Datos generales.'!$E$19)</f>
        <v>0.58153837943123277</v>
      </c>
      <c r="W8" s="146">
        <f t="shared" si="5"/>
        <v>2.0789997064666572</v>
      </c>
      <c r="X8" s="156">
        <f t="shared" si="1"/>
        <v>0.12688243214598718</v>
      </c>
    </row>
    <row r="9" spans="1:24">
      <c r="H9" s="6"/>
      <c r="I9" s="152" t="s">
        <v>27</v>
      </c>
      <c r="J9" s="146">
        <v>1.5</v>
      </c>
      <c r="K9" s="325">
        <v>3.5750000000000002</v>
      </c>
      <c r="L9" s="146">
        <f>'1. Datos generales.'!$E$18/'3. Análisis de torsión.'!J9</f>
        <v>1.9000000000000001</v>
      </c>
      <c r="M9" s="5">
        <f t="shared" si="2"/>
        <v>0.99995000000000034</v>
      </c>
      <c r="N9" s="592">
        <f>M9*(J9*'1. Datos generales.'!$E$19)</f>
        <v>0.22498875000000004</v>
      </c>
      <c r="O9" s="146">
        <f t="shared" si="3"/>
        <v>0.80433478125000024</v>
      </c>
      <c r="P9" s="156">
        <f t="shared" si="0"/>
        <v>5.1712197814088236E-2</v>
      </c>
      <c r="Q9" s="152" t="s">
        <v>27</v>
      </c>
      <c r="R9" s="146">
        <v>3.65</v>
      </c>
      <c r="S9" s="325">
        <v>3.5750000000000002</v>
      </c>
      <c r="T9" s="146">
        <f>'1. Datos generales.'!$E$18/'3. Análisis de torsión.'!R9</f>
        <v>0.78082191780821919</v>
      </c>
      <c r="U9" s="5">
        <f t="shared" si="4"/>
        <v>0.90939097777217948</v>
      </c>
      <c r="V9" s="593">
        <f>U9*(R9*'1. Datos generales.'!$E$19)</f>
        <v>0.49789156033026827</v>
      </c>
      <c r="W9" s="146">
        <f t="shared" si="5"/>
        <v>1.7799623281807091</v>
      </c>
      <c r="X9" s="156">
        <f t="shared" si="1"/>
        <v>0.10863202559640395</v>
      </c>
    </row>
    <row r="10" spans="1:24">
      <c r="H10" s="6"/>
      <c r="I10" s="152" t="s">
        <v>28</v>
      </c>
      <c r="J10" s="146">
        <v>3.55</v>
      </c>
      <c r="K10" s="325">
        <v>5.75</v>
      </c>
      <c r="L10" s="146">
        <f>'1. Datos generales.'!$E$18/'3. Análisis de torsión.'!J10</f>
        <v>0.80281690140845074</v>
      </c>
      <c r="M10" s="5">
        <f t="shared" si="2"/>
        <v>0.91420702353378336</v>
      </c>
      <c r="N10" s="592">
        <f>M10*(J10*'1. Datos generales.'!$E$19)</f>
        <v>0.48681524003173959</v>
      </c>
      <c r="O10" s="146">
        <f t="shared" si="3"/>
        <v>2.7991876301825025</v>
      </c>
      <c r="P10" s="156">
        <f t="shared" si="0"/>
        <v>0.1118913100829893</v>
      </c>
      <c r="Q10" s="152" t="s">
        <v>28</v>
      </c>
      <c r="R10" s="146">
        <v>3.7</v>
      </c>
      <c r="S10" s="325">
        <v>5.75</v>
      </c>
      <c r="T10" s="146">
        <f>'1. Datos generales.'!$E$18/'3. Análisis de torsión.'!R10</f>
        <v>0.77027027027027029</v>
      </c>
      <c r="U10" s="5">
        <f t="shared" si="4"/>
        <v>0.90701797030778042</v>
      </c>
      <c r="V10" s="593">
        <f>U10*(R10*'1. Datos generales.'!$E$19)</f>
        <v>0.50339497352081819</v>
      </c>
      <c r="W10" s="146">
        <f t="shared" si="5"/>
        <v>2.8945210977447045</v>
      </c>
      <c r="X10" s="156">
        <f t="shared" si="1"/>
        <v>0.10983278289019466</v>
      </c>
    </row>
    <row r="11" spans="1:24">
      <c r="H11" s="6"/>
      <c r="I11" s="152" t="s">
        <v>29</v>
      </c>
      <c r="J11" s="146">
        <v>1.5</v>
      </c>
      <c r="K11" s="325">
        <v>6.0750000000000002</v>
      </c>
      <c r="L11" s="146">
        <f>'1. Datos generales.'!$E$18/'3. Análisis de torsión.'!J11</f>
        <v>1.9000000000000001</v>
      </c>
      <c r="M11" s="5">
        <f t="shared" si="2"/>
        <v>0.99995000000000034</v>
      </c>
      <c r="N11" s="592">
        <f>M11*(J11*'1. Datos generales.'!$E$19)</f>
        <v>0.22498875000000004</v>
      </c>
      <c r="O11" s="146">
        <f t="shared" si="3"/>
        <v>1.3668066562500003</v>
      </c>
      <c r="P11" s="156">
        <f t="shared" si="0"/>
        <v>5.1712197814088236E-2</v>
      </c>
      <c r="Q11" s="152" t="s">
        <v>29</v>
      </c>
      <c r="R11" s="146">
        <v>2.5</v>
      </c>
      <c r="S11" s="5">
        <v>6.0750000000000002</v>
      </c>
      <c r="T11" s="146">
        <f>'1. Datos generales.'!$E$18/'3. Análisis de torsión.'!R11</f>
        <v>1.1400000000000001</v>
      </c>
      <c r="U11" s="5">
        <f t="shared" si="4"/>
        <v>0.96819720000000009</v>
      </c>
      <c r="V11" s="593">
        <f>U11*(R11*'1. Datos generales.'!$E$19)</f>
        <v>0.36307395000000003</v>
      </c>
      <c r="W11" s="146">
        <f t="shared" si="5"/>
        <v>2.2056742462500001</v>
      </c>
      <c r="X11" s="156">
        <f t="shared" si="1"/>
        <v>7.921696564533981E-2</v>
      </c>
    </row>
    <row r="12" spans="1:24">
      <c r="H12" s="6"/>
      <c r="I12" s="152" t="s">
        <v>30</v>
      </c>
      <c r="J12" s="146">
        <v>1.3</v>
      </c>
      <c r="K12" s="5">
        <v>6.0750000000000002</v>
      </c>
      <c r="L12" s="146">
        <f>'1. Datos generales.'!$E$18/'3. Análisis de torsión.'!J12</f>
        <v>2.1923076923076925</v>
      </c>
      <c r="M12" s="5">
        <f t="shared" si="2"/>
        <v>1.0003555985434684</v>
      </c>
      <c r="N12" s="592">
        <f>M12*(J12*'1. Datos generales.'!$E$19)</f>
        <v>0.19506934171597634</v>
      </c>
      <c r="O12" s="146">
        <f t="shared" si="3"/>
        <v>1.1850462509245563</v>
      </c>
      <c r="P12" s="156">
        <f t="shared" si="0"/>
        <v>4.4835416820976789E-2</v>
      </c>
      <c r="Q12" s="152" t="s">
        <v>31</v>
      </c>
      <c r="R12" s="146">
        <v>10.15</v>
      </c>
      <c r="S12" s="5">
        <v>9.3450000000000006</v>
      </c>
      <c r="T12" s="146">
        <f>'1. Datos generales.'!$E$18/'3. Análisis de torsión.'!R12</f>
        <v>0.28078817733990147</v>
      </c>
      <c r="U12" s="5">
        <f t="shared" si="4"/>
        <v>0.74592720132516843</v>
      </c>
      <c r="V12" s="593">
        <f>U12*(R12*'1. Datos generales.'!$E$19)</f>
        <v>1.1356741640175689</v>
      </c>
      <c r="W12" s="146">
        <f t="shared" si="5"/>
        <v>10.612875062744182</v>
      </c>
      <c r="X12" s="156">
        <f t="shared" si="1"/>
        <v>0.24778605359949332</v>
      </c>
    </row>
    <row r="13" spans="1:24">
      <c r="H13" s="6"/>
      <c r="I13" s="152" t="s">
        <v>31</v>
      </c>
      <c r="J13" s="146">
        <v>10.15</v>
      </c>
      <c r="K13" s="5">
        <v>9.3450000000000006</v>
      </c>
      <c r="L13" s="146">
        <f>'1. Datos generales.'!$E$18/'3. Análisis de torsión.'!J13</f>
        <v>0.28078817733990147</v>
      </c>
      <c r="M13" s="5">
        <f>0.6+0.6*L13-0.3*(L13^2)+0.05*(L13^3)</f>
        <v>0.74592720132516843</v>
      </c>
      <c r="N13" s="592">
        <f>M13*(J13*'1. Datos generales.'!$E$19)</f>
        <v>1.1356741640175689</v>
      </c>
      <c r="O13" s="146">
        <f t="shared" si="3"/>
        <v>10.612875062744182</v>
      </c>
      <c r="P13" s="156">
        <f t="shared" si="0"/>
        <v>0.26102730479646563</v>
      </c>
      <c r="Q13" s="152"/>
      <c r="R13" s="146"/>
      <c r="S13" s="5"/>
      <c r="T13" s="146"/>
      <c r="U13" s="5"/>
      <c r="V13" s="593"/>
      <c r="W13" s="146"/>
      <c r="X13" s="156"/>
    </row>
    <row r="14" spans="1:24">
      <c r="H14" s="6"/>
      <c r="I14" s="152"/>
      <c r="J14" s="146"/>
      <c r="K14" s="5"/>
      <c r="L14" s="146"/>
      <c r="M14" s="5"/>
      <c r="N14" s="593"/>
      <c r="O14" s="146"/>
      <c r="P14" s="156"/>
      <c r="Q14" s="152"/>
      <c r="R14" s="146"/>
      <c r="S14" s="5"/>
      <c r="T14" s="146"/>
      <c r="U14" s="5"/>
      <c r="V14" s="593"/>
      <c r="W14" s="146"/>
      <c r="X14" s="156"/>
    </row>
    <row r="15" spans="1:24">
      <c r="H15" s="6"/>
      <c r="I15" s="152"/>
      <c r="J15" s="146"/>
      <c r="K15" s="5"/>
      <c r="L15" s="146"/>
      <c r="M15" s="5"/>
      <c r="N15" s="146"/>
      <c r="O15" s="5"/>
      <c r="P15" s="140"/>
      <c r="Q15" s="152"/>
      <c r="R15" s="146"/>
      <c r="S15" s="5"/>
      <c r="T15" s="146"/>
      <c r="U15" s="5"/>
      <c r="V15" s="593"/>
      <c r="W15" s="132"/>
      <c r="X15" s="156"/>
    </row>
    <row r="16" spans="1:24" ht="15" customHeight="1">
      <c r="A16" s="7"/>
      <c r="B16" s="76"/>
      <c r="C16" s="24"/>
      <c r="D16" s="77"/>
      <c r="E16" s="24"/>
      <c r="F16" s="24"/>
      <c r="G16" s="24"/>
      <c r="H16" s="6"/>
      <c r="I16" s="152"/>
      <c r="J16" s="94"/>
      <c r="K16" s="8"/>
      <c r="L16" s="223"/>
      <c r="M16" s="8"/>
      <c r="N16" s="223"/>
      <c r="O16" s="8"/>
      <c r="P16" s="140"/>
      <c r="Q16" s="152"/>
      <c r="R16" s="223"/>
      <c r="S16" s="8"/>
      <c r="T16" s="223"/>
      <c r="U16" s="8"/>
      <c r="V16" s="223"/>
      <c r="W16" s="8"/>
      <c r="X16" s="140"/>
    </row>
    <row r="17" spans="1:24">
      <c r="A17" s="7"/>
      <c r="B17" s="5"/>
      <c r="C17" s="24"/>
      <c r="D17" s="24"/>
      <c r="E17" s="24"/>
      <c r="F17" s="24"/>
      <c r="G17" s="24"/>
      <c r="H17" s="6"/>
      <c r="I17" s="152"/>
      <c r="J17" s="94"/>
      <c r="K17" s="8"/>
      <c r="L17" s="223"/>
      <c r="M17" s="8"/>
      <c r="N17" s="223"/>
      <c r="O17" s="8"/>
      <c r="P17" s="140"/>
      <c r="Q17" s="152"/>
      <c r="R17" s="223"/>
      <c r="S17" s="8"/>
      <c r="T17" s="223"/>
      <c r="U17" s="8"/>
      <c r="V17" s="223"/>
      <c r="W17" s="8"/>
      <c r="X17" s="140"/>
    </row>
    <row r="18" spans="1:24">
      <c r="A18" s="7"/>
      <c r="B18" s="5"/>
      <c r="C18" s="99"/>
      <c r="D18" s="24"/>
      <c r="E18" s="24"/>
      <c r="F18" s="24"/>
      <c r="G18" s="24"/>
      <c r="H18" s="6"/>
      <c r="I18" s="152"/>
      <c r="J18" s="94"/>
      <c r="K18" s="8"/>
      <c r="L18" s="223"/>
      <c r="M18" s="8"/>
      <c r="N18" s="223"/>
      <c r="O18" s="8"/>
      <c r="P18" s="140"/>
      <c r="Q18" s="152"/>
      <c r="R18" s="223"/>
      <c r="S18" s="8"/>
      <c r="T18" s="223"/>
      <c r="U18" s="8"/>
      <c r="V18" s="223"/>
      <c r="W18" s="8"/>
      <c r="X18" s="140"/>
    </row>
    <row r="19" spans="1:24" ht="15" customHeight="1">
      <c r="A19" s="7"/>
      <c r="B19" s="5"/>
      <c r="C19" s="99"/>
      <c r="D19" s="24"/>
      <c r="E19" s="24"/>
      <c r="F19" s="24"/>
      <c r="G19" s="24"/>
      <c r="H19" s="6"/>
      <c r="I19" s="152"/>
      <c r="J19" s="94"/>
      <c r="K19" s="8"/>
      <c r="L19" s="223"/>
      <c r="M19" s="8"/>
      <c r="N19" s="223"/>
      <c r="O19" s="8"/>
      <c r="P19" s="140"/>
      <c r="Q19" s="152"/>
      <c r="R19" s="223"/>
      <c r="S19" s="8"/>
      <c r="T19" s="223"/>
      <c r="U19" s="8"/>
      <c r="V19" s="223"/>
      <c r="W19" s="8"/>
      <c r="X19" s="140"/>
    </row>
    <row r="20" spans="1:24" ht="15.75" thickBot="1">
      <c r="I20" s="149"/>
      <c r="J20" s="100"/>
      <c r="K20" s="112"/>
      <c r="L20" s="226"/>
      <c r="M20" s="112"/>
      <c r="N20" s="226"/>
      <c r="O20" s="112"/>
      <c r="P20" s="326"/>
      <c r="Q20" s="149"/>
      <c r="R20" s="226"/>
      <c r="S20" s="112"/>
      <c r="T20" s="226"/>
      <c r="U20" s="112"/>
      <c r="V20" s="226"/>
      <c r="W20" s="112"/>
      <c r="X20" s="326"/>
    </row>
    <row r="21" spans="1:24" ht="15.75" thickBot="1">
      <c r="I21" s="149" t="s">
        <v>59</v>
      </c>
      <c r="J21" s="145">
        <f>SUM(J6:J20)</f>
        <v>35.479999999999997</v>
      </c>
      <c r="K21" s="327"/>
      <c r="L21" s="327"/>
      <c r="M21" s="327"/>
      <c r="N21" s="145">
        <f>SUM(N6:N20)</f>
        <v>4.3507868454723679</v>
      </c>
      <c r="O21" s="145">
        <f>SUM(O6:O20)</f>
        <v>19.519928612470075</v>
      </c>
      <c r="P21" s="323"/>
      <c r="Q21" s="149" t="s">
        <v>59</v>
      </c>
      <c r="R21" s="145">
        <f>SUM(R6:R20)</f>
        <v>37.479999999999997</v>
      </c>
      <c r="S21" s="327"/>
      <c r="T21" s="327"/>
      <c r="U21" s="327"/>
      <c r="V21" s="145">
        <f>SUM(V6:V20)</f>
        <v>4.5832852475757386</v>
      </c>
      <c r="W21" s="145">
        <f>SUM(W6:W20)</f>
        <v>20.244710966038429</v>
      </c>
      <c r="X21" s="323"/>
    </row>
    <row r="22" spans="1:24" ht="15.75" thickBot="1">
      <c r="P22" s="9"/>
    </row>
    <row r="23" spans="1:24">
      <c r="A23" s="460" t="s">
        <v>117</v>
      </c>
      <c r="B23" s="461"/>
      <c r="C23" s="461"/>
      <c r="D23" s="461"/>
      <c r="E23" s="461"/>
      <c r="F23" s="461"/>
      <c r="G23" s="461"/>
      <c r="H23" s="462"/>
      <c r="I23" s="460" t="s">
        <v>117</v>
      </c>
      <c r="J23" s="461"/>
      <c r="K23" s="461"/>
      <c r="L23" s="461"/>
      <c r="M23" s="461"/>
      <c r="N23" s="461"/>
      <c r="O23" s="461"/>
      <c r="P23" s="462"/>
    </row>
    <row r="24" spans="1:24" ht="15.75" thickBot="1">
      <c r="A24" s="511" t="s">
        <v>118</v>
      </c>
      <c r="B24" s="512"/>
      <c r="C24" s="512"/>
      <c r="D24" s="512"/>
      <c r="E24" s="512"/>
      <c r="F24" s="512"/>
      <c r="G24" s="512"/>
      <c r="H24" s="513"/>
      <c r="I24" s="511" t="s">
        <v>119</v>
      </c>
      <c r="J24" s="512"/>
      <c r="K24" s="512"/>
      <c r="L24" s="512"/>
      <c r="M24" s="512"/>
      <c r="N24" s="512"/>
      <c r="O24" s="512"/>
      <c r="P24" s="513"/>
    </row>
    <row r="25" spans="1:24" ht="18.75" thickBot="1">
      <c r="A25" s="514" t="s">
        <v>12</v>
      </c>
      <c r="B25" s="516" t="s">
        <v>120</v>
      </c>
      <c r="C25" s="31" t="s">
        <v>121</v>
      </c>
      <c r="D25" s="514" t="s">
        <v>236</v>
      </c>
      <c r="E25" s="514" t="s">
        <v>237</v>
      </c>
      <c r="F25" s="514" t="s">
        <v>238</v>
      </c>
      <c r="G25" s="514" t="s">
        <v>239</v>
      </c>
      <c r="H25" s="137" t="s">
        <v>238</v>
      </c>
      <c r="I25" s="514" t="s">
        <v>12</v>
      </c>
      <c r="J25" s="516" t="s">
        <v>120</v>
      </c>
      <c r="K25" s="31" t="s">
        <v>121</v>
      </c>
      <c r="L25" s="514" t="s">
        <v>236</v>
      </c>
      <c r="M25" s="514" t="s">
        <v>237</v>
      </c>
      <c r="N25" s="514" t="s">
        <v>238</v>
      </c>
      <c r="O25" s="514" t="s">
        <v>239</v>
      </c>
      <c r="P25" s="137" t="s">
        <v>238</v>
      </c>
    </row>
    <row r="26" spans="1:24" ht="18.75" thickBot="1">
      <c r="A26" s="515"/>
      <c r="B26" s="517"/>
      <c r="C26" s="138" t="s">
        <v>11</v>
      </c>
      <c r="D26" s="515"/>
      <c r="E26" s="515"/>
      <c r="F26" s="515"/>
      <c r="G26" s="594"/>
      <c r="H26" s="139" t="s">
        <v>240</v>
      </c>
      <c r="I26" s="515"/>
      <c r="J26" s="517"/>
      <c r="K26" s="154" t="s">
        <v>11</v>
      </c>
      <c r="L26" s="515"/>
      <c r="M26" s="515"/>
      <c r="N26" s="515"/>
      <c r="O26" s="594"/>
      <c r="P26" s="139" t="s">
        <v>240</v>
      </c>
      <c r="Q26" s="472" t="s">
        <v>122</v>
      </c>
      <c r="R26" s="473"/>
      <c r="S26" s="473"/>
      <c r="T26" s="473"/>
      <c r="U26" s="473"/>
      <c r="V26" s="473"/>
      <c r="W26" s="473"/>
      <c r="X26" s="474"/>
    </row>
    <row r="27" spans="1:24">
      <c r="A27" s="19" t="s">
        <v>13</v>
      </c>
      <c r="B27" s="93">
        <v>1.3</v>
      </c>
      <c r="C27" s="157">
        <v>11.875</v>
      </c>
      <c r="D27" s="93">
        <f>'1. Datos generales.'!$E$18/'3. Análisis de torsión.'!B27</f>
        <v>2.1923076923076925</v>
      </c>
      <c r="E27" s="93">
        <f>0.6+0.6*D27-0.3*(D27^2)+0.05*(D27^3)</f>
        <v>1.0003555985434684</v>
      </c>
      <c r="F27" s="595">
        <f>E27*(B27*'1. Datos generales.'!$E$19)</f>
        <v>0.19506934171597634</v>
      </c>
      <c r="G27" s="146">
        <f>F27*C27</f>
        <v>2.3164484328772192</v>
      </c>
      <c r="H27" s="147">
        <f t="shared" ref="H27:H37" si="6">F27/$F$42</f>
        <v>6.8503085069749406E-2</v>
      </c>
      <c r="I27" s="151" t="s">
        <v>13</v>
      </c>
      <c r="J27" s="157">
        <v>1.3</v>
      </c>
      <c r="K27" s="157">
        <v>11.875</v>
      </c>
      <c r="L27" s="328">
        <f>'1. Datos generales.'!$E$18/'3. Análisis de torsión.'!J27</f>
        <v>2.1923076923076925</v>
      </c>
      <c r="M27" s="157">
        <f t="shared" ref="M27:M37" si="7">0.6+0.6*L27-0.3*(L27^2)+0.05*(L27^3)</f>
        <v>1.0003555985434684</v>
      </c>
      <c r="N27" s="328">
        <f>M27*(J27*'1. Datos generales.'!$E$19)</f>
        <v>0.19506934171597634</v>
      </c>
      <c r="O27" s="153">
        <f>N27*K27</f>
        <v>2.3164484328772192</v>
      </c>
      <c r="P27" s="158">
        <f t="shared" ref="P27:P37" si="8">N27/$N$42</f>
        <v>6.8880290146887874E-2</v>
      </c>
      <c r="Q27" s="518" t="s">
        <v>57</v>
      </c>
      <c r="R27" s="519"/>
      <c r="S27" s="28" t="s">
        <v>293</v>
      </c>
      <c r="T27" s="28" t="s">
        <v>294</v>
      </c>
      <c r="U27" s="28" t="s">
        <v>69</v>
      </c>
      <c r="V27" s="28" t="s">
        <v>60</v>
      </c>
      <c r="W27" s="28" t="s">
        <v>35</v>
      </c>
      <c r="X27" s="129" t="s">
        <v>36</v>
      </c>
    </row>
    <row r="28" spans="1:24">
      <c r="A28" s="18" t="s">
        <v>14</v>
      </c>
      <c r="B28" s="146">
        <v>2.35</v>
      </c>
      <c r="C28" s="153">
        <v>7.625</v>
      </c>
      <c r="D28" s="146">
        <f>'1. Datos generales.'!$E$18/'3. Análisis de torsión.'!B28</f>
        <v>1.2127659574468086</v>
      </c>
      <c r="E28" s="146">
        <f t="shared" ref="E28:E37" si="9">0.6+0.6*D28-0.3*(D28^2)+0.05*(D28^3)</f>
        <v>0.97560607957774292</v>
      </c>
      <c r="F28" s="593">
        <f>E28*(B28*'1. Datos generales.'!$E$19)</f>
        <v>0.34390114305115438</v>
      </c>
      <c r="G28" s="146">
        <f t="shared" ref="G28:G37" si="10">F28*C28</f>
        <v>2.6222462157650521</v>
      </c>
      <c r="H28" s="148">
        <f t="shared" si="6"/>
        <v>0.12076879457725595</v>
      </c>
      <c r="I28" s="152" t="s">
        <v>14</v>
      </c>
      <c r="J28" s="153">
        <v>1.35</v>
      </c>
      <c r="K28" s="153">
        <v>7.625</v>
      </c>
      <c r="L28" s="329">
        <f>'1. Datos generales.'!$E$18/'3. Análisis de torsión.'!J28</f>
        <v>2.1111111111111112</v>
      </c>
      <c r="M28" s="153">
        <f t="shared" si="7"/>
        <v>1.0000685871056243</v>
      </c>
      <c r="N28" s="329">
        <f>M28*(J28*'1. Datos generales.'!$E$19)</f>
        <v>0.20251388888888894</v>
      </c>
      <c r="O28" s="153">
        <f t="shared" ref="O28:O37" si="11">N28*K28</f>
        <v>1.5441684027777782</v>
      </c>
      <c r="P28" s="156">
        <f t="shared" si="8"/>
        <v>7.150900957953471E-2</v>
      </c>
      <c r="Q28" s="520" t="s">
        <v>118</v>
      </c>
      <c r="R28" s="521"/>
      <c r="S28" s="5">
        <f>'1. Datos generales.'!C34</f>
        <v>4.5827</v>
      </c>
      <c r="T28" s="5">
        <f>'1. Datos generales.'!D34</f>
        <v>4.9673999999999996</v>
      </c>
      <c r="U28" s="5">
        <f>O21/N21</f>
        <v>4.4865283696404079</v>
      </c>
      <c r="V28" s="5">
        <f>G42/F42</f>
        <v>5.7116817130140474</v>
      </c>
      <c r="W28" s="5">
        <f>ABS(S28-U28)</f>
        <v>9.6171630359592086E-2</v>
      </c>
      <c r="X28" s="148">
        <f>ABS(T28-V28)</f>
        <v>0.74428171301404777</v>
      </c>
    </row>
    <row r="29" spans="1:24" ht="15.75" thickBot="1">
      <c r="A29" s="18" t="s">
        <v>15</v>
      </c>
      <c r="B29" s="146">
        <v>1.45</v>
      </c>
      <c r="C29" s="153">
        <v>6.125</v>
      </c>
      <c r="D29" s="146">
        <f>'1. Datos generales.'!$E$18/'3. Análisis de torsión.'!B29</f>
        <v>1.9655172413793105</v>
      </c>
      <c r="E29" s="146">
        <f t="shared" si="9"/>
        <v>0.99999794989544466</v>
      </c>
      <c r="F29" s="593">
        <f>E29*(B29*'1. Datos generales.'!$E$19)</f>
        <v>0.21749955410225921</v>
      </c>
      <c r="G29" s="146">
        <f t="shared" si="10"/>
        <v>1.3321847688763377</v>
      </c>
      <c r="H29" s="148">
        <f t="shared" si="6"/>
        <v>7.6379969944192189E-2</v>
      </c>
      <c r="I29" s="152" t="s">
        <v>15</v>
      </c>
      <c r="J29" s="153">
        <v>1.45</v>
      </c>
      <c r="K29" s="153">
        <v>6.125</v>
      </c>
      <c r="L29" s="329">
        <f>'1. Datos generales.'!$E$18/'3. Análisis de torsión.'!J29</f>
        <v>1.9655172413793105</v>
      </c>
      <c r="M29" s="153">
        <f t="shared" si="7"/>
        <v>0.99999794989544466</v>
      </c>
      <c r="N29" s="329">
        <f>M29*(J29*'1. Datos generales.'!$E$19)</f>
        <v>0.21749955410225921</v>
      </c>
      <c r="O29" s="153">
        <f t="shared" si="11"/>
        <v>1.3321847688763377</v>
      </c>
      <c r="P29" s="156">
        <f t="shared" si="8"/>
        <v>7.6800548264501362E-2</v>
      </c>
      <c r="Q29" s="509" t="s">
        <v>119</v>
      </c>
      <c r="R29" s="510"/>
      <c r="S29" s="321">
        <f>'1. Datos generales.'!C34</f>
        <v>4.5827</v>
      </c>
      <c r="T29" s="321">
        <f>'1. Datos generales.'!D34</f>
        <v>4.9673999999999996</v>
      </c>
      <c r="U29" s="321">
        <f>W21/V21</f>
        <v>4.4170741885957394</v>
      </c>
      <c r="V29" s="321">
        <f>O42/N42</f>
        <v>5.5212517452638661</v>
      </c>
      <c r="W29" s="321">
        <f>ABS(S29-U29)</f>
        <v>0.16562581140426058</v>
      </c>
      <c r="X29" s="330">
        <f>ABS(T29-V29)</f>
        <v>0.55385174526386649</v>
      </c>
    </row>
    <row r="30" spans="1:24" ht="15.75" thickBot="1">
      <c r="A30" s="18" t="s">
        <v>16</v>
      </c>
      <c r="B30" s="146">
        <v>1.45</v>
      </c>
      <c r="C30" s="153">
        <v>5.0750000000000002</v>
      </c>
      <c r="D30" s="146">
        <f>'1. Datos generales.'!$E$18/'3. Análisis de torsión.'!B30</f>
        <v>1.9655172413793105</v>
      </c>
      <c r="E30" s="146">
        <f t="shared" si="9"/>
        <v>0.99999794989544466</v>
      </c>
      <c r="F30" s="593">
        <f>E30*(B30*'1. Datos generales.'!$E$19)</f>
        <v>0.21749955410225921</v>
      </c>
      <c r="G30" s="146">
        <f t="shared" si="10"/>
        <v>1.1038102370689655</v>
      </c>
      <c r="H30" s="148">
        <f t="shared" si="6"/>
        <v>7.6379969944192189E-2</v>
      </c>
      <c r="I30" s="152" t="s">
        <v>16</v>
      </c>
      <c r="J30" s="153">
        <v>1.45</v>
      </c>
      <c r="K30" s="153">
        <v>5.0750000000000002</v>
      </c>
      <c r="L30" s="329">
        <f>'1. Datos generales.'!$E$18/'3. Análisis de torsión.'!J30</f>
        <v>1.9655172413793105</v>
      </c>
      <c r="M30" s="153">
        <f t="shared" si="7"/>
        <v>0.99999794989544466</v>
      </c>
      <c r="N30" s="329">
        <f>M30*(J30*'1. Datos generales.'!$E$19)</f>
        <v>0.21749955410225921</v>
      </c>
      <c r="O30" s="153">
        <f t="shared" si="11"/>
        <v>1.1038102370689655</v>
      </c>
      <c r="P30" s="156">
        <f t="shared" si="8"/>
        <v>7.6800548264501362E-2</v>
      </c>
    </row>
    <row r="31" spans="1:24" ht="15.75" thickBot="1">
      <c r="A31" s="18" t="s">
        <v>17</v>
      </c>
      <c r="B31" s="146">
        <v>1.33</v>
      </c>
      <c r="C31" s="153">
        <v>3.5750000000000002</v>
      </c>
      <c r="D31" s="146">
        <f>'1. Datos generales.'!$E$18/'3. Análisis de torsión.'!B31</f>
        <v>2.1428571428571428</v>
      </c>
      <c r="E31" s="146">
        <f t="shared" si="9"/>
        <v>1.0001457725947522</v>
      </c>
      <c r="F31" s="593">
        <f>E31*(B31*'1. Datos generales.'!$E$19)</f>
        <v>0.19952908163265309</v>
      </c>
      <c r="G31" s="146">
        <f t="shared" si="10"/>
        <v>0.71331646683673489</v>
      </c>
      <c r="H31" s="148">
        <f t="shared" si="6"/>
        <v>7.0069225295648602E-2</v>
      </c>
      <c r="I31" s="152" t="s">
        <v>17</v>
      </c>
      <c r="J31" s="153">
        <v>2.35</v>
      </c>
      <c r="K31" s="153">
        <v>3.5750000000000002</v>
      </c>
      <c r="L31" s="329">
        <f>'1. Datos generales.'!$E$18/'3. Análisis de torsión.'!J31</f>
        <v>1.2127659574468086</v>
      </c>
      <c r="M31" s="153">
        <f t="shared" si="7"/>
        <v>0.97560607957774292</v>
      </c>
      <c r="N31" s="329">
        <f>M31*(J31*'1. Datos generales.'!$E$19)</f>
        <v>0.34390114305115438</v>
      </c>
      <c r="O31" s="153">
        <f t="shared" si="11"/>
        <v>1.229446586407877</v>
      </c>
      <c r="P31" s="156">
        <f t="shared" si="8"/>
        <v>0.12143379532033269</v>
      </c>
      <c r="Q31" s="508" t="s">
        <v>123</v>
      </c>
      <c r="R31" s="508"/>
      <c r="S31" s="26"/>
      <c r="T31" s="472" t="s">
        <v>124</v>
      </c>
      <c r="U31" s="473"/>
      <c r="V31" s="473"/>
      <c r="W31" s="473"/>
      <c r="X31" s="474"/>
    </row>
    <row r="32" spans="1:24" ht="15" customHeight="1" thickBot="1">
      <c r="A32" s="18" t="s">
        <v>18</v>
      </c>
      <c r="B32" s="146">
        <v>1.27</v>
      </c>
      <c r="C32" s="153">
        <v>0.67500000000000004</v>
      </c>
      <c r="D32" s="146">
        <f>'1. Datos generales.'!$E$18/'3. Análisis de torsión.'!B32</f>
        <v>2.2440944881889764</v>
      </c>
      <c r="E32" s="146">
        <f t="shared" si="9"/>
        <v>1.0007271833441305</v>
      </c>
      <c r="F32" s="593">
        <f>E32*(B32*'1. Datos generales.'!$E$19)</f>
        <v>0.19063852842705686</v>
      </c>
      <c r="G32" s="146">
        <f t="shared" si="10"/>
        <v>0.12868100668826341</v>
      </c>
      <c r="H32" s="148">
        <f t="shared" si="6"/>
        <v>6.6947103094370811E-2</v>
      </c>
      <c r="I32" s="152" t="s">
        <v>18</v>
      </c>
      <c r="J32" s="153">
        <v>1.27</v>
      </c>
      <c r="K32" s="153">
        <v>0.67500000000000004</v>
      </c>
      <c r="L32" s="329">
        <f>'1. Datos generales.'!$E$18/'3. Análisis de torsión.'!J32</f>
        <v>2.2440944881889764</v>
      </c>
      <c r="M32" s="153">
        <f t="shared" si="7"/>
        <v>1.0007271833441305</v>
      </c>
      <c r="N32" s="329">
        <f>M32*(J32*'1. Datos generales.'!$E$19)</f>
        <v>0.19063852842705686</v>
      </c>
      <c r="O32" s="153">
        <f t="shared" si="11"/>
        <v>0.12868100668826341</v>
      </c>
      <c r="P32" s="156">
        <f t="shared" si="8"/>
        <v>6.7315740319412523E-2</v>
      </c>
      <c r="Q32" s="27" t="s">
        <v>61</v>
      </c>
      <c r="R32" s="331">
        <f>0.1*'1. Datos generales.'!E3</f>
        <v>0.94200000000000006</v>
      </c>
      <c r="S32" s="9" t="s">
        <v>37</v>
      </c>
      <c r="T32" s="25" t="s">
        <v>101</v>
      </c>
      <c r="U32" s="504" t="s">
        <v>119</v>
      </c>
      <c r="V32" s="505"/>
      <c r="W32" s="504" t="s">
        <v>118</v>
      </c>
      <c r="X32" s="505"/>
    </row>
    <row r="33" spans="1:24" ht="15.75" thickBot="1">
      <c r="A33" s="18" t="s">
        <v>19</v>
      </c>
      <c r="B33" s="146">
        <v>1.23</v>
      </c>
      <c r="C33" s="153">
        <v>6.5250000000000004</v>
      </c>
      <c r="D33" s="146">
        <f>'1. Datos generales.'!$E$18/'3. Análisis de torsión.'!B33</f>
        <v>2.3170731707317076</v>
      </c>
      <c r="E33" s="146">
        <f t="shared" si="9"/>
        <v>1.001593853832649</v>
      </c>
      <c r="F33" s="593">
        <f>E33*(B33*'1. Datos generales.'!$E$19)</f>
        <v>0.18479406603212373</v>
      </c>
      <c r="G33" s="146">
        <f t="shared" si="10"/>
        <v>1.2057812808596073</v>
      </c>
      <c r="H33" s="148">
        <f t="shared" si="6"/>
        <v>6.4894685727781287E-2</v>
      </c>
      <c r="I33" s="152" t="s">
        <v>19</v>
      </c>
      <c r="J33" s="153">
        <v>1.23</v>
      </c>
      <c r="K33" s="153">
        <v>6.5250000000000004</v>
      </c>
      <c r="L33" s="329">
        <f>'1. Datos generales.'!$E$18/'3. Análisis de torsión.'!J33</f>
        <v>2.3170731707317076</v>
      </c>
      <c r="M33" s="153">
        <f t="shared" si="7"/>
        <v>1.001593853832649</v>
      </c>
      <c r="N33" s="329">
        <f>M33*(J33*'1. Datos generales.'!$E$19)</f>
        <v>0.18479406603212373</v>
      </c>
      <c r="O33" s="153">
        <f t="shared" si="11"/>
        <v>1.2057812808596073</v>
      </c>
      <c r="P33" s="156">
        <f t="shared" si="8"/>
        <v>6.5252021531138182E-2</v>
      </c>
      <c r="Q33" s="27" t="s">
        <v>62</v>
      </c>
      <c r="R33" s="331">
        <f>0.1*'1. Datos generales.'!E4</f>
        <v>1.1950000000000001</v>
      </c>
      <c r="S33" s="9" t="s">
        <v>37</v>
      </c>
      <c r="T33" s="25" t="s">
        <v>10</v>
      </c>
      <c r="U33" s="506" t="str">
        <f>IF((ABS(W29)&lt;=R32),"Cumple","No cumple")</f>
        <v>Cumple</v>
      </c>
      <c r="V33" s="507"/>
      <c r="W33" s="506" t="str">
        <f>IF((ABS(W28)&lt;=R32),"Cumple","No cumple")</f>
        <v>Cumple</v>
      </c>
      <c r="X33" s="507"/>
    </row>
    <row r="34" spans="1:24" ht="15.75" thickBot="1">
      <c r="A34" s="18" t="s">
        <v>20</v>
      </c>
      <c r="B34" s="146">
        <v>2.7</v>
      </c>
      <c r="C34" s="146">
        <v>3.5750000000000002</v>
      </c>
      <c r="D34" s="146">
        <f>'1. Datos generales.'!$E$18/'3. Análisis de torsión.'!B34</f>
        <v>1.0555555555555556</v>
      </c>
      <c r="E34" s="146">
        <f t="shared" si="9"/>
        <v>0.95787894375857341</v>
      </c>
      <c r="F34" s="593">
        <f>E34*(B34*'1. Datos generales.'!$E$19)</f>
        <v>0.38794097222222224</v>
      </c>
      <c r="G34" s="146">
        <f t="shared" si="10"/>
        <v>1.3868889756944445</v>
      </c>
      <c r="H34" s="148">
        <f t="shared" si="6"/>
        <v>0.13623439331063092</v>
      </c>
      <c r="I34" s="152" t="s">
        <v>20</v>
      </c>
      <c r="J34" s="153">
        <v>2.5499999999999998</v>
      </c>
      <c r="K34" s="153">
        <v>3.5750000000000002</v>
      </c>
      <c r="L34" s="329">
        <f>'1. Datos generales.'!$E$18/'3. Análisis de torsión.'!J34</f>
        <v>1.1176470588235294</v>
      </c>
      <c r="M34" s="153">
        <f t="shared" si="7"/>
        <v>0.96565235090576007</v>
      </c>
      <c r="N34" s="329">
        <f>M34*(J34*'1. Datos generales.'!$E$19)</f>
        <v>0.3693620242214532</v>
      </c>
      <c r="O34" s="153">
        <f t="shared" si="11"/>
        <v>1.3204692365916952</v>
      </c>
      <c r="P34" s="156">
        <f t="shared" si="8"/>
        <v>0.13042420286965997</v>
      </c>
      <c r="T34" s="25" t="s">
        <v>11</v>
      </c>
      <c r="U34" s="506" t="str">
        <f>IF((ABS(X29)&lt;=R33),"Cumple","No cumple")</f>
        <v>Cumple</v>
      </c>
      <c r="V34" s="507"/>
      <c r="W34" s="506" t="str">
        <f>IF((ABS(X28)&lt;=R33),"Cumple","No cumple")</f>
        <v>Cumple</v>
      </c>
      <c r="X34" s="507"/>
    </row>
    <row r="35" spans="1:24" ht="15" customHeight="1">
      <c r="A35" s="18" t="s">
        <v>21</v>
      </c>
      <c r="B35" s="146">
        <v>1.65</v>
      </c>
      <c r="C35" s="146">
        <v>10.074999999999999</v>
      </c>
      <c r="D35" s="146">
        <f>'1. Datos generales.'!$E$18/'3. Análisis de torsión.'!B35</f>
        <v>1.7272727272727275</v>
      </c>
      <c r="E35" s="146">
        <f t="shared" si="9"/>
        <v>0.99898572501878258</v>
      </c>
      <c r="F35" s="593">
        <f>E35*(B35*'1. Datos generales.'!$E$19)</f>
        <v>0.24724896694214865</v>
      </c>
      <c r="G35" s="146">
        <f t="shared" si="10"/>
        <v>2.4910333419421473</v>
      </c>
      <c r="H35" s="148">
        <f t="shared" si="6"/>
        <v>8.682716036693576E-2</v>
      </c>
      <c r="I35" s="152" t="s">
        <v>21</v>
      </c>
      <c r="J35" s="153">
        <v>1.65</v>
      </c>
      <c r="K35" s="153">
        <v>10.074999999999999</v>
      </c>
      <c r="L35" s="329">
        <f>'1. Datos generales.'!$E$18/'3. Análisis de torsión.'!J35</f>
        <v>1.7272727272727275</v>
      </c>
      <c r="M35" s="153">
        <f t="shared" si="7"/>
        <v>0.99898572501878258</v>
      </c>
      <c r="N35" s="329">
        <f>M35*(J35*'1. Datos generales.'!$E$19)</f>
        <v>0.24724896694214865</v>
      </c>
      <c r="O35" s="153">
        <f t="shared" si="11"/>
        <v>2.4910333419421473</v>
      </c>
      <c r="P35" s="156">
        <f t="shared" si="8"/>
        <v>8.7305265049236941E-2</v>
      </c>
    </row>
    <row r="36" spans="1:24">
      <c r="A36" s="18" t="s">
        <v>22</v>
      </c>
      <c r="B36" s="146">
        <v>2.4500000000000002</v>
      </c>
      <c r="C36" s="146">
        <v>6.5250000000000004</v>
      </c>
      <c r="D36" s="146">
        <f>'1. Datos generales.'!$E$18/'3. Análisis de torsión.'!B36</f>
        <v>1.1632653061224489</v>
      </c>
      <c r="E36" s="146">
        <f t="shared" si="9"/>
        <v>0.970709058300538</v>
      </c>
      <c r="F36" s="593">
        <f>E36*(B36*'1. Datos generales.'!$E$19)</f>
        <v>0.35673557892544772</v>
      </c>
      <c r="G36" s="146">
        <f t="shared" si="10"/>
        <v>2.3276996524885463</v>
      </c>
      <c r="H36" s="148">
        <f t="shared" si="6"/>
        <v>0.12527590186938536</v>
      </c>
      <c r="I36" s="152" t="s">
        <v>22</v>
      </c>
      <c r="J36" s="153">
        <v>2.4500000000000002</v>
      </c>
      <c r="K36" s="153">
        <v>6.5250000000000004</v>
      </c>
      <c r="L36" s="329">
        <f>'1. Datos generales.'!$E$18/'3. Análisis de torsión.'!J36</f>
        <v>1.1632653061224489</v>
      </c>
      <c r="M36" s="153">
        <f t="shared" si="7"/>
        <v>0.970709058300538</v>
      </c>
      <c r="N36" s="329">
        <f>M36*(J36*'1. Datos generales.'!$E$19)</f>
        <v>0.35673557892544772</v>
      </c>
      <c r="O36" s="153">
        <f t="shared" si="11"/>
        <v>2.3276996524885463</v>
      </c>
      <c r="P36" s="156">
        <f t="shared" si="8"/>
        <v>0.12596572052762706</v>
      </c>
    </row>
    <row r="37" spans="1:24">
      <c r="A37" s="18" t="s">
        <v>23</v>
      </c>
      <c r="B37" s="146">
        <v>2.0699999999999998</v>
      </c>
      <c r="C37" s="146">
        <v>2.0750000000000002</v>
      </c>
      <c r="D37" s="146">
        <f>'1. Datos generales.'!$E$18/'3. Análisis de torsión.'!B37</f>
        <v>1.3768115942028987</v>
      </c>
      <c r="E37" s="146">
        <f t="shared" si="9"/>
        <v>0.9878988094694513</v>
      </c>
      <c r="F37" s="593">
        <f>E37*(B37*'1. Datos generales.'!$E$19)</f>
        <v>0.30674258034026458</v>
      </c>
      <c r="G37" s="146">
        <f t="shared" si="10"/>
        <v>0.63649085420604901</v>
      </c>
      <c r="H37" s="148">
        <f t="shared" si="6"/>
        <v>0.10771971079985769</v>
      </c>
      <c r="I37" s="152" t="s">
        <v>23</v>
      </c>
      <c r="J37" s="153">
        <v>2.0699999999999998</v>
      </c>
      <c r="K37" s="153">
        <v>2.0750000000000002</v>
      </c>
      <c r="L37" s="329">
        <f>'1. Datos generales.'!$E$18/'3. Análisis de torsión.'!J37</f>
        <v>1.3768115942028987</v>
      </c>
      <c r="M37" s="153">
        <f t="shared" si="7"/>
        <v>0.9878988094694513</v>
      </c>
      <c r="N37" s="329">
        <f>M37*(J37*'1. Datos generales.'!$E$19)</f>
        <v>0.30674258034026458</v>
      </c>
      <c r="O37" s="153">
        <f t="shared" si="11"/>
        <v>0.63649085420604901</v>
      </c>
      <c r="P37" s="156">
        <f t="shared" si="8"/>
        <v>0.10831285812716743</v>
      </c>
    </row>
    <row r="38" spans="1:24">
      <c r="A38" s="18"/>
      <c r="B38" s="94"/>
      <c r="C38" s="223"/>
      <c r="D38" s="223"/>
      <c r="E38" s="223"/>
      <c r="F38" s="596"/>
      <c r="G38" s="223"/>
      <c r="H38" s="156"/>
      <c r="I38" s="152"/>
      <c r="J38" s="94"/>
      <c r="K38" s="223"/>
      <c r="L38" s="8"/>
      <c r="M38" s="223"/>
      <c r="N38" s="8"/>
      <c r="O38" s="223"/>
      <c r="P38" s="156"/>
    </row>
    <row r="39" spans="1:24">
      <c r="A39" s="18"/>
      <c r="B39" s="94"/>
      <c r="C39" s="223"/>
      <c r="D39" s="223"/>
      <c r="E39" s="223"/>
      <c r="F39" s="596"/>
      <c r="G39" s="223"/>
      <c r="H39" s="156"/>
      <c r="I39" s="152"/>
      <c r="J39" s="94"/>
      <c r="K39" s="223"/>
      <c r="L39" s="8"/>
      <c r="M39" s="223"/>
      <c r="N39" s="8"/>
      <c r="O39" s="223"/>
      <c r="P39" s="156"/>
      <c r="T39" s="33"/>
    </row>
    <row r="40" spans="1:24">
      <c r="A40" s="18"/>
      <c r="B40" s="94"/>
      <c r="C40" s="223"/>
      <c r="D40" s="223"/>
      <c r="E40" s="223"/>
      <c r="F40" s="223"/>
      <c r="G40" s="223"/>
      <c r="H40" s="156"/>
      <c r="I40" s="152"/>
      <c r="J40" s="94"/>
      <c r="K40" s="223"/>
      <c r="L40" s="8"/>
      <c r="M40" s="223"/>
      <c r="N40" s="8"/>
      <c r="O40" s="223"/>
      <c r="P40" s="156"/>
    </row>
    <row r="41" spans="1:24" ht="15.75" thickBot="1">
      <c r="A41" s="51"/>
      <c r="B41" s="100"/>
      <c r="C41" s="226"/>
      <c r="D41" s="226"/>
      <c r="E41" s="226"/>
      <c r="F41" s="226"/>
      <c r="G41" s="226"/>
      <c r="H41" s="218"/>
      <c r="I41" s="149"/>
      <c r="J41" s="100"/>
      <c r="K41" s="226"/>
      <c r="L41" s="112"/>
      <c r="M41" s="226"/>
      <c r="N41" s="112"/>
      <c r="O41" s="226"/>
      <c r="P41" s="218"/>
      <c r="T41" s="101"/>
    </row>
    <row r="42" spans="1:24" ht="18.75" thickBot="1">
      <c r="A42" s="149" t="s">
        <v>59</v>
      </c>
      <c r="B42" s="145">
        <f>SUM(B27:B41)</f>
        <v>19.250000000000004</v>
      </c>
      <c r="C42" s="321"/>
      <c r="D42" s="322"/>
      <c r="E42" s="321"/>
      <c r="F42" s="145">
        <f>SUM(F27:F41)</f>
        <v>2.8475993674935656</v>
      </c>
      <c r="G42" s="145">
        <f>SUM(G27:G41)</f>
        <v>16.264581233303367</v>
      </c>
      <c r="H42" s="323"/>
      <c r="I42" s="149" t="s">
        <v>59</v>
      </c>
      <c r="J42" s="145">
        <f>SUM(J27:J41)</f>
        <v>19.12</v>
      </c>
      <c r="K42" s="327"/>
      <c r="L42" s="327"/>
      <c r="M42" s="327"/>
      <c r="N42" s="145">
        <f>SUM(N27:N41)</f>
        <v>2.8320052267490325</v>
      </c>
      <c r="O42" s="145">
        <f>SUM(O27:O41)</f>
        <v>15.636213800784486</v>
      </c>
      <c r="P42" s="323"/>
      <c r="R42" s="30" t="s">
        <v>84</v>
      </c>
      <c r="S42" s="1">
        <f>'1. Datos generales.'!E18</f>
        <v>2.85</v>
      </c>
      <c r="V42" s="30" t="s">
        <v>222</v>
      </c>
      <c r="W42" s="1">
        <f>'1. Datos generales.'!E4</f>
        <v>11.95</v>
      </c>
      <c r="X42" s="101"/>
    </row>
    <row r="43" spans="1:24">
      <c r="P43" s="9"/>
    </row>
    <row r="44" spans="1:24">
      <c r="P44" s="9"/>
    </row>
    <row r="45" spans="1:24" ht="18">
      <c r="P45" s="9"/>
      <c r="S45" s="30" t="s">
        <v>223</v>
      </c>
      <c r="T45" s="1">
        <f>'1. Datos generales.'!E3</f>
        <v>9.42</v>
      </c>
    </row>
    <row r="46" spans="1:24">
      <c r="P46" s="9"/>
    </row>
  </sheetData>
  <mergeCells count="44">
    <mergeCell ref="Q2:X2"/>
    <mergeCell ref="I24:P24"/>
    <mergeCell ref="I23:P23"/>
    <mergeCell ref="I3:P3"/>
    <mergeCell ref="I2:P2"/>
    <mergeCell ref="Q3:X3"/>
    <mergeCell ref="W4:W5"/>
    <mergeCell ref="V4:V5"/>
    <mergeCell ref="G25:G26"/>
    <mergeCell ref="D25:D26"/>
    <mergeCell ref="Q26:X26"/>
    <mergeCell ref="M4:M5"/>
    <mergeCell ref="N4:N5"/>
    <mergeCell ref="O4:O5"/>
    <mergeCell ref="I4:I5"/>
    <mergeCell ref="Q4:Q5"/>
    <mergeCell ref="R4:R5"/>
    <mergeCell ref="T4:T5"/>
    <mergeCell ref="U4:U5"/>
    <mergeCell ref="J4:J5"/>
    <mergeCell ref="L4:L5"/>
    <mergeCell ref="Q29:R29"/>
    <mergeCell ref="U32:V32"/>
    <mergeCell ref="A23:H23"/>
    <mergeCell ref="A24:H24"/>
    <mergeCell ref="E25:E26"/>
    <mergeCell ref="F25:F26"/>
    <mergeCell ref="I25:I26"/>
    <mergeCell ref="J25:J26"/>
    <mergeCell ref="L25:L26"/>
    <mergeCell ref="M25:M26"/>
    <mergeCell ref="N25:N26"/>
    <mergeCell ref="O25:O26"/>
    <mergeCell ref="Q27:R27"/>
    <mergeCell ref="Q28:R28"/>
    <mergeCell ref="A25:A26"/>
    <mergeCell ref="B25:B26"/>
    <mergeCell ref="W32:X32"/>
    <mergeCell ref="W33:X33"/>
    <mergeCell ref="W34:X34"/>
    <mergeCell ref="T31:X31"/>
    <mergeCell ref="Q31:R31"/>
    <mergeCell ref="U33:V33"/>
    <mergeCell ref="U34:V34"/>
  </mergeCells>
  <conditionalFormatting sqref="D27:D37">
    <cfRule type="cellIs" dxfId="14" priority="4" operator="greaterThan">
      <formula>2.5</formula>
    </cfRule>
  </conditionalFormatting>
  <conditionalFormatting sqref="L27:L37">
    <cfRule type="cellIs" dxfId="13" priority="3" operator="greaterThan">
      <formula>2.5</formula>
    </cfRule>
  </conditionalFormatting>
  <conditionalFormatting sqref="L6:L13">
    <cfRule type="cellIs" dxfId="12" priority="2" operator="greaterThan">
      <formula>2.5</formula>
    </cfRule>
  </conditionalFormatting>
  <conditionalFormatting sqref="T6:T12">
    <cfRule type="cellIs" dxfId="11" priority="1" operator="greaterThan">
      <formula>2.5</formula>
    </cfRule>
  </conditionalFormatting>
  <printOptions horizontalCentered="1"/>
  <pageMargins left="0.70866141732283472" right="0.70866141732283472" top="0.74803149606299213" bottom="0.74803149606299213" header="0.31496062992125984" footer="0.31496062992125984"/>
  <pageSetup pageOrder="overThenDown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A2D89-7D67-4D5C-A81C-CD109FFF787F}">
  <sheetPr>
    <tabColor theme="4" tint="0.79998168889431442"/>
  </sheetPr>
  <dimension ref="A1:O130"/>
  <sheetViews>
    <sheetView showGridLines="0" topLeftCell="H20" zoomScaleNormal="100" workbookViewId="0">
      <selection activeCell="M28" sqref="M28:N28"/>
    </sheetView>
  </sheetViews>
  <sheetFormatPr baseColWidth="10" defaultColWidth="11.5703125" defaultRowHeight="15"/>
  <cols>
    <col min="3" max="3" width="15" customWidth="1"/>
    <col min="4" max="4" width="4.7109375" customWidth="1"/>
    <col min="6" max="6" width="13.28515625" bestFit="1" customWidth="1"/>
    <col min="7" max="7" width="15" customWidth="1"/>
    <col min="8" max="8" width="11.5703125" customWidth="1"/>
    <col min="9" max="9" width="10" customWidth="1"/>
    <col min="10" max="10" width="11.5703125" customWidth="1"/>
    <col min="12" max="14" width="9" customWidth="1"/>
  </cols>
  <sheetData>
    <row r="1" spans="1:14" ht="15.75" thickBot="1">
      <c r="A1" s="536" t="s">
        <v>98</v>
      </c>
      <c r="B1" s="536"/>
      <c r="C1" s="536"/>
      <c r="D1" s="536"/>
      <c r="E1" s="536"/>
      <c r="F1" s="536"/>
      <c r="G1" s="536"/>
    </row>
    <row r="2" spans="1:14">
      <c r="A2" s="460" t="s">
        <v>125</v>
      </c>
      <c r="B2" s="461"/>
      <c r="C2" s="462"/>
      <c r="D2" s="54"/>
      <c r="E2" s="460" t="s">
        <v>125</v>
      </c>
      <c r="F2" s="461"/>
      <c r="G2" s="462"/>
    </row>
    <row r="3" spans="1:14" s="54" customFormat="1" ht="15.75" thickBot="1">
      <c r="A3" s="511" t="s">
        <v>118</v>
      </c>
      <c r="B3" s="512"/>
      <c r="C3" s="513"/>
      <c r="E3" s="511" t="s">
        <v>118</v>
      </c>
      <c r="F3" s="512"/>
      <c r="G3" s="513"/>
    </row>
    <row r="4" spans="1:14" ht="33" thickBot="1">
      <c r="A4" s="383" t="s">
        <v>12</v>
      </c>
      <c r="B4" s="384" t="s">
        <v>97</v>
      </c>
      <c r="C4" s="385" t="s">
        <v>295</v>
      </c>
      <c r="D4" s="54"/>
      <c r="E4" s="383" t="s">
        <v>12</v>
      </c>
      <c r="F4" s="384" t="s">
        <v>97</v>
      </c>
      <c r="G4" s="385" t="s">
        <v>295</v>
      </c>
    </row>
    <row r="5" spans="1:14">
      <c r="A5" s="286" t="str">
        <f>'3. Análisis de torsión.'!A27</f>
        <v>1X</v>
      </c>
      <c r="B5" s="133">
        <f>'3. Análisis de torsión.'!B27</f>
        <v>1.3</v>
      </c>
      <c r="C5" s="332">
        <v>2.1905000000000001</v>
      </c>
      <c r="D5" s="54"/>
      <c r="E5" s="286" t="str">
        <f>'3. Análisis de torsión.'!I6</f>
        <v>1Y</v>
      </c>
      <c r="F5" s="142">
        <f>'3. Análisis de torsión.'!J6</f>
        <v>11.35</v>
      </c>
      <c r="G5" s="332">
        <v>10.256500000000001</v>
      </c>
    </row>
    <row r="6" spans="1:14">
      <c r="A6" s="287" t="str">
        <f>'3. Análisis de torsión.'!A28</f>
        <v>2X</v>
      </c>
      <c r="B6" s="132">
        <f>'3. Análisis de torsión.'!B28</f>
        <v>2.35</v>
      </c>
      <c r="C6" s="333">
        <v>5.202</v>
      </c>
      <c r="D6" s="54"/>
      <c r="E6" s="287" t="str">
        <f>'3. Análisis de torsión.'!I7</f>
        <v>2Y</v>
      </c>
      <c r="F6" s="143">
        <f>'3. Análisis de torsión.'!J7</f>
        <v>1.7</v>
      </c>
      <c r="G6" s="333">
        <v>3.8494999999999999</v>
      </c>
      <c r="I6" s="30" t="s">
        <v>84</v>
      </c>
      <c r="J6" s="341">
        <f>('1. Datos generales.'!E18+0.1)*2</f>
        <v>5.9</v>
      </c>
    </row>
    <row r="7" spans="1:14">
      <c r="A7" s="287" t="str">
        <f>'3. Análisis de torsión.'!A29</f>
        <v>3X</v>
      </c>
      <c r="B7" s="132">
        <f>'3. Análisis de torsión.'!B29</f>
        <v>1.45</v>
      </c>
      <c r="C7" s="333">
        <v>0.94399999999999995</v>
      </c>
      <c r="D7" s="54"/>
      <c r="E7" s="287" t="str">
        <f>'3. Análisis de torsión.'!I8</f>
        <v>3Y</v>
      </c>
      <c r="F7" s="143">
        <f>'3. Análisis de torsión.'!J8</f>
        <v>4.43</v>
      </c>
      <c r="G7" s="333">
        <v>7.04</v>
      </c>
    </row>
    <row r="8" spans="1:14" ht="18">
      <c r="A8" s="287" t="str">
        <f>'3. Análisis de torsión.'!A30</f>
        <v>4X</v>
      </c>
      <c r="B8" s="132">
        <f>'3. Análisis de torsión.'!B30</f>
        <v>1.45</v>
      </c>
      <c r="C8" s="333">
        <v>0.94399999999999995</v>
      </c>
      <c r="D8" s="54"/>
      <c r="E8" s="287" t="str">
        <f>'3. Análisis de torsión.'!I9</f>
        <v>4Y</v>
      </c>
      <c r="F8" s="143">
        <f>'3. Análisis de torsión.'!J9</f>
        <v>1.5</v>
      </c>
      <c r="G8" s="333">
        <v>7.2140000000000004</v>
      </c>
      <c r="L8" s="30" t="s">
        <v>222</v>
      </c>
      <c r="M8" s="198">
        <f>'1. Datos generales.'!E4</f>
        <v>11.95</v>
      </c>
    </row>
    <row r="9" spans="1:14">
      <c r="A9" s="287" t="str">
        <f>'3. Análisis de torsión.'!A31</f>
        <v>5X</v>
      </c>
      <c r="B9" s="132">
        <f>'3. Análisis de torsión.'!B31</f>
        <v>1.33</v>
      </c>
      <c r="C9" s="333">
        <v>2.6859999999999999</v>
      </c>
      <c r="D9" s="54"/>
      <c r="E9" s="287" t="str">
        <f>'3. Análisis de torsión.'!I10</f>
        <v>5Y</v>
      </c>
      <c r="F9" s="143">
        <f>'3. Análisis de torsión.'!J10</f>
        <v>3.55</v>
      </c>
      <c r="G9" s="333">
        <v>5.7534999999999998</v>
      </c>
    </row>
    <row r="10" spans="1:14">
      <c r="A10" s="287" t="str">
        <f>'3. Análisis de torsión.'!A32</f>
        <v>6X</v>
      </c>
      <c r="B10" s="132">
        <f>'3. Análisis de torsión.'!B32</f>
        <v>1.27</v>
      </c>
      <c r="C10" s="333">
        <v>2.4689999999999999</v>
      </c>
      <c r="D10" s="54"/>
      <c r="E10" s="287" t="str">
        <f>'3. Análisis de torsión.'!I11</f>
        <v>6Y</v>
      </c>
      <c r="F10" s="143">
        <f>'3. Análisis de torsión.'!J11</f>
        <v>1.5</v>
      </c>
      <c r="G10" s="333">
        <v>1.8080000000000001</v>
      </c>
    </row>
    <row r="11" spans="1:14" ht="18">
      <c r="A11" s="287" t="str">
        <f>'3. Análisis de torsión.'!A33</f>
        <v>7X</v>
      </c>
      <c r="B11" s="132">
        <f>'3. Análisis de torsión.'!B33</f>
        <v>1.23</v>
      </c>
      <c r="C11" s="333">
        <v>1.5385</v>
      </c>
      <c r="D11" s="54"/>
      <c r="E11" s="287" t="str">
        <f>'3. Análisis de torsión.'!I12</f>
        <v>7Y</v>
      </c>
      <c r="F11" s="143">
        <f>'3. Análisis de torsión.'!J12</f>
        <v>1.3</v>
      </c>
      <c r="G11" s="333">
        <v>3.0644999999999998</v>
      </c>
      <c r="J11" s="30" t="s">
        <v>223</v>
      </c>
      <c r="K11" s="198">
        <f>'1. Datos generales.'!E3</f>
        <v>9.42</v>
      </c>
    </row>
    <row r="12" spans="1:14">
      <c r="A12" s="287" t="str">
        <f>'3. Análisis de torsión.'!A34</f>
        <v>8X</v>
      </c>
      <c r="B12" s="132">
        <f>'3. Análisis de torsión.'!B34</f>
        <v>2.7</v>
      </c>
      <c r="C12" s="333">
        <v>8.1974999999999998</v>
      </c>
      <c r="D12" s="54"/>
      <c r="E12" s="287" t="str">
        <f>'3. Análisis de torsión.'!I13</f>
        <v>8Y</v>
      </c>
      <c r="F12" s="143">
        <f>'3. Análisis de torsión.'!J13</f>
        <v>10.15</v>
      </c>
      <c r="G12" s="333">
        <v>9.1989999999999998</v>
      </c>
    </row>
    <row r="13" spans="1:14">
      <c r="A13" s="287" t="str">
        <f>'3. Análisis de torsión.'!A35</f>
        <v>9X</v>
      </c>
      <c r="B13" s="132">
        <f>'3. Análisis de torsión.'!B35</f>
        <v>1.65</v>
      </c>
      <c r="C13" s="333">
        <v>2.9464999999999999</v>
      </c>
      <c r="D13" s="54"/>
      <c r="E13" s="287"/>
      <c r="F13" s="143"/>
      <c r="G13" s="333"/>
    </row>
    <row r="14" spans="1:14" ht="15" customHeight="1">
      <c r="A14" s="287" t="str">
        <f>'3. Análisis de torsión.'!A36</f>
        <v>10X</v>
      </c>
      <c r="B14" s="132">
        <f>'3. Análisis de torsión.'!B36</f>
        <v>2.4500000000000002</v>
      </c>
      <c r="C14" s="333">
        <v>6.3825000000000003</v>
      </c>
      <c r="D14" s="54"/>
      <c r="E14" s="287"/>
      <c r="F14" s="143"/>
      <c r="G14" s="333"/>
      <c r="I14" s="281" t="s">
        <v>139</v>
      </c>
      <c r="J14" s="281"/>
    </row>
    <row r="15" spans="1:14" ht="15.75" thickBot="1">
      <c r="A15" s="287" t="str">
        <f>'3. Análisis de torsión.'!A37</f>
        <v>11X</v>
      </c>
      <c r="B15" s="132">
        <f>'3. Análisis de torsión.'!B37</f>
        <v>2.0699999999999998</v>
      </c>
      <c r="C15" s="156">
        <v>1.6964999999999999</v>
      </c>
      <c r="E15" s="287"/>
      <c r="F15" s="143"/>
      <c r="G15" s="336"/>
      <c r="H15" s="281"/>
      <c r="I15" s="281"/>
      <c r="J15" s="281"/>
      <c r="K15" s="26"/>
      <c r="L15" s="111">
        <f>M8</f>
        <v>11.95</v>
      </c>
      <c r="M15" s="525" t="s">
        <v>232</v>
      </c>
      <c r="N15" s="524">
        <f>L15/L16</f>
        <v>1.2685774946921442</v>
      </c>
    </row>
    <row r="16" spans="1:14">
      <c r="A16" s="287"/>
      <c r="B16" s="132"/>
      <c r="C16" s="156"/>
      <c r="D16" s="54"/>
      <c r="E16" s="287"/>
      <c r="F16" s="143"/>
      <c r="G16" s="336"/>
      <c r="H16" s="9"/>
      <c r="J16" s="9"/>
      <c r="K16" s="9"/>
      <c r="L16" s="280">
        <f>K11</f>
        <v>9.42</v>
      </c>
      <c r="M16" s="525"/>
      <c r="N16" s="524"/>
    </row>
    <row r="17" spans="1:14">
      <c r="A17" s="287"/>
      <c r="B17" s="132"/>
      <c r="C17" s="156"/>
      <c r="D17" s="54"/>
      <c r="E17" s="287"/>
      <c r="F17" s="143"/>
      <c r="G17" s="336"/>
      <c r="H17" s="9"/>
      <c r="J17" s="9"/>
      <c r="K17" s="9"/>
    </row>
    <row r="18" spans="1:14">
      <c r="A18" s="287"/>
      <c r="B18" s="132"/>
      <c r="C18" s="156"/>
      <c r="E18" s="287"/>
      <c r="F18" s="143"/>
      <c r="G18" s="336"/>
      <c r="I18" s="26" t="s">
        <v>142</v>
      </c>
      <c r="J18" s="26"/>
      <c r="K18" s="26"/>
    </row>
    <row r="19" spans="1:14">
      <c r="A19" s="287"/>
      <c r="B19" s="132"/>
      <c r="C19" s="156"/>
      <c r="E19" s="287"/>
      <c r="F19" s="143"/>
      <c r="G19" s="336"/>
      <c r="L19" s="285">
        <f>J6</f>
        <v>5.9</v>
      </c>
    </row>
    <row r="20" spans="1:14" ht="15.75" thickBot="1">
      <c r="A20" s="51" t="s">
        <v>59</v>
      </c>
      <c r="B20" s="134"/>
      <c r="C20" s="334">
        <f>SUM(C5:C19)</f>
        <v>35.197000000000003</v>
      </c>
      <c r="D20" s="54"/>
      <c r="E20" s="51" t="s">
        <v>59</v>
      </c>
      <c r="F20" s="337"/>
      <c r="G20" s="334">
        <f>SUM(G5:G19)</f>
        <v>48.185000000000002</v>
      </c>
    </row>
    <row r="21" spans="1:14" ht="14.45" customHeight="1">
      <c r="A21" s="144" t="s">
        <v>128</v>
      </c>
      <c r="C21" s="335">
        <v>84.307000000000002</v>
      </c>
      <c r="D21" s="92"/>
      <c r="G21" s="299">
        <f>(C20+G20)/C21</f>
        <v>0.98902819457459057</v>
      </c>
      <c r="I21" s="282" t="s">
        <v>143</v>
      </c>
      <c r="J21" s="282"/>
      <c r="K21" s="282"/>
    </row>
    <row r="22" spans="1:14" ht="15.75" thickBot="1">
      <c r="H22" s="282"/>
      <c r="I22" s="282"/>
      <c r="J22" s="282"/>
      <c r="K22" s="282"/>
      <c r="L22" s="112">
        <f>J6</f>
        <v>5.9</v>
      </c>
      <c r="M22" s="525" t="s">
        <v>232</v>
      </c>
      <c r="N22" s="524">
        <f>L22/L23</f>
        <v>0.62632696390658182</v>
      </c>
    </row>
    <row r="23" spans="1:14" ht="15.75" thickBot="1">
      <c r="L23" s="280">
        <f>K11</f>
        <v>9.42</v>
      </c>
      <c r="M23" s="525"/>
      <c r="N23" s="524"/>
    </row>
    <row r="24" spans="1:14" ht="15.75" thickBot="1">
      <c r="A24" s="460" t="s">
        <v>125</v>
      </c>
      <c r="B24" s="461"/>
      <c r="C24" s="462"/>
      <c r="D24" s="54"/>
      <c r="E24" s="460" t="s">
        <v>125</v>
      </c>
      <c r="F24" s="461"/>
      <c r="G24" s="462"/>
    </row>
    <row r="25" spans="1:14" ht="15.75" thickBot="1">
      <c r="A25" s="511" t="s">
        <v>119</v>
      </c>
      <c r="B25" s="512"/>
      <c r="C25" s="513"/>
      <c r="D25" s="54"/>
      <c r="E25" s="511" t="s">
        <v>119</v>
      </c>
      <c r="F25" s="512"/>
      <c r="G25" s="513"/>
      <c r="I25" s="472" t="s">
        <v>124</v>
      </c>
      <c r="J25" s="473"/>
      <c r="K25" s="473"/>
      <c r="L25" s="473"/>
      <c r="M25" s="473"/>
      <c r="N25" s="474"/>
    </row>
    <row r="26" spans="1:14" ht="33" thickBot="1">
      <c r="A26" s="383" t="s">
        <v>12</v>
      </c>
      <c r="B26" s="384" t="s">
        <v>97</v>
      </c>
      <c r="C26" s="385" t="s">
        <v>295</v>
      </c>
      <c r="D26" s="204"/>
      <c r="E26" s="383" t="s">
        <v>12</v>
      </c>
      <c r="F26" s="384" t="s">
        <v>97</v>
      </c>
      <c r="G26" s="385" t="s">
        <v>295</v>
      </c>
      <c r="I26" s="530" t="s">
        <v>138</v>
      </c>
      <c r="J26" s="531"/>
      <c r="K26" s="531"/>
      <c r="L26" s="532"/>
      <c r="M26" s="283" t="s">
        <v>118</v>
      </c>
      <c r="N26" s="284" t="s">
        <v>119</v>
      </c>
    </row>
    <row r="27" spans="1:14" ht="15.75" thickBot="1">
      <c r="A27" s="286" t="str">
        <f>'3. Análisis de torsión.'!I27</f>
        <v>1X</v>
      </c>
      <c r="B27" s="133">
        <f>'3. Análisis de torsión.'!J27</f>
        <v>1.3</v>
      </c>
      <c r="C27" s="332">
        <v>2.1905000000000001</v>
      </c>
      <c r="D27" s="54"/>
      <c r="E27" s="286" t="str">
        <f>'3. Análisis de torsión.'!Q6</f>
        <v>1Y</v>
      </c>
      <c r="F27" s="142">
        <f>'3. Análisis de torsión.'!R6</f>
        <v>11.35</v>
      </c>
      <c r="G27" s="332">
        <v>10.256500000000001</v>
      </c>
      <c r="I27" s="533"/>
      <c r="J27" s="534"/>
      <c r="K27" s="534"/>
      <c r="L27" s="535"/>
      <c r="M27" s="191" t="str">
        <f>IF((C20+G20)/C21*100&lt;75,"No cumple","Cumple")</f>
        <v>Cumple</v>
      </c>
      <c r="N27" s="189" t="str">
        <f>IF((C42+G42)/C43*100&lt;75,"No cumple","Cumple")</f>
        <v>Cumple</v>
      </c>
    </row>
    <row r="28" spans="1:14" ht="14.45" customHeight="1" thickBot="1">
      <c r="A28" s="287" t="str">
        <f>'3. Análisis de torsión.'!I28</f>
        <v>2X</v>
      </c>
      <c r="B28" s="132">
        <f>'3. Análisis de torsión.'!J28</f>
        <v>1.35</v>
      </c>
      <c r="C28" s="333">
        <v>2.7759999999999998</v>
      </c>
      <c r="D28" s="54"/>
      <c r="E28" s="287" t="str">
        <f>'3. Análisis de torsión.'!Q7</f>
        <v>2Y</v>
      </c>
      <c r="F28" s="143">
        <f>'3. Análisis de torsión.'!R7</f>
        <v>1.7</v>
      </c>
      <c r="G28" s="333">
        <v>3.9710000000000001</v>
      </c>
      <c r="I28" s="527" t="s">
        <v>139</v>
      </c>
      <c r="J28" s="528"/>
      <c r="K28" s="528"/>
      <c r="L28" s="529"/>
      <c r="M28" s="526" t="str">
        <f>IF(N15&lt;2,"Cumple","No cumple")</f>
        <v>Cumple</v>
      </c>
      <c r="N28" s="507"/>
    </row>
    <row r="29" spans="1:14" ht="15.75" thickBot="1">
      <c r="A29" s="287" t="str">
        <f>'3. Análisis de torsión.'!I29</f>
        <v>3X</v>
      </c>
      <c r="B29" s="132">
        <f>'3. Análisis de torsión.'!J29</f>
        <v>1.45</v>
      </c>
      <c r="C29" s="333">
        <v>0.94399999999999995</v>
      </c>
      <c r="D29" s="54"/>
      <c r="E29" s="287" t="str">
        <f>'3. Análisis de torsión.'!Q8</f>
        <v>3Y</v>
      </c>
      <c r="F29" s="143">
        <f>'3. Análisis de torsión.'!R8</f>
        <v>4.43</v>
      </c>
      <c r="G29" s="333">
        <v>7.4180000000000001</v>
      </c>
      <c r="I29" s="527" t="s">
        <v>140</v>
      </c>
      <c r="J29" s="528"/>
      <c r="K29" s="528"/>
      <c r="L29" s="529"/>
      <c r="M29" s="526" t="str">
        <f>IF(L19&lt;13,"Cumple","No cumple")</f>
        <v>Cumple</v>
      </c>
      <c r="N29" s="507"/>
    </row>
    <row r="30" spans="1:14" ht="15.75" thickBot="1">
      <c r="A30" s="287" t="str">
        <f>'3. Análisis de torsión.'!I30</f>
        <v>4X</v>
      </c>
      <c r="B30" s="132">
        <f>'3. Análisis de torsión.'!J30</f>
        <v>1.45</v>
      </c>
      <c r="C30" s="333">
        <v>0.94399999999999995</v>
      </c>
      <c r="D30" s="54"/>
      <c r="E30" s="287" t="str">
        <f>'3. Análisis de torsión.'!Q9</f>
        <v>4Y</v>
      </c>
      <c r="F30" s="143">
        <f>'3. Análisis de torsión.'!R9</f>
        <v>3.65</v>
      </c>
      <c r="G30" s="333">
        <v>8.5114999999999998</v>
      </c>
      <c r="I30" s="527" t="s">
        <v>141</v>
      </c>
      <c r="J30" s="528"/>
      <c r="K30" s="528"/>
      <c r="L30" s="529"/>
      <c r="M30" s="526" t="str">
        <f>IF(N22&lt;1.5,"Cumple","No cumple")</f>
        <v>Cumple</v>
      </c>
      <c r="N30" s="507"/>
    </row>
    <row r="31" spans="1:14">
      <c r="A31" s="287" t="str">
        <f>'3. Análisis de torsión.'!I31</f>
        <v>5X</v>
      </c>
      <c r="B31" s="132">
        <f>'3. Análisis de torsión.'!J31</f>
        <v>2.35</v>
      </c>
      <c r="C31" s="333">
        <v>5.2305000000000001</v>
      </c>
      <c r="D31" s="54"/>
      <c r="E31" s="287" t="str">
        <f>'3. Análisis de torsión.'!Q10</f>
        <v>5Y</v>
      </c>
      <c r="F31" s="143">
        <f>'3. Análisis de torsión.'!R10</f>
        <v>3.7</v>
      </c>
      <c r="G31" s="333">
        <v>5.7534999999999998</v>
      </c>
    </row>
    <row r="32" spans="1:14">
      <c r="A32" s="287" t="str">
        <f>'3. Análisis de torsión.'!I32</f>
        <v>6X</v>
      </c>
      <c r="B32" s="132">
        <f>'3. Análisis de torsión.'!J32</f>
        <v>1.27</v>
      </c>
      <c r="C32" s="333">
        <v>2.0055000000000001</v>
      </c>
      <c r="D32" s="54"/>
      <c r="E32" s="287" t="str">
        <f>'3. Análisis de torsión.'!Q11</f>
        <v>6Y</v>
      </c>
      <c r="F32" s="143">
        <f>'3. Análisis de torsión.'!R11</f>
        <v>2.5</v>
      </c>
      <c r="G32" s="333">
        <v>6.0659999999999998</v>
      </c>
    </row>
    <row r="33" spans="1:11">
      <c r="A33" s="287" t="str">
        <f>'3. Análisis de torsión.'!I33</f>
        <v>7X</v>
      </c>
      <c r="B33" s="132">
        <f>'3. Análisis de torsión.'!J33</f>
        <v>1.23</v>
      </c>
      <c r="C33" s="333">
        <v>1.5385</v>
      </c>
      <c r="D33" s="54"/>
      <c r="E33" s="287" t="s">
        <v>31</v>
      </c>
      <c r="F33" s="143">
        <f>'3. Análisis de torsión.'!R12</f>
        <v>10.15</v>
      </c>
      <c r="G33" s="333">
        <v>11.7265</v>
      </c>
    </row>
    <row r="34" spans="1:11">
      <c r="A34" s="287" t="str">
        <f>'3. Análisis de torsión.'!I34</f>
        <v>8X</v>
      </c>
      <c r="B34" s="132">
        <f>'3. Análisis de torsión.'!J34</f>
        <v>2.5499999999999998</v>
      </c>
      <c r="C34" s="333">
        <v>8.0545000000000009</v>
      </c>
      <c r="D34" s="54"/>
      <c r="E34" s="287"/>
      <c r="F34" s="143"/>
      <c r="G34" s="333"/>
    </row>
    <row r="35" spans="1:11">
      <c r="A35" s="287" t="str">
        <f>'3. Análisis de torsión.'!I35</f>
        <v>9X</v>
      </c>
      <c r="B35" s="132">
        <f>'3. Análisis de torsión.'!J35</f>
        <v>1.65</v>
      </c>
      <c r="C35" s="333">
        <v>2.9565000000000001</v>
      </c>
      <c r="D35" s="54"/>
      <c r="E35" s="287"/>
      <c r="F35" s="143"/>
      <c r="G35" s="333"/>
    </row>
    <row r="36" spans="1:11">
      <c r="A36" s="287" t="str">
        <f>'3. Análisis de torsión.'!I36</f>
        <v>10X</v>
      </c>
      <c r="B36" s="132">
        <f>'3. Análisis de torsión.'!J36</f>
        <v>2.4500000000000002</v>
      </c>
      <c r="C36" s="333">
        <v>6.3825000000000003</v>
      </c>
      <c r="D36" s="9"/>
      <c r="E36" s="287"/>
      <c r="F36" s="143"/>
      <c r="G36" s="333"/>
    </row>
    <row r="37" spans="1:11">
      <c r="A37" s="287" t="str">
        <f>'3. Análisis de torsión.'!I37</f>
        <v>11X</v>
      </c>
      <c r="B37" s="132">
        <f>'3. Análisis de torsión.'!J37</f>
        <v>2.0699999999999998</v>
      </c>
      <c r="C37" s="156">
        <v>3.6779999999999999</v>
      </c>
      <c r="E37" s="287"/>
      <c r="F37" s="143"/>
      <c r="G37" s="156"/>
    </row>
    <row r="38" spans="1:11">
      <c r="A38" s="287"/>
      <c r="B38" s="132"/>
      <c r="C38" s="338"/>
      <c r="D38" s="34"/>
      <c r="E38" s="287"/>
      <c r="F38" s="143"/>
      <c r="G38" s="338"/>
    </row>
    <row r="39" spans="1:11">
      <c r="A39" s="287"/>
      <c r="B39" s="132"/>
      <c r="C39" s="156"/>
      <c r="E39" s="287"/>
      <c r="F39" s="143"/>
      <c r="G39" s="156"/>
      <c r="H39" s="190"/>
      <c r="I39" s="190"/>
      <c r="J39" s="190"/>
      <c r="K39" s="190"/>
    </row>
    <row r="40" spans="1:11">
      <c r="A40" s="287"/>
      <c r="B40" s="132"/>
      <c r="C40" s="156"/>
      <c r="E40" s="287"/>
      <c r="F40" s="143"/>
      <c r="G40" s="156"/>
      <c r="H40" s="190"/>
      <c r="I40" s="190"/>
      <c r="J40" s="190"/>
      <c r="K40" s="190"/>
    </row>
    <row r="41" spans="1:11">
      <c r="A41" s="287"/>
      <c r="B41" s="132"/>
      <c r="C41" s="156"/>
      <c r="D41" s="92"/>
      <c r="E41" s="287"/>
      <c r="F41" s="143"/>
      <c r="G41" s="156"/>
      <c r="H41" s="190"/>
      <c r="I41" s="190"/>
      <c r="J41" s="190"/>
      <c r="K41" s="190"/>
    </row>
    <row r="42" spans="1:11" ht="15.75" thickBot="1">
      <c r="A42" s="51" t="s">
        <v>59</v>
      </c>
      <c r="B42" s="134"/>
      <c r="C42" s="334">
        <f>SUM(C27:C41)</f>
        <v>36.700499999999998</v>
      </c>
      <c r="D42" s="9"/>
      <c r="E42" s="51" t="s">
        <v>59</v>
      </c>
      <c r="F42" s="337"/>
      <c r="G42" s="334">
        <f>SUM(G27:G41)</f>
        <v>53.70300000000001</v>
      </c>
      <c r="H42" s="190"/>
      <c r="I42" s="190"/>
      <c r="J42" s="190"/>
      <c r="K42" s="190"/>
    </row>
    <row r="43" spans="1:11" ht="14.45" customHeight="1">
      <c r="A43" s="144" t="s">
        <v>127</v>
      </c>
      <c r="B43" s="339"/>
      <c r="C43" s="340">
        <v>90.846000000000004</v>
      </c>
      <c r="D43" s="92"/>
      <c r="F43" s="203"/>
      <c r="G43" s="298">
        <f>(C42+G42)/C43</f>
        <v>0.99512911960900874</v>
      </c>
      <c r="H43" s="190"/>
      <c r="I43" s="190"/>
      <c r="J43" s="190"/>
      <c r="K43" s="190"/>
    </row>
    <row r="67" spans="1:7">
      <c r="D67" s="34"/>
      <c r="E67" s="128"/>
      <c r="F67" s="128"/>
      <c r="G67" s="102"/>
    </row>
    <row r="68" spans="1:7">
      <c r="D68" s="34"/>
      <c r="E68" s="128"/>
      <c r="F68" s="34"/>
      <c r="G68" s="102"/>
    </row>
    <row r="69" spans="1:7">
      <c r="D69" s="34"/>
      <c r="E69" s="128"/>
      <c r="F69" s="34"/>
      <c r="G69" s="102"/>
    </row>
    <row r="70" spans="1:7">
      <c r="D70" s="34"/>
      <c r="E70" s="128"/>
      <c r="F70" s="34"/>
      <c r="G70" s="102"/>
    </row>
    <row r="71" spans="1:7">
      <c r="D71" s="34"/>
      <c r="E71" s="128"/>
      <c r="F71" s="34"/>
      <c r="G71" s="102"/>
    </row>
    <row r="72" spans="1:7">
      <c r="D72" s="34"/>
      <c r="E72" s="128"/>
      <c r="F72" s="34"/>
      <c r="G72" s="102"/>
    </row>
    <row r="73" spans="1:7">
      <c r="D73" s="34"/>
      <c r="E73" s="128"/>
      <c r="F73" s="34"/>
      <c r="G73" s="102"/>
    </row>
    <row r="74" spans="1:7">
      <c r="A74" s="128"/>
      <c r="B74" s="102"/>
      <c r="C74" s="102"/>
      <c r="D74" s="34"/>
      <c r="E74" s="128"/>
      <c r="F74" s="34"/>
      <c r="G74" s="102"/>
    </row>
    <row r="75" spans="1:7">
      <c r="A75" s="128"/>
      <c r="B75" s="102"/>
      <c r="C75" s="102"/>
      <c r="D75" s="34"/>
      <c r="E75" s="128"/>
      <c r="F75" s="34"/>
      <c r="G75" s="102"/>
    </row>
    <row r="76" spans="1:7">
      <c r="A76" s="128"/>
      <c r="B76" s="102"/>
      <c r="C76" s="102"/>
      <c r="D76" s="34"/>
      <c r="E76" s="128"/>
      <c r="F76" s="34"/>
      <c r="G76" s="102"/>
    </row>
    <row r="77" spans="1:7">
      <c r="A77" s="128"/>
      <c r="B77" s="128"/>
      <c r="C77" s="102"/>
      <c r="D77" s="34"/>
      <c r="E77" s="128"/>
      <c r="F77" s="34"/>
      <c r="G77" s="102"/>
    </row>
    <row r="78" spans="1:7">
      <c r="A78" s="128"/>
      <c r="B78" s="102"/>
      <c r="C78" s="102"/>
      <c r="D78" s="34"/>
      <c r="E78" s="34"/>
      <c r="F78" s="34"/>
      <c r="G78" s="102"/>
    </row>
    <row r="79" spans="1:7">
      <c r="A79" s="128"/>
      <c r="B79" s="34"/>
      <c r="C79" s="102"/>
      <c r="D79" s="34"/>
      <c r="E79" s="34"/>
      <c r="F79" s="34"/>
      <c r="G79" s="102"/>
    </row>
    <row r="80" spans="1:7">
      <c r="A80" s="128"/>
      <c r="B80" s="34"/>
      <c r="C80" s="102"/>
      <c r="D80" s="34"/>
      <c r="E80" s="34"/>
      <c r="F80" s="34"/>
      <c r="G80" s="102"/>
    </row>
    <row r="81" spans="1:15">
      <c r="A81" s="128"/>
      <c r="B81" s="34"/>
      <c r="C81" s="102"/>
      <c r="D81" s="34"/>
      <c r="E81" s="34"/>
      <c r="F81" s="34"/>
      <c r="G81" s="102"/>
    </row>
    <row r="82" spans="1:15">
      <c r="A82" s="128"/>
      <c r="B82" s="34"/>
      <c r="C82" s="102"/>
      <c r="D82" s="34"/>
      <c r="E82" s="34"/>
      <c r="F82" s="34"/>
      <c r="G82" s="102"/>
    </row>
    <row r="83" spans="1:15">
      <c r="A83" s="34"/>
      <c r="B83" s="34"/>
      <c r="C83" s="102"/>
      <c r="D83" s="34"/>
      <c r="E83" s="34"/>
      <c r="F83" s="34"/>
      <c r="G83" s="102"/>
    </row>
    <row r="84" spans="1:15">
      <c r="A84" s="7"/>
      <c r="B84" s="102"/>
      <c r="C84" s="135"/>
      <c r="D84" s="34"/>
      <c r="E84" s="7"/>
      <c r="F84" s="102"/>
      <c r="G84" s="135"/>
    </row>
    <row r="85" spans="1:15">
      <c r="A85" s="128"/>
      <c r="B85" s="34"/>
      <c r="C85" s="34"/>
      <c r="D85" s="34"/>
      <c r="E85" s="34"/>
      <c r="F85" s="34"/>
      <c r="G85" s="34"/>
    </row>
    <row r="86" spans="1:15">
      <c r="A86" s="95"/>
      <c r="B86" s="95"/>
      <c r="C86" s="95"/>
      <c r="D86" s="95"/>
      <c r="E86" s="34"/>
      <c r="F86" s="34"/>
      <c r="G86" s="34"/>
    </row>
    <row r="87" spans="1:15">
      <c r="A87" s="128"/>
      <c r="B87" s="34"/>
      <c r="C87" s="34"/>
      <c r="D87" s="34"/>
      <c r="E87" s="34"/>
      <c r="F87" s="34"/>
      <c r="G87" s="34"/>
    </row>
    <row r="88" spans="1:15">
      <c r="A88" s="34"/>
      <c r="B88" s="34"/>
      <c r="C88" s="96"/>
      <c r="D88" s="136"/>
      <c r="E88" s="34"/>
      <c r="F88" s="34"/>
      <c r="G88" s="34"/>
    </row>
    <row r="89" spans="1:15">
      <c r="A89" s="34"/>
      <c r="B89" s="34"/>
      <c r="C89" s="34"/>
      <c r="D89" s="34"/>
      <c r="E89" s="34"/>
      <c r="F89" s="34"/>
      <c r="G89" s="34"/>
    </row>
    <row r="93" spans="1:15">
      <c r="A93" s="92"/>
      <c r="B93" s="92"/>
      <c r="C93" s="92"/>
      <c r="D93" s="92"/>
      <c r="E93" s="92"/>
      <c r="F93" s="92"/>
      <c r="G93" s="92"/>
      <c r="H93" s="92"/>
      <c r="I93" s="92"/>
      <c r="J93" s="92"/>
      <c r="K93" s="92"/>
      <c r="L93" s="92"/>
      <c r="M93" s="92"/>
      <c r="N93" s="92"/>
      <c r="O93" s="92"/>
    </row>
    <row r="94" spans="1:15">
      <c r="A94" s="92"/>
      <c r="B94" s="92"/>
      <c r="C94" s="92"/>
      <c r="D94" s="92"/>
      <c r="E94" s="92"/>
      <c r="F94" s="92"/>
      <c r="G94" s="92"/>
      <c r="H94" s="92"/>
      <c r="I94" s="92"/>
      <c r="J94" s="92"/>
      <c r="K94" s="92"/>
      <c r="L94" s="92"/>
      <c r="M94" s="92"/>
      <c r="N94" s="92"/>
      <c r="O94" s="92"/>
    </row>
    <row r="95" spans="1:15">
      <c r="A95" s="92"/>
      <c r="B95" s="92"/>
      <c r="C95" s="92"/>
      <c r="D95" s="92"/>
      <c r="E95" s="92"/>
      <c r="F95" s="92"/>
      <c r="G95" s="92"/>
      <c r="H95" s="92"/>
      <c r="I95" s="92"/>
      <c r="J95" s="92"/>
      <c r="K95" s="92"/>
      <c r="L95" s="92"/>
      <c r="M95" s="92"/>
      <c r="N95" s="92"/>
      <c r="O95" s="92"/>
    </row>
    <row r="96" spans="1:15">
      <c r="A96" s="92"/>
      <c r="B96" s="92"/>
      <c r="C96" s="92"/>
      <c r="D96" s="92"/>
      <c r="E96" s="92"/>
      <c r="F96" s="92"/>
      <c r="G96" s="92"/>
      <c r="H96" s="92"/>
      <c r="I96" s="92"/>
      <c r="J96" s="92"/>
      <c r="K96" s="92"/>
      <c r="L96" s="92"/>
      <c r="M96" s="92"/>
      <c r="N96" s="92"/>
      <c r="O96" s="92"/>
    </row>
    <row r="97" spans="1:15">
      <c r="A97" s="92"/>
      <c r="B97" s="92"/>
      <c r="C97" s="92"/>
      <c r="D97" s="92"/>
      <c r="E97" s="92"/>
      <c r="F97" s="92"/>
      <c r="G97" s="92"/>
      <c r="H97" s="92"/>
      <c r="I97" s="92"/>
      <c r="J97" s="92"/>
      <c r="K97" s="92"/>
      <c r="L97" s="92"/>
      <c r="M97" s="92"/>
      <c r="N97" s="92"/>
      <c r="O97" s="92"/>
    </row>
    <row r="98" spans="1:15">
      <c r="A98" s="92"/>
      <c r="B98" s="92"/>
      <c r="C98" s="92"/>
      <c r="D98" s="92"/>
      <c r="E98" s="92"/>
      <c r="F98" s="92"/>
      <c r="G98" s="92"/>
      <c r="H98" s="92"/>
      <c r="I98" s="92"/>
      <c r="J98" s="92"/>
      <c r="K98" s="92"/>
      <c r="L98" s="92"/>
      <c r="M98" s="92"/>
      <c r="N98" s="92"/>
      <c r="O98" s="92"/>
    </row>
    <row r="99" spans="1:15">
      <c r="A99" s="92"/>
      <c r="B99" s="92"/>
      <c r="C99" s="92"/>
      <c r="D99" s="92"/>
      <c r="E99" s="92"/>
      <c r="F99" s="92"/>
      <c r="G99" s="92"/>
      <c r="H99" s="92"/>
      <c r="I99" s="92"/>
      <c r="J99" s="92"/>
      <c r="K99" s="92"/>
      <c r="L99" s="92"/>
      <c r="M99" s="92"/>
      <c r="N99" s="92"/>
      <c r="O99" s="92"/>
    </row>
    <row r="100" spans="1:15">
      <c r="A100" s="92"/>
      <c r="B100" s="92"/>
      <c r="C100" s="92"/>
      <c r="D100" s="92"/>
      <c r="E100" s="92"/>
      <c r="F100" s="92"/>
      <c r="G100" s="92"/>
      <c r="H100" s="92"/>
      <c r="I100" s="92"/>
      <c r="J100" s="92"/>
      <c r="K100" s="92"/>
      <c r="L100" s="92"/>
      <c r="M100" s="92"/>
      <c r="N100" s="92"/>
      <c r="O100" s="92"/>
    </row>
    <row r="101" spans="1:15">
      <c r="A101" s="92"/>
      <c r="B101" s="92"/>
      <c r="C101" s="92"/>
      <c r="D101" s="92"/>
      <c r="E101" s="92"/>
      <c r="F101" s="92"/>
      <c r="G101" s="92"/>
      <c r="H101" s="92"/>
      <c r="I101" s="92"/>
      <c r="J101" s="92"/>
      <c r="K101" s="92"/>
      <c r="L101" s="92"/>
      <c r="M101" s="92"/>
      <c r="N101" s="92"/>
      <c r="O101" s="92"/>
    </row>
    <row r="102" spans="1:15">
      <c r="A102" s="92"/>
      <c r="B102" s="92"/>
      <c r="C102" s="92"/>
      <c r="D102" s="92"/>
      <c r="E102" s="92"/>
      <c r="F102" s="92"/>
      <c r="G102" s="92"/>
      <c r="H102" s="92"/>
      <c r="I102" s="92"/>
      <c r="J102" s="92"/>
      <c r="K102" s="92"/>
      <c r="L102" s="92"/>
      <c r="M102" s="92"/>
      <c r="N102" s="92"/>
      <c r="O102" s="92"/>
    </row>
    <row r="103" spans="1:15">
      <c r="A103" s="92"/>
      <c r="B103" s="92"/>
      <c r="C103" s="92"/>
      <c r="D103" s="92"/>
      <c r="E103" s="92"/>
      <c r="F103" s="92"/>
      <c r="G103" s="92"/>
      <c r="H103" s="92"/>
      <c r="I103" s="92"/>
      <c r="J103" s="92"/>
      <c r="K103" s="92"/>
      <c r="L103" s="92"/>
      <c r="M103" s="92"/>
      <c r="N103" s="92"/>
      <c r="O103" s="92"/>
    </row>
    <row r="104" spans="1:15">
      <c r="A104" s="92"/>
      <c r="B104" s="92"/>
      <c r="C104" s="92"/>
      <c r="D104" s="92"/>
      <c r="E104" s="92"/>
      <c r="F104" s="92"/>
      <c r="G104" s="92"/>
      <c r="H104" s="92"/>
      <c r="I104" s="92"/>
      <c r="J104" s="92"/>
      <c r="K104" s="92"/>
      <c r="L104" s="92"/>
      <c r="M104" s="92"/>
      <c r="N104" s="92"/>
      <c r="O104" s="92"/>
    </row>
    <row r="105" spans="1:15">
      <c r="A105" s="92"/>
      <c r="B105" s="92"/>
      <c r="C105" s="92"/>
      <c r="D105" s="92"/>
      <c r="E105" s="92"/>
      <c r="F105" s="92"/>
      <c r="G105" s="92"/>
      <c r="H105" s="92"/>
      <c r="I105" s="92"/>
      <c r="J105" s="92"/>
      <c r="K105" s="92"/>
      <c r="L105" s="92"/>
      <c r="M105" s="92"/>
      <c r="N105" s="92"/>
      <c r="O105" s="92"/>
    </row>
    <row r="106" spans="1:15">
      <c r="A106" s="92"/>
      <c r="B106" s="92"/>
      <c r="C106" s="92"/>
      <c r="D106" s="92"/>
      <c r="E106" s="92"/>
      <c r="F106" s="92"/>
      <c r="G106" s="92"/>
      <c r="H106" s="92"/>
      <c r="I106" s="92"/>
      <c r="J106" s="92"/>
      <c r="K106" s="92"/>
      <c r="L106" s="92"/>
      <c r="M106" s="92"/>
      <c r="N106" s="92"/>
      <c r="O106" s="92"/>
    </row>
    <row r="107" spans="1:15">
      <c r="A107" s="92"/>
      <c r="B107" s="92"/>
      <c r="C107" s="92"/>
      <c r="D107" s="92"/>
      <c r="E107" s="92"/>
      <c r="F107" s="92"/>
      <c r="G107" s="92"/>
      <c r="H107" s="92"/>
      <c r="I107" s="92"/>
      <c r="J107" s="92"/>
      <c r="K107" s="92"/>
      <c r="L107" s="92"/>
      <c r="M107" s="92"/>
      <c r="N107" s="92"/>
      <c r="O107" s="92"/>
    </row>
    <row r="108" spans="1:15">
      <c r="A108" s="92"/>
      <c r="B108" s="92"/>
      <c r="C108" s="92"/>
      <c r="D108" s="92"/>
      <c r="E108" s="92"/>
      <c r="F108" s="92"/>
      <c r="G108" s="92"/>
      <c r="H108" s="92"/>
      <c r="I108" s="92"/>
      <c r="J108" s="92"/>
      <c r="K108" s="92"/>
      <c r="L108" s="92"/>
      <c r="M108" s="92"/>
      <c r="N108" s="92"/>
      <c r="O108" s="92"/>
    </row>
    <row r="109" spans="1:15">
      <c r="A109" s="92"/>
      <c r="B109" s="92"/>
      <c r="C109" s="92"/>
      <c r="D109" s="92"/>
      <c r="E109" s="92"/>
      <c r="F109" s="92"/>
      <c r="G109" s="92"/>
      <c r="H109" s="92"/>
      <c r="I109" s="92"/>
      <c r="J109" s="92"/>
      <c r="K109" s="92"/>
      <c r="L109" s="92"/>
      <c r="M109" s="92"/>
      <c r="N109" s="92"/>
      <c r="O109" s="92"/>
    </row>
    <row r="110" spans="1:15">
      <c r="A110" s="92"/>
      <c r="B110" s="92"/>
      <c r="C110" s="92"/>
      <c r="D110" s="92"/>
      <c r="E110" s="92"/>
      <c r="F110" s="92"/>
      <c r="G110" s="92"/>
      <c r="H110" s="92"/>
      <c r="I110" s="92"/>
      <c r="J110" s="92"/>
      <c r="K110" s="92"/>
      <c r="L110" s="92"/>
      <c r="M110" s="92"/>
      <c r="N110" s="92"/>
      <c r="O110" s="92"/>
    </row>
    <row r="111" spans="1:15">
      <c r="A111" s="92"/>
      <c r="B111" s="92"/>
      <c r="C111" s="92"/>
      <c r="D111" s="92"/>
      <c r="E111" s="92"/>
      <c r="F111" s="92"/>
      <c r="G111" s="92"/>
      <c r="H111" s="92"/>
      <c r="I111" s="92"/>
      <c r="J111" s="92"/>
      <c r="K111" s="92"/>
      <c r="L111" s="92"/>
      <c r="M111" s="92"/>
      <c r="N111" s="92"/>
      <c r="O111" s="92"/>
    </row>
    <row r="112" spans="1:15">
      <c r="A112" s="92"/>
      <c r="B112" s="92"/>
      <c r="C112" s="92"/>
      <c r="D112" s="92"/>
      <c r="E112" s="92"/>
      <c r="F112" s="92"/>
      <c r="G112" s="92"/>
      <c r="H112" s="92"/>
      <c r="I112" s="92"/>
      <c r="J112" s="92"/>
      <c r="K112" s="92"/>
      <c r="L112" s="92"/>
      <c r="M112" s="92"/>
      <c r="N112" s="92"/>
      <c r="O112" s="92"/>
    </row>
    <row r="113" spans="1:15">
      <c r="A113" s="92"/>
      <c r="B113" s="92"/>
      <c r="C113" s="92"/>
      <c r="D113" s="92"/>
      <c r="E113" s="92"/>
      <c r="F113" s="92"/>
      <c r="G113" s="92"/>
      <c r="H113" s="92"/>
      <c r="I113" s="92"/>
      <c r="J113" s="92"/>
      <c r="K113" s="92"/>
      <c r="L113" s="92"/>
      <c r="M113" s="92"/>
      <c r="N113" s="92"/>
      <c r="O113" s="92"/>
    </row>
    <row r="114" spans="1:15">
      <c r="A114" s="92"/>
      <c r="B114" s="92"/>
      <c r="C114" s="92"/>
      <c r="D114" s="92"/>
      <c r="E114" s="92"/>
      <c r="F114" s="92"/>
      <c r="G114" s="92"/>
      <c r="H114" s="92"/>
      <c r="I114" s="92"/>
      <c r="J114" s="92"/>
      <c r="K114" s="92"/>
      <c r="L114" s="92"/>
      <c r="M114" s="92"/>
      <c r="N114" s="92"/>
      <c r="O114" s="92"/>
    </row>
    <row r="115" spans="1:15">
      <c r="A115" s="92"/>
      <c r="B115" s="92"/>
      <c r="C115" s="92"/>
      <c r="D115" s="92"/>
      <c r="E115" s="92"/>
      <c r="F115" s="92"/>
      <c r="G115" s="92"/>
      <c r="H115" s="92"/>
      <c r="I115" s="92"/>
      <c r="J115" s="92"/>
      <c r="K115" s="92"/>
      <c r="L115" s="92"/>
      <c r="M115" s="92"/>
      <c r="N115" s="92"/>
      <c r="O115" s="92"/>
    </row>
    <row r="116" spans="1:15">
      <c r="A116" s="92"/>
      <c r="B116" s="92"/>
      <c r="C116" s="92"/>
      <c r="D116" s="92"/>
      <c r="E116" s="92"/>
      <c r="F116" s="92"/>
      <c r="G116" s="92"/>
      <c r="H116" s="92"/>
      <c r="I116" s="92"/>
      <c r="J116" s="92"/>
      <c r="K116" s="92"/>
      <c r="L116" s="92"/>
      <c r="M116" s="92"/>
      <c r="N116" s="92"/>
      <c r="O116" s="92"/>
    </row>
    <row r="117" spans="1:15">
      <c r="A117" s="92"/>
      <c r="B117" s="92"/>
      <c r="C117" s="92"/>
      <c r="D117" s="92"/>
      <c r="E117" s="92"/>
      <c r="F117" s="92"/>
      <c r="G117" s="92"/>
      <c r="H117" s="92"/>
      <c r="I117" s="92"/>
      <c r="J117" s="92"/>
      <c r="K117" s="92"/>
      <c r="L117" s="92"/>
      <c r="M117" s="92"/>
      <c r="N117" s="92"/>
      <c r="O117" s="92"/>
    </row>
    <row r="118" spans="1:15">
      <c r="A118" s="92"/>
      <c r="B118" s="92"/>
      <c r="C118" s="92"/>
      <c r="D118" s="92"/>
      <c r="E118" s="92"/>
      <c r="F118" s="92"/>
      <c r="G118" s="92"/>
      <c r="H118" s="92"/>
      <c r="I118" s="92"/>
      <c r="J118" s="92"/>
      <c r="K118" s="92"/>
      <c r="L118" s="92"/>
      <c r="M118" s="92"/>
      <c r="N118" s="92"/>
      <c r="O118" s="92"/>
    </row>
    <row r="119" spans="1:15">
      <c r="A119" s="92"/>
      <c r="B119" s="92"/>
      <c r="C119" s="92"/>
      <c r="D119" s="92"/>
      <c r="E119" s="92"/>
      <c r="F119" s="92"/>
      <c r="G119" s="92"/>
      <c r="H119" s="92"/>
      <c r="I119" s="92"/>
      <c r="J119" s="92"/>
      <c r="K119" s="92"/>
      <c r="L119" s="92"/>
      <c r="M119" s="92"/>
      <c r="N119" s="92"/>
      <c r="O119" s="92"/>
    </row>
    <row r="120" spans="1:15">
      <c r="A120" s="92"/>
      <c r="B120" s="92"/>
      <c r="C120" s="92"/>
      <c r="D120" s="92"/>
      <c r="E120" s="92"/>
      <c r="F120" s="92"/>
      <c r="G120" s="92"/>
      <c r="H120" s="92"/>
      <c r="I120" s="92"/>
      <c r="J120" s="92"/>
      <c r="K120" s="92"/>
      <c r="L120" s="92"/>
      <c r="M120" s="92"/>
      <c r="N120" s="92"/>
      <c r="O120" s="92"/>
    </row>
    <row r="121" spans="1:15">
      <c r="A121" s="92"/>
      <c r="B121" s="92"/>
      <c r="C121" s="92"/>
      <c r="D121" s="92"/>
      <c r="E121" s="92"/>
      <c r="F121" s="92"/>
      <c r="G121" s="92"/>
      <c r="H121" s="92"/>
      <c r="I121" s="92"/>
      <c r="J121" s="92"/>
      <c r="K121" s="92"/>
      <c r="L121" s="92"/>
      <c r="M121" s="92"/>
      <c r="N121" s="92"/>
      <c r="O121" s="92"/>
    </row>
    <row r="122" spans="1:15">
      <c r="A122" s="92"/>
      <c r="B122" s="92"/>
      <c r="C122" s="92"/>
      <c r="D122" s="92"/>
      <c r="E122" s="92"/>
      <c r="F122" s="92"/>
      <c r="G122" s="92"/>
      <c r="H122" s="92"/>
      <c r="I122" s="92"/>
      <c r="J122" s="92"/>
      <c r="K122" s="92"/>
      <c r="L122" s="92"/>
      <c r="M122" s="92"/>
      <c r="N122" s="92"/>
      <c r="O122" s="92"/>
    </row>
    <row r="123" spans="1:15">
      <c r="A123" s="92"/>
      <c r="B123" s="92"/>
      <c r="C123" s="92"/>
      <c r="D123" s="92"/>
      <c r="E123" s="92"/>
      <c r="F123" s="92"/>
      <c r="G123" s="92"/>
      <c r="H123" s="92"/>
      <c r="I123" s="92"/>
      <c r="J123" s="92"/>
      <c r="K123" s="92"/>
      <c r="L123" s="92"/>
      <c r="M123" s="92"/>
      <c r="N123" s="92"/>
      <c r="O123" s="92"/>
    </row>
    <row r="124" spans="1:15">
      <c r="A124" s="92"/>
      <c r="B124" s="92"/>
      <c r="C124" s="92"/>
      <c r="D124" s="92"/>
      <c r="E124" s="92"/>
      <c r="F124" s="92"/>
      <c r="G124" s="92"/>
      <c r="H124" s="92"/>
      <c r="I124" s="92"/>
      <c r="J124" s="92"/>
      <c r="K124" s="92"/>
      <c r="L124" s="92"/>
      <c r="M124" s="92"/>
      <c r="N124" s="92"/>
      <c r="O124" s="92"/>
    </row>
    <row r="125" spans="1:15">
      <c r="A125" s="92"/>
      <c r="B125" s="92"/>
      <c r="C125" s="92"/>
      <c r="D125" s="92"/>
      <c r="E125" s="92"/>
      <c r="F125" s="92"/>
      <c r="G125" s="92"/>
      <c r="H125" s="92"/>
      <c r="I125" s="92"/>
      <c r="J125" s="92"/>
      <c r="K125" s="92"/>
      <c r="L125" s="92"/>
      <c r="M125" s="92"/>
      <c r="N125" s="92"/>
      <c r="O125" s="92"/>
    </row>
    <row r="126" spans="1:15">
      <c r="A126" s="95"/>
      <c r="B126" s="95"/>
      <c r="C126" s="95"/>
      <c r="D126" s="95"/>
      <c r="E126" s="34"/>
      <c r="F126" s="34"/>
      <c r="G126" s="34"/>
      <c r="H126" s="95"/>
      <c r="I126" s="95"/>
      <c r="J126" s="95"/>
      <c r="K126" s="95"/>
      <c r="L126" s="34"/>
      <c r="M126" s="34"/>
      <c r="N126" s="34"/>
    </row>
    <row r="127" spans="1:15">
      <c r="A127" s="74"/>
      <c r="B127" s="34"/>
      <c r="C127" s="34"/>
      <c r="D127" s="34"/>
      <c r="E127" s="34"/>
      <c r="F127" s="34"/>
      <c r="G127" s="34"/>
      <c r="H127" s="74"/>
      <c r="I127" s="34"/>
      <c r="J127" s="34"/>
      <c r="K127" s="34"/>
      <c r="L127" s="34"/>
      <c r="M127" s="34"/>
      <c r="N127" s="34"/>
    </row>
    <row r="128" spans="1:15">
      <c r="A128" s="34"/>
      <c r="B128" s="34"/>
      <c r="C128" s="96"/>
      <c r="D128" s="97"/>
      <c r="E128" s="34"/>
      <c r="F128" s="34"/>
      <c r="G128" s="34"/>
      <c r="H128" s="34"/>
      <c r="I128" s="34"/>
      <c r="J128" s="96"/>
      <c r="K128" s="97"/>
      <c r="L128" s="34"/>
      <c r="M128" s="34"/>
      <c r="N128" s="34"/>
    </row>
    <row r="129" spans="1:14">
      <c r="A129" s="34"/>
      <c r="B129" s="34"/>
      <c r="C129" s="34"/>
      <c r="D129" s="34"/>
      <c r="E129" s="34"/>
      <c r="F129" s="34"/>
      <c r="G129" s="34"/>
      <c r="H129" s="34"/>
      <c r="I129" s="34"/>
      <c r="J129" s="34"/>
      <c r="K129" s="34"/>
      <c r="L129" s="34"/>
      <c r="M129" s="34"/>
      <c r="N129" s="34"/>
    </row>
    <row r="130" spans="1:14">
      <c r="A130" s="91"/>
      <c r="B130" s="75"/>
      <c r="C130" s="75"/>
      <c r="D130" s="75"/>
      <c r="E130" s="75"/>
      <c r="F130" s="75"/>
      <c r="G130" s="75"/>
    </row>
  </sheetData>
  <mergeCells count="21">
    <mergeCell ref="A1:G1"/>
    <mergeCell ref="A24:C24"/>
    <mergeCell ref="A25:C25"/>
    <mergeCell ref="A2:C2"/>
    <mergeCell ref="A3:C3"/>
    <mergeCell ref="E2:G2"/>
    <mergeCell ref="E3:G3"/>
    <mergeCell ref="E24:G24"/>
    <mergeCell ref="E25:G25"/>
    <mergeCell ref="I29:L29"/>
    <mergeCell ref="I30:L30"/>
    <mergeCell ref="I25:N25"/>
    <mergeCell ref="I26:L27"/>
    <mergeCell ref="M28:N28"/>
    <mergeCell ref="I28:L28"/>
    <mergeCell ref="N15:N16"/>
    <mergeCell ref="M22:M23"/>
    <mergeCell ref="N22:N23"/>
    <mergeCell ref="M29:N29"/>
    <mergeCell ref="M30:N30"/>
    <mergeCell ref="M15:M16"/>
  </mergeCells>
  <conditionalFormatting sqref="K128">
    <cfRule type="cellIs" dxfId="10" priority="9" operator="lessThan">
      <formula>75</formula>
    </cfRule>
    <cfRule type="cellIs" dxfId="9" priority="10" operator="greaterThan">
      <formula>75</formula>
    </cfRule>
  </conditionalFormatting>
  <conditionalFormatting sqref="D128">
    <cfRule type="cellIs" dxfId="8" priority="11" operator="lessThan">
      <formula>75</formula>
    </cfRule>
    <cfRule type="cellIs" dxfId="7" priority="12" operator="greaterThan">
      <formula>75</formula>
    </cfRule>
  </conditionalFormatting>
  <conditionalFormatting sqref="D88">
    <cfRule type="cellIs" dxfId="6" priority="5" operator="greaterThan">
      <formula>0.75</formula>
    </cfRule>
    <cfRule type="cellIs" dxfId="5" priority="6" operator="lessThan">
      <formula>0.75</formula>
    </cfRule>
  </conditionalFormatting>
  <printOptions horizontalCentered="1"/>
  <pageMargins left="0.70866141732283472" right="0.70866141732283472" top="0.74803149606299213" bottom="0.74803149606299213" header="0.31496062992125984" footer="0.31496062992125984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009E9-B4AE-4DD0-842A-005BCE0876F3}">
  <sheetPr>
    <tabColor theme="6" tint="0.79998168889431442"/>
  </sheetPr>
  <dimension ref="A1:H41"/>
  <sheetViews>
    <sheetView showGridLines="0" topLeftCell="A6" zoomScaleNormal="100" workbookViewId="0">
      <selection activeCell="F40" sqref="F40:F41"/>
    </sheetView>
  </sheetViews>
  <sheetFormatPr baseColWidth="10" defaultColWidth="11.5703125" defaultRowHeight="15"/>
  <cols>
    <col min="3" max="3" width="10" customWidth="1"/>
    <col min="4" max="4" width="9" customWidth="1"/>
    <col min="5" max="7" width="10" customWidth="1"/>
  </cols>
  <sheetData>
    <row r="1" spans="1:8" ht="16.5" thickBot="1">
      <c r="A1" s="542" t="s">
        <v>329</v>
      </c>
      <c r="B1" s="542"/>
      <c r="C1" s="542"/>
      <c r="D1" s="542"/>
    </row>
    <row r="2" spans="1:8" ht="15.75" thickBot="1">
      <c r="A2" s="410" t="s">
        <v>184</v>
      </c>
      <c r="B2" s="411"/>
      <c r="C2" s="412"/>
    </row>
    <row r="3" spans="1:8">
      <c r="A3" s="399" t="s">
        <v>314</v>
      </c>
      <c r="B3" s="110">
        <f>'1. Datos generales.'!E26*100</f>
        <v>20</v>
      </c>
      <c r="C3" s="221" t="s">
        <v>158</v>
      </c>
    </row>
    <row r="4" spans="1:8">
      <c r="A4" s="256" t="s">
        <v>315</v>
      </c>
      <c r="B4" s="8">
        <f>'1. Datos generales.'!E25*100</f>
        <v>15</v>
      </c>
      <c r="C4" s="222" t="s">
        <v>158</v>
      </c>
      <c r="F4" s="30" t="str">
        <f>A3</f>
        <v>hc=</v>
      </c>
      <c r="G4" s="199">
        <f>B3</f>
        <v>20</v>
      </c>
      <c r="H4" s="204" t="str">
        <f>C3</f>
        <v>cm</v>
      </c>
    </row>
    <row r="5" spans="1:8" ht="17.25">
      <c r="A5" s="256" t="s">
        <v>316</v>
      </c>
      <c r="B5" s="8">
        <f>'1. Datos generales.'!E27</f>
        <v>200</v>
      </c>
      <c r="C5" s="222" t="s">
        <v>161</v>
      </c>
    </row>
    <row r="6" spans="1:8" ht="17.25">
      <c r="A6" s="256" t="s">
        <v>317</v>
      </c>
      <c r="B6" s="8">
        <f>'1. Datos generales.'!E28</f>
        <v>4200</v>
      </c>
      <c r="C6" s="222" t="s">
        <v>161</v>
      </c>
    </row>
    <row r="7" spans="1:8" ht="15.75" thickBot="1">
      <c r="A7" s="413" t="s">
        <v>321</v>
      </c>
      <c r="B7" s="112">
        <f>'1. Datos generales.'!E19*100</f>
        <v>15</v>
      </c>
      <c r="C7" s="414" t="s">
        <v>158</v>
      </c>
    </row>
    <row r="9" spans="1:8">
      <c r="D9" s="30" t="str">
        <f>A4</f>
        <v>bc=</v>
      </c>
      <c r="E9" s="199">
        <f>B4</f>
        <v>15</v>
      </c>
      <c r="F9" s="204" t="str">
        <f>C4</f>
        <v>cm</v>
      </c>
    </row>
    <row r="10" spans="1:8">
      <c r="A10" t="s">
        <v>318</v>
      </c>
    </row>
    <row r="11" spans="1:8" ht="17.25">
      <c r="B11" s="10"/>
      <c r="C11" s="199">
        <f>B3*B4</f>
        <v>300</v>
      </c>
      <c r="D11" t="s">
        <v>220</v>
      </c>
      <c r="F11" s="234" t="s">
        <v>198</v>
      </c>
      <c r="G11" s="397" t="s">
        <v>199</v>
      </c>
    </row>
    <row r="12" spans="1:8">
      <c r="F12" s="379" t="s">
        <v>200</v>
      </c>
      <c r="G12" s="379">
        <v>0.71</v>
      </c>
    </row>
    <row r="13" spans="1:8">
      <c r="A13" s="247" t="s">
        <v>324</v>
      </c>
      <c r="F13" s="379" t="s">
        <v>201</v>
      </c>
      <c r="G13" s="379">
        <v>1.27</v>
      </c>
    </row>
    <row r="14" spans="1:8">
      <c r="F14" s="379" t="s">
        <v>203</v>
      </c>
      <c r="G14" s="379">
        <v>1.99</v>
      </c>
    </row>
    <row r="15" spans="1:8" ht="17.25">
      <c r="C15" s="401">
        <f>0.2*(B5/B6)*C11</f>
        <v>2.8571428571428572</v>
      </c>
      <c r="D15" s="101" t="s">
        <v>220</v>
      </c>
      <c r="F15" s="379" t="s">
        <v>204</v>
      </c>
      <c r="G15" s="379">
        <v>2.87</v>
      </c>
    </row>
    <row r="16" spans="1:8">
      <c r="F16" s="379" t="s">
        <v>206</v>
      </c>
      <c r="G16" s="379">
        <v>5.07</v>
      </c>
    </row>
    <row r="17" spans="1:8" ht="17.25">
      <c r="B17" s="235" t="s">
        <v>207</v>
      </c>
      <c r="C17" s="197" t="str">
        <f>F12</f>
        <v>#3</v>
      </c>
      <c r="D17" s="404">
        <f>IF(C17=F12,G12,IF(C17=F13,G13,IF(C17=F14,G14,IF(C17=F15,G15,IF(C17=F16,G16,0)))))</f>
        <v>0.71</v>
      </c>
      <c r="E17" s="101" t="s">
        <v>220</v>
      </c>
    </row>
    <row r="18" spans="1:8">
      <c r="B18" s="30"/>
    </row>
    <row r="19" spans="1:8" ht="15.75" thickBot="1">
      <c r="A19" s="376" t="s">
        <v>319</v>
      </c>
      <c r="C19" s="406">
        <f>ROUND(C15/D17,0)</f>
        <v>4</v>
      </c>
      <c r="D19" s="408" t="s">
        <v>320</v>
      </c>
    </row>
    <row r="20" spans="1:8" ht="15.75" thickTop="1"/>
    <row r="21" spans="1:8">
      <c r="A21" s="409" t="s">
        <v>323</v>
      </c>
      <c r="B21" s="9"/>
    </row>
    <row r="22" spans="1:8">
      <c r="A22" s="9"/>
      <c r="B22" s="9"/>
      <c r="F22" s="415"/>
      <c r="G22" s="92"/>
    </row>
    <row r="23" spans="1:8">
      <c r="A23" s="543" t="s">
        <v>322</v>
      </c>
      <c r="B23" s="416">
        <v>20</v>
      </c>
      <c r="C23" s="101" t="s">
        <v>158</v>
      </c>
      <c r="E23" s="538" t="s">
        <v>328</v>
      </c>
      <c r="F23" s="537">
        <f>IF(B23&lt;C24,B23,C24)</f>
        <v>20</v>
      </c>
      <c r="G23" s="541" t="s">
        <v>158</v>
      </c>
    </row>
    <row r="24" spans="1:8">
      <c r="A24" s="543"/>
      <c r="B24" s="199" t="s">
        <v>331</v>
      </c>
      <c r="C24" s="416">
        <f>1.5*B7</f>
        <v>22.5</v>
      </c>
      <c r="D24" s="101" t="s">
        <v>158</v>
      </c>
      <c r="E24" s="539"/>
      <c r="F24" s="537"/>
      <c r="G24" s="541"/>
    </row>
    <row r="25" spans="1:8">
      <c r="B25" s="10"/>
    </row>
    <row r="26" spans="1:8">
      <c r="A26" s="247" t="s">
        <v>325</v>
      </c>
    </row>
    <row r="28" spans="1:8" ht="18.75">
      <c r="A28" s="376" t="s">
        <v>326</v>
      </c>
      <c r="D28" s="199">
        <v>2530</v>
      </c>
      <c r="E28" s="9" t="s">
        <v>161</v>
      </c>
      <c r="F28" t="s">
        <v>327</v>
      </c>
      <c r="G28" s="199">
        <v>0.31</v>
      </c>
      <c r="H28" s="101" t="s">
        <v>220</v>
      </c>
    </row>
    <row r="30" spans="1:8" ht="17.25">
      <c r="E30" s="401">
        <f>(1000*F23)/(D28*B3)</f>
        <v>0.39525691699604742</v>
      </c>
      <c r="F30" t="s">
        <v>220</v>
      </c>
    </row>
    <row r="32" spans="1:8" ht="17.25">
      <c r="E32" s="199">
        <f>2*G28</f>
        <v>0.62</v>
      </c>
      <c r="F32" s="101" t="s">
        <v>220</v>
      </c>
    </row>
    <row r="34" spans="1:7">
      <c r="B34" s="204" t="str">
        <f>IF(E32&gt;E30," La barra cumple con el área requerida","La barra es insuficiente")</f>
        <v xml:space="preserve"> La barra cumple con el área requerida</v>
      </c>
    </row>
    <row r="36" spans="1:7">
      <c r="A36" s="247" t="s">
        <v>330</v>
      </c>
    </row>
    <row r="38" spans="1:7">
      <c r="B38" t="s">
        <v>332</v>
      </c>
      <c r="D38" s="401">
        <f>'1. Datos generales.'!E18</f>
        <v>2.85</v>
      </c>
      <c r="E38" t="s">
        <v>37</v>
      </c>
    </row>
    <row r="40" spans="1:7">
      <c r="A40" s="537" t="s">
        <v>334</v>
      </c>
      <c r="B40" s="396">
        <v>40</v>
      </c>
      <c r="C40" t="s">
        <v>158</v>
      </c>
      <c r="E40" s="538" t="s">
        <v>333</v>
      </c>
      <c r="F40" s="540">
        <f>IF(B40&gt;C41,B40,C41)</f>
        <v>47.5</v>
      </c>
      <c r="G40" s="541" t="s">
        <v>158</v>
      </c>
    </row>
    <row r="41" spans="1:7">
      <c r="A41" s="537"/>
      <c r="C41" s="205">
        <f>(D38*100)/6</f>
        <v>47.5</v>
      </c>
      <c r="D41" s="101" t="s">
        <v>158</v>
      </c>
      <c r="E41" s="539"/>
      <c r="F41" s="540"/>
      <c r="G41" s="541"/>
    </row>
  </sheetData>
  <mergeCells count="9">
    <mergeCell ref="A40:A41"/>
    <mergeCell ref="E40:E41"/>
    <mergeCell ref="F40:F41"/>
    <mergeCell ref="G40:G41"/>
    <mergeCell ref="A1:D1"/>
    <mergeCell ref="A23:A24"/>
    <mergeCell ref="E23:E24"/>
    <mergeCell ref="F23:F24"/>
    <mergeCell ref="G23:G24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7" tint="0.79998168889431442"/>
  </sheetPr>
  <dimension ref="A1:W129"/>
  <sheetViews>
    <sheetView showGridLines="0" topLeftCell="K21" zoomScaleNormal="100" workbookViewId="0">
      <selection activeCell="R5" sqref="R5"/>
    </sheetView>
  </sheetViews>
  <sheetFormatPr baseColWidth="10" defaultColWidth="11.5703125" defaultRowHeight="15"/>
  <cols>
    <col min="1" max="1" width="6.42578125" customWidth="1"/>
    <col min="2" max="2" width="12.5703125" customWidth="1"/>
    <col min="3" max="4" width="10" customWidth="1"/>
    <col min="5" max="7" width="8.5703125" customWidth="1"/>
    <col min="8" max="9" width="10" customWidth="1"/>
    <col min="10" max="10" width="6.42578125" customWidth="1"/>
    <col min="11" max="11" width="12.5703125" customWidth="1"/>
    <col min="12" max="13" width="10" customWidth="1"/>
    <col min="14" max="16" width="8.5703125" customWidth="1"/>
    <col min="17" max="18" width="10" customWidth="1"/>
  </cols>
  <sheetData>
    <row r="1" spans="1:20">
      <c r="A1" s="548" t="s">
        <v>126</v>
      </c>
      <c r="B1" s="549"/>
      <c r="C1" s="549"/>
      <c r="D1" s="549"/>
      <c r="E1" s="549"/>
      <c r="F1" s="549"/>
      <c r="G1" s="549"/>
      <c r="H1" s="549"/>
      <c r="I1" s="550"/>
      <c r="J1" s="548" t="s">
        <v>126</v>
      </c>
      <c r="K1" s="549"/>
      <c r="L1" s="549"/>
      <c r="M1" s="549"/>
      <c r="N1" s="549"/>
      <c r="O1" s="549"/>
      <c r="P1" s="549"/>
      <c r="Q1" s="549"/>
      <c r="R1" s="550"/>
      <c r="S1" s="204" t="s">
        <v>224</v>
      </c>
    </row>
    <row r="2" spans="1:20">
      <c r="A2" s="551" t="s">
        <v>118</v>
      </c>
      <c r="B2" s="552"/>
      <c r="C2" s="552"/>
      <c r="D2" s="552"/>
      <c r="E2" s="552"/>
      <c r="F2" s="552"/>
      <c r="G2" s="552"/>
      <c r="H2" s="552"/>
      <c r="I2" s="553"/>
      <c r="J2" s="551" t="s">
        <v>118</v>
      </c>
      <c r="K2" s="552"/>
      <c r="L2" s="552"/>
      <c r="M2" s="552"/>
      <c r="N2" s="552"/>
      <c r="O2" s="552"/>
      <c r="P2" s="552"/>
      <c r="Q2" s="552"/>
      <c r="R2" s="553"/>
      <c r="T2" s="204" t="s">
        <v>299</v>
      </c>
    </row>
    <row r="3" spans="1:20" ht="18" customHeight="1">
      <c r="A3" s="554" t="s">
        <v>32</v>
      </c>
      <c r="B3" s="556" t="s">
        <v>263</v>
      </c>
      <c r="C3" s="544" t="s">
        <v>103</v>
      </c>
      <c r="D3" s="544" t="s">
        <v>102</v>
      </c>
      <c r="E3" s="544" t="s">
        <v>137</v>
      </c>
      <c r="F3" s="544" t="s">
        <v>33</v>
      </c>
      <c r="G3" s="544" t="s">
        <v>186</v>
      </c>
      <c r="H3" s="544" t="s">
        <v>34</v>
      </c>
      <c r="I3" s="546" t="s">
        <v>211</v>
      </c>
      <c r="J3" s="554" t="s">
        <v>32</v>
      </c>
      <c r="K3" s="556" t="s">
        <v>263</v>
      </c>
      <c r="L3" s="544" t="s">
        <v>103</v>
      </c>
      <c r="M3" s="544" t="s">
        <v>102</v>
      </c>
      <c r="N3" s="544" t="s">
        <v>137</v>
      </c>
      <c r="O3" s="544" t="s">
        <v>33</v>
      </c>
      <c r="P3" s="544" t="s">
        <v>186</v>
      </c>
      <c r="Q3" s="544" t="s">
        <v>34</v>
      </c>
      <c r="R3" s="546" t="s">
        <v>211</v>
      </c>
      <c r="T3" s="419" t="s">
        <v>246</v>
      </c>
    </row>
    <row r="4" spans="1:20" ht="18" customHeight="1" thickBot="1">
      <c r="A4" s="555"/>
      <c r="B4" s="557"/>
      <c r="C4" s="545"/>
      <c r="D4" s="545"/>
      <c r="E4" s="545"/>
      <c r="F4" s="545"/>
      <c r="G4" s="545"/>
      <c r="H4" s="545"/>
      <c r="I4" s="547"/>
      <c r="J4" s="555"/>
      <c r="K4" s="557"/>
      <c r="L4" s="545"/>
      <c r="M4" s="545"/>
      <c r="N4" s="545"/>
      <c r="O4" s="545"/>
      <c r="P4" s="545"/>
      <c r="Q4" s="545"/>
      <c r="R4" s="547"/>
      <c r="T4" s="419" t="s">
        <v>247</v>
      </c>
    </row>
    <row r="5" spans="1:20">
      <c r="A5" s="383" t="s">
        <v>13</v>
      </c>
      <c r="B5" s="93">
        <f>'4. Geometría de la estructura.'!C5</f>
        <v>2.1905000000000001</v>
      </c>
      <c r="C5" s="115">
        <f>(B5*'2. Espesor mínimo de losa.'!$C$72)/1000</f>
        <v>1.0667735</v>
      </c>
      <c r="D5" s="93">
        <f>('1. Datos generales.'!$E$22*F5)/1000</f>
        <v>1.0003500000000001</v>
      </c>
      <c r="E5" s="324">
        <f>1.4*(C5+D5)</f>
        <v>2.8939729000000001</v>
      </c>
      <c r="F5" s="93">
        <f>'3. Análisis de torsión.'!B27</f>
        <v>1.3</v>
      </c>
      <c r="G5" s="324">
        <v>59.834000000000003</v>
      </c>
      <c r="H5" s="93">
        <f t="shared" ref="H5:H15" si="0">E5/G5</f>
        <v>4.8366696192800082E-2</v>
      </c>
      <c r="I5" s="147">
        <f t="shared" ref="I5:I15" si="1">E5/(1.4*F5)</f>
        <v>1.5900950000000003</v>
      </c>
      <c r="J5" s="383" t="s">
        <v>24</v>
      </c>
      <c r="K5" s="93">
        <f>'4. Geometría de la estructura.'!G5</f>
        <v>10.256500000000001</v>
      </c>
      <c r="L5" s="115">
        <f>(K5*'2. Espesor mínimo de losa.'!$C$72)/1000</f>
        <v>4.9949155000000003</v>
      </c>
      <c r="M5" s="93">
        <f>('1. Datos generales.'!$E$22*O5)/1000</f>
        <v>8.7338249999999995</v>
      </c>
      <c r="N5" s="324">
        <f>1.4*(L5+M5)</f>
        <v>19.220236700000001</v>
      </c>
      <c r="O5" s="93">
        <f>'3. Análisis de torsión.'!J6</f>
        <v>11.35</v>
      </c>
      <c r="P5" s="115">
        <v>412.59</v>
      </c>
      <c r="Q5" s="93">
        <f t="shared" ref="Q5:Q12" si="2">N5/P5</f>
        <v>4.6584349354080325E-2</v>
      </c>
      <c r="R5" s="147">
        <f t="shared" ref="R5:R12" si="3">N5/(1.4*O5)</f>
        <v>1.2095806607929518</v>
      </c>
      <c r="T5" s="419"/>
    </row>
    <row r="6" spans="1:20">
      <c r="A6" s="386" t="s">
        <v>14</v>
      </c>
      <c r="B6" s="146">
        <f>'4. Geometría de la estructura.'!C6</f>
        <v>5.202</v>
      </c>
      <c r="C6" s="5">
        <f>(B6*'2. Espesor mínimo de losa.'!$C$72)/1000</f>
        <v>2.5333739999999998</v>
      </c>
      <c r="D6" s="146">
        <f>('1. Datos generales.'!$E$22*F6)/1000</f>
        <v>1.808325</v>
      </c>
      <c r="E6" s="325">
        <f t="shared" ref="E6:E15" si="4">1.4*(C6+D6)</f>
        <v>6.0783785999999997</v>
      </c>
      <c r="F6" s="146">
        <f>'3. Análisis de torsión.'!B28</f>
        <v>2.35</v>
      </c>
      <c r="G6" s="325">
        <v>93.831000000000003</v>
      </c>
      <c r="H6" s="146">
        <f t="shared" si="0"/>
        <v>6.4780068420884351E-2</v>
      </c>
      <c r="I6" s="148">
        <f t="shared" si="1"/>
        <v>1.8475314893617021</v>
      </c>
      <c r="J6" s="386" t="s">
        <v>25</v>
      </c>
      <c r="K6" s="146">
        <f>'4. Geometría de la estructura.'!G6</f>
        <v>3.8494999999999999</v>
      </c>
      <c r="L6" s="5">
        <f>(K6*'2. Espesor mínimo de losa.'!$C$72)/1000</f>
        <v>1.8747065000000001</v>
      </c>
      <c r="M6" s="146">
        <f>('1. Datos generales.'!$E$22*O6)/1000</f>
        <v>1.3081499999999999</v>
      </c>
      <c r="N6" s="325">
        <f t="shared" ref="N6:N12" si="5">1.4*(L6+M6)</f>
        <v>4.4559990999999997</v>
      </c>
      <c r="O6" s="146">
        <f>'3. Análisis de torsión.'!J7</f>
        <v>1.7</v>
      </c>
      <c r="P6" s="5">
        <v>67.927999999999997</v>
      </c>
      <c r="Q6" s="146">
        <f t="shared" si="2"/>
        <v>6.5598856141797196E-2</v>
      </c>
      <c r="R6" s="148">
        <f t="shared" si="3"/>
        <v>1.8722685294117647</v>
      </c>
      <c r="T6" s="419" t="s">
        <v>248</v>
      </c>
    </row>
    <row r="7" spans="1:20">
      <c r="A7" s="386" t="s">
        <v>15</v>
      </c>
      <c r="B7" s="146">
        <f>'4. Geometría de la estructura.'!C7</f>
        <v>0.94399999999999995</v>
      </c>
      <c r="C7" s="5">
        <f>(B7*'2. Espesor mínimo de losa.'!$C$72)/1000</f>
        <v>0.45972799999999997</v>
      </c>
      <c r="D7" s="146">
        <f>('1. Datos generales.'!$E$22*F7)/1000</f>
        <v>1.115775</v>
      </c>
      <c r="E7" s="325">
        <f t="shared" si="4"/>
        <v>2.2057041999999996</v>
      </c>
      <c r="F7" s="146">
        <f>'3. Análisis de torsión.'!B29</f>
        <v>1.45</v>
      </c>
      <c r="G7" s="325">
        <v>88.9739</v>
      </c>
      <c r="H7" s="146">
        <f t="shared" si="0"/>
        <v>2.479046327068949E-2</v>
      </c>
      <c r="I7" s="148">
        <f t="shared" si="1"/>
        <v>1.0865537931034481</v>
      </c>
      <c r="J7" s="386" t="s">
        <v>26</v>
      </c>
      <c r="K7" s="146">
        <f>'4. Geometría de la estructura.'!G7</f>
        <v>7.04</v>
      </c>
      <c r="L7" s="5">
        <f>(K7*'2. Espesor mínimo de losa.'!$C$72)/1000</f>
        <v>3.42848</v>
      </c>
      <c r="M7" s="146">
        <f>('1. Datos generales.'!$E$22*O7)/1000</f>
        <v>3.4088849999999997</v>
      </c>
      <c r="N7" s="325">
        <f t="shared" si="5"/>
        <v>9.5723109999999991</v>
      </c>
      <c r="O7" s="146">
        <f>'3. Análisis de torsión.'!J8</f>
        <v>4.43</v>
      </c>
      <c r="P7" s="5">
        <v>162.76300000000001</v>
      </c>
      <c r="Q7" s="146">
        <f t="shared" si="2"/>
        <v>5.8811345330326913E-2</v>
      </c>
      <c r="R7" s="148">
        <f t="shared" si="3"/>
        <v>1.5434232505643342</v>
      </c>
      <c r="T7" s="419"/>
    </row>
    <row r="8" spans="1:20">
      <c r="A8" s="386" t="s">
        <v>16</v>
      </c>
      <c r="B8" s="146">
        <f>'4. Geometría de la estructura.'!C8</f>
        <v>0.94399999999999995</v>
      </c>
      <c r="C8" s="5">
        <f>(B8*'2. Espesor mínimo de losa.'!$C$72)/1000</f>
        <v>0.45972799999999997</v>
      </c>
      <c r="D8" s="146">
        <f>('1. Datos generales.'!$E$22*F8)/1000</f>
        <v>1.115775</v>
      </c>
      <c r="E8" s="325">
        <f t="shared" si="4"/>
        <v>2.2057041999999996</v>
      </c>
      <c r="F8" s="146">
        <f>'3. Análisis de torsión.'!B30</f>
        <v>1.45</v>
      </c>
      <c r="G8" s="325">
        <v>88.974000000000004</v>
      </c>
      <c r="H8" s="146">
        <f t="shared" si="0"/>
        <v>2.479043540809674E-2</v>
      </c>
      <c r="I8" s="148">
        <f t="shared" si="1"/>
        <v>1.0865537931034481</v>
      </c>
      <c r="J8" s="386" t="s">
        <v>27</v>
      </c>
      <c r="K8" s="146">
        <f>'4. Geometría de la estructura.'!G8</f>
        <v>7.2140000000000004</v>
      </c>
      <c r="L8" s="5">
        <f>(K8*'2. Espesor mínimo de losa.'!$C$72)/1000</f>
        <v>3.5132180000000002</v>
      </c>
      <c r="M8" s="146">
        <f>('1. Datos generales.'!$E$22*O8)/1000</f>
        <v>1.15425</v>
      </c>
      <c r="N8" s="325">
        <f>1.4*(L8+M8)</f>
        <v>6.5344552</v>
      </c>
      <c r="O8" s="146">
        <f>'3. Análisis de torsión.'!J9</f>
        <v>1.5</v>
      </c>
      <c r="P8" s="5">
        <v>66.308999999999997</v>
      </c>
      <c r="Q8" s="146">
        <f t="shared" si="2"/>
        <v>9.8545524740231344E-2</v>
      </c>
      <c r="R8" s="148">
        <f t="shared" si="3"/>
        <v>3.111645333333334</v>
      </c>
      <c r="T8" s="419" t="s">
        <v>249</v>
      </c>
    </row>
    <row r="9" spans="1:20">
      <c r="A9" s="386" t="s">
        <v>17</v>
      </c>
      <c r="B9" s="146">
        <f>'4. Geometría de la estructura.'!C9</f>
        <v>2.6859999999999999</v>
      </c>
      <c r="C9" s="5">
        <f>(B9*'2. Espesor mínimo de losa.'!$C$72)/1000</f>
        <v>1.308082</v>
      </c>
      <c r="D9" s="146">
        <f>('1. Datos generales.'!$E$22*F9)/1000</f>
        <v>1.0234350000000001</v>
      </c>
      <c r="E9" s="325">
        <f t="shared" si="4"/>
        <v>3.2641237999999997</v>
      </c>
      <c r="F9" s="146">
        <f>'3. Análisis de torsión.'!B31</f>
        <v>1.33</v>
      </c>
      <c r="G9" s="325">
        <v>60.805</v>
      </c>
      <c r="H9" s="146">
        <f t="shared" si="0"/>
        <v>5.368183208617712E-2</v>
      </c>
      <c r="I9" s="148">
        <f t="shared" si="1"/>
        <v>1.7530203007518796</v>
      </c>
      <c r="J9" s="386" t="s">
        <v>28</v>
      </c>
      <c r="K9" s="146">
        <f>'4. Geometría de la estructura.'!G9</f>
        <v>5.7534999999999998</v>
      </c>
      <c r="L9" s="5">
        <f>(K9*'2. Espesor mínimo de losa.'!$C$72)/1000</f>
        <v>2.8019544999999999</v>
      </c>
      <c r="M9" s="146">
        <f>('1. Datos generales.'!$E$22*O9)/1000</f>
        <v>2.731725</v>
      </c>
      <c r="N9" s="325">
        <f t="shared" si="5"/>
        <v>7.7471512999999996</v>
      </c>
      <c r="O9" s="146">
        <f>'3. Análisis de torsión.'!J10</f>
        <v>3.55</v>
      </c>
      <c r="P9" s="5">
        <v>139.12700000000001</v>
      </c>
      <c r="Q9" s="146">
        <f t="shared" si="2"/>
        <v>5.568402466810899E-2</v>
      </c>
      <c r="R9" s="148">
        <f t="shared" si="3"/>
        <v>1.5587829577464789</v>
      </c>
      <c r="T9" s="419"/>
    </row>
    <row r="10" spans="1:20">
      <c r="A10" s="386" t="s">
        <v>18</v>
      </c>
      <c r="B10" s="146">
        <f>'4. Geometría de la estructura.'!C10</f>
        <v>2.4689999999999999</v>
      </c>
      <c r="C10" s="5">
        <f>(B10*'2. Espesor mínimo de losa.'!$C$72)/1000</f>
        <v>1.2024030000000001</v>
      </c>
      <c r="D10" s="146">
        <f>('1. Datos generales.'!$E$22*F10)/1000</f>
        <v>0.97726499999999994</v>
      </c>
      <c r="E10" s="325">
        <f t="shared" si="4"/>
        <v>3.0515351999999996</v>
      </c>
      <c r="F10" s="146">
        <f>'3. Análisis de torsión.'!B32</f>
        <v>1.27</v>
      </c>
      <c r="G10" s="325">
        <v>58.863</v>
      </c>
      <c r="H10" s="146">
        <f t="shared" si="0"/>
        <v>5.1841312879058146E-2</v>
      </c>
      <c r="I10" s="148">
        <f t="shared" si="1"/>
        <v>1.7162740157480314</v>
      </c>
      <c r="J10" s="386" t="s">
        <v>29</v>
      </c>
      <c r="K10" s="146">
        <f>'4. Geometría de la estructura.'!G10</f>
        <v>1.8080000000000001</v>
      </c>
      <c r="L10" s="5">
        <f>(K10*'2. Espesor mínimo de losa.'!$C$72)/1000</f>
        <v>0.88049599999999995</v>
      </c>
      <c r="M10" s="146">
        <f>('1. Datos generales.'!$E$22*O10)/1000</f>
        <v>1.15425</v>
      </c>
      <c r="N10" s="325">
        <f t="shared" si="5"/>
        <v>2.8486444</v>
      </c>
      <c r="O10" s="146">
        <f>'3. Análisis de torsión.'!J11</f>
        <v>1.5</v>
      </c>
      <c r="P10" s="5">
        <v>66.308999999999997</v>
      </c>
      <c r="Q10" s="146">
        <f t="shared" si="2"/>
        <v>4.2960147189672594E-2</v>
      </c>
      <c r="R10" s="148">
        <f t="shared" si="3"/>
        <v>1.3564973333333334</v>
      </c>
      <c r="T10" s="419" t="s">
        <v>250</v>
      </c>
    </row>
    <row r="11" spans="1:20">
      <c r="A11" s="386" t="s">
        <v>19</v>
      </c>
      <c r="B11" s="146">
        <f>'4. Geometría de la estructura.'!C11</f>
        <v>1.5385</v>
      </c>
      <c r="C11" s="5">
        <f>(B11*'2. Espesor mínimo de losa.'!$C$72)/1000</f>
        <v>0.74924950000000001</v>
      </c>
      <c r="D11" s="146">
        <f>('1. Datos generales.'!$E$22*F11)/1000</f>
        <v>0.94648500000000002</v>
      </c>
      <c r="E11" s="325">
        <f>1.4*(C11+D11)</f>
        <v>2.3740282999999995</v>
      </c>
      <c r="F11" s="146">
        <f>'3. Análisis de torsión.'!B33</f>
        <v>1.23</v>
      </c>
      <c r="G11" s="325">
        <v>52.710999999999999</v>
      </c>
      <c r="H11" s="146">
        <f t="shared" si="0"/>
        <v>4.5038574491092935E-2</v>
      </c>
      <c r="I11" s="148">
        <f t="shared" si="1"/>
        <v>1.3786459349593494</v>
      </c>
      <c r="J11" s="386" t="s">
        <v>30</v>
      </c>
      <c r="K11" s="146">
        <f>'4. Geometría de la estructura.'!G11</f>
        <v>3.0644999999999998</v>
      </c>
      <c r="L11" s="5">
        <f>(K11*'2. Espesor mínimo de losa.'!$C$72)/1000</f>
        <v>1.4924115</v>
      </c>
      <c r="M11" s="146">
        <f>('1. Datos generales.'!$E$22*O11)/1000</f>
        <v>1.0003500000000001</v>
      </c>
      <c r="N11" s="325">
        <f t="shared" si="5"/>
        <v>3.4898661000000004</v>
      </c>
      <c r="O11" s="146">
        <f>'3. Análisis de torsión.'!J12</f>
        <v>1.3</v>
      </c>
      <c r="P11" s="5">
        <v>54.976999999999997</v>
      </c>
      <c r="Q11" s="146">
        <f t="shared" si="2"/>
        <v>6.3478656529093999E-2</v>
      </c>
      <c r="R11" s="148">
        <f t="shared" si="3"/>
        <v>1.9175088461538465</v>
      </c>
      <c r="T11" s="419"/>
    </row>
    <row r="12" spans="1:20">
      <c r="A12" s="386" t="s">
        <v>20</v>
      </c>
      <c r="B12" s="146">
        <f>'4. Geometría de la estructura.'!C12</f>
        <v>8.1974999999999998</v>
      </c>
      <c r="C12" s="5">
        <f>(B12*'2. Espesor mínimo de losa.'!$C$72)/1000</f>
        <v>3.9921824999999997</v>
      </c>
      <c r="D12" s="146">
        <f>('1. Datos generales.'!$E$22*F12)/1000</f>
        <v>2.0776500000000002</v>
      </c>
      <c r="E12" s="325">
        <f t="shared" si="4"/>
        <v>8.4977654999999999</v>
      </c>
      <c r="F12" s="146">
        <f>'3. Análisis de torsión.'!B34</f>
        <v>2.7</v>
      </c>
      <c r="G12" s="325">
        <v>100.306</v>
      </c>
      <c r="H12" s="146">
        <f t="shared" si="0"/>
        <v>8.4718416645066102E-2</v>
      </c>
      <c r="I12" s="148">
        <f t="shared" si="1"/>
        <v>2.2480861111111112</v>
      </c>
      <c r="J12" s="386" t="s">
        <v>31</v>
      </c>
      <c r="K12" s="146">
        <f>'4. Geometría de la estructura.'!G12</f>
        <v>9.1989999999999998</v>
      </c>
      <c r="L12" s="5">
        <f>(K12*'2. Espesor mínimo de losa.'!$C$72)/1000</f>
        <v>4.4799129999999998</v>
      </c>
      <c r="M12" s="146">
        <f>('1. Datos generales.'!$E$22*O12)/1000</f>
        <v>7.8104250000000004</v>
      </c>
      <c r="N12" s="325">
        <f t="shared" si="5"/>
        <v>17.206473199999998</v>
      </c>
      <c r="O12" s="146">
        <f>'3. Análisis de torsión.'!J13</f>
        <v>10.15</v>
      </c>
      <c r="P12" s="5">
        <v>360.85</v>
      </c>
      <c r="Q12" s="146">
        <f t="shared" si="2"/>
        <v>4.7683173617846741E-2</v>
      </c>
      <c r="R12" s="148">
        <f t="shared" si="3"/>
        <v>1.2108707389162561</v>
      </c>
      <c r="T12" s="419" t="s">
        <v>336</v>
      </c>
    </row>
    <row r="13" spans="1:20">
      <c r="A13" s="386" t="s">
        <v>21</v>
      </c>
      <c r="B13" s="146">
        <f>'4. Geometría de la estructura.'!C13</f>
        <v>2.9464999999999999</v>
      </c>
      <c r="C13" s="5">
        <f>(B13*'2. Espesor mínimo de losa.'!$C$72)/1000</f>
        <v>1.4349455</v>
      </c>
      <c r="D13" s="146">
        <f>('1. Datos generales.'!$E$22*F13)/1000</f>
        <v>1.2696749999999999</v>
      </c>
      <c r="E13" s="325">
        <f t="shared" si="4"/>
        <v>3.7864686999999995</v>
      </c>
      <c r="F13" s="146">
        <f>'3. Análisis de torsión.'!B35</f>
        <v>1.65</v>
      </c>
      <c r="G13" s="325">
        <v>66.308999999999997</v>
      </c>
      <c r="H13" s="146">
        <f t="shared" si="0"/>
        <v>5.7103390188360546E-2</v>
      </c>
      <c r="I13" s="148">
        <f t="shared" si="1"/>
        <v>1.6391639393939395</v>
      </c>
      <c r="J13" s="386"/>
      <c r="K13" s="146"/>
      <c r="L13" s="5"/>
      <c r="M13" s="146"/>
      <c r="N13" s="5"/>
      <c r="O13" s="146"/>
      <c r="P13" s="5"/>
      <c r="Q13" s="146"/>
      <c r="R13" s="148"/>
      <c r="T13" s="198"/>
    </row>
    <row r="14" spans="1:20">
      <c r="A14" s="386" t="s">
        <v>22</v>
      </c>
      <c r="B14" s="146">
        <f>'4. Geometría de la estructura.'!C14</f>
        <v>6.3825000000000003</v>
      </c>
      <c r="C14" s="5">
        <f>(B14*'2. Espesor mínimo de losa.'!$C$72)/1000</f>
        <v>3.1082775000000002</v>
      </c>
      <c r="D14" s="146">
        <f>('1. Datos generales.'!$E$22*F14)/1000</f>
        <v>1.885275</v>
      </c>
      <c r="E14" s="325">
        <f t="shared" si="4"/>
        <v>6.9909734999999991</v>
      </c>
      <c r="F14" s="146">
        <f>'3. Análisis de torsión.'!B36</f>
        <v>2.4500000000000002</v>
      </c>
      <c r="G14" s="342">
        <v>97.067999999999998</v>
      </c>
      <c r="H14" s="146">
        <f t="shared" si="0"/>
        <v>7.2021402521943376E-2</v>
      </c>
      <c r="I14" s="148">
        <f t="shared" si="1"/>
        <v>2.0381846938775507</v>
      </c>
      <c r="J14" s="386"/>
      <c r="K14" s="146"/>
      <c r="L14" s="5"/>
      <c r="M14" s="146"/>
      <c r="N14" s="5"/>
      <c r="O14" s="146"/>
      <c r="P14" s="5"/>
      <c r="Q14" s="146"/>
      <c r="R14" s="148"/>
      <c r="T14" s="198" t="s">
        <v>337</v>
      </c>
    </row>
    <row r="15" spans="1:20">
      <c r="A15" s="387" t="s">
        <v>23</v>
      </c>
      <c r="B15" s="146">
        <f>'4. Geometría de la estructura.'!C15</f>
        <v>1.6964999999999999</v>
      </c>
      <c r="C15" s="5">
        <f>(B15*'2. Espesor mínimo de losa.'!$C$72)/1000</f>
        <v>0.82619549999999997</v>
      </c>
      <c r="D15" s="146">
        <f>('1. Datos generales.'!$E$22*F15)/1000</f>
        <v>1.5928649999999998</v>
      </c>
      <c r="E15" s="325">
        <f t="shared" si="4"/>
        <v>3.3866846999999991</v>
      </c>
      <c r="F15" s="146">
        <f>'3. Análisis de torsión.'!B37</f>
        <v>2.0699999999999998</v>
      </c>
      <c r="G15" s="325">
        <v>84.765000000000001</v>
      </c>
      <c r="H15" s="146">
        <f t="shared" si="0"/>
        <v>3.9953809945142443E-2</v>
      </c>
      <c r="I15" s="148">
        <f t="shared" si="1"/>
        <v>1.1686282608695651</v>
      </c>
      <c r="J15" s="387"/>
      <c r="K15" s="146"/>
      <c r="L15" s="5"/>
      <c r="M15" s="146"/>
      <c r="N15" s="5"/>
      <c r="O15" s="146"/>
      <c r="P15" s="5"/>
      <c r="Q15" s="146"/>
      <c r="R15" s="148"/>
    </row>
    <row r="16" spans="1:20">
      <c r="A16" s="387"/>
      <c r="B16" s="146"/>
      <c r="C16" s="5"/>
      <c r="D16" s="146"/>
      <c r="E16" s="5"/>
      <c r="F16" s="146"/>
      <c r="G16" s="5"/>
      <c r="H16" s="146"/>
      <c r="I16" s="148"/>
      <c r="J16" s="389"/>
      <c r="K16" s="146"/>
      <c r="L16" s="5"/>
      <c r="M16" s="146"/>
      <c r="N16" s="5"/>
      <c r="O16" s="146"/>
      <c r="P16" s="5"/>
      <c r="Q16" s="146"/>
      <c r="R16" s="148"/>
    </row>
    <row r="17" spans="1:18">
      <c r="A17" s="387"/>
      <c r="B17" s="146"/>
      <c r="C17" s="5"/>
      <c r="D17" s="146"/>
      <c r="E17" s="5"/>
      <c r="F17" s="146"/>
      <c r="G17" s="5"/>
      <c r="H17" s="146"/>
      <c r="I17" s="148"/>
      <c r="J17" s="387"/>
      <c r="K17" s="146"/>
      <c r="L17" s="5"/>
      <c r="M17" s="146"/>
      <c r="N17" s="5"/>
      <c r="O17" s="146"/>
      <c r="P17" s="5"/>
      <c r="Q17" s="146"/>
      <c r="R17" s="148"/>
    </row>
    <row r="18" spans="1:18">
      <c r="A18" s="387"/>
      <c r="B18" s="146"/>
      <c r="C18" s="5"/>
      <c r="D18" s="146"/>
      <c r="E18" s="5"/>
      <c r="F18" s="146"/>
      <c r="G18" s="5"/>
      <c r="H18" s="146"/>
      <c r="I18" s="148"/>
      <c r="J18" s="387"/>
      <c r="K18" s="146"/>
      <c r="L18" s="5"/>
      <c r="M18" s="146"/>
      <c r="N18" s="5"/>
      <c r="O18" s="146"/>
      <c r="P18" s="5"/>
      <c r="Q18" s="146"/>
      <c r="R18" s="148"/>
    </row>
    <row r="19" spans="1:18" ht="15.75" thickBot="1">
      <c r="A19" s="388"/>
      <c r="B19" s="194"/>
      <c r="C19" s="321"/>
      <c r="D19" s="194"/>
      <c r="E19" s="321"/>
      <c r="F19" s="194"/>
      <c r="G19" s="321"/>
      <c r="H19" s="194"/>
      <c r="I19" s="330"/>
      <c r="J19" s="388"/>
      <c r="K19" s="194"/>
      <c r="L19" s="321"/>
      <c r="M19" s="194"/>
      <c r="N19" s="321"/>
      <c r="O19" s="194"/>
      <c r="P19" s="321"/>
      <c r="Q19" s="194"/>
      <c r="R19" s="330"/>
    </row>
    <row r="20" spans="1:18" ht="15.75" thickBot="1">
      <c r="A20" s="149" t="s">
        <v>59</v>
      </c>
      <c r="B20" s="112">
        <f>SUM(B5:B19)</f>
        <v>35.197000000000003</v>
      </c>
      <c r="C20" s="112">
        <f>SUM(C5:C19)</f>
        <v>17.140938999999999</v>
      </c>
      <c r="D20" s="218">
        <f>SUM(D5:D19)</f>
        <v>14.812875</v>
      </c>
      <c r="E20" s="203"/>
      <c r="F20" s="203"/>
      <c r="G20" s="203"/>
      <c r="H20" s="203"/>
      <c r="I20" s="203"/>
      <c r="J20" s="149" t="s">
        <v>59</v>
      </c>
      <c r="K20" s="112">
        <f>SUM(K5:K19)</f>
        <v>48.185000000000002</v>
      </c>
      <c r="L20" s="112">
        <f>SUM(L5:L19)</f>
        <v>23.466094999999999</v>
      </c>
      <c r="M20" s="218">
        <f>SUM(M5:M19)</f>
        <v>27.301859999999998</v>
      </c>
      <c r="N20" s="203"/>
      <c r="O20" s="203"/>
      <c r="P20" s="203"/>
      <c r="Q20" s="203"/>
      <c r="R20" s="203"/>
    </row>
    <row r="23" spans="1:18" ht="15.75" thickBot="1"/>
    <row r="24" spans="1:18">
      <c r="A24" s="561" t="s">
        <v>126</v>
      </c>
      <c r="B24" s="562"/>
      <c r="C24" s="562"/>
      <c r="D24" s="562"/>
      <c r="E24" s="562"/>
      <c r="F24" s="562"/>
      <c r="G24" s="562"/>
      <c r="H24" s="562"/>
      <c r="I24" s="563"/>
      <c r="J24" s="548" t="s">
        <v>126</v>
      </c>
      <c r="K24" s="549"/>
      <c r="L24" s="549"/>
      <c r="M24" s="549"/>
      <c r="N24" s="549"/>
      <c r="O24" s="549"/>
      <c r="P24" s="549"/>
      <c r="Q24" s="549"/>
      <c r="R24" s="550"/>
    </row>
    <row r="25" spans="1:18">
      <c r="A25" s="564" t="s">
        <v>119</v>
      </c>
      <c r="B25" s="565"/>
      <c r="C25" s="565"/>
      <c r="D25" s="565"/>
      <c r="E25" s="565"/>
      <c r="F25" s="565"/>
      <c r="G25" s="565"/>
      <c r="H25" s="565"/>
      <c r="I25" s="566"/>
      <c r="J25" s="551" t="s">
        <v>119</v>
      </c>
      <c r="K25" s="552"/>
      <c r="L25" s="552"/>
      <c r="M25" s="552"/>
      <c r="N25" s="552"/>
      <c r="O25" s="552"/>
      <c r="P25" s="552"/>
      <c r="Q25" s="552"/>
      <c r="R25" s="553"/>
    </row>
    <row r="26" spans="1:18" ht="18" customHeight="1">
      <c r="A26" s="555" t="s">
        <v>32</v>
      </c>
      <c r="B26" s="556" t="s">
        <v>263</v>
      </c>
      <c r="C26" s="545" t="s">
        <v>103</v>
      </c>
      <c r="D26" s="545" t="s">
        <v>102</v>
      </c>
      <c r="E26" s="545" t="s">
        <v>137</v>
      </c>
      <c r="F26" s="545" t="s">
        <v>33</v>
      </c>
      <c r="G26" s="545" t="s">
        <v>186</v>
      </c>
      <c r="H26" s="545" t="s">
        <v>34</v>
      </c>
      <c r="I26" s="547" t="s">
        <v>211</v>
      </c>
      <c r="J26" s="554" t="s">
        <v>32</v>
      </c>
      <c r="K26" s="556" t="s">
        <v>263</v>
      </c>
      <c r="L26" s="544" t="s">
        <v>103</v>
      </c>
      <c r="M26" s="544" t="s">
        <v>102</v>
      </c>
      <c r="N26" s="544" t="s">
        <v>137</v>
      </c>
      <c r="O26" s="544" t="s">
        <v>33</v>
      </c>
      <c r="P26" s="544" t="s">
        <v>186</v>
      </c>
      <c r="Q26" s="544" t="s">
        <v>34</v>
      </c>
      <c r="R26" s="546" t="s">
        <v>211</v>
      </c>
    </row>
    <row r="27" spans="1:18" ht="18" customHeight="1" thickBot="1">
      <c r="A27" s="560"/>
      <c r="B27" s="557"/>
      <c r="C27" s="558"/>
      <c r="D27" s="558"/>
      <c r="E27" s="558"/>
      <c r="F27" s="558"/>
      <c r="G27" s="558"/>
      <c r="H27" s="558"/>
      <c r="I27" s="559"/>
      <c r="J27" s="555"/>
      <c r="K27" s="557"/>
      <c r="L27" s="545"/>
      <c r="M27" s="545"/>
      <c r="N27" s="545"/>
      <c r="O27" s="545"/>
      <c r="P27" s="545"/>
      <c r="Q27" s="545"/>
      <c r="R27" s="547"/>
    </row>
    <row r="28" spans="1:18">
      <c r="A28" s="383" t="s">
        <v>13</v>
      </c>
      <c r="B28" s="93">
        <f>'4. Geometría de la estructura.'!C27</f>
        <v>2.1905000000000001</v>
      </c>
      <c r="C28" s="115">
        <f>(B28*'2. Espesor mínimo de losa.'!$C$65)/1000</f>
        <v>1.2288705</v>
      </c>
      <c r="D28" s="93">
        <f>('1. Datos generales.'!$E$22*F28)/1000</f>
        <v>1.0003500000000001</v>
      </c>
      <c r="E28" s="324">
        <f t="shared" ref="E28:E38" si="6">(1.4*(C28+D28))+E5</f>
        <v>6.0148816000000007</v>
      </c>
      <c r="F28" s="93">
        <f>'3. Análisis de torsión.'!J27</f>
        <v>1.3</v>
      </c>
      <c r="G28" s="115">
        <v>59.834000000000003</v>
      </c>
      <c r="H28" s="93">
        <f t="shared" ref="H28:H38" si="7">E28/G28</f>
        <v>0.10052614901226728</v>
      </c>
      <c r="I28" s="147">
        <f t="shared" ref="I28:I38" si="8">E28/(1.4*F28)</f>
        <v>3.3048800000000007</v>
      </c>
      <c r="J28" s="383" t="s">
        <v>24</v>
      </c>
      <c r="K28" s="93">
        <f>'4. Geometría de la estructura.'!G27</f>
        <v>10.256500000000001</v>
      </c>
      <c r="L28" s="115">
        <f>(K28*'2. Espesor mínimo de losa.'!$C$65)/1000</f>
        <v>5.7538965000000006</v>
      </c>
      <c r="M28" s="93">
        <f>('1. Datos generales.'!$E$22*O28)/1000</f>
        <v>8.7338249999999995</v>
      </c>
      <c r="N28" s="324">
        <f t="shared" ref="N28:N32" si="9">(1.4*(L28+M28))+N5</f>
        <v>39.5030468</v>
      </c>
      <c r="O28" s="93">
        <f>'3. Análisis de torsión.'!R6</f>
        <v>11.35</v>
      </c>
      <c r="P28" s="115">
        <v>412.59</v>
      </c>
      <c r="Q28" s="93">
        <f t="shared" ref="Q28:Q34" si="10">N28/P28</f>
        <v>9.5744072323614246E-2</v>
      </c>
      <c r="R28" s="147">
        <f>N28/(1.4*O28)</f>
        <v>2.4860318942731281</v>
      </c>
    </row>
    <row r="29" spans="1:18">
      <c r="A29" s="386" t="s">
        <v>14</v>
      </c>
      <c r="B29" s="146">
        <f>'4. Geometría de la estructura.'!C28</f>
        <v>2.7759999999999998</v>
      </c>
      <c r="C29" s="5">
        <f>(B29*'2. Espesor mínimo de losa.'!$C$65)/1000</f>
        <v>1.5573359999999998</v>
      </c>
      <c r="D29" s="146">
        <f>('1. Datos generales.'!$E$22*F29)/1000</f>
        <v>1.0388250000000001</v>
      </c>
      <c r="E29" s="325">
        <f t="shared" si="6"/>
        <v>9.7130039999999997</v>
      </c>
      <c r="F29" s="146">
        <f>'3. Análisis de torsión.'!J28</f>
        <v>1.35</v>
      </c>
      <c r="G29" s="5">
        <v>61.453000000000003</v>
      </c>
      <c r="H29" s="146">
        <f t="shared" si="7"/>
        <v>0.15805581501309943</v>
      </c>
      <c r="I29" s="398">
        <f t="shared" si="8"/>
        <v>5.1391555555555559</v>
      </c>
      <c r="J29" s="386" t="s">
        <v>25</v>
      </c>
      <c r="K29" s="146">
        <f>'4. Geometría de la estructura.'!G28</f>
        <v>3.9710000000000001</v>
      </c>
      <c r="L29" s="5">
        <f>(K29*'2. Espesor mínimo de losa.'!$C$65)/1000</f>
        <v>2.2277310000000003</v>
      </c>
      <c r="M29" s="146">
        <f>('1. Datos generales.'!$E$22*O29)/1000</f>
        <v>1.3081499999999999</v>
      </c>
      <c r="N29" s="325">
        <f t="shared" si="9"/>
        <v>9.4062324999999998</v>
      </c>
      <c r="O29" s="146">
        <f>'3. Análisis de torsión.'!R7</f>
        <v>1.7</v>
      </c>
      <c r="P29" s="5">
        <v>67.927999999999997</v>
      </c>
      <c r="Q29" s="146">
        <f t="shared" si="10"/>
        <v>0.13847356760098928</v>
      </c>
      <c r="R29" s="148">
        <f t="shared" ref="R29:R34" si="11">N29/(1.4*O29)</f>
        <v>3.9521985294117647</v>
      </c>
    </row>
    <row r="30" spans="1:18">
      <c r="A30" s="386" t="s">
        <v>15</v>
      </c>
      <c r="B30" s="146">
        <f>'4. Geometría de la estructura.'!C29</f>
        <v>0.94399999999999995</v>
      </c>
      <c r="C30" s="5">
        <f>(B30*'2. Espesor mínimo de losa.'!$C$65)/1000</f>
        <v>0.52958399999999994</v>
      </c>
      <c r="D30" s="146">
        <f>('1. Datos generales.'!$E$22*F30)/1000</f>
        <v>1.115775</v>
      </c>
      <c r="E30" s="325">
        <f t="shared" si="6"/>
        <v>4.5092067999999994</v>
      </c>
      <c r="F30" s="146">
        <f>'3. Análisis de torsión.'!J29</f>
        <v>1.45</v>
      </c>
      <c r="G30" s="5">
        <v>88.974000000000004</v>
      </c>
      <c r="H30" s="146">
        <f t="shared" si="7"/>
        <v>5.0680050351788151E-2</v>
      </c>
      <c r="I30" s="148">
        <f t="shared" si="8"/>
        <v>2.2212841379310344</v>
      </c>
      <c r="J30" s="386" t="s">
        <v>26</v>
      </c>
      <c r="K30" s="146">
        <f>'4. Geometría de la estructura.'!G29</f>
        <v>7.4180000000000001</v>
      </c>
      <c r="L30" s="5">
        <f>(K30*'2. Espesor mínimo de losa.'!$C$65)/1000</f>
        <v>4.1614980000000008</v>
      </c>
      <c r="M30" s="146">
        <f>('1. Datos generales.'!$E$22*O30)/1000</f>
        <v>3.4088849999999997</v>
      </c>
      <c r="N30" s="325">
        <f t="shared" si="9"/>
        <v>20.170847199999997</v>
      </c>
      <c r="O30" s="146">
        <f>'3. Análisis de torsión.'!R8</f>
        <v>4.43</v>
      </c>
      <c r="P30" s="5">
        <v>162.76300000000001</v>
      </c>
      <c r="Q30" s="146">
        <f t="shared" si="10"/>
        <v>0.12392771821605646</v>
      </c>
      <c r="R30" s="148">
        <f t="shared" si="11"/>
        <v>3.2523133182844246</v>
      </c>
    </row>
    <row r="31" spans="1:18">
      <c r="A31" s="386" t="s">
        <v>16</v>
      </c>
      <c r="B31" s="146">
        <f>'4. Geometría de la estructura.'!C30</f>
        <v>0.94399999999999995</v>
      </c>
      <c r="C31" s="5">
        <f>(B31*'2. Espesor mínimo de losa.'!$C$65)/1000</f>
        <v>0.52958399999999994</v>
      </c>
      <c r="D31" s="146">
        <f>('1. Datos generales.'!$E$22*F31)/1000</f>
        <v>1.115775</v>
      </c>
      <c r="E31" s="325">
        <f t="shared" si="6"/>
        <v>4.5092067999999994</v>
      </c>
      <c r="F31" s="146">
        <f>'3. Análisis de torsión.'!J30</f>
        <v>1.45</v>
      </c>
      <c r="G31" s="5">
        <v>88.974000000000004</v>
      </c>
      <c r="H31" s="146">
        <f t="shared" si="7"/>
        <v>5.0680050351788151E-2</v>
      </c>
      <c r="I31" s="148">
        <f t="shared" si="8"/>
        <v>2.2212841379310344</v>
      </c>
      <c r="J31" s="386" t="s">
        <v>27</v>
      </c>
      <c r="K31" s="146">
        <f>'4. Geometría de la estructura.'!G30</f>
        <v>8.5114999999999998</v>
      </c>
      <c r="L31" s="5">
        <f>(K31*'2. Espesor mínimo de losa.'!$C$65)/1000</f>
        <v>4.7749515000000002</v>
      </c>
      <c r="M31" s="146">
        <f>('1. Datos generales.'!$E$22*O31)/1000</f>
        <v>2.8086749999999996</v>
      </c>
      <c r="N31" s="325">
        <f>(1.4*(L31+M31))+N8</f>
        <v>17.1515323</v>
      </c>
      <c r="O31" s="146">
        <f>'3. Análisis de torsión.'!R9</f>
        <v>3.65</v>
      </c>
      <c r="P31" s="5">
        <v>137.50800000000001</v>
      </c>
      <c r="Q31" s="146">
        <f t="shared" si="10"/>
        <v>0.12473115964162083</v>
      </c>
      <c r="R31" s="148">
        <f t="shared" si="11"/>
        <v>3.3564642465753427</v>
      </c>
    </row>
    <row r="32" spans="1:18">
      <c r="A32" s="386" t="s">
        <v>17</v>
      </c>
      <c r="B32" s="146">
        <f>'4. Geometría de la estructura.'!C31</f>
        <v>5.2305000000000001</v>
      </c>
      <c r="C32" s="5">
        <f>(B32*'2. Espesor mínimo de losa.'!$C$65)/1000</f>
        <v>2.9343105</v>
      </c>
      <c r="D32" s="146">
        <f>('1. Datos generales.'!$E$22*F32)/1000</f>
        <v>1.808325</v>
      </c>
      <c r="E32" s="325">
        <f t="shared" si="6"/>
        <v>9.9038135</v>
      </c>
      <c r="F32" s="146">
        <f>'3. Análisis de torsión.'!J31</f>
        <v>2.35</v>
      </c>
      <c r="G32" s="5">
        <v>93.831000000000003</v>
      </c>
      <c r="H32" s="146">
        <f t="shared" si="7"/>
        <v>0.10554948258038388</v>
      </c>
      <c r="I32" s="148">
        <f t="shared" si="8"/>
        <v>3.0102776595744682</v>
      </c>
      <c r="J32" s="386" t="s">
        <v>28</v>
      </c>
      <c r="K32" s="146">
        <f>'4. Geometría de la estructura.'!G31</f>
        <v>5.7534999999999998</v>
      </c>
      <c r="L32" s="5">
        <f>(K32*'2. Espesor mínimo de losa.'!$C$65)/1000</f>
        <v>3.2277134999999997</v>
      </c>
      <c r="M32" s="146">
        <f>('1. Datos generales.'!$E$22*O32)/1000</f>
        <v>2.8471500000000001</v>
      </c>
      <c r="N32" s="325">
        <f t="shared" si="9"/>
        <v>16.251960199999999</v>
      </c>
      <c r="O32" s="146">
        <f>'3. Análisis de torsión.'!R10</f>
        <v>3.7</v>
      </c>
      <c r="P32" s="5">
        <v>139.12700000000001</v>
      </c>
      <c r="Q32" s="146">
        <f t="shared" si="10"/>
        <v>0.11681384777936704</v>
      </c>
      <c r="R32" s="148">
        <f t="shared" si="11"/>
        <v>3.137444054054054</v>
      </c>
    </row>
    <row r="33" spans="1:23">
      <c r="A33" s="386" t="s">
        <v>18</v>
      </c>
      <c r="B33" s="146">
        <f>'4. Geometría de la estructura.'!C32</f>
        <v>2.0055000000000001</v>
      </c>
      <c r="C33" s="5">
        <f>(B33*'2. Espesor mínimo de losa.'!$C$65)/1000</f>
        <v>1.1250855000000002</v>
      </c>
      <c r="D33" s="146">
        <f>('1. Datos generales.'!$E$22*F33)/1000</f>
        <v>0.97726499999999994</v>
      </c>
      <c r="E33" s="325">
        <f t="shared" si="6"/>
        <v>5.9948258999999995</v>
      </c>
      <c r="F33" s="146">
        <f>'3. Análisis de torsión.'!J32</f>
        <v>1.27</v>
      </c>
      <c r="G33" s="5">
        <v>58.863</v>
      </c>
      <c r="H33" s="146">
        <f t="shared" si="7"/>
        <v>0.10184370317516946</v>
      </c>
      <c r="I33" s="148">
        <f t="shared" si="8"/>
        <v>3.3716681102362207</v>
      </c>
      <c r="J33" s="386" t="s">
        <v>29</v>
      </c>
      <c r="K33" s="146">
        <f>'4. Geometría de la estructura.'!G32</f>
        <v>6.0659999999999998</v>
      </c>
      <c r="L33" s="5">
        <f>(K33*'2. Espesor mínimo de losa.'!$C$65)/1000</f>
        <v>3.4030259999999997</v>
      </c>
      <c r="M33" s="146">
        <f>('1. Datos generales.'!$E$22*O33)/1000</f>
        <v>1.9237500000000001</v>
      </c>
      <c r="N33" s="325">
        <f>(1.4*(L33+M33))+N10+N11</f>
        <v>13.795996899999999</v>
      </c>
      <c r="O33" s="146">
        <f>'3. Análisis de torsión.'!R11</f>
        <v>2.5</v>
      </c>
      <c r="P33" s="5">
        <v>93.831000000000003</v>
      </c>
      <c r="Q33" s="146">
        <f t="shared" si="10"/>
        <v>0.14703026611674178</v>
      </c>
      <c r="R33" s="148">
        <f t="shared" si="11"/>
        <v>3.9417133999999998</v>
      </c>
    </row>
    <row r="34" spans="1:23">
      <c r="A34" s="386" t="s">
        <v>19</v>
      </c>
      <c r="B34" s="146">
        <f>'4. Geometría de la estructura.'!C33</f>
        <v>1.5385</v>
      </c>
      <c r="C34" s="5">
        <f>(B34*'2. Espesor mínimo de losa.'!$C$65)/1000</f>
        <v>0.86309849999999999</v>
      </c>
      <c r="D34" s="146">
        <f>('1. Datos generales.'!$E$22*F34)/1000</f>
        <v>0.94648500000000002</v>
      </c>
      <c r="E34" s="325">
        <f t="shared" si="6"/>
        <v>4.9074451999999997</v>
      </c>
      <c r="F34" s="146">
        <f>'3. Análisis de torsión.'!J33</f>
        <v>1.23</v>
      </c>
      <c r="G34" s="5">
        <v>52.710999999999999</v>
      </c>
      <c r="H34" s="146">
        <f t="shared" si="7"/>
        <v>9.3100969437119388E-2</v>
      </c>
      <c r="I34" s="148">
        <f t="shared" si="8"/>
        <v>2.8498520325203249</v>
      </c>
      <c r="J34" s="386" t="s">
        <v>31</v>
      </c>
      <c r="K34" s="146">
        <f>'4. Geometría de la estructura.'!G33</f>
        <v>11.7265</v>
      </c>
      <c r="L34" s="5">
        <f>(K34*'2. Espesor mínimo de losa.'!$C$65)/1000</f>
        <v>6.5785665</v>
      </c>
      <c r="M34" s="146">
        <f>('1. Datos generales.'!$E$22*O34)/1000</f>
        <v>7.8104250000000004</v>
      </c>
      <c r="N34" s="325">
        <f>(1.4*(L34+M34))+N12</f>
        <v>37.351061299999998</v>
      </c>
      <c r="O34" s="146">
        <f>'3. Análisis de torsión.'!R12</f>
        <v>10.15</v>
      </c>
      <c r="P34" s="5">
        <v>360.85</v>
      </c>
      <c r="Q34" s="146">
        <f t="shared" si="10"/>
        <v>0.1035085528612997</v>
      </c>
      <c r="R34" s="148">
        <f t="shared" si="11"/>
        <v>2.6285053694581282</v>
      </c>
    </row>
    <row r="35" spans="1:23">
      <c r="A35" s="386" t="s">
        <v>20</v>
      </c>
      <c r="B35" s="146">
        <f>'4. Geometría de la estructura.'!C34</f>
        <v>8.0545000000000009</v>
      </c>
      <c r="C35" s="5">
        <f>(B35*'2. Espesor mínimo de losa.'!$C$65)/1000</f>
        <v>4.5185745000000006</v>
      </c>
      <c r="D35" s="146">
        <f>('1. Datos generales.'!$E$22*F35)/1000</f>
        <v>1.9622249999999999</v>
      </c>
      <c r="E35" s="325">
        <f t="shared" si="6"/>
        <v>17.570884800000002</v>
      </c>
      <c r="F35" s="146">
        <f>'3. Análisis de torsión.'!J34</f>
        <v>2.5499999999999998</v>
      </c>
      <c r="G35" s="5">
        <v>100.306</v>
      </c>
      <c r="H35" s="146">
        <f t="shared" si="7"/>
        <v>0.17517281917332964</v>
      </c>
      <c r="I35" s="148">
        <f t="shared" si="8"/>
        <v>4.9218164705882366</v>
      </c>
      <c r="J35" s="386"/>
      <c r="K35" s="146"/>
      <c r="L35" s="5"/>
      <c r="M35" s="146"/>
      <c r="N35" s="5"/>
      <c r="O35" s="146"/>
      <c r="P35" s="5"/>
      <c r="Q35" s="146"/>
      <c r="R35" s="148"/>
    </row>
    <row r="36" spans="1:23">
      <c r="A36" s="386" t="s">
        <v>21</v>
      </c>
      <c r="B36" s="146">
        <f>'4. Geometría de la estructura.'!C35</f>
        <v>2.9565000000000001</v>
      </c>
      <c r="C36" s="5">
        <f>(B36*'2. Espesor mínimo de losa.'!$C$65)/1000</f>
        <v>1.6585965</v>
      </c>
      <c r="D36" s="146">
        <f>('1. Datos generales.'!$E$22*F36)/1000</f>
        <v>1.2696749999999999</v>
      </c>
      <c r="E36" s="325">
        <f t="shared" si="6"/>
        <v>7.8860487999999993</v>
      </c>
      <c r="F36" s="146">
        <f>'3. Análisis de torsión.'!J35</f>
        <v>1.65</v>
      </c>
      <c r="G36" s="5">
        <v>66.308999999999997</v>
      </c>
      <c r="H36" s="146">
        <f t="shared" si="7"/>
        <v>0.11892878493115565</v>
      </c>
      <c r="I36" s="398">
        <f t="shared" si="8"/>
        <v>3.4138739393939397</v>
      </c>
      <c r="J36" s="386"/>
      <c r="K36" s="146"/>
      <c r="L36" s="5"/>
      <c r="M36" s="146"/>
      <c r="N36" s="5"/>
      <c r="O36" s="146"/>
      <c r="P36" s="5"/>
      <c r="Q36" s="146"/>
      <c r="R36" s="148"/>
    </row>
    <row r="37" spans="1:23">
      <c r="A37" s="386" t="s">
        <v>22</v>
      </c>
      <c r="B37" s="146">
        <f>'4. Geometría de la estructura.'!C36</f>
        <v>6.3825000000000003</v>
      </c>
      <c r="C37" s="5">
        <f>(B37*'2. Espesor mínimo de losa.'!$C$65)/1000</f>
        <v>3.5805824999999998</v>
      </c>
      <c r="D37" s="146">
        <f>('1. Datos generales.'!$E$22*F37)/1000</f>
        <v>1.885275</v>
      </c>
      <c r="E37" s="325">
        <f t="shared" si="6"/>
        <v>14.643173999999998</v>
      </c>
      <c r="F37" s="146">
        <f>'3. Análisis de torsión.'!J36</f>
        <v>2.4500000000000002</v>
      </c>
      <c r="G37" s="5">
        <v>96.745000000000005</v>
      </c>
      <c r="H37" s="146">
        <f t="shared" si="7"/>
        <v>0.15135845780143675</v>
      </c>
      <c r="I37" s="148">
        <f t="shared" si="8"/>
        <v>4.2691469387755099</v>
      </c>
      <c r="J37" s="386"/>
      <c r="K37" s="146"/>
      <c r="L37" s="5"/>
      <c r="M37" s="146"/>
      <c r="N37" s="5"/>
      <c r="O37" s="146"/>
      <c r="P37" s="5"/>
      <c r="Q37" s="146"/>
      <c r="R37" s="148"/>
    </row>
    <row r="38" spans="1:23">
      <c r="A38" s="387" t="s">
        <v>23</v>
      </c>
      <c r="B38" s="146">
        <f>'4. Geometría de la estructura.'!C37</f>
        <v>3.6779999999999999</v>
      </c>
      <c r="C38" s="5">
        <f>(B38*'2. Espesor mínimo de losa.'!$C$65)/1000</f>
        <v>2.063358</v>
      </c>
      <c r="D38" s="146">
        <f>('1. Datos generales.'!$E$22*F38)/1000</f>
        <v>1.5928649999999998</v>
      </c>
      <c r="E38" s="325">
        <f t="shared" si="6"/>
        <v>8.5053968999999974</v>
      </c>
      <c r="F38" s="146">
        <f>'3. Análisis de torsión.'!J37</f>
        <v>2.0699999999999998</v>
      </c>
      <c r="G38" s="5">
        <v>84.765000000000001</v>
      </c>
      <c r="H38" s="146">
        <f t="shared" si="7"/>
        <v>0.10034090603433017</v>
      </c>
      <c r="I38" s="148">
        <f t="shared" si="8"/>
        <v>2.9349195652173905</v>
      </c>
      <c r="J38" s="387"/>
      <c r="K38" s="146"/>
      <c r="L38" s="5"/>
      <c r="M38" s="146"/>
      <c r="N38" s="5"/>
      <c r="O38" s="146"/>
      <c r="P38" s="5"/>
      <c r="Q38" s="146"/>
      <c r="R38" s="148"/>
    </row>
    <row r="39" spans="1:23">
      <c r="A39" s="387"/>
      <c r="B39" s="146"/>
      <c r="C39" s="5"/>
      <c r="D39" s="146"/>
      <c r="E39" s="5"/>
      <c r="F39" s="146"/>
      <c r="G39" s="5"/>
      <c r="H39" s="146"/>
      <c r="I39" s="148"/>
      <c r="J39" s="389"/>
      <c r="K39" s="146"/>
      <c r="L39" s="5"/>
      <c r="M39" s="146"/>
      <c r="N39" s="5"/>
      <c r="O39" s="146"/>
      <c r="P39" s="5"/>
      <c r="Q39" s="146"/>
      <c r="R39" s="148"/>
    </row>
    <row r="40" spans="1:23">
      <c r="A40" s="387"/>
      <c r="B40" s="146"/>
      <c r="C40" s="5"/>
      <c r="D40" s="146"/>
      <c r="E40" s="5"/>
      <c r="F40" s="146"/>
      <c r="G40" s="5"/>
      <c r="H40" s="146"/>
      <c r="I40" s="148"/>
      <c r="J40" s="387"/>
      <c r="K40" s="146"/>
      <c r="L40" s="5"/>
      <c r="M40" s="146"/>
      <c r="N40" s="5"/>
      <c r="O40" s="146"/>
      <c r="P40" s="5"/>
      <c r="Q40" s="146"/>
      <c r="R40" s="148"/>
    </row>
    <row r="41" spans="1:23">
      <c r="A41" s="387"/>
      <c r="B41" s="146"/>
      <c r="C41" s="5"/>
      <c r="D41" s="146"/>
      <c r="E41" s="5"/>
      <c r="F41" s="146"/>
      <c r="G41" s="5"/>
      <c r="H41" s="146"/>
      <c r="I41" s="148"/>
      <c r="J41" s="387"/>
      <c r="K41" s="146"/>
      <c r="L41" s="5"/>
      <c r="M41" s="146"/>
      <c r="N41" s="5"/>
      <c r="O41" s="146"/>
      <c r="P41" s="5"/>
      <c r="Q41" s="146"/>
      <c r="R41" s="148"/>
    </row>
    <row r="42" spans="1:23" ht="15.75" thickBot="1">
      <c r="A42" s="388"/>
      <c r="B42" s="194"/>
      <c r="C42" s="321"/>
      <c r="D42" s="194"/>
      <c r="E42" s="321"/>
      <c r="F42" s="194"/>
      <c r="G42" s="321"/>
      <c r="H42" s="194"/>
      <c r="I42" s="330"/>
      <c r="J42" s="388"/>
      <c r="K42" s="194"/>
      <c r="L42" s="321"/>
      <c r="M42" s="194"/>
      <c r="N42" s="321"/>
      <c r="O42" s="194"/>
      <c r="P42" s="321"/>
      <c r="Q42" s="194"/>
      <c r="R42" s="330"/>
      <c r="V42" s="30"/>
      <c r="W42" s="261"/>
    </row>
    <row r="43" spans="1:23" ht="15.75" thickBot="1">
      <c r="A43" s="149" t="s">
        <v>59</v>
      </c>
      <c r="B43" s="321">
        <f>SUM(B28:B42)</f>
        <v>36.700499999999998</v>
      </c>
      <c r="C43" s="321">
        <f>SUM(C28:C42)</f>
        <v>20.588980500000002</v>
      </c>
      <c r="D43" s="330">
        <f>SUM(D28:D42)</f>
        <v>14.71284</v>
      </c>
      <c r="E43" s="203"/>
      <c r="F43" s="203"/>
      <c r="G43" s="203"/>
      <c r="H43" s="203"/>
      <c r="I43" s="203"/>
      <c r="J43" s="149" t="s">
        <v>59</v>
      </c>
      <c r="K43" s="321">
        <f>SUM(K28:K42)</f>
        <v>53.70300000000001</v>
      </c>
      <c r="L43" s="321">
        <f>SUM(L28:L42)</f>
        <v>30.127383000000005</v>
      </c>
      <c r="M43" s="330">
        <f>SUM(M28:M42)</f>
        <v>28.840859999999999</v>
      </c>
      <c r="N43" s="203"/>
      <c r="O43" s="203"/>
      <c r="P43" s="203"/>
      <c r="Q43" s="203"/>
      <c r="R43" s="203"/>
    </row>
    <row r="50" spans="1:8">
      <c r="A50" s="106"/>
      <c r="B50" s="106"/>
      <c r="C50" s="106"/>
      <c r="D50" s="106"/>
      <c r="E50" s="106"/>
      <c r="F50" s="106"/>
      <c r="G50" s="106"/>
      <c r="H50" s="106"/>
    </row>
    <row r="67" spans="1:8">
      <c r="A67" s="4"/>
      <c r="B67" s="5"/>
      <c r="C67" s="6"/>
      <c r="D67" s="8"/>
      <c r="E67" s="5"/>
      <c r="F67" s="6"/>
      <c r="G67" s="6"/>
      <c r="H67" s="6"/>
    </row>
    <row r="68" spans="1:8">
      <c r="A68" s="1"/>
      <c r="B68" s="2"/>
      <c r="C68" s="2"/>
      <c r="D68" s="1"/>
      <c r="E68" s="2"/>
      <c r="F68" s="2"/>
      <c r="G68" s="2"/>
      <c r="H68" s="2"/>
    </row>
    <row r="69" spans="1:8">
      <c r="A69" s="105"/>
      <c r="B69" s="105"/>
      <c r="C69" s="105"/>
      <c r="D69" s="105"/>
      <c r="E69" s="105"/>
      <c r="F69" s="105"/>
      <c r="G69" s="105"/>
      <c r="H69" s="105"/>
    </row>
    <row r="70" spans="1:8">
      <c r="A70" s="105"/>
      <c r="B70" s="105"/>
      <c r="C70" s="105"/>
      <c r="D70" s="105"/>
      <c r="E70" s="105"/>
      <c r="F70" s="105"/>
      <c r="G70" s="105"/>
      <c r="H70" s="105"/>
    </row>
    <row r="71" spans="1:8">
      <c r="A71" s="106"/>
      <c r="B71" s="106"/>
      <c r="C71" s="106"/>
      <c r="D71" s="106"/>
      <c r="E71" s="106"/>
      <c r="F71" s="106"/>
      <c r="G71" s="106"/>
      <c r="H71" s="106"/>
    </row>
    <row r="72" spans="1:8" ht="14.45" customHeight="1">
      <c r="A72" s="107"/>
      <c r="B72" s="107"/>
      <c r="C72" s="107"/>
      <c r="D72" s="107"/>
      <c r="E72" s="107"/>
      <c r="F72" s="107"/>
      <c r="G72" s="107"/>
      <c r="H72" s="107"/>
    </row>
    <row r="73" spans="1:8">
      <c r="A73" s="107"/>
      <c r="B73" s="107"/>
      <c r="C73" s="107"/>
      <c r="D73" s="107"/>
      <c r="E73" s="107"/>
      <c r="F73" s="107"/>
      <c r="G73" s="107"/>
      <c r="H73" s="107"/>
    </row>
    <row r="74" spans="1:8">
      <c r="A74" s="98"/>
      <c r="B74" s="102"/>
      <c r="C74" s="102"/>
      <c r="D74" s="103"/>
      <c r="E74" s="102"/>
      <c r="F74" s="102"/>
      <c r="G74" s="102"/>
      <c r="H74" s="102"/>
    </row>
    <row r="75" spans="1:8">
      <c r="A75" s="98"/>
      <c r="B75" s="102"/>
      <c r="C75" s="102"/>
      <c r="D75" s="103"/>
      <c r="E75" s="102"/>
      <c r="F75" s="102"/>
      <c r="G75" s="102"/>
      <c r="H75" s="102"/>
    </row>
    <row r="76" spans="1:8">
      <c r="A76" s="98"/>
      <c r="B76" s="102"/>
      <c r="C76" s="102"/>
      <c r="D76" s="103"/>
      <c r="E76" s="102"/>
      <c r="F76" s="102"/>
      <c r="G76" s="102"/>
      <c r="H76" s="102"/>
    </row>
    <row r="77" spans="1:8">
      <c r="A77" s="98"/>
      <c r="B77" s="102"/>
      <c r="C77" s="102"/>
      <c r="D77" s="103"/>
      <c r="E77" s="102"/>
      <c r="F77" s="102"/>
      <c r="G77" s="102"/>
      <c r="H77" s="102"/>
    </row>
    <row r="78" spans="1:8">
      <c r="A78" s="98"/>
      <c r="B78" s="102"/>
      <c r="C78" s="102"/>
      <c r="D78" s="103"/>
      <c r="E78" s="102"/>
      <c r="F78" s="102"/>
      <c r="G78" s="102"/>
      <c r="H78" s="102"/>
    </row>
    <row r="79" spans="1:8">
      <c r="A79" s="98"/>
      <c r="B79" s="102"/>
      <c r="C79" s="102"/>
      <c r="D79" s="103"/>
      <c r="E79" s="102"/>
      <c r="F79" s="102"/>
      <c r="G79" s="102"/>
      <c r="H79" s="102"/>
    </row>
    <row r="80" spans="1:8">
      <c r="A80" s="98"/>
      <c r="B80" s="102"/>
      <c r="C80" s="102"/>
      <c r="D80" s="103"/>
      <c r="E80" s="102"/>
      <c r="F80" s="102"/>
      <c r="G80" s="102"/>
      <c r="H80" s="102"/>
    </row>
    <row r="81" spans="1:8">
      <c r="A81" s="98"/>
      <c r="B81" s="102"/>
      <c r="C81" s="102"/>
      <c r="D81" s="103"/>
      <c r="E81" s="102"/>
      <c r="F81" s="102"/>
      <c r="G81" s="102"/>
      <c r="H81" s="102"/>
    </row>
    <row r="82" spans="1:8">
      <c r="A82" s="98"/>
      <c r="B82" s="102"/>
      <c r="C82" s="102"/>
      <c r="D82" s="103"/>
      <c r="E82" s="102"/>
      <c r="F82" s="102"/>
      <c r="G82" s="102"/>
      <c r="H82" s="102"/>
    </row>
    <row r="83" spans="1:8">
      <c r="A83" s="98"/>
      <c r="B83" s="102"/>
      <c r="C83" s="102"/>
      <c r="D83" s="103"/>
      <c r="E83" s="102"/>
      <c r="F83" s="102"/>
      <c r="G83" s="102"/>
      <c r="H83" s="102"/>
    </row>
    <row r="84" spans="1:8">
      <c r="A84" s="98"/>
      <c r="B84" s="102"/>
      <c r="C84" s="102"/>
      <c r="D84" s="103"/>
      <c r="E84" s="102"/>
      <c r="F84" s="102"/>
      <c r="G84" s="102"/>
      <c r="H84" s="102"/>
    </row>
    <row r="85" spans="1:8">
      <c r="A85" s="98"/>
      <c r="B85" s="102"/>
      <c r="C85" s="102"/>
      <c r="D85" s="103"/>
      <c r="E85" s="102"/>
      <c r="F85" s="102"/>
      <c r="G85" s="102"/>
      <c r="H85" s="102"/>
    </row>
    <row r="86" spans="1:8">
      <c r="A86" s="98"/>
      <c r="B86" s="108"/>
      <c r="C86" s="102"/>
      <c r="D86" s="98"/>
      <c r="E86" s="108"/>
      <c r="F86" s="108"/>
      <c r="G86" s="108"/>
      <c r="H86" s="108"/>
    </row>
    <row r="87" spans="1:8">
      <c r="A87" s="98"/>
      <c r="B87" s="108"/>
      <c r="C87" s="102"/>
      <c r="D87" s="98"/>
      <c r="E87" s="108"/>
      <c r="F87" s="108"/>
      <c r="G87" s="108"/>
      <c r="H87" s="108"/>
    </row>
    <row r="88" spans="1:8">
      <c r="A88" s="98"/>
      <c r="B88" s="108"/>
      <c r="C88" s="102"/>
      <c r="D88" s="98"/>
      <c r="E88" s="108"/>
      <c r="F88" s="108"/>
      <c r="G88" s="108"/>
      <c r="H88" s="108"/>
    </row>
    <row r="89" spans="1:8">
      <c r="A89" s="98"/>
      <c r="B89" s="108"/>
      <c r="C89" s="102"/>
      <c r="D89" s="98"/>
      <c r="E89" s="108"/>
      <c r="F89" s="108"/>
      <c r="G89" s="108"/>
      <c r="H89" s="108"/>
    </row>
    <row r="90" spans="1:8">
      <c r="A90" s="98"/>
      <c r="B90" s="108"/>
      <c r="C90" s="102"/>
      <c r="D90" s="98"/>
      <c r="E90" s="108"/>
      <c r="F90" s="108"/>
      <c r="G90" s="108"/>
      <c r="H90" s="108"/>
    </row>
    <row r="91" spans="1:8">
      <c r="A91" s="98"/>
      <c r="B91" s="108"/>
      <c r="C91" s="102"/>
      <c r="D91" s="98"/>
      <c r="E91" s="108"/>
      <c r="F91" s="108"/>
      <c r="G91" s="108"/>
      <c r="H91" s="108"/>
    </row>
    <row r="92" spans="1:8">
      <c r="A92" s="98"/>
      <c r="B92" s="104"/>
      <c r="C92" s="104"/>
      <c r="D92" s="98"/>
      <c r="E92" s="108"/>
      <c r="F92" s="108"/>
      <c r="G92" s="108"/>
      <c r="H92" s="108"/>
    </row>
    <row r="93" spans="1:8">
      <c r="A93" s="98"/>
      <c r="B93" s="108"/>
      <c r="C93" s="102"/>
      <c r="D93" s="98"/>
      <c r="E93" s="108"/>
      <c r="F93" s="108"/>
      <c r="G93" s="108"/>
      <c r="H93" s="108"/>
    </row>
    <row r="94" spans="1:8">
      <c r="A94" s="98"/>
      <c r="B94" s="108"/>
      <c r="C94" s="102"/>
      <c r="D94" s="98"/>
      <c r="E94" s="108"/>
      <c r="F94" s="108"/>
      <c r="G94" s="108"/>
      <c r="H94" s="108"/>
    </row>
    <row r="95" spans="1:8">
      <c r="A95" s="98"/>
      <c r="B95" s="108"/>
      <c r="C95" s="102"/>
      <c r="D95" s="98"/>
      <c r="E95" s="108"/>
      <c r="F95" s="108"/>
      <c r="G95" s="108"/>
      <c r="H95" s="108"/>
    </row>
    <row r="96" spans="1:8">
      <c r="A96" s="4"/>
      <c r="B96" s="6"/>
      <c r="C96" s="5"/>
      <c r="D96" s="4"/>
      <c r="E96" s="6"/>
      <c r="F96" s="6"/>
      <c r="G96" s="6"/>
      <c r="H96" s="6"/>
    </row>
    <row r="97" spans="1:8">
      <c r="A97" s="4"/>
      <c r="B97" s="6"/>
      <c r="C97" s="5"/>
      <c r="D97" s="4"/>
      <c r="E97" s="6"/>
      <c r="F97" s="6"/>
      <c r="G97" s="6"/>
      <c r="H97" s="6"/>
    </row>
    <row r="98" spans="1:8">
      <c r="A98" s="4"/>
      <c r="B98" s="6"/>
      <c r="C98" s="5"/>
      <c r="D98" s="4"/>
      <c r="E98" s="6"/>
      <c r="F98" s="6"/>
      <c r="G98" s="6"/>
      <c r="H98" s="6"/>
    </row>
    <row r="99" spans="1:8">
      <c r="A99" s="4"/>
      <c r="B99" s="6"/>
      <c r="C99" s="5"/>
      <c r="D99" s="4"/>
      <c r="E99" s="6"/>
      <c r="F99" s="6"/>
      <c r="G99" s="6"/>
      <c r="H99" s="6"/>
    </row>
    <row r="100" spans="1:8">
      <c r="A100" s="4"/>
      <c r="B100" s="6"/>
      <c r="C100" s="5"/>
      <c r="D100" s="4"/>
      <c r="E100" s="6"/>
      <c r="F100" s="6"/>
      <c r="G100" s="6"/>
      <c r="H100" s="6"/>
    </row>
    <row r="101" spans="1:8">
      <c r="A101" s="4"/>
      <c r="B101" s="6"/>
      <c r="C101" s="5"/>
      <c r="D101" s="4"/>
      <c r="E101" s="6"/>
      <c r="F101" s="6"/>
      <c r="G101" s="6"/>
      <c r="H101" s="6"/>
    </row>
    <row r="102" spans="1:8">
      <c r="A102" s="1"/>
      <c r="B102" s="2"/>
      <c r="C102" s="2"/>
      <c r="D102" s="1"/>
      <c r="E102" s="2"/>
      <c r="F102" s="2"/>
      <c r="G102" s="2"/>
      <c r="H102" s="2"/>
    </row>
    <row r="103" spans="1:8">
      <c r="A103" s="106"/>
      <c r="B103" s="106"/>
      <c r="C103" s="106"/>
      <c r="D103" s="106"/>
      <c r="E103" s="106"/>
      <c r="F103" s="106"/>
      <c r="G103" s="106"/>
      <c r="H103" s="106"/>
    </row>
    <row r="104" spans="1:8">
      <c r="A104" s="106"/>
      <c r="B104" s="106"/>
      <c r="C104" s="106"/>
      <c r="D104" s="106"/>
      <c r="E104" s="106"/>
      <c r="F104" s="106"/>
      <c r="G104" s="106"/>
      <c r="H104" s="106"/>
    </row>
    <row r="105" spans="1:8">
      <c r="A105" s="106"/>
      <c r="B105" s="106"/>
      <c r="C105" s="106"/>
      <c r="D105" s="106"/>
      <c r="E105" s="106"/>
      <c r="F105" s="106"/>
      <c r="G105" s="106"/>
      <c r="H105" s="106"/>
    </row>
    <row r="106" spans="1:8">
      <c r="A106" s="106"/>
      <c r="B106" s="106"/>
      <c r="C106" s="106"/>
      <c r="D106" s="106"/>
      <c r="E106" s="106"/>
      <c r="F106" s="106"/>
      <c r="G106" s="106"/>
      <c r="H106" s="106"/>
    </row>
    <row r="107" spans="1:8">
      <c r="A107" s="106"/>
      <c r="B107" s="106"/>
      <c r="C107" s="106"/>
      <c r="D107" s="106"/>
      <c r="E107" s="106"/>
      <c r="F107" s="106"/>
      <c r="G107" s="106"/>
      <c r="H107" s="106"/>
    </row>
    <row r="108" spans="1:8">
      <c r="A108" s="106"/>
      <c r="B108" s="106"/>
      <c r="C108" s="106"/>
      <c r="D108" s="106"/>
      <c r="E108" s="106"/>
      <c r="F108" s="106"/>
      <c r="G108" s="106"/>
      <c r="H108" s="106"/>
    </row>
    <row r="109" spans="1:8">
      <c r="A109" s="106"/>
      <c r="B109" s="106"/>
      <c r="C109" s="106"/>
      <c r="D109" s="106"/>
      <c r="E109" s="106"/>
      <c r="F109" s="106"/>
      <c r="G109" s="106"/>
      <c r="H109" s="106"/>
    </row>
    <row r="110" spans="1:8">
      <c r="A110" s="106"/>
      <c r="B110" s="106"/>
      <c r="C110" s="106"/>
      <c r="D110" s="106"/>
      <c r="E110" s="106"/>
      <c r="F110" s="106"/>
      <c r="G110" s="106"/>
      <c r="H110" s="106"/>
    </row>
    <row r="111" spans="1:8">
      <c r="A111" s="106"/>
      <c r="B111" s="106"/>
      <c r="C111" s="106"/>
      <c r="D111" s="106"/>
      <c r="E111" s="106"/>
      <c r="F111" s="106"/>
      <c r="G111" s="106"/>
      <c r="H111" s="106"/>
    </row>
    <row r="112" spans="1:8">
      <c r="A112" s="106"/>
      <c r="B112" s="106"/>
      <c r="C112" s="106"/>
      <c r="D112" s="106"/>
      <c r="E112" s="106"/>
      <c r="F112" s="106"/>
      <c r="G112" s="106"/>
      <c r="H112" s="106"/>
    </row>
    <row r="113" spans="1:8">
      <c r="A113" s="106"/>
      <c r="B113" s="106"/>
      <c r="C113" s="106"/>
      <c r="D113" s="106"/>
      <c r="E113" s="106"/>
      <c r="F113" s="106"/>
      <c r="G113" s="106"/>
      <c r="H113" s="106"/>
    </row>
    <row r="114" spans="1:8">
      <c r="A114" s="106"/>
      <c r="B114" s="106"/>
      <c r="C114" s="106"/>
      <c r="D114" s="106"/>
      <c r="E114" s="106"/>
      <c r="F114" s="106"/>
      <c r="G114" s="106"/>
      <c r="H114" s="106"/>
    </row>
    <row r="115" spans="1:8">
      <c r="A115" s="106"/>
      <c r="B115" s="106"/>
      <c r="C115" s="106"/>
      <c r="D115" s="106"/>
      <c r="E115" s="106"/>
      <c r="F115" s="106"/>
      <c r="G115" s="106"/>
      <c r="H115" s="106"/>
    </row>
    <row r="116" spans="1:8">
      <c r="A116" s="106"/>
      <c r="B116" s="106"/>
      <c r="C116" s="106"/>
      <c r="D116" s="106"/>
      <c r="E116" s="106"/>
      <c r="F116" s="106"/>
      <c r="G116" s="106"/>
      <c r="H116" s="106"/>
    </row>
    <row r="117" spans="1:8">
      <c r="A117" s="106"/>
      <c r="B117" s="106"/>
      <c r="C117" s="106"/>
      <c r="D117" s="106"/>
      <c r="E117" s="106"/>
      <c r="F117" s="106"/>
      <c r="G117" s="106"/>
      <c r="H117" s="106"/>
    </row>
    <row r="118" spans="1:8">
      <c r="A118" s="106"/>
      <c r="B118" s="106"/>
      <c r="C118" s="106"/>
      <c r="D118" s="106"/>
      <c r="E118" s="106"/>
      <c r="F118" s="106"/>
      <c r="G118" s="106"/>
      <c r="H118" s="106"/>
    </row>
    <row r="119" spans="1:8">
      <c r="A119" s="106"/>
      <c r="B119" s="106"/>
      <c r="C119" s="106"/>
      <c r="D119" s="106"/>
      <c r="E119" s="106"/>
      <c r="F119" s="106"/>
      <c r="G119" s="106"/>
      <c r="H119" s="106"/>
    </row>
    <row r="120" spans="1:8">
      <c r="A120" s="106"/>
      <c r="B120" s="106"/>
      <c r="C120" s="106"/>
      <c r="D120" s="106"/>
      <c r="E120" s="106"/>
      <c r="F120" s="106"/>
      <c r="G120" s="106"/>
      <c r="H120" s="106"/>
    </row>
    <row r="121" spans="1:8">
      <c r="A121" s="106"/>
      <c r="B121" s="106"/>
      <c r="C121" s="106"/>
      <c r="D121" s="106"/>
      <c r="E121" s="106"/>
      <c r="F121" s="106"/>
      <c r="G121" s="106"/>
      <c r="H121" s="106"/>
    </row>
    <row r="122" spans="1:8">
      <c r="A122" s="106"/>
      <c r="B122" s="106"/>
      <c r="C122" s="106"/>
      <c r="D122" s="106"/>
      <c r="E122" s="106"/>
      <c r="F122" s="106"/>
      <c r="G122" s="106"/>
      <c r="H122" s="106"/>
    </row>
    <row r="123" spans="1:8">
      <c r="A123" s="106"/>
      <c r="B123" s="106"/>
      <c r="C123" s="106"/>
      <c r="D123" s="106"/>
      <c r="E123" s="106"/>
      <c r="F123" s="106"/>
      <c r="G123" s="106"/>
      <c r="H123" s="106"/>
    </row>
    <row r="124" spans="1:8">
      <c r="A124" s="106"/>
      <c r="B124" s="106"/>
      <c r="C124" s="106"/>
      <c r="D124" s="106"/>
      <c r="E124" s="106"/>
      <c r="F124" s="106"/>
      <c r="G124" s="106"/>
      <c r="H124" s="106"/>
    </row>
    <row r="125" spans="1:8">
      <c r="A125" s="106"/>
      <c r="B125" s="106"/>
      <c r="C125" s="106"/>
      <c r="D125" s="106"/>
      <c r="E125" s="106"/>
      <c r="F125" s="106"/>
      <c r="G125" s="106"/>
      <c r="H125" s="106"/>
    </row>
    <row r="126" spans="1:8">
      <c r="A126" s="106"/>
      <c r="B126" s="106"/>
      <c r="C126" s="106"/>
      <c r="D126" s="106"/>
      <c r="E126" s="106"/>
      <c r="F126" s="106"/>
      <c r="G126" s="106"/>
      <c r="H126" s="106"/>
    </row>
    <row r="127" spans="1:8">
      <c r="A127" s="106"/>
      <c r="B127" s="106"/>
      <c r="C127" s="106"/>
      <c r="D127" s="106"/>
      <c r="E127" s="106"/>
      <c r="F127" s="106"/>
      <c r="G127" s="106"/>
      <c r="H127" s="106"/>
    </row>
    <row r="128" spans="1:8">
      <c r="A128" s="106"/>
      <c r="B128" s="106"/>
      <c r="C128" s="106"/>
      <c r="D128" s="106"/>
      <c r="E128" s="106"/>
      <c r="F128" s="106"/>
      <c r="G128" s="106"/>
      <c r="H128" s="106"/>
    </row>
    <row r="129" spans="1:8">
      <c r="A129" s="106"/>
      <c r="B129" s="106"/>
      <c r="C129" s="106"/>
      <c r="D129" s="106"/>
      <c r="E129" s="106"/>
      <c r="F129" s="106"/>
      <c r="G129" s="106"/>
      <c r="H129" s="106"/>
    </row>
  </sheetData>
  <mergeCells count="44">
    <mergeCell ref="D26:D27"/>
    <mergeCell ref="E26:E27"/>
    <mergeCell ref="A26:A27"/>
    <mergeCell ref="A1:I1"/>
    <mergeCell ref="A2:I2"/>
    <mergeCell ref="B3:B4"/>
    <mergeCell ref="A24:I24"/>
    <mergeCell ref="A25:I25"/>
    <mergeCell ref="A3:A4"/>
    <mergeCell ref="D3:D4"/>
    <mergeCell ref="C3:C4"/>
    <mergeCell ref="E3:E4"/>
    <mergeCell ref="F3:F4"/>
    <mergeCell ref="G3:G4"/>
    <mergeCell ref="H3:H4"/>
    <mergeCell ref="I3:I4"/>
    <mergeCell ref="B26:B27"/>
    <mergeCell ref="C26:C27"/>
    <mergeCell ref="O3:O4"/>
    <mergeCell ref="P3:P4"/>
    <mergeCell ref="F26:F27"/>
    <mergeCell ref="G26:G27"/>
    <mergeCell ref="H26:H27"/>
    <mergeCell ref="I26:I27"/>
    <mergeCell ref="J24:R24"/>
    <mergeCell ref="J25:R25"/>
    <mergeCell ref="J26:J27"/>
    <mergeCell ref="K26:K27"/>
    <mergeCell ref="L26:L27"/>
    <mergeCell ref="M26:M27"/>
    <mergeCell ref="N26:N27"/>
    <mergeCell ref="O26:O27"/>
    <mergeCell ref="P26:P27"/>
    <mergeCell ref="Q26:Q27"/>
    <mergeCell ref="R26:R27"/>
    <mergeCell ref="J1:R1"/>
    <mergeCell ref="J2:R2"/>
    <mergeCell ref="J3:J4"/>
    <mergeCell ref="K3:K4"/>
    <mergeCell ref="L3:L4"/>
    <mergeCell ref="Q3:Q4"/>
    <mergeCell ref="R3:R4"/>
    <mergeCell ref="M3:M4"/>
    <mergeCell ref="N3:N4"/>
  </mergeCells>
  <pageMargins left="0.70866141732283461" right="0.70866141732283461" top="0.74803149606299213" bottom="0.74803149606299213" header="0.31496062992125984" footer="0.31496062992125984"/>
  <pageSetup orientation="portrait" horizontalDpi="4294967293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5" tint="0.79998168889431442"/>
  </sheetPr>
  <dimension ref="A1:W62"/>
  <sheetViews>
    <sheetView showGridLines="0" topLeftCell="A12" zoomScale="90" zoomScaleNormal="90" zoomScaleSheetLayoutView="100" zoomScalePageLayoutView="85" workbookViewId="0">
      <selection activeCell="J28" sqref="J28"/>
    </sheetView>
  </sheetViews>
  <sheetFormatPr baseColWidth="10" defaultColWidth="11.5703125" defaultRowHeight="15"/>
  <cols>
    <col min="1" max="1" width="8.7109375" customWidth="1"/>
    <col min="2" max="2" width="9.42578125" customWidth="1"/>
    <col min="3" max="4" width="12.5703125" customWidth="1"/>
    <col min="5" max="5" width="12" customWidth="1"/>
    <col min="6" max="6" width="10" style="17" customWidth="1"/>
    <col min="7" max="7" width="12.5703125" customWidth="1"/>
  </cols>
  <sheetData>
    <row r="1" spans="1:7" s="101" customFormat="1" ht="15.75" thickBot="1">
      <c r="C1" s="17"/>
      <c r="D1" s="17"/>
      <c r="F1" s="17"/>
    </row>
    <row r="2" spans="1:7" s="101" customFormat="1" ht="14.45" customHeight="1">
      <c r="A2" s="487" t="s">
        <v>6</v>
      </c>
      <c r="B2" s="522" t="s">
        <v>101</v>
      </c>
      <c r="C2" s="567" t="s">
        <v>100</v>
      </c>
      <c r="D2" s="573" t="s">
        <v>264</v>
      </c>
      <c r="E2" s="575" t="s">
        <v>102</v>
      </c>
      <c r="F2" s="567" t="s">
        <v>103</v>
      </c>
      <c r="G2" s="567" t="s">
        <v>104</v>
      </c>
    </row>
    <row r="3" spans="1:7" s="101" customFormat="1" ht="15.75" thickBot="1">
      <c r="A3" s="571"/>
      <c r="B3" s="572"/>
      <c r="C3" s="568"/>
      <c r="D3" s="574"/>
      <c r="E3" s="576"/>
      <c r="F3" s="568"/>
      <c r="G3" s="568"/>
    </row>
    <row r="4" spans="1:7" s="101" customFormat="1">
      <c r="A4" s="518">
        <v>2</v>
      </c>
      <c r="B4" s="109" t="s">
        <v>10</v>
      </c>
      <c r="C4" s="110">
        <f>'3. Análisis de torsión.'!B42</f>
        <v>19.250000000000004</v>
      </c>
      <c r="D4" s="110">
        <f>'6. Carga vertical.'!B20</f>
        <v>35.197000000000003</v>
      </c>
      <c r="E4" s="115">
        <f>(C4*'1. Datos generales.'!$E$22)/1000</f>
        <v>14.812875000000004</v>
      </c>
      <c r="F4" s="343">
        <f>(D4*'2. Espesor mínimo de losa.'!$C$73)/1000</f>
        <v>16.085028999999999</v>
      </c>
      <c r="G4" s="569">
        <f>F4+F5+E8/2</f>
        <v>59.162941500000002</v>
      </c>
    </row>
    <row r="5" spans="1:7" s="101" customFormat="1" ht="15.75" thickBot="1">
      <c r="A5" s="509"/>
      <c r="B5" s="111" t="s">
        <v>11</v>
      </c>
      <c r="C5" s="112">
        <f>'3. Análisis de torsión.'!J21</f>
        <v>35.479999999999997</v>
      </c>
      <c r="D5" s="112">
        <f>'6. Carga vertical.'!K20</f>
        <v>48.185000000000002</v>
      </c>
      <c r="E5" s="321">
        <f>(C5*'1. Datos generales.'!$E$22)/1000</f>
        <v>27.301859999999998</v>
      </c>
      <c r="F5" s="344">
        <f>(D5*'2. Espesor mínimo de losa.'!$C$73)/1000</f>
        <v>22.020545000000002</v>
      </c>
      <c r="G5" s="570"/>
    </row>
    <row r="6" spans="1:7" s="101" customFormat="1">
      <c r="A6" s="518">
        <v>1</v>
      </c>
      <c r="B6" s="109" t="s">
        <v>10</v>
      </c>
      <c r="C6" s="110">
        <f>'3. Análisis de torsión.'!J42</f>
        <v>19.12</v>
      </c>
      <c r="D6" s="110">
        <f>'6. Carga vertical.'!B43</f>
        <v>36.700499999999998</v>
      </c>
      <c r="E6" s="115">
        <f>(C6*'1. Datos generales.'!$E$22)/1000</f>
        <v>14.71284</v>
      </c>
      <c r="F6" s="343">
        <f>(D6*'2. Espesor mínimo de losa.'!$C$66)/1000</f>
        <v>17.6529405</v>
      </c>
      <c r="G6" s="569">
        <f>F6+F7+E9/2+E8/2</f>
        <v>86.318300999999991</v>
      </c>
    </row>
    <row r="7" spans="1:7" s="101" customFormat="1" ht="15.75" thickBot="1">
      <c r="A7" s="509"/>
      <c r="B7" s="111" t="s">
        <v>11</v>
      </c>
      <c r="C7" s="112">
        <f>'3. Análisis de torsión.'!R21</f>
        <v>37.479999999999997</v>
      </c>
      <c r="D7" s="112">
        <f>'6. Carga vertical.'!K43</f>
        <v>53.70300000000001</v>
      </c>
      <c r="E7" s="321">
        <f>(C7*'1. Datos generales.'!$E$22)/1000</f>
        <v>28.840859999999996</v>
      </c>
      <c r="F7" s="344">
        <f>(D7*'2. Espesor mínimo de losa.'!$C$66)/1000</f>
        <v>25.831143000000004</v>
      </c>
      <c r="G7" s="570"/>
    </row>
    <row r="8" spans="1:7" s="101" customFormat="1">
      <c r="B8" s="204" t="s">
        <v>227</v>
      </c>
      <c r="E8" s="345">
        <f>E4+E5</f>
        <v>42.114735000000003</v>
      </c>
      <c r="F8" s="17"/>
    </row>
    <row r="9" spans="1:7" s="101" customFormat="1">
      <c r="B9" s="204" t="s">
        <v>226</v>
      </c>
      <c r="E9" s="345">
        <f>E6+E7</f>
        <v>43.553699999999992</v>
      </c>
      <c r="F9" s="17"/>
    </row>
    <row r="10" spans="1:7" s="101" customFormat="1">
      <c r="F10" s="17"/>
    </row>
    <row r="11" spans="1:7" s="101" customFormat="1">
      <c r="F11" s="17"/>
    </row>
    <row r="12" spans="1:7" s="101" customFormat="1">
      <c r="F12" s="17"/>
    </row>
    <row r="13" spans="1:7" s="101" customFormat="1">
      <c r="F13" s="17"/>
    </row>
    <row r="14" spans="1:7" s="101" customFormat="1">
      <c r="A14" s="101" t="s">
        <v>130</v>
      </c>
      <c r="F14" s="17"/>
    </row>
    <row r="15" spans="1:7" s="101" customFormat="1"/>
    <row r="16" spans="1:7" s="101" customFormat="1"/>
    <row r="17" spans="1:12" s="101" customFormat="1"/>
    <row r="18" spans="1:12" s="101" customFormat="1" ht="15.75" thickBot="1"/>
    <row r="19" spans="1:12" s="101" customFormat="1" ht="18.75" thickBot="1">
      <c r="A19" s="159" t="s">
        <v>129</v>
      </c>
      <c r="B19" s="159" t="s">
        <v>105</v>
      </c>
      <c r="C19" s="159" t="s">
        <v>5</v>
      </c>
      <c r="D19" s="159" t="s">
        <v>38</v>
      </c>
      <c r="E19" s="159" t="s">
        <v>106</v>
      </c>
      <c r="F19" s="160" t="s">
        <v>300</v>
      </c>
    </row>
    <row r="20" spans="1:12" s="101" customFormat="1">
      <c r="A20" s="114">
        <f>A4</f>
        <v>2</v>
      </c>
      <c r="B20" s="115">
        <f>G4</f>
        <v>59.162941500000002</v>
      </c>
      <c r="C20" s="115">
        <f>C21*2</f>
        <v>5.7</v>
      </c>
      <c r="D20" s="115">
        <f>B20*C20</f>
        <v>337.22876655000005</v>
      </c>
      <c r="E20" s="115">
        <f>('1. Datos generales.'!$E$9/'1. Datos generales.'!$E$10)*'7. Cortante basal.'!D20*'7. Cortante basal.'!$B$22/'7. Cortante basal.'!$D$22</f>
        <v>33.647076877102222</v>
      </c>
      <c r="F20" s="346">
        <f>1.1*E20</f>
        <v>37.011784564812444</v>
      </c>
    </row>
    <row r="21" spans="1:12" s="101" customFormat="1" ht="15.75" thickBot="1">
      <c r="A21" s="116">
        <f>A6</f>
        <v>1</v>
      </c>
      <c r="B21" s="5">
        <f>G6</f>
        <v>86.318300999999991</v>
      </c>
      <c r="C21" s="8">
        <f>'1. Datos generales.'!E18</f>
        <v>2.85</v>
      </c>
      <c r="D21" s="5">
        <f>B21*C21</f>
        <v>246.00715784999997</v>
      </c>
      <c r="E21" s="5">
        <f>('1. Datos generales.'!$E$9/'1. Datos generales.'!$E$10)*'7. Cortante basal.'!D21*'7. Cortante basal.'!$B$22/'7. Cortante basal.'!$D$22</f>
        <v>24.545420122897784</v>
      </c>
      <c r="F21" s="347">
        <f>1.1*(E21+F20)</f>
        <v>67.712925156481248</v>
      </c>
    </row>
    <row r="22" spans="1:12" s="101" customFormat="1" ht="15.75" thickBot="1">
      <c r="A22" s="113" t="s">
        <v>107</v>
      </c>
      <c r="B22" s="348">
        <f>SUM(B20:B21)</f>
        <v>145.48124250000001</v>
      </c>
      <c r="C22" s="349" t="s">
        <v>108</v>
      </c>
      <c r="D22" s="348">
        <f>SUM(D20:D21)</f>
        <v>583.23592440000004</v>
      </c>
      <c r="E22" s="350"/>
      <c r="F22" s="351"/>
    </row>
    <row r="23" spans="1:12" s="101" customFormat="1">
      <c r="F23" s="17"/>
      <c r="L23" s="263"/>
    </row>
    <row r="24" spans="1:12" s="101" customFormat="1">
      <c r="F24" s="17"/>
      <c r="L24" s="263"/>
    </row>
    <row r="25" spans="1:12" s="101" customFormat="1">
      <c r="F25" s="352">
        <f>E20</f>
        <v>33.647076877102222</v>
      </c>
      <c r="G25" s="101" t="s">
        <v>225</v>
      </c>
      <c r="K25" s="264"/>
    </row>
    <row r="26" spans="1:12" s="101" customFormat="1">
      <c r="E26" s="266"/>
      <c r="F26" s="267"/>
      <c r="G26" s="2"/>
      <c r="H26" s="268">
        <f>C20</f>
        <v>5.7</v>
      </c>
    </row>
    <row r="27" spans="1:12" s="101" customFormat="1">
      <c r="E27" s="266"/>
      <c r="F27" s="267"/>
      <c r="G27" s="2"/>
    </row>
    <row r="28" spans="1:12" s="101" customFormat="1">
      <c r="F28" s="352">
        <f>E21</f>
        <v>24.545420122897784</v>
      </c>
      <c r="G28" s="101" t="s">
        <v>225</v>
      </c>
    </row>
    <row r="29" spans="1:12" s="101" customFormat="1">
      <c r="B29" s="352">
        <f>E20</f>
        <v>33.647076877102222</v>
      </c>
      <c r="C29" s="101" t="s">
        <v>225</v>
      </c>
      <c r="E29" s="262"/>
      <c r="F29" s="17"/>
      <c r="H29" s="260">
        <f>C21</f>
        <v>2.85</v>
      </c>
    </row>
    <row r="30" spans="1:12">
      <c r="A30" s="101"/>
      <c r="B30" s="260"/>
    </row>
    <row r="31" spans="1:12">
      <c r="B31" s="260"/>
    </row>
    <row r="32" spans="1:12" s="117" customFormat="1">
      <c r="A32"/>
      <c r="B32" s="352">
        <f>E21</f>
        <v>24.545420122897784</v>
      </c>
      <c r="C32" s="101" t="s">
        <v>225</v>
      </c>
      <c r="D32" s="118"/>
      <c r="F32" s="119"/>
      <c r="I32" s="265"/>
    </row>
    <row r="33" spans="1:23" s="117" customFormat="1">
      <c r="C33" s="301" t="s">
        <v>11</v>
      </c>
      <c r="D33" s="118"/>
      <c r="F33" s="119"/>
      <c r="I33" s="265"/>
    </row>
    <row r="34" spans="1:23" s="117" customFormat="1">
      <c r="D34" s="118"/>
      <c r="F34" s="119"/>
      <c r="I34" s="265"/>
    </row>
    <row r="35" spans="1:23" s="117" customFormat="1">
      <c r="C35" s="300" t="s">
        <v>10</v>
      </c>
      <c r="D35" s="118"/>
      <c r="F35" s="119"/>
      <c r="I35" s="265"/>
    </row>
    <row r="37" spans="1:23" ht="21">
      <c r="E37" s="17"/>
      <c r="F37" s="354">
        <f>E20</f>
        <v>33.647076877102222</v>
      </c>
      <c r="G37" t="s">
        <v>225</v>
      </c>
      <c r="V37" s="10"/>
      <c r="W37" s="15"/>
    </row>
    <row r="38" spans="1:23">
      <c r="E38" s="17"/>
      <c r="F38"/>
    </row>
    <row r="39" spans="1:23">
      <c r="C39" s="353">
        <f>F20</f>
        <v>37.011784564812444</v>
      </c>
      <c r="D39" t="s">
        <v>225</v>
      </c>
      <c r="E39" s="17"/>
      <c r="F39"/>
    </row>
    <row r="40" spans="1:23">
      <c r="E40" s="17"/>
      <c r="F40"/>
    </row>
    <row r="41" spans="1:23">
      <c r="A41" s="117"/>
      <c r="B41" s="117"/>
      <c r="C41" s="117"/>
      <c r="D41" s="117"/>
      <c r="E41" s="119"/>
      <c r="F41" s="355">
        <f>E21</f>
        <v>24.545420122897784</v>
      </c>
      <c r="G41" t="s">
        <v>225</v>
      </c>
    </row>
    <row r="42" spans="1:23">
      <c r="A42" s="120"/>
      <c r="B42" s="120"/>
      <c r="C42" s="120"/>
      <c r="D42" s="120"/>
      <c r="E42" s="121"/>
      <c r="F42" s="117"/>
    </row>
    <row r="43" spans="1:23" ht="18.75">
      <c r="A43" s="122"/>
      <c r="B43" s="122"/>
      <c r="C43" s="355">
        <f>F21</f>
        <v>67.712925156481248</v>
      </c>
      <c r="D43" s="208" t="s">
        <v>225</v>
      </c>
      <c r="E43" s="124"/>
      <c r="F43" s="117"/>
      <c r="Q43" s="12"/>
    </row>
    <row r="44" spans="1:23">
      <c r="A44" s="122"/>
      <c r="B44" s="122"/>
      <c r="C44" s="123"/>
      <c r="D44" s="123"/>
      <c r="E44" s="124"/>
      <c r="F44" s="117"/>
      <c r="U44" s="34"/>
    </row>
    <row r="45" spans="1:23" ht="21">
      <c r="A45" s="125"/>
      <c r="B45" s="125"/>
      <c r="C45" s="123"/>
      <c r="D45" s="122"/>
      <c r="E45" s="126"/>
      <c r="F45" s="117"/>
      <c r="K45" s="13"/>
      <c r="T45" s="10"/>
      <c r="U45" s="34"/>
    </row>
    <row r="46" spans="1:23">
      <c r="A46" s="117"/>
      <c r="B46" s="117"/>
      <c r="C46" s="117"/>
      <c r="D46" s="117"/>
      <c r="E46" s="117"/>
      <c r="F46" s="119"/>
      <c r="G46" s="117"/>
    </row>
    <row r="47" spans="1:23">
      <c r="A47" s="117"/>
      <c r="B47" s="117"/>
      <c r="C47" s="117"/>
      <c r="D47" s="117"/>
      <c r="E47" s="117"/>
      <c r="F47" s="119"/>
      <c r="G47" s="117"/>
    </row>
    <row r="48" spans="1:23">
      <c r="A48" s="117"/>
      <c r="B48" s="117"/>
      <c r="C48" s="117"/>
      <c r="D48" s="117"/>
      <c r="E48" s="117"/>
      <c r="F48" s="119"/>
      <c r="G48" s="117"/>
    </row>
    <row r="49" spans="1:21" ht="21">
      <c r="A49" s="117"/>
      <c r="B49" s="117"/>
      <c r="C49" s="117"/>
      <c r="D49" s="127"/>
      <c r="E49" s="117"/>
      <c r="F49" s="119"/>
      <c r="G49" s="117"/>
      <c r="T49" s="10"/>
      <c r="U49" s="15"/>
    </row>
    <row r="53" spans="1:21" ht="26.25">
      <c r="Q53" s="14"/>
    </row>
    <row r="55" spans="1:21" ht="18.75">
      <c r="K55" s="12"/>
      <c r="T55" s="10"/>
      <c r="U55" s="34"/>
    </row>
    <row r="61" spans="1:21">
      <c r="D61" s="2"/>
    </row>
    <row r="62" spans="1:21">
      <c r="D62" s="2"/>
    </row>
  </sheetData>
  <mergeCells count="11">
    <mergeCell ref="F2:F3"/>
    <mergeCell ref="G2:G3"/>
    <mergeCell ref="A4:A5"/>
    <mergeCell ref="A6:A7"/>
    <mergeCell ref="G4:G5"/>
    <mergeCell ref="G6:G7"/>
    <mergeCell ref="A2:A3"/>
    <mergeCell ref="B2:B3"/>
    <mergeCell ref="C2:C3"/>
    <mergeCell ref="D2:D3"/>
    <mergeCell ref="E2:E3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 tint="0.79998168889431442"/>
  </sheetPr>
  <dimension ref="A1:AB108"/>
  <sheetViews>
    <sheetView showGridLines="0" topLeftCell="A3" zoomScaleNormal="100" zoomScalePageLayoutView="70" workbookViewId="0">
      <selection activeCell="M5" sqref="M5"/>
    </sheetView>
  </sheetViews>
  <sheetFormatPr baseColWidth="10" defaultColWidth="11.5703125" defaultRowHeight="15"/>
  <cols>
    <col min="1" max="5" width="10" customWidth="1"/>
    <col min="6" max="6" width="12.5703125" customWidth="1"/>
    <col min="7" max="7" width="15" customWidth="1"/>
    <col min="8" max="8" width="11.5703125" style="101" customWidth="1"/>
    <col min="9" max="13" width="10" customWidth="1"/>
    <col min="14" max="14" width="12.5703125" customWidth="1"/>
    <col min="16" max="16" width="11.7109375" customWidth="1"/>
    <col min="17" max="17" width="8.140625" customWidth="1"/>
    <col min="18" max="18" width="7" customWidth="1"/>
    <col min="19" max="19" width="4.42578125" customWidth="1"/>
    <col min="20" max="20" width="9" customWidth="1"/>
    <col min="21" max="21" width="6.28515625" customWidth="1"/>
    <col min="22" max="22" width="4.85546875" customWidth="1"/>
    <col min="23" max="23" width="4.7109375" customWidth="1"/>
    <col min="24" max="24" width="6" customWidth="1"/>
    <col min="25" max="25" width="6.7109375" customWidth="1"/>
    <col min="26" max="26" width="5.85546875" customWidth="1"/>
    <col min="27" max="27" width="15" customWidth="1"/>
  </cols>
  <sheetData>
    <row r="1" spans="1:25">
      <c r="A1" s="579" t="s">
        <v>136</v>
      </c>
      <c r="B1" s="580"/>
      <c r="C1" s="580"/>
      <c r="D1" s="580"/>
      <c r="E1" s="580"/>
      <c r="F1" s="580"/>
      <c r="G1" s="580"/>
      <c r="H1" s="581"/>
      <c r="I1" s="579" t="s">
        <v>136</v>
      </c>
      <c r="J1" s="580"/>
      <c r="K1" s="580"/>
      <c r="L1" s="580"/>
      <c r="M1" s="580"/>
      <c r="N1" s="580"/>
      <c r="O1" s="580"/>
      <c r="P1" s="581"/>
      <c r="Q1" s="271" t="s">
        <v>299</v>
      </c>
    </row>
    <row r="2" spans="1:25" ht="15.75" customHeight="1" thickBot="1">
      <c r="A2" s="582" t="s">
        <v>118</v>
      </c>
      <c r="B2" s="583"/>
      <c r="C2" s="583"/>
      <c r="D2" s="583"/>
      <c r="E2" s="583"/>
      <c r="F2" s="583"/>
      <c r="G2" s="583"/>
      <c r="H2" s="584"/>
      <c r="I2" s="582" t="s">
        <v>118</v>
      </c>
      <c r="J2" s="583"/>
      <c r="K2" s="583"/>
      <c r="L2" s="583"/>
      <c r="M2" s="583"/>
      <c r="N2" s="583"/>
      <c r="O2" s="583"/>
      <c r="P2" s="584"/>
    </row>
    <row r="3" spans="1:25" ht="15.75" customHeight="1">
      <c r="A3" s="577" t="s">
        <v>32</v>
      </c>
      <c r="B3" s="172" t="s">
        <v>131</v>
      </c>
      <c r="C3" s="188" t="s">
        <v>144</v>
      </c>
      <c r="D3" s="371" t="s">
        <v>301</v>
      </c>
      <c r="E3" s="370" t="s">
        <v>273</v>
      </c>
      <c r="F3" s="172" t="s">
        <v>134</v>
      </c>
      <c r="G3" s="291" t="s">
        <v>241</v>
      </c>
      <c r="H3" s="172" t="s">
        <v>242</v>
      </c>
      <c r="I3" s="577" t="s">
        <v>32</v>
      </c>
      <c r="J3" s="172" t="s">
        <v>131</v>
      </c>
      <c r="K3" s="188" t="s">
        <v>144</v>
      </c>
      <c r="L3" s="371" t="s">
        <v>301</v>
      </c>
      <c r="M3" s="370" t="s">
        <v>273</v>
      </c>
      <c r="N3" s="172" t="s">
        <v>134</v>
      </c>
      <c r="O3" s="291" t="s">
        <v>241</v>
      </c>
      <c r="P3" s="172" t="s">
        <v>242</v>
      </c>
      <c r="R3" t="s">
        <v>338</v>
      </c>
    </row>
    <row r="4" spans="1:25" ht="15.75" thickBot="1">
      <c r="A4" s="578"/>
      <c r="B4" s="174" t="s">
        <v>132</v>
      </c>
      <c r="C4" s="175" t="s">
        <v>133</v>
      </c>
      <c r="D4" s="174" t="s">
        <v>133</v>
      </c>
      <c r="E4" s="175" t="s">
        <v>133</v>
      </c>
      <c r="F4" s="174" t="s">
        <v>135</v>
      </c>
      <c r="G4" s="292" t="s">
        <v>133</v>
      </c>
      <c r="H4" s="292" t="s">
        <v>133</v>
      </c>
      <c r="I4" s="578"/>
      <c r="J4" s="174" t="s">
        <v>132</v>
      </c>
      <c r="K4" s="175" t="s">
        <v>133</v>
      </c>
      <c r="L4" s="174" t="s">
        <v>133</v>
      </c>
      <c r="M4" s="175" t="s">
        <v>133</v>
      </c>
      <c r="N4" s="174" t="s">
        <v>135</v>
      </c>
      <c r="O4" s="292" t="s">
        <v>133</v>
      </c>
      <c r="P4" s="292" t="s">
        <v>133</v>
      </c>
    </row>
    <row r="5" spans="1:25" ht="14.45" customHeight="1">
      <c r="A5" s="19" t="s">
        <v>13</v>
      </c>
      <c r="B5" s="28">
        <f>'3. Análisis de torsión.'!B27*100</f>
        <v>130</v>
      </c>
      <c r="C5" s="93">
        <f>'6. Carga vertical.'!E5/1.4</f>
        <v>2.0671235000000001</v>
      </c>
      <c r="D5" s="324">
        <v>3.81</v>
      </c>
      <c r="E5" s="93">
        <f>'3. Análisis de torsión.'!H27*'7. Cortante basal.'!$F$20</f>
        <v>2.5354214266265847</v>
      </c>
      <c r="F5" s="115" t="str">
        <f>IF(E5/D5&lt;1,"No","Si")</f>
        <v>No</v>
      </c>
      <c r="G5" s="356">
        <v>0</v>
      </c>
      <c r="H5" s="357">
        <f>D5+G5</f>
        <v>3.81</v>
      </c>
      <c r="I5" s="293" t="s">
        <v>24</v>
      </c>
      <c r="J5" s="186">
        <f>'3. Análisis de torsión.'!J6*100</f>
        <v>1135</v>
      </c>
      <c r="K5" s="93">
        <f>'6. Carga vertical.'!N5/1.4</f>
        <v>13.728740500000001</v>
      </c>
      <c r="L5" s="115">
        <v>43.097000000000001</v>
      </c>
      <c r="M5" s="93">
        <f>'3. Análisis de torsión.'!P6*'7. Cortante basal.'!$F$20</f>
        <v>10.609350973276564</v>
      </c>
      <c r="N5" s="115" t="str">
        <f>IF(M5/L5&lt;1,"No","Si")</f>
        <v>No</v>
      </c>
      <c r="O5" s="356">
        <v>0</v>
      </c>
      <c r="P5" s="357">
        <f>L5+O5</f>
        <v>43.097000000000001</v>
      </c>
    </row>
    <row r="6" spans="1:25" ht="14.45" customHeight="1">
      <c r="A6" s="18" t="s">
        <v>14</v>
      </c>
      <c r="B6" s="6">
        <f>'3. Análisis de torsión.'!B28*100</f>
        <v>235</v>
      </c>
      <c r="C6" s="146">
        <f>'6. Carga vertical.'!E6/1.4</f>
        <v>4.3416990000000002</v>
      </c>
      <c r="D6" s="325">
        <v>6.718</v>
      </c>
      <c r="E6" s="146">
        <f>'3. Análisis de torsión.'!H28*'7. Cortante basal.'!$F$20</f>
        <v>4.4698686070454867</v>
      </c>
      <c r="F6" s="5" t="str">
        <f t="shared" ref="F6:F15" si="0">IF(E6/D6&lt;1,"No","Si")</f>
        <v>No</v>
      </c>
      <c r="G6" s="358">
        <v>0</v>
      </c>
      <c r="H6" s="359">
        <f t="shared" ref="H6:H15" si="1">D6+G6</f>
        <v>6.718</v>
      </c>
      <c r="I6" s="294" t="s">
        <v>25</v>
      </c>
      <c r="J6" s="6">
        <f>'3. Análisis de torsión.'!J7*100</f>
        <v>170</v>
      </c>
      <c r="K6" s="146">
        <f>'6. Carga vertical.'!N6/1.4</f>
        <v>3.1828564999999998</v>
      </c>
      <c r="L6" s="5">
        <v>4.6120000000000001</v>
      </c>
      <c r="M6" s="146">
        <f>'3. Análisis de torsión.'!P7*'7. Cortante basal.'!$F$20</f>
        <v>2.1655909278731484</v>
      </c>
      <c r="N6" s="5" t="str">
        <f t="shared" ref="N6:N12" si="2">IF(M6/L6&lt;1,"No","Si")</f>
        <v>No</v>
      </c>
      <c r="O6" s="358">
        <v>0</v>
      </c>
      <c r="P6" s="359">
        <f t="shared" ref="P6:P12" si="3">L6+O6</f>
        <v>4.6120000000000001</v>
      </c>
      <c r="R6" t="s">
        <v>339</v>
      </c>
    </row>
    <row r="7" spans="1:25" ht="14.45" customHeight="1">
      <c r="A7" s="18" t="s">
        <v>15</v>
      </c>
      <c r="B7" s="6">
        <f>'3. Análisis de torsión.'!B29*100</f>
        <v>145</v>
      </c>
      <c r="C7" s="146">
        <f>'6. Carga vertical.'!E7/1.4</f>
        <v>1.5755029999999999</v>
      </c>
      <c r="D7" s="325">
        <v>5.8360000000000003</v>
      </c>
      <c r="E7" s="146">
        <f>'3. Análisis de torsión.'!H29*'7. Cortante basal.'!$F$20</f>
        <v>2.8269589926412908</v>
      </c>
      <c r="F7" s="5" t="str">
        <f t="shared" si="0"/>
        <v>No</v>
      </c>
      <c r="G7" s="358">
        <v>0</v>
      </c>
      <c r="H7" s="359">
        <f t="shared" si="1"/>
        <v>5.8360000000000003</v>
      </c>
      <c r="I7" s="294" t="s">
        <v>26</v>
      </c>
      <c r="J7" s="6">
        <f>'3. Análisis de torsión.'!J8*100</f>
        <v>443</v>
      </c>
      <c r="K7" s="146">
        <f>'6. Carga vertical.'!N7/1.4</f>
        <v>6.8373650000000001</v>
      </c>
      <c r="L7" s="5">
        <v>14.356999999999999</v>
      </c>
      <c r="M7" s="146">
        <f>'3. Análisis de torsión.'!P8*'7. Cortante basal.'!$F$20</f>
        <v>4.9470989915485264</v>
      </c>
      <c r="N7" s="5" t="str">
        <f t="shared" si="2"/>
        <v>No</v>
      </c>
      <c r="O7" s="358">
        <v>0</v>
      </c>
      <c r="P7" s="359">
        <f t="shared" si="3"/>
        <v>14.356999999999999</v>
      </c>
    </row>
    <row r="8" spans="1:25" ht="14.45" customHeight="1">
      <c r="A8" s="18" t="s">
        <v>16</v>
      </c>
      <c r="B8" s="6">
        <f>'3. Análisis de torsión.'!B30*100</f>
        <v>145</v>
      </c>
      <c r="C8" s="146">
        <f>'6. Carga vertical.'!E8/1.4</f>
        <v>1.5755029999999999</v>
      </c>
      <c r="D8" s="325">
        <v>5.8360000000000003</v>
      </c>
      <c r="E8" s="146">
        <f>'3. Análisis de torsión.'!H30*'7. Cortante basal.'!$F$20</f>
        <v>2.8269589926412908</v>
      </c>
      <c r="F8" s="5" t="str">
        <f t="shared" si="0"/>
        <v>No</v>
      </c>
      <c r="G8" s="358">
        <v>0</v>
      </c>
      <c r="H8" s="359">
        <f t="shared" si="1"/>
        <v>5.8360000000000003</v>
      </c>
      <c r="I8" s="294" t="s">
        <v>27</v>
      </c>
      <c r="J8" s="6">
        <f>'3. Análisis de torsión.'!J9*100</f>
        <v>150</v>
      </c>
      <c r="K8" s="146">
        <f>'6. Carga vertical.'!N8/1.4</f>
        <v>4.6674680000000004</v>
      </c>
      <c r="L8" s="5">
        <v>4.7779999999999996</v>
      </c>
      <c r="M8" s="146">
        <f>'3. Análisis de torsión.'!P9*'7. Cortante basal.'!$F$20</f>
        <v>1.9139607248679988</v>
      </c>
      <c r="N8" s="5" t="str">
        <f t="shared" si="2"/>
        <v>No</v>
      </c>
      <c r="O8" s="358">
        <v>0</v>
      </c>
      <c r="P8" s="359">
        <f t="shared" si="3"/>
        <v>4.7779999999999996</v>
      </c>
      <c r="V8" s="101"/>
      <c r="Y8" s="380"/>
    </row>
    <row r="9" spans="1:25" ht="14.45" customHeight="1">
      <c r="A9" s="18" t="s">
        <v>17</v>
      </c>
      <c r="B9" s="6">
        <f>'3. Análisis de torsión.'!B31*100</f>
        <v>133</v>
      </c>
      <c r="C9" s="146">
        <f>'6. Carga vertical.'!E9/1.4</f>
        <v>2.3315169999999998</v>
      </c>
      <c r="D9" s="325">
        <v>3.931</v>
      </c>
      <c r="E9" s="146">
        <f>'3. Análisis de torsión.'!H31*'7. Cortante basal.'!$F$20</f>
        <v>2.5933870712658527</v>
      </c>
      <c r="F9" s="5" t="str">
        <f t="shared" si="0"/>
        <v>No</v>
      </c>
      <c r="G9" s="358">
        <v>0</v>
      </c>
      <c r="H9" s="359">
        <f t="shared" si="1"/>
        <v>3.931</v>
      </c>
      <c r="I9" s="294" t="s">
        <v>28</v>
      </c>
      <c r="J9" s="6">
        <f>'3. Análisis de torsión.'!J10*100</f>
        <v>355</v>
      </c>
      <c r="K9" s="146">
        <f>'6. Carga vertical.'!N9/1.4</f>
        <v>5.5336794999999999</v>
      </c>
      <c r="L9" s="5">
        <v>11.175000000000001</v>
      </c>
      <c r="M9" s="146">
        <f>'3. Análisis de torsión.'!P10*'7. Cortante basal.'!$F$20</f>
        <v>4.1412970634662267</v>
      </c>
      <c r="N9" s="5" t="str">
        <f t="shared" si="2"/>
        <v>No</v>
      </c>
      <c r="O9" s="358">
        <v>0</v>
      </c>
      <c r="P9" s="359">
        <f t="shared" si="3"/>
        <v>11.175000000000001</v>
      </c>
    </row>
    <row r="10" spans="1:25" ht="14.45" customHeight="1">
      <c r="A10" s="18" t="s">
        <v>18</v>
      </c>
      <c r="B10" s="6">
        <f>'3. Análisis de torsión.'!B32*100</f>
        <v>127</v>
      </c>
      <c r="C10" s="146">
        <f>'6. Carga vertical.'!E10/1.4</f>
        <v>2.1796679999999999</v>
      </c>
      <c r="D10" s="325">
        <v>3.7610000000000001</v>
      </c>
      <c r="E10" s="146">
        <f>'3. Análisis de torsión.'!H32*'7. Cortante basal.'!$F$20</f>
        <v>2.4778317569671411</v>
      </c>
      <c r="F10" s="5" t="str">
        <f t="shared" si="0"/>
        <v>No</v>
      </c>
      <c r="G10" s="358">
        <v>0</v>
      </c>
      <c r="H10" s="359">
        <f t="shared" si="1"/>
        <v>3.7610000000000001</v>
      </c>
      <c r="I10" s="294" t="s">
        <v>29</v>
      </c>
      <c r="J10" s="6">
        <f>'3. Análisis de torsión.'!J11*100</f>
        <v>150</v>
      </c>
      <c r="K10" s="146">
        <f>'6. Carga vertical.'!N10/1.4</f>
        <v>2.0347460000000002</v>
      </c>
      <c r="L10" s="5">
        <v>4.2750000000000004</v>
      </c>
      <c r="M10" s="146">
        <f>'3. Análisis de torsión.'!P11*'7. Cortante basal.'!$F$20</f>
        <v>1.9139607248679988</v>
      </c>
      <c r="N10" s="5" t="str">
        <f t="shared" si="2"/>
        <v>No</v>
      </c>
      <c r="O10" s="358">
        <v>0</v>
      </c>
      <c r="P10" s="359">
        <f t="shared" si="3"/>
        <v>4.2750000000000004</v>
      </c>
    </row>
    <row r="11" spans="1:25" ht="14.45" customHeight="1">
      <c r="A11" s="18" t="s">
        <v>19</v>
      </c>
      <c r="B11" s="6">
        <f>'3. Análisis de torsión.'!B33*100</f>
        <v>123</v>
      </c>
      <c r="C11" s="146">
        <f>'6. Carga vertical.'!E11/1.4</f>
        <v>1.6957344999999997</v>
      </c>
      <c r="D11" s="325">
        <v>3.2210000000000001</v>
      </c>
      <c r="E11" s="146">
        <f>'3. Análisis de torsión.'!H33*'7. Cortante basal.'!$F$20</f>
        <v>2.40186812755785</v>
      </c>
      <c r="F11" s="5" t="str">
        <f t="shared" si="0"/>
        <v>No</v>
      </c>
      <c r="G11" s="358">
        <v>0</v>
      </c>
      <c r="H11" s="359">
        <f t="shared" si="1"/>
        <v>3.2210000000000001</v>
      </c>
      <c r="I11" s="294" t="s">
        <v>30</v>
      </c>
      <c r="J11" s="6">
        <f>'3. Análisis de torsión.'!J12*100</f>
        <v>130</v>
      </c>
      <c r="K11" s="146">
        <f>'6. Carga vertical.'!N11/1.4</f>
        <v>2.4927615000000003</v>
      </c>
      <c r="L11" s="5">
        <v>3.5379999999999998</v>
      </c>
      <c r="M11" s="146">
        <f>'3. Análisis de torsión.'!P12*'7. Cortante basal.'!$F$20</f>
        <v>1.6594387882515609</v>
      </c>
      <c r="N11" s="5" t="str">
        <f t="shared" si="2"/>
        <v>No</v>
      </c>
      <c r="O11" s="358">
        <v>0</v>
      </c>
      <c r="P11" s="359">
        <f t="shared" si="3"/>
        <v>3.5379999999999998</v>
      </c>
      <c r="V11" s="381" t="s">
        <v>288</v>
      </c>
    </row>
    <row r="12" spans="1:25" ht="14.45" customHeight="1">
      <c r="A12" s="18" t="s">
        <v>20</v>
      </c>
      <c r="B12" s="6">
        <f>'3. Análisis de torsión.'!B34*100</f>
        <v>270</v>
      </c>
      <c r="C12" s="146">
        <f>'6. Carga vertical.'!E12/1.4</f>
        <v>6.0698325000000004</v>
      </c>
      <c r="D12" s="325">
        <v>7.5190000000000001</v>
      </c>
      <c r="E12" s="146">
        <f>'3. Análisis de torsión.'!H34*'7. Cortante basal.'!$F$20</f>
        <v>5.0422780155309974</v>
      </c>
      <c r="F12" s="5" t="str">
        <f t="shared" si="0"/>
        <v>No</v>
      </c>
      <c r="G12" s="358">
        <v>0</v>
      </c>
      <c r="H12" s="359">
        <f t="shared" si="1"/>
        <v>7.5190000000000001</v>
      </c>
      <c r="I12" s="294" t="s">
        <v>31</v>
      </c>
      <c r="J12" s="6">
        <f>'3. Análisis de torsión.'!J13*100</f>
        <v>1015</v>
      </c>
      <c r="K12" s="146">
        <f>'6. Carga vertical.'!N12/1.4</f>
        <v>12.290337999999998</v>
      </c>
      <c r="L12" s="5">
        <v>38.057000000000002</v>
      </c>
      <c r="M12" s="146">
        <f>'3. Análisis de torsión.'!P13*'7. Cortante basal.'!$F$20</f>
        <v>9.6610863706604206</v>
      </c>
      <c r="N12" s="5" t="str">
        <f t="shared" si="2"/>
        <v>No</v>
      </c>
      <c r="O12" s="358">
        <v>0</v>
      </c>
      <c r="P12" s="359">
        <f t="shared" si="3"/>
        <v>38.057000000000002</v>
      </c>
    </row>
    <row r="13" spans="1:25" ht="14.45" customHeight="1">
      <c r="A13" s="18" t="s">
        <v>21</v>
      </c>
      <c r="B13" s="6">
        <f>'3. Análisis de torsión.'!B35*100</f>
        <v>165</v>
      </c>
      <c r="C13" s="146">
        <f>'6. Carga vertical.'!E13/1.4</f>
        <v>2.7046204999999999</v>
      </c>
      <c r="D13" s="325">
        <v>4.4029999999999996</v>
      </c>
      <c r="E13" s="146">
        <f>'3. Análisis de torsión.'!H35*'7. Cortante basal.'!$F$20</f>
        <v>3.2136281538754479</v>
      </c>
      <c r="F13" s="5" t="str">
        <f t="shared" si="0"/>
        <v>No</v>
      </c>
      <c r="G13" s="358">
        <v>0</v>
      </c>
      <c r="H13" s="359">
        <f t="shared" si="1"/>
        <v>4.4029999999999996</v>
      </c>
      <c r="I13" s="294"/>
      <c r="J13" s="6"/>
      <c r="K13" s="146"/>
      <c r="L13" s="5"/>
      <c r="M13" s="146"/>
      <c r="N13" s="5"/>
      <c r="O13" s="358"/>
      <c r="P13" s="359"/>
    </row>
    <row r="14" spans="1:25" ht="14.45" customHeight="1">
      <c r="A14" s="18" t="s">
        <v>22</v>
      </c>
      <c r="B14" s="6">
        <f>'3. Análisis de torsión.'!B36*100</f>
        <v>245.00000000000003</v>
      </c>
      <c r="C14" s="146">
        <f>'6. Carga vertical.'!E14/1.4</f>
        <v>4.9935524999999998</v>
      </c>
      <c r="D14" s="325">
        <v>7.0780000000000003</v>
      </c>
      <c r="E14" s="146">
        <f>'3. Análisis de torsión.'!H36*'7. Cortante basal.'!$F$20</f>
        <v>4.6366846911522757</v>
      </c>
      <c r="F14" s="5" t="str">
        <f t="shared" si="0"/>
        <v>No</v>
      </c>
      <c r="G14" s="358">
        <v>0</v>
      </c>
      <c r="H14" s="359">
        <f t="shared" si="1"/>
        <v>7.0780000000000003</v>
      </c>
      <c r="I14" s="294"/>
      <c r="J14" s="6"/>
      <c r="K14" s="146"/>
      <c r="L14" s="5"/>
      <c r="M14" s="146"/>
      <c r="N14" s="5"/>
      <c r="O14" s="358"/>
      <c r="P14" s="359"/>
    </row>
    <row r="15" spans="1:25" ht="14.45" customHeight="1">
      <c r="A15" s="18" t="s">
        <v>23</v>
      </c>
      <c r="B15" s="6">
        <f>'3. Análisis de torsión.'!B37*100</f>
        <v>206.99999999999997</v>
      </c>
      <c r="C15" s="146">
        <f>'6. Carga vertical.'!E15/1.4</f>
        <v>2.4190604999999996</v>
      </c>
      <c r="D15" s="325">
        <v>5.6909999999999998</v>
      </c>
      <c r="E15" s="146">
        <f>'3. Análisis de torsión.'!H37*'7. Cortante basal.'!$F$20</f>
        <v>3.9868987295082334</v>
      </c>
      <c r="F15" s="5" t="str">
        <f t="shared" si="0"/>
        <v>No</v>
      </c>
      <c r="G15" s="358">
        <v>0</v>
      </c>
      <c r="H15" s="359">
        <f t="shared" si="1"/>
        <v>5.6909999999999998</v>
      </c>
      <c r="I15" s="294"/>
      <c r="J15" s="6"/>
      <c r="K15" s="146"/>
      <c r="L15" s="5"/>
      <c r="M15" s="146"/>
      <c r="N15" s="5"/>
      <c r="O15" s="358"/>
      <c r="P15" s="359"/>
    </row>
    <row r="16" spans="1:25" ht="14.45" customHeight="1">
      <c r="A16" s="18"/>
      <c r="B16" s="6"/>
      <c r="C16" s="146"/>
      <c r="D16" s="5"/>
      <c r="E16" s="146"/>
      <c r="F16" s="5"/>
      <c r="G16" s="360"/>
      <c r="H16" s="359"/>
      <c r="I16" s="294"/>
      <c r="J16" s="6"/>
      <c r="K16" s="146"/>
      <c r="L16" s="5"/>
      <c r="M16" s="146"/>
      <c r="N16" s="5"/>
      <c r="O16" s="360"/>
      <c r="P16" s="359"/>
    </row>
    <row r="17" spans="1:28" ht="14.45" customHeight="1">
      <c r="A17" s="18"/>
      <c r="B17" s="6"/>
      <c r="C17" s="146"/>
      <c r="D17" s="5"/>
      <c r="E17" s="146"/>
      <c r="F17" s="5"/>
      <c r="G17" s="360"/>
      <c r="H17" s="359"/>
      <c r="I17" s="294"/>
      <c r="J17" s="6"/>
      <c r="K17" s="146"/>
      <c r="L17" s="5"/>
      <c r="M17" s="146"/>
      <c r="N17" s="5"/>
      <c r="O17" s="360"/>
      <c r="P17" s="359"/>
    </row>
    <row r="18" spans="1:28" ht="14.45" customHeight="1">
      <c r="A18" s="18"/>
      <c r="B18" s="6"/>
      <c r="C18" s="146"/>
      <c r="D18" s="5"/>
      <c r="E18" s="146"/>
      <c r="F18" s="5"/>
      <c r="G18" s="360"/>
      <c r="H18" s="359"/>
      <c r="I18" s="294"/>
      <c r="J18" s="6"/>
      <c r="K18" s="146"/>
      <c r="L18" s="5"/>
      <c r="M18" s="146"/>
      <c r="N18" s="5"/>
      <c r="O18" s="360"/>
      <c r="P18" s="359"/>
    </row>
    <row r="19" spans="1:28" ht="14.45" customHeight="1" thickBot="1">
      <c r="A19" s="51"/>
      <c r="B19" s="29"/>
      <c r="C19" s="194"/>
      <c r="D19" s="321"/>
      <c r="E19" s="194"/>
      <c r="F19" s="321"/>
      <c r="G19" s="361"/>
      <c r="H19" s="362"/>
      <c r="I19" s="295"/>
      <c r="J19" s="29"/>
      <c r="K19" s="194"/>
      <c r="L19" s="321"/>
      <c r="M19" s="194"/>
      <c r="N19" s="321"/>
      <c r="O19" s="361"/>
      <c r="P19" s="362"/>
    </row>
    <row r="20" spans="1:28" ht="21" thickBot="1">
      <c r="A20" s="161" t="s">
        <v>59</v>
      </c>
      <c r="B20" s="187">
        <f>SUM(B5:B19)</f>
        <v>1925</v>
      </c>
      <c r="C20" s="363"/>
      <c r="D20" s="363">
        <f t="shared" ref="D20:H20" si="4">SUM(D5:D19)</f>
        <v>57.804000000000002</v>
      </c>
      <c r="E20" s="363">
        <f t="shared" si="4"/>
        <v>37.011784564812451</v>
      </c>
      <c r="F20" s="363"/>
      <c r="G20" s="363"/>
      <c r="H20" s="364">
        <f t="shared" si="4"/>
        <v>57.804000000000002</v>
      </c>
      <c r="I20" s="161" t="s">
        <v>59</v>
      </c>
      <c r="J20" s="187">
        <f>SUM(J5:J19)</f>
        <v>3548</v>
      </c>
      <c r="K20" s="363"/>
      <c r="L20" s="363">
        <f t="shared" ref="L20" si="5">SUM(L5:L19)</f>
        <v>123.88900000000001</v>
      </c>
      <c r="M20" s="363">
        <f t="shared" ref="M20" si="6">SUM(M5:M19)</f>
        <v>37.011784564812444</v>
      </c>
      <c r="N20" s="350"/>
      <c r="O20" s="363"/>
      <c r="P20" s="364">
        <f t="shared" ref="P20" si="7">SUM(P5:P19)</f>
        <v>123.88900000000001</v>
      </c>
      <c r="AB20" s="420" t="s">
        <v>289</v>
      </c>
    </row>
    <row r="21" spans="1:28" ht="15.75">
      <c r="A21" s="7"/>
      <c r="B21" s="108"/>
      <c r="C21" s="168"/>
      <c r="D21" s="168"/>
      <c r="E21" s="168"/>
      <c r="F21" s="34"/>
      <c r="G21" s="34"/>
      <c r="H21" s="34"/>
      <c r="I21" s="34"/>
      <c r="J21" s="34"/>
    </row>
    <row r="22" spans="1:28" ht="16.5" thickBot="1">
      <c r="A22" s="169"/>
      <c r="B22" s="170"/>
      <c r="C22" s="168"/>
      <c r="D22" s="171"/>
      <c r="E22" s="171"/>
      <c r="F22" s="34"/>
      <c r="G22" s="34"/>
      <c r="H22" s="34"/>
      <c r="I22" s="34"/>
      <c r="J22" s="34"/>
    </row>
    <row r="23" spans="1:28">
      <c r="A23" s="579" t="s">
        <v>136</v>
      </c>
      <c r="B23" s="580"/>
      <c r="C23" s="580"/>
      <c r="D23" s="580"/>
      <c r="E23" s="580"/>
      <c r="F23" s="580"/>
      <c r="G23" s="580"/>
      <c r="H23" s="581"/>
      <c r="I23" s="579" t="s">
        <v>136</v>
      </c>
      <c r="J23" s="580"/>
      <c r="K23" s="580"/>
      <c r="L23" s="580"/>
      <c r="M23" s="580"/>
      <c r="N23" s="580"/>
      <c r="O23" s="580"/>
      <c r="P23" s="581"/>
    </row>
    <row r="24" spans="1:28" ht="15.75" thickBot="1">
      <c r="A24" s="582" t="s">
        <v>119</v>
      </c>
      <c r="B24" s="583"/>
      <c r="C24" s="583"/>
      <c r="D24" s="583"/>
      <c r="E24" s="583"/>
      <c r="F24" s="583"/>
      <c r="G24" s="583"/>
      <c r="H24" s="584"/>
      <c r="I24" s="582" t="s">
        <v>119</v>
      </c>
      <c r="J24" s="583"/>
      <c r="K24" s="583"/>
      <c r="L24" s="583"/>
      <c r="M24" s="583"/>
      <c r="N24" s="583"/>
      <c r="O24" s="583"/>
      <c r="P24" s="584"/>
    </row>
    <row r="25" spans="1:28" ht="18.75">
      <c r="A25" s="577" t="s">
        <v>32</v>
      </c>
      <c r="B25" s="172" t="s">
        <v>131</v>
      </c>
      <c r="C25" s="173" t="s">
        <v>144</v>
      </c>
      <c r="D25" s="371" t="s">
        <v>301</v>
      </c>
      <c r="E25" s="370" t="s">
        <v>273</v>
      </c>
      <c r="F25" s="172" t="s">
        <v>134</v>
      </c>
      <c r="G25" s="296" t="s">
        <v>243</v>
      </c>
      <c r="H25" s="172" t="s">
        <v>242</v>
      </c>
      <c r="I25" s="577" t="s">
        <v>32</v>
      </c>
      <c r="J25" s="172" t="s">
        <v>131</v>
      </c>
      <c r="K25" s="188" t="s">
        <v>144</v>
      </c>
      <c r="L25" s="371" t="s">
        <v>301</v>
      </c>
      <c r="M25" s="370" t="s">
        <v>273</v>
      </c>
      <c r="N25" s="172" t="s">
        <v>134</v>
      </c>
      <c r="O25" s="291" t="s">
        <v>241</v>
      </c>
      <c r="P25" s="172" t="s">
        <v>242</v>
      </c>
    </row>
    <row r="26" spans="1:28" ht="15.75" thickBot="1">
      <c r="A26" s="578"/>
      <c r="B26" s="174" t="s">
        <v>132</v>
      </c>
      <c r="C26" s="175" t="s">
        <v>133</v>
      </c>
      <c r="D26" s="174" t="s">
        <v>133</v>
      </c>
      <c r="E26" s="175" t="s">
        <v>133</v>
      </c>
      <c r="F26" s="174" t="s">
        <v>135</v>
      </c>
      <c r="G26" s="292" t="s">
        <v>133</v>
      </c>
      <c r="H26" s="292" t="s">
        <v>133</v>
      </c>
      <c r="I26" s="578"/>
      <c r="J26" s="174" t="s">
        <v>132</v>
      </c>
      <c r="K26" s="175" t="s">
        <v>133</v>
      </c>
      <c r="L26" s="174" t="s">
        <v>133</v>
      </c>
      <c r="M26" s="175" t="s">
        <v>133</v>
      </c>
      <c r="N26" s="174" t="s">
        <v>135</v>
      </c>
      <c r="O26" s="292" t="s">
        <v>133</v>
      </c>
      <c r="P26" s="292" t="s">
        <v>133</v>
      </c>
    </row>
    <row r="27" spans="1:28">
      <c r="A27" s="19" t="s">
        <v>13</v>
      </c>
      <c r="B27" s="186">
        <f>'3. Análisis de torsión.'!J27*100</f>
        <v>130</v>
      </c>
      <c r="C27" s="93">
        <f>'6. Carga vertical.'!E28/1.4</f>
        <v>4.2963440000000004</v>
      </c>
      <c r="D27" s="115">
        <v>4.2359999999999998</v>
      </c>
      <c r="E27" s="93">
        <f>'3. Análisis de torsión.'!P27*'7. Cortante basal.'!$F$21</f>
        <v>4.6640859314729317</v>
      </c>
      <c r="F27" s="115" t="str">
        <f>IF(E27/D27&lt;1,"No","Si")</f>
        <v>Si</v>
      </c>
      <c r="G27" s="356">
        <v>1.1659999999999999</v>
      </c>
      <c r="H27" s="357">
        <f>D27+G27</f>
        <v>5.4019999999999992</v>
      </c>
      <c r="I27" s="293" t="s">
        <v>24</v>
      </c>
      <c r="J27" s="28">
        <f>'3. Análisis de torsión.'!R6*100</f>
        <v>1135</v>
      </c>
      <c r="K27" s="93">
        <f>'6. Carga vertical.'!N28/1.4</f>
        <v>28.216462000000003</v>
      </c>
      <c r="L27" s="115">
        <v>47.156999999999996</v>
      </c>
      <c r="M27" s="93">
        <f>'3. Análisis de torsión.'!X6*'7. Cortante basal.'!$F$21</f>
        <v>18.425160784388709</v>
      </c>
      <c r="N27" s="115" t="str">
        <f>IF(M27/L27&lt;1,"No","Si")</f>
        <v>No</v>
      </c>
      <c r="O27" s="356">
        <v>0</v>
      </c>
      <c r="P27" s="357">
        <f>L27+O27</f>
        <v>47.156999999999996</v>
      </c>
    </row>
    <row r="28" spans="1:28">
      <c r="A28" s="18" t="s">
        <v>14</v>
      </c>
      <c r="B28" s="6">
        <f>'3. Análisis de torsión.'!J28*100</f>
        <v>135</v>
      </c>
      <c r="C28" s="146">
        <f>'6. Carga vertical.'!E29/1.4</f>
        <v>6.9378600000000006</v>
      </c>
      <c r="D28" s="5">
        <v>4.8579999999999997</v>
      </c>
      <c r="E28" s="365">
        <f>'3. Análisis de torsión.'!P28*'7. Cortante basal.'!$F$21</f>
        <v>4.8420842136731341</v>
      </c>
      <c r="F28" s="325" t="str">
        <f t="shared" ref="F28:F37" si="8">IF(E28/D28&lt;1,"No","Si")</f>
        <v>No</v>
      </c>
      <c r="G28" s="358">
        <v>1.1639999999999999</v>
      </c>
      <c r="H28" s="359">
        <f t="shared" ref="H28:H37" si="9">D28+G28</f>
        <v>6.0219999999999994</v>
      </c>
      <c r="I28" s="294" t="s">
        <v>25</v>
      </c>
      <c r="J28" s="6">
        <f>'3. Análisis de torsión.'!R7*100</f>
        <v>170</v>
      </c>
      <c r="K28" s="146">
        <f>'6. Carga vertical.'!N29/1.4</f>
        <v>6.7187375000000005</v>
      </c>
      <c r="L28" s="5">
        <v>5.2869999999999999</v>
      </c>
      <c r="M28" s="146">
        <f>'3. Análisis de torsión.'!X7*'7. Cortante basal.'!$F$21</f>
        <v>3.7609615460721497</v>
      </c>
      <c r="N28" s="5" t="str">
        <f t="shared" ref="N28:N33" si="10">IF(M28/L28&lt;1,"No","Si")</f>
        <v>No</v>
      </c>
      <c r="O28" s="358">
        <v>0</v>
      </c>
      <c r="P28" s="359">
        <f t="shared" ref="P28:P33" si="11">L28+O28</f>
        <v>5.2869999999999999</v>
      </c>
    </row>
    <row r="29" spans="1:28">
      <c r="A29" s="18" t="s">
        <v>15</v>
      </c>
      <c r="B29" s="6">
        <f>'3. Análisis de torsión.'!J29*100</f>
        <v>145</v>
      </c>
      <c r="C29" s="146">
        <f>'6. Carga vertical.'!E30/1.4</f>
        <v>3.2208619999999999</v>
      </c>
      <c r="D29" s="5">
        <v>6.15</v>
      </c>
      <c r="E29" s="146">
        <f>'3. Análisis de torsión.'!P29*'7. Cortante basal.'!$F$21</f>
        <v>5.2003897766109066</v>
      </c>
      <c r="F29" s="325" t="str">
        <f t="shared" si="8"/>
        <v>No</v>
      </c>
      <c r="G29" s="358">
        <v>0</v>
      </c>
      <c r="H29" s="359">
        <f t="shared" si="9"/>
        <v>6.15</v>
      </c>
      <c r="I29" s="294" t="s">
        <v>26</v>
      </c>
      <c r="J29" s="6">
        <f>'3. Análisis de torsión.'!R8*100</f>
        <v>443</v>
      </c>
      <c r="K29" s="146">
        <f>'6. Carga vertical.'!N30/1.4</f>
        <v>14.407748</v>
      </c>
      <c r="L29" s="5">
        <v>16.125</v>
      </c>
      <c r="M29" s="146">
        <f>'3. Análisis de torsión.'!X8*'7. Cortante basal.'!$F$21</f>
        <v>8.5915806315735406</v>
      </c>
      <c r="N29" s="5" t="str">
        <f t="shared" si="10"/>
        <v>No</v>
      </c>
      <c r="O29" s="358">
        <v>0</v>
      </c>
      <c r="P29" s="359">
        <f t="shared" si="11"/>
        <v>16.125</v>
      </c>
    </row>
    <row r="30" spans="1:28">
      <c r="A30" s="18" t="s">
        <v>16</v>
      </c>
      <c r="B30" s="6">
        <f>'3. Análisis de torsión.'!J30*100</f>
        <v>145</v>
      </c>
      <c r="C30" s="146">
        <f>'6. Carga vertical.'!E31/1.4</f>
        <v>3.2208619999999999</v>
      </c>
      <c r="D30" s="5">
        <v>6.15</v>
      </c>
      <c r="E30" s="146">
        <f>'3. Análisis de torsión.'!P30*'7. Cortante basal.'!$F$21</f>
        <v>5.2003897766109066</v>
      </c>
      <c r="F30" s="325" t="str">
        <f t="shared" si="8"/>
        <v>No</v>
      </c>
      <c r="G30" s="358">
        <v>0</v>
      </c>
      <c r="H30" s="359">
        <f t="shared" si="9"/>
        <v>6.15</v>
      </c>
      <c r="I30" s="294" t="s">
        <v>27</v>
      </c>
      <c r="J30" s="6">
        <f>'3. Análisis de torsión.'!R9*100</f>
        <v>365</v>
      </c>
      <c r="K30" s="146">
        <f>'6. Carga vertical.'!N31/1.4</f>
        <v>12.251094500000001</v>
      </c>
      <c r="L30" s="5">
        <v>12.435</v>
      </c>
      <c r="M30" s="146">
        <f>'3. Análisis de torsión.'!X9*'7. Cortante basal.'!$F$21</f>
        <v>7.3557922188062559</v>
      </c>
      <c r="N30" s="5" t="str">
        <f t="shared" si="10"/>
        <v>No</v>
      </c>
      <c r="O30" s="358">
        <v>0</v>
      </c>
      <c r="P30" s="359">
        <f t="shared" si="11"/>
        <v>12.435</v>
      </c>
    </row>
    <row r="31" spans="1:28">
      <c r="A31" s="18" t="s">
        <v>17</v>
      </c>
      <c r="B31" s="6">
        <f>'3. Análisis de torsión.'!J31*100</f>
        <v>235</v>
      </c>
      <c r="C31" s="146">
        <f>'6. Carga vertical.'!E32/1.4</f>
        <v>7.0741525000000003</v>
      </c>
      <c r="D31" s="325">
        <v>7.2389999999999999</v>
      </c>
      <c r="E31" s="146">
        <f>'3. Análisis de torsión.'!P31*'7. Cortante basal.'!$F$21</f>
        <v>8.2226374939931492</v>
      </c>
      <c r="F31" s="325" t="str">
        <f t="shared" si="8"/>
        <v>Si</v>
      </c>
      <c r="G31" s="358">
        <v>2.9710000000000001</v>
      </c>
      <c r="H31" s="359">
        <f t="shared" si="9"/>
        <v>10.210000000000001</v>
      </c>
      <c r="I31" s="294" t="s">
        <v>28</v>
      </c>
      <c r="J31" s="6">
        <f>'3. Análisis de torsión.'!R10*100</f>
        <v>370</v>
      </c>
      <c r="K31" s="146">
        <f>'6. Carga vertical.'!N32/1.4</f>
        <v>11.608543000000001</v>
      </c>
      <c r="L31" s="5">
        <v>12.500999999999999</v>
      </c>
      <c r="M31" s="146">
        <f>'3. Análisis de torsión.'!X10*'7. Cortante basal.'!$F$21</f>
        <v>7.4370990075718053</v>
      </c>
      <c r="N31" s="5" t="str">
        <f t="shared" si="10"/>
        <v>No</v>
      </c>
      <c r="O31" s="358">
        <v>0</v>
      </c>
      <c r="P31" s="359">
        <f t="shared" si="11"/>
        <v>12.500999999999999</v>
      </c>
    </row>
    <row r="32" spans="1:28">
      <c r="A32" s="18" t="s">
        <v>18</v>
      </c>
      <c r="B32" s="6">
        <f>'3. Análisis de torsión.'!J32*100</f>
        <v>127</v>
      </c>
      <c r="C32" s="146">
        <f>'6. Carga vertical.'!E33/1.4</f>
        <v>4.2820184999999995</v>
      </c>
      <c r="D32" s="5">
        <v>4.1619999999999999</v>
      </c>
      <c r="E32" s="146">
        <f>'3. Análisis de torsión.'!P32*'7. Cortante basal.'!$F$21</f>
        <v>4.5581456861015068</v>
      </c>
      <c r="F32" s="325" t="str">
        <f>IF(E32/D32&lt;1,"No","Si")</f>
        <v>Si</v>
      </c>
      <c r="G32" s="358">
        <v>1.141</v>
      </c>
      <c r="H32" s="359">
        <f t="shared" si="9"/>
        <v>5.3029999999999999</v>
      </c>
      <c r="I32" s="294" t="s">
        <v>29</v>
      </c>
      <c r="J32" s="6">
        <f>'3. Análisis de torsión.'!R11*100</f>
        <v>250</v>
      </c>
      <c r="K32" s="146">
        <f>'6. Carga vertical.'!N33/1.4</f>
        <v>9.8542834999999993</v>
      </c>
      <c r="L32" s="5">
        <v>7.77</v>
      </c>
      <c r="M32" s="146">
        <f>'3. Análisis de torsión.'!X11*'7. Cortante basal.'!$F$21</f>
        <v>5.3640124658664412</v>
      </c>
      <c r="N32" s="5" t="str">
        <f t="shared" si="10"/>
        <v>No</v>
      </c>
      <c r="O32" s="358">
        <v>0</v>
      </c>
      <c r="P32" s="359">
        <f t="shared" si="11"/>
        <v>7.77</v>
      </c>
    </row>
    <row r="33" spans="1:16">
      <c r="A33" s="18" t="s">
        <v>19</v>
      </c>
      <c r="B33" s="6">
        <f>'3. Análisis de torsión.'!J33*100</f>
        <v>123</v>
      </c>
      <c r="C33" s="146">
        <f>'6. Carga vertical.'!E34/1.4</f>
        <v>3.5053179999999999</v>
      </c>
      <c r="D33" s="325">
        <v>3.5659999999999998</v>
      </c>
      <c r="E33" s="146">
        <f>'3. Análisis de torsión.'!P33*'7. Cortante basal.'!$F$21</f>
        <v>4.418405250247063</v>
      </c>
      <c r="F33" s="325" t="str">
        <f t="shared" si="8"/>
        <v>Si</v>
      </c>
      <c r="G33" s="358">
        <v>0.99199999999999999</v>
      </c>
      <c r="H33" s="359">
        <f t="shared" si="9"/>
        <v>4.5579999999999998</v>
      </c>
      <c r="I33" s="294" t="s">
        <v>31</v>
      </c>
      <c r="J33" s="6">
        <f>'3. Análisis de torsión.'!R12*100</f>
        <v>1015</v>
      </c>
      <c r="K33" s="146">
        <f>'6. Carga vertical.'!N34/1.4</f>
        <v>26.679329500000001</v>
      </c>
      <c r="L33" s="5">
        <v>42.039000000000001</v>
      </c>
      <c r="M33" s="146">
        <f>'3. Análisis de torsión.'!X12*'7. Cortante basal.'!$F$21</f>
        <v>16.778318502202342</v>
      </c>
      <c r="N33" s="5" t="str">
        <f t="shared" si="10"/>
        <v>No</v>
      </c>
      <c r="O33" s="358">
        <v>0</v>
      </c>
      <c r="P33" s="359">
        <f t="shared" si="11"/>
        <v>42.039000000000001</v>
      </c>
    </row>
    <row r="34" spans="1:16">
      <c r="A34" s="18" t="s">
        <v>20</v>
      </c>
      <c r="B34" s="6">
        <f>'3. Análisis de torsión.'!J34*100</f>
        <v>254.99999999999997</v>
      </c>
      <c r="C34" s="146">
        <f>'6. Carga vertical.'!E35/1.4</f>
        <v>12.550632000000002</v>
      </c>
      <c r="D34" s="5">
        <v>8.7560000000000002</v>
      </c>
      <c r="E34" s="146">
        <f>'3. Análisis de torsión.'!P34*'7. Cortante basal.'!$F$21</f>
        <v>8.8314042875070129</v>
      </c>
      <c r="F34" s="325" t="str">
        <f t="shared" si="8"/>
        <v>Si</v>
      </c>
      <c r="G34" s="358">
        <v>3.5190000000000001</v>
      </c>
      <c r="H34" s="359">
        <f t="shared" si="9"/>
        <v>12.275</v>
      </c>
      <c r="I34" s="294"/>
      <c r="J34" s="9"/>
      <c r="K34" s="146"/>
      <c r="L34" s="5"/>
      <c r="M34" s="146"/>
      <c r="N34" s="5"/>
      <c r="O34" s="358"/>
      <c r="P34" s="359"/>
    </row>
    <row r="35" spans="1:16" ht="15" customHeight="1">
      <c r="A35" s="18" t="s">
        <v>21</v>
      </c>
      <c r="B35" s="6">
        <f>'3. Análisis de torsión.'!J35*100</f>
        <v>165</v>
      </c>
      <c r="C35" s="146">
        <f>'6. Carga vertical.'!E36/1.4</f>
        <v>5.632892</v>
      </c>
      <c r="D35" s="325">
        <v>4.9619999999999997</v>
      </c>
      <c r="E35" s="146">
        <f>'3. Análisis de torsión.'!P35*'7. Cortante basal.'!$F$21</f>
        <v>5.911694878045739</v>
      </c>
      <c r="F35" s="325" t="str">
        <f t="shared" si="8"/>
        <v>Si</v>
      </c>
      <c r="G35" s="358">
        <v>1.3149999999999999</v>
      </c>
      <c r="H35" s="359">
        <f t="shared" si="9"/>
        <v>6.2769999999999992</v>
      </c>
      <c r="I35" s="294"/>
      <c r="J35" s="9"/>
      <c r="K35" s="146"/>
      <c r="L35" s="5"/>
      <c r="M35" s="146"/>
      <c r="N35" s="5"/>
      <c r="O35" s="358"/>
      <c r="P35" s="359"/>
    </row>
    <row r="36" spans="1:16" ht="15" customHeight="1">
      <c r="A36" s="18" t="s">
        <v>22</v>
      </c>
      <c r="B36" s="6">
        <f>'3. Análisis de torsión.'!J36*100</f>
        <v>245.00000000000003</v>
      </c>
      <c r="C36" s="146">
        <f>'6. Carga vertical.'!E37/1.4</f>
        <v>10.45941</v>
      </c>
      <c r="D36" s="5">
        <v>8.0980000000000008</v>
      </c>
      <c r="E36" s="146">
        <f>'3. Análisis de torsión.'!P36*'7. Cortante basal.'!$F$21</f>
        <v>8.5295074063694436</v>
      </c>
      <c r="F36" s="325" t="str">
        <f t="shared" si="8"/>
        <v>Si</v>
      </c>
      <c r="G36" s="358">
        <v>3.2210000000000001</v>
      </c>
      <c r="H36" s="359">
        <f t="shared" si="9"/>
        <v>11.319000000000001</v>
      </c>
      <c r="I36" s="294"/>
      <c r="J36" s="9"/>
      <c r="K36" s="146"/>
      <c r="L36" s="5"/>
      <c r="M36" s="146"/>
      <c r="N36" s="5"/>
      <c r="O36" s="358"/>
      <c r="P36" s="359"/>
    </row>
    <row r="37" spans="1:16">
      <c r="A37" s="18" t="s">
        <v>23</v>
      </c>
      <c r="B37" s="6">
        <f>'3. Análisis de torsión.'!J37*100</f>
        <v>206.99999999999997</v>
      </c>
      <c r="C37" s="146">
        <f>'6. Carga vertical.'!E38/1.4</f>
        <v>6.0752834999999985</v>
      </c>
      <c r="D37" s="325">
        <v>6.3890000000000002</v>
      </c>
      <c r="E37" s="146">
        <f>'3. Análisis de torsión.'!P37*'7. Cortante basal.'!$F$21</f>
        <v>7.3341804558494594</v>
      </c>
      <c r="F37" s="325" t="str">
        <f t="shared" si="8"/>
        <v>Si</v>
      </c>
      <c r="G37" s="358">
        <v>2.2999999999999998</v>
      </c>
      <c r="H37" s="359">
        <f t="shared" si="9"/>
        <v>8.6890000000000001</v>
      </c>
      <c r="I37" s="294"/>
      <c r="J37" s="9"/>
      <c r="K37" s="146"/>
      <c r="L37" s="5"/>
      <c r="M37" s="146"/>
      <c r="N37" s="5"/>
      <c r="O37" s="358"/>
      <c r="P37" s="359"/>
    </row>
    <row r="38" spans="1:16">
      <c r="A38" s="18"/>
      <c r="B38" s="6"/>
      <c r="C38" s="146"/>
      <c r="D38" s="5"/>
      <c r="E38" s="146"/>
      <c r="F38" s="5"/>
      <c r="G38" s="360"/>
      <c r="H38" s="359"/>
      <c r="I38" s="294"/>
      <c r="J38" s="9"/>
      <c r="K38" s="146"/>
      <c r="L38" s="5"/>
      <c r="M38" s="146"/>
      <c r="N38" s="5"/>
      <c r="O38" s="360"/>
      <c r="P38" s="359"/>
    </row>
    <row r="39" spans="1:16">
      <c r="A39" s="18"/>
      <c r="B39" s="6"/>
      <c r="C39" s="146"/>
      <c r="D39" s="5"/>
      <c r="E39" s="146"/>
      <c r="F39" s="5"/>
      <c r="G39" s="360"/>
      <c r="H39" s="359"/>
      <c r="I39" s="294"/>
      <c r="J39" s="9"/>
      <c r="K39" s="146"/>
      <c r="L39" s="5"/>
      <c r="M39" s="146"/>
      <c r="N39" s="5"/>
      <c r="O39" s="360"/>
      <c r="P39" s="359"/>
    </row>
    <row r="40" spans="1:16">
      <c r="A40" s="18"/>
      <c r="B40" s="6"/>
      <c r="C40" s="146"/>
      <c r="D40" s="5"/>
      <c r="E40" s="146"/>
      <c r="F40" s="5"/>
      <c r="G40" s="360"/>
      <c r="H40" s="359"/>
      <c r="I40" s="294"/>
      <c r="J40" s="9"/>
      <c r="K40" s="146"/>
      <c r="L40" s="5"/>
      <c r="M40" s="146"/>
      <c r="N40" s="5"/>
      <c r="O40" s="360"/>
      <c r="P40" s="359"/>
    </row>
    <row r="41" spans="1:16" ht="15.75" thickBot="1">
      <c r="A41" s="51"/>
      <c r="B41" s="29"/>
      <c r="C41" s="194"/>
      <c r="D41" s="321"/>
      <c r="E41" s="194"/>
      <c r="F41" s="321"/>
      <c r="G41" s="361"/>
      <c r="H41" s="362"/>
      <c r="I41" s="295"/>
      <c r="J41" s="155"/>
      <c r="K41" s="194"/>
      <c r="L41" s="321"/>
      <c r="M41" s="194"/>
      <c r="N41" s="321"/>
      <c r="O41" s="361"/>
      <c r="P41" s="362"/>
    </row>
    <row r="42" spans="1:16" ht="15.75" thickBot="1">
      <c r="A42" s="161" t="s">
        <v>59</v>
      </c>
      <c r="B42" s="187">
        <f>SUM(B27:B41)</f>
        <v>1912</v>
      </c>
      <c r="C42" s="363"/>
      <c r="D42" s="363">
        <f t="shared" ref="D42" si="12">SUM(D27:D41)</f>
        <v>64.566000000000003</v>
      </c>
      <c r="E42" s="363">
        <f t="shared" ref="E42" si="13">SUM(E27:E41)</f>
        <v>67.712925156481248</v>
      </c>
      <c r="F42" s="350"/>
      <c r="G42" s="363"/>
      <c r="H42" s="364">
        <f t="shared" ref="H42" si="14">SUM(H27:H41)</f>
        <v>82.35499999999999</v>
      </c>
      <c r="I42" s="161" t="s">
        <v>59</v>
      </c>
      <c r="J42" s="187">
        <f>SUM(J27:J41)</f>
        <v>3748</v>
      </c>
      <c r="K42" s="363"/>
      <c r="L42" s="363">
        <f t="shared" ref="L42" si="15">SUM(L27:L41)</f>
        <v>143.31399999999999</v>
      </c>
      <c r="M42" s="363">
        <f t="shared" ref="M42" si="16">SUM(M27:M41)</f>
        <v>67.712925156481234</v>
      </c>
      <c r="N42" s="350"/>
      <c r="O42" s="363"/>
      <c r="P42" s="364">
        <f t="shared" ref="P42" si="17">SUM(P27:P41)</f>
        <v>143.31399999999999</v>
      </c>
    </row>
    <row r="47" spans="1:16">
      <c r="A47" s="274"/>
      <c r="B47" s="106"/>
      <c r="C47" s="106"/>
      <c r="D47" s="106"/>
      <c r="E47" s="106"/>
      <c r="F47" s="106"/>
    </row>
    <row r="48" spans="1:16" ht="14.45" customHeight="1">
      <c r="A48" s="162"/>
      <c r="B48" s="162"/>
      <c r="C48" s="162"/>
      <c r="D48" s="162"/>
      <c r="E48" s="162"/>
      <c r="F48" s="275"/>
    </row>
    <row r="49" spans="1:15" ht="14.45" customHeight="1">
      <c r="A49" s="162"/>
      <c r="B49" s="162"/>
      <c r="C49" s="162"/>
      <c r="D49" s="162"/>
      <c r="E49" s="162"/>
      <c r="F49" s="275"/>
      <c r="J49" s="176"/>
      <c r="K49" s="177"/>
      <c r="L49" s="177"/>
      <c r="M49" s="177"/>
      <c r="N49" s="177"/>
      <c r="O49" s="177"/>
    </row>
    <row r="50" spans="1:15" ht="14.45" customHeight="1">
      <c r="A50" s="7"/>
      <c r="B50" s="165"/>
      <c r="C50" s="166"/>
      <c r="D50" s="166"/>
      <c r="E50" s="166"/>
      <c r="F50" s="167"/>
      <c r="J50" s="162"/>
      <c r="K50" s="162"/>
      <c r="L50" s="162"/>
      <c r="M50" s="163"/>
      <c r="N50" s="163"/>
      <c r="O50" s="164"/>
    </row>
    <row r="51" spans="1:15" ht="14.45" customHeight="1">
      <c r="A51" s="7"/>
      <c r="B51" s="165"/>
      <c r="C51" s="166"/>
      <c r="D51" s="166"/>
      <c r="E51" s="166"/>
      <c r="F51" s="167"/>
      <c r="J51" s="162"/>
      <c r="K51" s="162"/>
      <c r="L51" s="162"/>
      <c r="M51" s="162"/>
      <c r="N51" s="162"/>
      <c r="O51" s="164"/>
    </row>
    <row r="52" spans="1:15" ht="15.75">
      <c r="A52" s="7"/>
      <c r="B52" s="165"/>
      <c r="C52" s="166"/>
      <c r="D52" s="166"/>
      <c r="E52" s="166"/>
      <c r="F52" s="167"/>
      <c r="J52" s="178"/>
      <c r="K52" s="165"/>
      <c r="L52" s="166"/>
      <c r="M52" s="182"/>
      <c r="N52" s="182"/>
      <c r="O52" s="167"/>
    </row>
    <row r="53" spans="1:15" ht="15.75">
      <c r="A53" s="7"/>
      <c r="B53" s="165"/>
      <c r="C53" s="166"/>
      <c r="D53" s="166"/>
      <c r="E53" s="166"/>
      <c r="F53" s="167"/>
      <c r="J53" s="178"/>
      <c r="K53" s="165"/>
      <c r="L53" s="166"/>
      <c r="M53" s="182"/>
      <c r="N53" s="182"/>
      <c r="O53" s="167"/>
    </row>
    <row r="54" spans="1:15" ht="15.75">
      <c r="A54" s="7"/>
      <c r="B54" s="165"/>
      <c r="C54" s="166"/>
      <c r="D54" s="166"/>
      <c r="E54" s="166"/>
      <c r="F54" s="167"/>
      <c r="J54" s="178"/>
      <c r="K54" s="165"/>
      <c r="L54" s="166"/>
      <c r="M54" s="182"/>
      <c r="N54" s="182"/>
      <c r="O54" s="167"/>
    </row>
    <row r="55" spans="1:15" ht="15.75">
      <c r="A55" s="7"/>
      <c r="B55" s="165"/>
      <c r="C55" s="166"/>
      <c r="D55" s="166"/>
      <c r="E55" s="166"/>
      <c r="F55" s="167"/>
      <c r="J55" s="178"/>
      <c r="K55" s="165"/>
      <c r="L55" s="166"/>
      <c r="M55" s="182"/>
      <c r="N55" s="182"/>
      <c r="O55" s="167"/>
    </row>
    <row r="56" spans="1:15" ht="15.75">
      <c r="A56" s="7"/>
      <c r="B56" s="165"/>
      <c r="C56" s="166"/>
      <c r="D56" s="166"/>
      <c r="E56" s="166"/>
      <c r="F56" s="167"/>
      <c r="J56" s="178"/>
      <c r="K56" s="165"/>
      <c r="L56" s="166"/>
      <c r="M56" s="182"/>
      <c r="N56" s="182"/>
      <c r="O56" s="167"/>
    </row>
    <row r="57" spans="1:15" ht="15.75">
      <c r="A57" s="7"/>
      <c r="B57" s="165"/>
      <c r="C57" s="166"/>
      <c r="D57" s="166"/>
      <c r="E57" s="166"/>
      <c r="F57" s="167"/>
      <c r="J57" s="178"/>
      <c r="K57" s="165"/>
      <c r="L57" s="166"/>
      <c r="M57" s="182"/>
      <c r="N57" s="182"/>
      <c r="O57" s="167"/>
    </row>
    <row r="58" spans="1:15" ht="15.75">
      <c r="A58" s="7"/>
      <c r="B58" s="165"/>
      <c r="C58" s="166"/>
      <c r="D58" s="166"/>
      <c r="E58" s="166"/>
      <c r="F58" s="167"/>
      <c r="J58" s="178"/>
      <c r="K58" s="165"/>
      <c r="L58" s="166"/>
      <c r="M58" s="182"/>
      <c r="N58" s="182"/>
      <c r="O58" s="167"/>
    </row>
    <row r="59" spans="1:15" ht="15.75">
      <c r="A59" s="7"/>
      <c r="B59" s="102"/>
      <c r="C59" s="276"/>
      <c r="D59" s="276"/>
      <c r="E59" s="276"/>
      <c r="F59" s="95"/>
      <c r="J59" s="178"/>
      <c r="K59" s="165"/>
      <c r="L59" s="166"/>
      <c r="M59" s="182"/>
      <c r="N59" s="182"/>
      <c r="O59" s="167"/>
    </row>
    <row r="60" spans="1:15" ht="15.75">
      <c r="A60" s="7"/>
      <c r="B60" s="102"/>
      <c r="C60" s="276"/>
      <c r="D60" s="276"/>
      <c r="E60" s="276"/>
      <c r="F60" s="95"/>
      <c r="J60" s="178"/>
      <c r="K60" s="165"/>
      <c r="L60" s="166"/>
      <c r="M60" s="182"/>
      <c r="N60" s="182"/>
      <c r="O60" s="167"/>
    </row>
    <row r="61" spans="1:15" ht="15.75">
      <c r="A61" s="7"/>
      <c r="B61" s="102"/>
      <c r="C61" s="276"/>
      <c r="D61" s="276"/>
      <c r="E61" s="276"/>
      <c r="F61" s="95"/>
      <c r="J61" s="178"/>
      <c r="K61" s="165"/>
      <c r="L61" s="168"/>
      <c r="M61" s="168"/>
      <c r="N61" s="168"/>
      <c r="O61" s="183"/>
    </row>
    <row r="62" spans="1:15" ht="15.75">
      <c r="A62" s="7"/>
      <c r="B62" s="102"/>
      <c r="C62" s="276"/>
      <c r="D62" s="276"/>
      <c r="E62" s="276"/>
      <c r="F62" s="95"/>
      <c r="J62" s="178"/>
      <c r="K62" s="165"/>
      <c r="L62" s="168"/>
      <c r="M62" s="168"/>
      <c r="N62" s="168"/>
      <c r="O62" s="183"/>
    </row>
    <row r="63" spans="1:15" ht="15.75">
      <c r="A63" s="7"/>
      <c r="B63" s="102"/>
      <c r="C63" s="276"/>
      <c r="D63" s="276"/>
      <c r="E63" s="276"/>
      <c r="F63" s="95"/>
      <c r="J63" s="178"/>
      <c r="K63" s="165"/>
      <c r="L63" s="168"/>
      <c r="M63" s="168"/>
      <c r="N63" s="168"/>
      <c r="O63" s="184"/>
    </row>
    <row r="64" spans="1:15" ht="15.75">
      <c r="A64" s="7"/>
      <c r="B64" s="102"/>
      <c r="C64" s="276"/>
      <c r="D64" s="276"/>
      <c r="E64" s="276"/>
      <c r="F64" s="95"/>
      <c r="J64" s="178"/>
      <c r="K64" s="165"/>
      <c r="L64" s="168"/>
      <c r="M64" s="168"/>
      <c r="N64" s="168"/>
      <c r="O64" s="183"/>
    </row>
    <row r="65" spans="1:15" ht="15.75">
      <c r="A65" s="7"/>
      <c r="B65" s="102"/>
      <c r="C65" s="276"/>
      <c r="D65" s="276"/>
      <c r="E65" s="276"/>
      <c r="F65" s="95"/>
      <c r="J65" s="178"/>
      <c r="K65" s="165"/>
      <c r="L65" s="168"/>
      <c r="M65" s="168"/>
      <c r="N65" s="168"/>
      <c r="O65" s="183"/>
    </row>
    <row r="66" spans="1:15" ht="15.75">
      <c r="A66" s="7"/>
      <c r="B66" s="102"/>
      <c r="C66" s="276"/>
      <c r="D66" s="276"/>
      <c r="E66" s="276"/>
      <c r="F66" s="95"/>
      <c r="J66" s="178"/>
      <c r="K66" s="165"/>
      <c r="L66" s="168"/>
      <c r="M66" s="168"/>
      <c r="N66" s="168"/>
      <c r="O66" s="183"/>
    </row>
    <row r="67" spans="1:15" ht="15.75">
      <c r="A67" s="7"/>
      <c r="B67" s="108"/>
      <c r="C67" s="276"/>
      <c r="D67" s="276"/>
      <c r="E67" s="276"/>
      <c r="F67" s="95"/>
      <c r="G67" s="34"/>
      <c r="H67" s="34"/>
      <c r="J67" s="178"/>
      <c r="K67" s="165"/>
      <c r="L67" s="168"/>
      <c r="M67" s="168"/>
      <c r="N67" s="168"/>
      <c r="O67" s="183"/>
    </row>
    <row r="68" spans="1:15" ht="15" customHeight="1">
      <c r="A68" s="169"/>
      <c r="B68" s="277"/>
      <c r="C68" s="276"/>
      <c r="D68" s="278"/>
      <c r="E68" s="279"/>
      <c r="F68" s="95"/>
      <c r="G68" s="34"/>
      <c r="H68" s="34"/>
      <c r="J68" s="178"/>
      <c r="K68" s="165"/>
      <c r="L68" s="168"/>
      <c r="M68" s="168"/>
      <c r="N68" s="168"/>
      <c r="O68" s="183"/>
    </row>
    <row r="69" spans="1:15" ht="15" customHeight="1">
      <c r="A69" s="162"/>
      <c r="B69" s="162"/>
      <c r="C69" s="162"/>
      <c r="D69" s="162"/>
      <c r="E69" s="162"/>
      <c r="F69" s="164"/>
      <c r="G69" s="34"/>
      <c r="H69" s="34"/>
      <c r="J69" s="7"/>
      <c r="K69" s="185"/>
      <c r="L69" s="168"/>
      <c r="M69" s="168"/>
      <c r="N69" s="168"/>
      <c r="O69" s="183"/>
    </row>
    <row r="70" spans="1:15" ht="15.75">
      <c r="A70" s="178"/>
      <c r="B70" s="165"/>
      <c r="C70" s="166"/>
      <c r="D70" s="166"/>
      <c r="E70" s="166"/>
      <c r="F70" s="167"/>
      <c r="G70" s="179"/>
      <c r="H70" s="179"/>
      <c r="I70" s="11"/>
      <c r="J70" s="169"/>
      <c r="K70" s="170"/>
      <c r="L70" s="168"/>
      <c r="M70" s="181"/>
      <c r="N70" s="181"/>
      <c r="O70" s="34"/>
    </row>
    <row r="71" spans="1:15">
      <c r="A71" s="178"/>
      <c r="B71" s="165"/>
      <c r="C71" s="166"/>
      <c r="D71" s="166"/>
      <c r="E71" s="166"/>
      <c r="F71" s="167"/>
      <c r="G71" s="179"/>
      <c r="H71" s="179"/>
      <c r="I71" s="11"/>
    </row>
    <row r="72" spans="1:15">
      <c r="A72" s="178"/>
      <c r="B72" s="165"/>
      <c r="C72" s="166"/>
      <c r="D72" s="166"/>
      <c r="E72" s="166"/>
      <c r="F72" s="167"/>
      <c r="G72" s="179"/>
      <c r="H72" s="179"/>
      <c r="I72" s="11"/>
    </row>
    <row r="73" spans="1:15">
      <c r="A73" s="178"/>
      <c r="B73" s="165"/>
      <c r="C73" s="166"/>
      <c r="D73" s="166"/>
      <c r="E73" s="166"/>
      <c r="F73" s="167"/>
      <c r="G73" s="179"/>
      <c r="H73" s="179"/>
      <c r="I73" s="11"/>
    </row>
    <row r="74" spans="1:15">
      <c r="A74" s="178"/>
      <c r="B74" s="165"/>
      <c r="C74" s="166"/>
      <c r="D74" s="166"/>
      <c r="E74" s="166"/>
      <c r="F74" s="167"/>
      <c r="G74" s="179"/>
      <c r="H74" s="179"/>
      <c r="I74" s="11"/>
    </row>
    <row r="75" spans="1:15">
      <c r="A75" s="178"/>
      <c r="B75" s="165"/>
      <c r="C75" s="166"/>
      <c r="D75" s="166"/>
      <c r="E75" s="166"/>
      <c r="F75" s="167"/>
      <c r="G75" s="179"/>
      <c r="H75" s="179"/>
      <c r="I75" s="11"/>
    </row>
    <row r="76" spans="1:15">
      <c r="A76" s="178"/>
      <c r="B76" s="165"/>
      <c r="C76" s="166"/>
      <c r="D76" s="166"/>
      <c r="E76" s="166"/>
      <c r="F76" s="167"/>
      <c r="G76" s="179"/>
      <c r="H76" s="179"/>
      <c r="I76" s="11"/>
    </row>
    <row r="77" spans="1:15">
      <c r="A77" s="178"/>
      <c r="B77" s="165"/>
      <c r="C77" s="166"/>
      <c r="D77" s="166"/>
      <c r="E77" s="166"/>
      <c r="F77" s="167"/>
      <c r="G77" s="179"/>
      <c r="H77" s="179"/>
      <c r="I77" s="11"/>
    </row>
    <row r="78" spans="1:15">
      <c r="A78" s="178"/>
      <c r="B78" s="165"/>
      <c r="C78" s="166"/>
      <c r="D78" s="166"/>
      <c r="E78" s="166"/>
      <c r="F78" s="167"/>
      <c r="G78" s="179"/>
      <c r="H78" s="179"/>
      <c r="I78" s="11"/>
    </row>
    <row r="79" spans="1:15">
      <c r="A79" s="178"/>
      <c r="B79" s="165"/>
      <c r="C79" s="166"/>
      <c r="D79" s="166"/>
      <c r="E79" s="166"/>
      <c r="F79" s="167"/>
      <c r="G79" s="179"/>
      <c r="H79" s="179"/>
      <c r="I79" s="11"/>
    </row>
    <row r="80" spans="1:15">
      <c r="A80" s="178"/>
      <c r="B80" s="165"/>
      <c r="C80" s="166"/>
      <c r="D80" s="166"/>
      <c r="E80" s="166"/>
      <c r="F80" s="167"/>
      <c r="G80" s="179"/>
      <c r="H80" s="179"/>
      <c r="I80" s="11"/>
    </row>
    <row r="81" spans="1:9">
      <c r="A81" s="178"/>
      <c r="B81" s="165"/>
      <c r="C81" s="166"/>
      <c r="D81" s="166"/>
      <c r="E81" s="166"/>
      <c r="F81" s="167"/>
      <c r="G81" s="179"/>
      <c r="H81" s="179"/>
      <c r="I81" s="11"/>
    </row>
    <row r="82" spans="1:9" ht="15.75">
      <c r="A82" s="178"/>
      <c r="B82" s="102"/>
      <c r="C82" s="168"/>
      <c r="D82" s="168"/>
      <c r="E82" s="168"/>
      <c r="F82" s="34"/>
      <c r="G82" s="34"/>
      <c r="H82" s="34"/>
    </row>
    <row r="83" spans="1:9" ht="15.75">
      <c r="A83" s="178"/>
      <c r="B83" s="102"/>
      <c r="C83" s="168"/>
      <c r="D83" s="168"/>
      <c r="E83" s="168"/>
      <c r="F83" s="34"/>
      <c r="G83" s="34"/>
      <c r="H83" s="34"/>
    </row>
    <row r="84" spans="1:9" ht="15.75">
      <c r="A84" s="178"/>
      <c r="B84" s="102"/>
      <c r="C84" s="168"/>
      <c r="D84" s="168"/>
      <c r="E84" s="168"/>
      <c r="F84" s="34"/>
      <c r="G84" s="34"/>
      <c r="H84" s="34"/>
    </row>
    <row r="85" spans="1:9" ht="15.75">
      <c r="A85" s="178"/>
      <c r="B85" s="102"/>
      <c r="C85" s="168"/>
      <c r="D85" s="168"/>
      <c r="E85" s="168"/>
      <c r="F85" s="34"/>
      <c r="G85" s="34"/>
      <c r="H85" s="34"/>
    </row>
    <row r="86" spans="1:9" ht="15.75">
      <c r="A86" s="178"/>
      <c r="B86" s="102"/>
      <c r="C86" s="168"/>
      <c r="D86" s="168"/>
      <c r="E86" s="168"/>
      <c r="F86" s="34"/>
      <c r="G86" s="34"/>
      <c r="H86" s="34"/>
    </row>
    <row r="87" spans="1:9" ht="15.75">
      <c r="A87" s="7"/>
      <c r="B87" s="108"/>
      <c r="C87" s="168"/>
      <c r="D87" s="168"/>
      <c r="E87" s="168"/>
      <c r="F87" s="34"/>
      <c r="G87" s="34"/>
      <c r="H87" s="34"/>
    </row>
    <row r="88" spans="1:9" ht="15.75">
      <c r="A88" s="169"/>
      <c r="B88" s="170"/>
      <c r="C88" s="168"/>
      <c r="D88" s="180"/>
      <c r="E88" s="181"/>
      <c r="F88" s="34"/>
      <c r="G88" s="34"/>
      <c r="H88" s="34"/>
    </row>
    <row r="89" spans="1:9">
      <c r="A89" s="34"/>
      <c r="B89" s="34"/>
      <c r="C89" s="34"/>
      <c r="D89" s="34"/>
      <c r="E89" s="34"/>
      <c r="F89" s="34"/>
      <c r="G89" s="34"/>
      <c r="H89" s="34"/>
    </row>
    <row r="102" spans="7:9" ht="15" customHeight="1"/>
    <row r="103" spans="7:9" ht="15" customHeight="1"/>
    <row r="104" spans="7:9">
      <c r="G104" s="3"/>
      <c r="H104" s="3"/>
      <c r="I104" s="3"/>
    </row>
    <row r="105" spans="7:9">
      <c r="G105" s="3"/>
      <c r="H105" s="3"/>
      <c r="I105" s="3"/>
    </row>
    <row r="106" spans="7:9">
      <c r="G106" s="3"/>
      <c r="H106" s="3"/>
      <c r="I106" s="3"/>
    </row>
    <row r="107" spans="7:9">
      <c r="G107" s="3"/>
      <c r="H107" s="3"/>
      <c r="I107" s="3"/>
    </row>
    <row r="108" spans="7:9">
      <c r="G108" s="3"/>
      <c r="H108" s="3"/>
      <c r="I108" s="3"/>
    </row>
  </sheetData>
  <mergeCells count="12">
    <mergeCell ref="A25:A26"/>
    <mergeCell ref="I3:I4"/>
    <mergeCell ref="I25:I26"/>
    <mergeCell ref="A3:A4"/>
    <mergeCell ref="A1:H1"/>
    <mergeCell ref="A2:H2"/>
    <mergeCell ref="A23:H23"/>
    <mergeCell ref="A24:H24"/>
    <mergeCell ref="I23:P23"/>
    <mergeCell ref="I24:P24"/>
    <mergeCell ref="I1:P1"/>
    <mergeCell ref="I2:P2"/>
  </mergeCells>
  <conditionalFormatting sqref="D38">
    <cfRule type="cellIs" dxfId="4" priority="4" operator="lessThan">
      <formula>$E$38</formula>
    </cfRule>
  </conditionalFormatting>
  <conditionalFormatting sqref="D39">
    <cfRule type="cellIs" dxfId="3" priority="3" operator="lessThan">
      <formula>$E$39</formula>
    </cfRule>
  </conditionalFormatting>
  <conditionalFormatting sqref="D40">
    <cfRule type="cellIs" dxfId="2" priority="2" operator="lessThan">
      <formula>$E$40</formula>
    </cfRule>
  </conditionalFormatting>
  <conditionalFormatting sqref="D41">
    <cfRule type="cellIs" dxfId="1" priority="1" operator="lessThan">
      <formula>$E$41</formula>
    </cfRule>
  </conditionalFormatting>
  <printOptions horizontalCentered="1"/>
  <pageMargins left="0.70866141732283472" right="0.70866141732283472" top="0.74803149606299213" bottom="0.74803149606299213" header="0.31496062992125984" footer="0.31496062992125984"/>
  <pageSetup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Presentación</vt:lpstr>
      <vt:lpstr>1. Datos generales.</vt:lpstr>
      <vt:lpstr>2. Espesor mínimo de losa.</vt:lpstr>
      <vt:lpstr>3. Análisis de torsión.</vt:lpstr>
      <vt:lpstr>4. Geometría de la estructura.</vt:lpstr>
      <vt:lpstr>5. Elementos confinantes.</vt:lpstr>
      <vt:lpstr>6. Carga vertical.</vt:lpstr>
      <vt:lpstr>7. Cortante basal.</vt:lpstr>
      <vt:lpstr>8. Carga lateral.</vt:lpstr>
      <vt:lpstr>9. Análisis y diseño de losa.</vt:lpstr>
      <vt:lpstr>10. Diseño por flexión.</vt:lpstr>
      <vt:lpstr>11. Diseño de cimentación.</vt:lpstr>
      <vt:lpstr>12. Diseño de trabe.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ITZEL</dc:creator>
  <cp:lastModifiedBy>HP 440</cp:lastModifiedBy>
  <cp:lastPrinted>2022-10-05T05:30:22Z</cp:lastPrinted>
  <dcterms:created xsi:type="dcterms:W3CDTF">2020-01-22T22:34:51Z</dcterms:created>
  <dcterms:modified xsi:type="dcterms:W3CDTF">2022-10-05T05:52:46Z</dcterms:modified>
</cp:coreProperties>
</file>