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picio\Documents\produccion\diseñodemurosdeconcreto\envio\version final\"/>
    </mc:Choice>
  </mc:AlternateContent>
  <xr:revisionPtr revIDLastSave="0" documentId="13_ncr:1_{CECE1EF7-D2E4-447E-9C93-EED87614A581}" xr6:coauthVersionLast="46" xr6:coauthVersionMax="46" xr10:uidLastSave="{00000000-0000-0000-0000-000000000000}"/>
  <bookViews>
    <workbookView xWindow="-120" yWindow="-120" windowWidth="29040" windowHeight="15990" activeTab="2" xr2:uid="{C0FBADAB-1A5F-4A1E-8B0A-4B146E19EDAA}"/>
  </bookViews>
  <sheets>
    <sheet name="Presentación" sheetId="4" r:id="rId1"/>
    <sheet name="Curva interacción nominal" sheetId="2" r:id="rId2"/>
    <sheet name="Curva resistente y MR-P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2" l="1"/>
  <c r="L32" i="3" l="1"/>
  <c r="J32" i="3"/>
  <c r="J31" i="3"/>
  <c r="F4" i="3" l="1"/>
  <c r="G9" i="3"/>
  <c r="G10" i="3" s="1"/>
  <c r="F10" i="3" s="1"/>
  <c r="G8" i="3"/>
  <c r="F8" i="3" s="1"/>
  <c r="G7" i="3"/>
  <c r="F7" i="3" s="1"/>
  <c r="G6" i="3"/>
  <c r="F6" i="3" s="1"/>
  <c r="G5" i="3"/>
  <c r="F5" i="3" s="1"/>
  <c r="F9" i="3" l="1"/>
  <c r="L14" i="3"/>
  <c r="C26" i="3" l="1"/>
  <c r="C14" i="3"/>
  <c r="C102" i="2"/>
  <c r="C101" i="2"/>
  <c r="G101" i="2" s="1"/>
  <c r="C100" i="2"/>
  <c r="G100" i="2" s="1"/>
  <c r="C99" i="2"/>
  <c r="C66" i="2"/>
  <c r="G66" i="2" s="1"/>
  <c r="C65" i="2"/>
  <c r="C64" i="2"/>
  <c r="C63" i="2"/>
  <c r="G99" i="2" l="1"/>
  <c r="G102" i="2"/>
  <c r="G64" i="2"/>
  <c r="G63" i="2"/>
  <c r="G65" i="2"/>
  <c r="B118" i="2" l="1"/>
  <c r="B10" i="3" s="1"/>
  <c r="B112" i="2"/>
  <c r="D5" i="2" l="1"/>
  <c r="D4" i="2"/>
  <c r="B16" i="2" l="1"/>
  <c r="L24" i="3" l="1"/>
  <c r="K14" i="3"/>
  <c r="K17" i="3" s="1"/>
  <c r="B4" i="3"/>
  <c r="C90" i="2"/>
  <c r="C89" i="2"/>
  <c r="G89" i="2" s="1"/>
  <c r="C88" i="2"/>
  <c r="G88" i="2" s="1"/>
  <c r="C87" i="2"/>
  <c r="C78" i="2"/>
  <c r="C77" i="2"/>
  <c r="G77" i="2" s="1"/>
  <c r="C76" i="2"/>
  <c r="C75" i="2"/>
  <c r="C54" i="2"/>
  <c r="G54" i="2" s="1"/>
  <c r="C53" i="2"/>
  <c r="G53" i="2" s="1"/>
  <c r="C52" i="2"/>
  <c r="G52" i="2" s="1"/>
  <c r="C51" i="2"/>
  <c r="G51" i="2" s="1"/>
  <c r="B14" i="2"/>
  <c r="E95" i="2" s="1"/>
  <c r="E96" i="2" l="1"/>
  <c r="E97" i="2" s="1"/>
  <c r="D100" i="2"/>
  <c r="D101" i="2"/>
  <c r="D102" i="2"/>
  <c r="D99" i="2"/>
  <c r="B101" i="2"/>
  <c r="B99" i="2"/>
  <c r="B102" i="2"/>
  <c r="B100" i="2"/>
  <c r="H95" i="2"/>
  <c r="E71" i="2"/>
  <c r="D77" i="2" s="1"/>
  <c r="E77" i="2" s="1"/>
  <c r="E59" i="2"/>
  <c r="B13" i="2"/>
  <c r="B43" i="2" s="1"/>
  <c r="C112" i="2" s="1"/>
  <c r="C4" i="3" s="1"/>
  <c r="B65" i="2"/>
  <c r="B66" i="2"/>
  <c r="B64" i="2"/>
  <c r="B63" i="2"/>
  <c r="D76" i="2"/>
  <c r="E76" i="2" s="1"/>
  <c r="B53" i="2"/>
  <c r="B88" i="2"/>
  <c r="B90" i="2"/>
  <c r="B77" i="2"/>
  <c r="E83" i="2"/>
  <c r="E47" i="2"/>
  <c r="B75" i="2"/>
  <c r="B51" i="2"/>
  <c r="B87" i="2"/>
  <c r="B89" i="2"/>
  <c r="B54" i="2"/>
  <c r="B52" i="2"/>
  <c r="B76" i="2"/>
  <c r="B78" i="2"/>
  <c r="K19" i="3"/>
  <c r="K32" i="3" s="1"/>
  <c r="K15" i="3"/>
  <c r="K16" i="3" s="1"/>
  <c r="K24" i="3"/>
  <c r="G87" i="2"/>
  <c r="G90" i="2"/>
  <c r="G75" i="2"/>
  <c r="G78" i="2"/>
  <c r="G76" i="2"/>
  <c r="E60" i="2" l="1"/>
  <c r="D63" i="2"/>
  <c r="D66" i="2"/>
  <c r="D64" i="2"/>
  <c r="D65" i="2"/>
  <c r="B15" i="2"/>
  <c r="B107" i="2"/>
  <c r="C118" i="2" s="1"/>
  <c r="C10" i="3" s="1"/>
  <c r="H96" i="2"/>
  <c r="E84" i="2"/>
  <c r="E85" i="2" s="1"/>
  <c r="E101" i="2"/>
  <c r="F101" i="2" s="1"/>
  <c r="H101" i="2" s="1"/>
  <c r="E99" i="2"/>
  <c r="F99" i="2" s="1"/>
  <c r="H99" i="2" s="1"/>
  <c r="E102" i="2"/>
  <c r="F102" i="2" s="1"/>
  <c r="H102" i="2" s="1"/>
  <c r="E100" i="2"/>
  <c r="F100" i="2" s="1"/>
  <c r="D51" i="2"/>
  <c r="E51" i="2" s="1"/>
  <c r="F51" i="2" s="1"/>
  <c r="H51" i="2" s="1"/>
  <c r="E66" i="2"/>
  <c r="E65" i="2"/>
  <c r="F65" i="2" s="1"/>
  <c r="H65" i="2" s="1"/>
  <c r="E64" i="2"/>
  <c r="F64" i="2" s="1"/>
  <c r="H64" i="2" s="1"/>
  <c r="E63" i="2"/>
  <c r="F63" i="2" s="1"/>
  <c r="D78" i="2"/>
  <c r="E78" i="2" s="1"/>
  <c r="F78" i="2" s="1"/>
  <c r="H78" i="2" s="1"/>
  <c r="E72" i="2"/>
  <c r="E73" i="2" s="1"/>
  <c r="D75" i="2"/>
  <c r="E75" i="2" s="1"/>
  <c r="F75" i="2" s="1"/>
  <c r="H75" i="2" s="1"/>
  <c r="H59" i="2"/>
  <c r="E61" i="2"/>
  <c r="F76" i="2"/>
  <c r="H76" i="2" s="1"/>
  <c r="E4" i="3"/>
  <c r="F14" i="3" s="1"/>
  <c r="D10" i="3"/>
  <c r="E26" i="3" s="1"/>
  <c r="F77" i="2"/>
  <c r="H77" i="2" s="1"/>
  <c r="D89" i="2"/>
  <c r="E89" i="2" s="1"/>
  <c r="F89" i="2" s="1"/>
  <c r="H89" i="2" s="1"/>
  <c r="H83" i="2"/>
  <c r="H84" i="2" s="1"/>
  <c r="D90" i="2"/>
  <c r="E90" i="2" s="1"/>
  <c r="D87" i="2"/>
  <c r="E87" i="2" s="1"/>
  <c r="D52" i="2"/>
  <c r="E52" i="2" s="1"/>
  <c r="D53" i="2"/>
  <c r="E53" i="2" s="1"/>
  <c r="D54" i="2"/>
  <c r="E54" i="2" s="1"/>
  <c r="F54" i="2" s="1"/>
  <c r="H54" i="2" s="1"/>
  <c r="E48" i="2"/>
  <c r="H47" i="2" s="1"/>
  <c r="D88" i="2"/>
  <c r="E88" i="2" s="1"/>
  <c r="F66" i="2" l="1"/>
  <c r="H66" i="2" s="1"/>
  <c r="H60" i="2"/>
  <c r="H71" i="2"/>
  <c r="H72" i="2" s="1"/>
  <c r="F103" i="2"/>
  <c r="C104" i="2" s="1"/>
  <c r="C117" i="2" s="1"/>
  <c r="C9" i="3" s="1"/>
  <c r="H100" i="2"/>
  <c r="H103" i="2" s="1"/>
  <c r="F104" i="2" s="1"/>
  <c r="B117" i="2" s="1"/>
  <c r="B9" i="3" s="1"/>
  <c r="D4" i="3"/>
  <c r="E14" i="3" s="1"/>
  <c r="F67" i="2"/>
  <c r="C68" i="2" s="1"/>
  <c r="C114" i="2" s="1"/>
  <c r="C6" i="3" s="1"/>
  <c r="H63" i="2"/>
  <c r="E10" i="3"/>
  <c r="F26" i="3" s="1"/>
  <c r="F87" i="2"/>
  <c r="F88" i="2"/>
  <c r="H88" i="2" s="1"/>
  <c r="F90" i="2"/>
  <c r="H90" i="2" s="1"/>
  <c r="F53" i="2"/>
  <c r="H53" i="2" s="1"/>
  <c r="E49" i="2"/>
  <c r="F52" i="2"/>
  <c r="H52" i="2" s="1"/>
  <c r="H79" i="2"/>
  <c r="F79" i="2"/>
  <c r="C80" i="2" s="1"/>
  <c r="H67" i="2" l="1"/>
  <c r="F68" i="2" s="1"/>
  <c r="B114" i="2" s="1"/>
  <c r="B6" i="3" s="1"/>
  <c r="H48" i="2"/>
  <c r="F55" i="2"/>
  <c r="C56" i="2" s="1"/>
  <c r="C113" i="2" s="1"/>
  <c r="C5" i="3" s="1"/>
  <c r="H55" i="2"/>
  <c r="C115" i="2"/>
  <c r="C7" i="3" s="1"/>
  <c r="E7" i="3" s="1"/>
  <c r="F20" i="3" s="1"/>
  <c r="F91" i="2"/>
  <c r="C92" i="2" s="1"/>
  <c r="C116" i="2" s="1"/>
  <c r="C8" i="3" s="1"/>
  <c r="E8" i="3" s="1"/>
  <c r="F22" i="3" s="1"/>
  <c r="H87" i="2"/>
  <c r="H91" i="2" s="1"/>
  <c r="F92" i="2" s="1"/>
  <c r="B116" i="2" s="1"/>
  <c r="B8" i="3" s="1"/>
  <c r="F80" i="2"/>
  <c r="D8" i="3" l="1"/>
  <c r="F56" i="2"/>
  <c r="B113" i="2" s="1"/>
  <c r="B5" i="3" s="1"/>
  <c r="E5" i="3"/>
  <c r="F16" i="3" s="1"/>
  <c r="E6" i="3"/>
  <c r="F18" i="3" s="1"/>
  <c r="E9" i="3"/>
  <c r="F24" i="3" s="1"/>
  <c r="B115" i="2"/>
  <c r="B7" i="3" s="1"/>
  <c r="D7" i="3" s="1"/>
  <c r="E20" i="3" l="1"/>
  <c r="B20" i="3"/>
  <c r="B22" i="3"/>
  <c r="C22" i="3" s="1"/>
  <c r="E22" i="3"/>
  <c r="D6" i="3"/>
  <c r="B18" i="3" s="1"/>
  <c r="C18" i="3" s="1"/>
  <c r="D5" i="3"/>
  <c r="B16" i="3" s="1"/>
  <c r="C16" i="3" s="1"/>
  <c r="D9" i="3"/>
  <c r="C20" i="3" l="1"/>
  <c r="D21" i="3" s="1"/>
  <c r="B24" i="3"/>
  <c r="C24" i="3" s="1"/>
  <c r="E24" i="3"/>
  <c r="E18" i="3"/>
  <c r="E16" i="3"/>
  <c r="D15" i="3"/>
  <c r="D17" i="3"/>
  <c r="D19" i="3" l="1"/>
  <c r="G18" i="3" s="1"/>
  <c r="D23" i="3"/>
  <c r="D25" i="3"/>
  <c r="H26" i="3" s="1"/>
  <c r="H14" i="3"/>
  <c r="H16" i="3"/>
  <c r="G16" i="3"/>
  <c r="H18" i="3" l="1"/>
  <c r="H22" i="3"/>
  <c r="G22" i="3"/>
  <c r="H24" i="3"/>
  <c r="G24" i="3"/>
  <c r="H20" i="3"/>
  <c r="G20" i="3"/>
  <c r="E31" i="3" l="1"/>
  <c r="E30" i="3"/>
  <c r="C31" i="3"/>
  <c r="C30" i="3"/>
  <c r="H30" i="3" l="1"/>
  <c r="D33" i="3" s="1"/>
  <c r="L31" i="3" s="1"/>
  <c r="C33" i="3" l="1"/>
  <c r="K31" i="3" s="1"/>
  <c r="N30" i="3" s="1" a="1"/>
  <c r="N30" i="3" s="1"/>
  <c r="C37" i="3" s="1" a="1"/>
  <c r="K25" i="3" s="1"/>
  <c r="C37" i="3" l="1"/>
  <c r="G36" i="3"/>
  <c r="G37" i="3" l="1"/>
  <c r="F38" i="3" s="1"/>
  <c r="L2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tc={6B725485-E1C3-412F-AB07-AAC5B040FEE9}</author>
    <author>tc={4E9708E2-9F00-413D-B478-EE537AE42A5D}</author>
    <author>tc={528CE204-C8E1-496E-9573-2B484D331B31}</author>
  </authors>
  <commentList>
    <comment ref="F4" authorId="0" shapeId="0" xr:uid="{6B725485-E1C3-412F-AB07-AAC5B040FE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NTC 3.7</t>
      </text>
    </comment>
    <comment ref="D12" authorId="1" shapeId="0" xr:uid="{4E9708E2-9F00-413D-B478-EE537AE42A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para ubicar entre que puntos está el par MU, PU</t>
      </text>
    </comment>
    <comment ref="B29" authorId="2" shapeId="0" xr:uid="{528CE204-C8E1-496E-9573-2B484D331B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Pares MR2-PR2 y MR3-PR3 de acuerdo con ecuación 12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<sst xmlns="http://schemas.openxmlformats.org/spreadsheetml/2006/main" count="195" uniqueCount="121">
  <si>
    <t>3/8</t>
  </si>
  <si>
    <t>As</t>
  </si>
  <si>
    <t>1/2</t>
  </si>
  <si>
    <t>5/8</t>
  </si>
  <si>
    <t># barras</t>
  </si>
  <si>
    <t>#</t>
  </si>
  <si>
    <t>fs</t>
  </si>
  <si>
    <t>Fs</t>
  </si>
  <si>
    <t>Dist</t>
  </si>
  <si>
    <t>Ms</t>
  </si>
  <si>
    <t>M</t>
  </si>
  <si>
    <t>P</t>
  </si>
  <si>
    <t>Curva nominal</t>
  </si>
  <si>
    <t>Curva resistente</t>
  </si>
  <si>
    <t>Cálculo de ángulos</t>
  </si>
  <si>
    <t>Carga actuante</t>
  </si>
  <si>
    <t>Sistema de ecuaciones</t>
  </si>
  <si>
    <r>
      <rPr>
        <sz val="12"/>
        <rFont val="Symbol"/>
        <family val="1"/>
        <charset val="2"/>
      </rPr>
      <t>f</t>
    </r>
    <r>
      <rPr>
        <vertAlign val="subscript"/>
        <sz val="12"/>
        <rFont val="Calibri"/>
        <family val="2"/>
      </rPr>
      <t>1</t>
    </r>
  </si>
  <si>
    <r>
      <t>y</t>
    </r>
    <r>
      <rPr>
        <vertAlign val="subscript"/>
        <sz val="12"/>
        <color theme="1"/>
        <rFont val="Calibri"/>
        <family val="2"/>
        <scheme val="minor"/>
      </rPr>
      <t>i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</si>
  <si>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</si>
  <si>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  <scheme val="minor"/>
      </rPr>
      <t>F =</t>
    </r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</si>
  <si>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  <scheme val="minor"/>
      </rPr>
      <t>M =</t>
    </r>
  </si>
  <si>
    <r>
      <t>M</t>
    </r>
    <r>
      <rPr>
        <b/>
        <i/>
        <vertAlign val="subscript"/>
        <sz val="12"/>
        <rFont val="Calibri"/>
        <family val="2"/>
        <scheme val="minor"/>
      </rPr>
      <t>U</t>
    </r>
  </si>
  <si>
    <r>
      <t>P</t>
    </r>
    <r>
      <rPr>
        <b/>
        <i/>
        <vertAlign val="subscript"/>
        <sz val="12"/>
        <rFont val="Calibri"/>
        <family val="2"/>
        <scheme val="minor"/>
      </rPr>
      <t>U</t>
    </r>
  </si>
  <si>
    <t>1 D A T O S</t>
  </si>
  <si>
    <r>
      <t>f</t>
    </r>
    <r>
      <rPr>
        <vertAlign val="superscript"/>
        <sz val="12"/>
        <rFont val="Calibri"/>
        <family val="2"/>
        <scheme val="minor"/>
      </rPr>
      <t>´</t>
    </r>
    <r>
      <rPr>
        <sz val="12"/>
        <rFont val="Calibri"/>
        <family val="2"/>
        <scheme val="minor"/>
      </rPr>
      <t>c=</t>
    </r>
  </si>
  <si>
    <r>
      <t>f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=</t>
    </r>
  </si>
  <si>
    <r>
      <rPr>
        <b/>
        <i/>
        <sz val="12"/>
        <color theme="1"/>
        <rFont val="Symbol"/>
        <family val="1"/>
        <charset val="2"/>
      </rPr>
      <t>f</t>
    </r>
    <r>
      <rPr>
        <b/>
        <i/>
        <vertAlign val="subscript"/>
        <sz val="12"/>
        <color theme="1"/>
        <rFont val="Calibri"/>
        <family val="2"/>
        <scheme val="minor"/>
      </rPr>
      <t>1</t>
    </r>
  </si>
  <si>
    <r>
      <t>A</t>
    </r>
    <r>
      <rPr>
        <b/>
        <i/>
        <vertAlign val="subscript"/>
        <sz val="12"/>
        <color theme="1"/>
        <rFont val="Calibri"/>
        <family val="2"/>
        <scheme val="minor"/>
      </rPr>
      <t>sb</t>
    </r>
  </si>
  <si>
    <r>
      <t>t</t>
    </r>
    <r>
      <rPr>
        <sz val="12"/>
        <rFont val="Calibri"/>
        <family val="2"/>
        <scheme val="minor"/>
      </rPr>
      <t>=</t>
    </r>
  </si>
  <si>
    <r>
      <t>r</t>
    </r>
    <r>
      <rPr>
        <b/>
        <i/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=</t>
    </r>
  </si>
  <si>
    <r>
      <t>r</t>
    </r>
    <r>
      <rPr>
        <b/>
        <i/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=</t>
    </r>
  </si>
  <si>
    <r>
      <t>d</t>
    </r>
    <r>
      <rPr>
        <b/>
        <i/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=</t>
    </r>
  </si>
  <si>
    <r>
      <t xml:space="preserve">L </t>
    </r>
    <r>
      <rPr>
        <sz val="12"/>
        <rFont val="Calibri"/>
        <family val="2"/>
        <scheme val="minor"/>
      </rPr>
      <t>=</t>
    </r>
  </si>
  <si>
    <r>
      <rPr>
        <b/>
        <i/>
        <sz val="12"/>
        <color theme="1"/>
        <rFont val="Calibri"/>
        <family val="2"/>
        <scheme val="minor"/>
      </rPr>
      <t>A</t>
    </r>
    <r>
      <rPr>
        <b/>
        <i/>
        <vertAlign val="subscript"/>
        <sz val="12"/>
        <color theme="1"/>
        <rFont val="Calibri"/>
        <family val="2"/>
        <scheme val="minor"/>
      </rPr>
      <t>sb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</si>
  <si>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A</t>
    </r>
    <r>
      <rPr>
        <b/>
        <i/>
        <vertAlign val="subscript"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</si>
  <si>
    <r>
      <rPr>
        <b/>
        <i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</si>
  <si>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</si>
  <si>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</si>
  <si>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M</t>
    </r>
    <r>
      <rPr>
        <b/>
        <i/>
        <vertAlign val="sub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</si>
  <si>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i/>
        <vertAlign val="subscript"/>
        <sz val="12"/>
        <color theme="1"/>
        <rFont val="Calibri"/>
        <family val="2"/>
        <scheme val="minor"/>
      </rPr>
      <t>c</t>
    </r>
    <r>
      <rPr>
        <vertAlign val="sub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ymbol"/>
        <family val="1"/>
        <charset val="2"/>
      </rPr>
      <t>=</t>
    </r>
  </si>
  <si>
    <r>
      <rPr>
        <b/>
        <i/>
        <sz val="12"/>
        <color theme="1"/>
        <rFont val="Symbol"/>
        <family val="1"/>
        <charset val="2"/>
      </rPr>
      <t>e</t>
    </r>
    <r>
      <rPr>
        <b/>
        <i/>
        <vertAlign val="subscript"/>
        <sz val="12"/>
        <color theme="1"/>
        <rFont val="Calibri"/>
        <family val="2"/>
        <scheme val="minor"/>
      </rPr>
      <t>s4</t>
    </r>
    <r>
      <rPr>
        <vertAlign val="sub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ymbol"/>
        <family val="1"/>
        <charset val="2"/>
      </rPr>
      <t>=</t>
    </r>
  </si>
  <si>
    <r>
      <rPr>
        <b/>
        <i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</si>
  <si>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</si>
  <si>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C</t>
    </r>
    <r>
      <rPr>
        <b/>
        <i/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</si>
  <si>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</si>
  <si>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i/>
        <sz val="12"/>
        <color theme="1"/>
        <rFont val="Calibri"/>
        <family val="2"/>
        <scheme val="minor"/>
      </rPr>
      <t>M</t>
    </r>
    <r>
      <rPr>
        <b/>
        <i/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=</t>
    </r>
  </si>
  <si>
    <t>Geometría, características del acero y concreto (m, MPa)</t>
  </si>
  <si>
    <t>Elementos mecánicos de diseño ( KN, m)</t>
  </si>
  <si>
    <r>
      <rPr>
        <b/>
        <i/>
        <sz val="12"/>
        <color theme="1"/>
        <rFont val="Calibri"/>
        <family val="2"/>
        <scheme val="minor"/>
      </rPr>
      <t>A</t>
    </r>
    <r>
      <rPr>
        <b/>
        <i/>
        <vertAlign val="subscript"/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</si>
  <si>
    <r>
      <t>1 Cálculo de propiedades (cm, cm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</si>
  <si>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cm</t>
    </r>
    <r>
      <rPr>
        <vertAlign val="superscript"/>
        <sz val="12"/>
        <color theme="1"/>
        <rFont val="Calibri"/>
        <family val="2"/>
        <scheme val="minor"/>
      </rPr>
      <t>2</t>
    </r>
  </si>
  <si>
    <t>m</t>
  </si>
  <si>
    <r>
      <t>m</t>
    </r>
    <r>
      <rPr>
        <vertAlign val="superscript"/>
        <sz val="12"/>
        <color theme="1"/>
        <rFont val="Calibri"/>
        <family val="2"/>
        <scheme val="minor"/>
      </rPr>
      <t>2</t>
    </r>
  </si>
  <si>
    <t>2 Ecuaciones y figuras</t>
  </si>
  <si>
    <r>
      <t xml:space="preserve">3 Cálculo de punto </t>
    </r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(KN, m)</t>
    </r>
  </si>
  <si>
    <r>
      <t>4 Cálculo de punto  P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(KN, m)</t>
    </r>
  </si>
  <si>
    <t># As</t>
  </si>
  <si>
    <r>
      <t>y</t>
    </r>
    <r>
      <rPr>
        <b/>
        <i/>
        <vertAlign val="subscript"/>
        <sz val="12"/>
        <color theme="1"/>
        <rFont val="Calibri"/>
        <family val="2"/>
        <scheme val="minor"/>
      </rPr>
      <t>i</t>
    </r>
  </si>
  <si>
    <r>
      <t>e</t>
    </r>
    <r>
      <rPr>
        <b/>
        <i/>
        <vertAlign val="subscript"/>
        <sz val="12"/>
        <color theme="1"/>
        <rFont val="Calibri"/>
        <family val="2"/>
        <scheme val="minor"/>
      </rPr>
      <t>s</t>
    </r>
  </si>
  <si>
    <t>Sumatorias</t>
  </si>
  <si>
    <r>
      <t xml:space="preserve">As </t>
    </r>
    <r>
      <rPr>
        <sz val="12"/>
        <color theme="1"/>
        <rFont val="Calibri"/>
        <family val="2"/>
        <scheme val="minor"/>
      </rPr>
      <t>(cm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</si>
  <si>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e</t>
    </r>
    <r>
      <rPr>
        <b/>
        <i/>
        <vertAlign val="subscript"/>
        <sz val="12"/>
        <color theme="1"/>
        <rFont val="Calibri"/>
        <family val="2"/>
        <scheme val="minor"/>
      </rPr>
      <t xml:space="preserve">c </t>
    </r>
    <r>
      <rPr>
        <b/>
        <i/>
        <sz val="12"/>
        <color theme="1"/>
        <rFont val="Symbol"/>
        <family val="1"/>
        <charset val="2"/>
      </rPr>
      <t>=</t>
    </r>
  </si>
  <si>
    <r>
      <t>e</t>
    </r>
    <r>
      <rPr>
        <b/>
        <i/>
        <vertAlign val="subscript"/>
        <sz val="12"/>
        <color theme="1"/>
        <rFont val="Calibri"/>
        <family val="2"/>
        <scheme val="minor"/>
      </rPr>
      <t xml:space="preserve">s4 </t>
    </r>
    <r>
      <rPr>
        <b/>
        <i/>
        <sz val="12"/>
        <color theme="1"/>
        <rFont val="Symbol"/>
        <family val="1"/>
        <charset val="2"/>
      </rPr>
      <t>=</t>
    </r>
  </si>
  <si>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>F =</t>
    </r>
  </si>
  <si>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>M =</t>
    </r>
  </si>
  <si>
    <r>
      <t>6 Cálculo de punto P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 xml:space="preserve"> (KN, m)</t>
    </r>
  </si>
  <si>
    <r>
      <t>M</t>
    </r>
    <r>
      <rPr>
        <b/>
        <i/>
        <vertAlign val="subscript"/>
        <sz val="11"/>
        <color theme="1"/>
        <rFont val="Calibri"/>
        <family val="2"/>
        <scheme val="minor"/>
      </rPr>
      <t>N</t>
    </r>
  </si>
  <si>
    <r>
      <t>P</t>
    </r>
    <r>
      <rPr>
        <b/>
        <i/>
        <vertAlign val="subscript"/>
        <sz val="11"/>
        <color theme="1"/>
        <rFont val="Calibri"/>
        <family val="2"/>
        <scheme val="minor"/>
      </rPr>
      <t>N</t>
    </r>
  </si>
  <si>
    <r>
      <t>M</t>
    </r>
    <r>
      <rPr>
        <b/>
        <i/>
        <vertAlign val="subscript"/>
        <sz val="11"/>
        <color theme="1"/>
        <rFont val="Calibri"/>
        <family val="2"/>
        <scheme val="minor"/>
      </rPr>
      <t>R</t>
    </r>
  </si>
  <si>
    <r>
      <t>P</t>
    </r>
    <r>
      <rPr>
        <b/>
        <i/>
        <vertAlign val="subscript"/>
        <sz val="11"/>
        <color theme="1"/>
        <rFont val="Calibri"/>
        <family val="2"/>
        <scheme val="minor"/>
      </rPr>
      <t>R</t>
    </r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</si>
  <si>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R</t>
    </r>
  </si>
  <si>
    <t>Punto</t>
  </si>
  <si>
    <t>Comparación de ángulos</t>
  </si>
  <si>
    <r>
      <t xml:space="preserve">Coordenadas del segmento de la curva </t>
    </r>
    <r>
      <rPr>
        <b/>
        <i/>
        <sz val="8"/>
        <color theme="1"/>
        <rFont val="Calibri"/>
        <family val="2"/>
        <scheme val="minor"/>
      </rPr>
      <t>M</t>
    </r>
    <r>
      <rPr>
        <b/>
        <i/>
        <vertAlign val="sub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>-</t>
    </r>
    <r>
      <rPr>
        <b/>
        <i/>
        <sz val="8"/>
        <color theme="1"/>
        <rFont val="Calibri"/>
        <family val="2"/>
        <scheme val="minor"/>
      </rPr>
      <t>P</t>
    </r>
    <r>
      <rPr>
        <b/>
        <i/>
        <vertAlign val="subscript"/>
        <sz val="8"/>
        <color theme="1"/>
        <rFont val="Calibri"/>
        <family val="2"/>
        <scheme val="minor"/>
      </rPr>
      <t>R</t>
    </r>
  </si>
  <si>
    <r>
      <t>M</t>
    </r>
    <r>
      <rPr>
        <b/>
        <i/>
        <vertAlign val="subscript"/>
        <sz val="11"/>
        <color theme="1"/>
        <rFont val="Calibri"/>
        <family val="2"/>
        <scheme val="minor"/>
      </rPr>
      <t>U</t>
    </r>
  </si>
  <si>
    <r>
      <t>P</t>
    </r>
    <r>
      <rPr>
        <b/>
        <i/>
        <vertAlign val="subscript"/>
        <sz val="11"/>
        <color theme="1"/>
        <rFont val="Calibri"/>
        <family val="2"/>
        <scheme val="minor"/>
      </rPr>
      <t>U</t>
    </r>
  </si>
  <si>
    <t>θ =</t>
  </si>
  <si>
    <t>Pendiente de la recta OA</t>
  </si>
  <si>
    <t>Ángulo de la recta OA</t>
  </si>
  <si>
    <r>
      <t>θ</t>
    </r>
    <r>
      <rPr>
        <b/>
        <vertAlign val="subscript"/>
        <sz val="14.3"/>
        <color theme="1"/>
        <rFont val="Calibri"/>
        <family val="2"/>
      </rPr>
      <t>i</t>
    </r>
  </si>
  <si>
    <r>
      <t>θ</t>
    </r>
    <r>
      <rPr>
        <b/>
        <vertAlign val="subscript"/>
        <sz val="11"/>
        <color theme="1"/>
        <rFont val="Calibri"/>
        <family val="2"/>
      </rPr>
      <t>m</t>
    </r>
    <r>
      <rPr>
        <b/>
        <vertAlign val="subscript"/>
        <sz val="14.3"/>
        <color theme="1"/>
        <rFont val="Calibri"/>
        <family val="2"/>
      </rPr>
      <t>i</t>
    </r>
  </si>
  <si>
    <r>
      <t>θ</t>
    </r>
    <r>
      <rPr>
        <b/>
        <vertAlign val="subscript"/>
        <sz val="14.3"/>
        <color theme="1"/>
        <rFont val="Calibri"/>
        <family val="2"/>
      </rPr>
      <t>m</t>
    </r>
    <r>
      <rPr>
        <b/>
        <sz val="11"/>
        <color theme="1"/>
        <rFont val="Calibri"/>
        <family val="2"/>
      </rPr>
      <t xml:space="preserve"> =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</si>
  <si>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</t>
    </r>
  </si>
  <si>
    <t>Coordenadas del segmento de recta que intersecta la recta OA</t>
  </si>
  <si>
    <r>
      <t xml:space="preserve">        </t>
    </r>
    <r>
      <rPr>
        <b/>
        <i/>
        <sz val="9"/>
        <color theme="1"/>
        <rFont val="Calibri"/>
        <family val="2"/>
        <scheme val="minor"/>
      </rPr>
      <t xml:space="preserve">y         </t>
    </r>
    <r>
      <rPr>
        <sz val="9"/>
        <color theme="1"/>
        <rFont val="Calibri"/>
        <family val="2"/>
        <scheme val="minor"/>
      </rPr>
      <t xml:space="preserve"> -m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</t>
    </r>
    <r>
      <rPr>
        <b/>
        <i/>
        <sz val="9"/>
        <color theme="1"/>
        <rFont val="Calibri"/>
        <family val="2"/>
        <scheme val="minor"/>
      </rPr>
      <t xml:space="preserve">x </t>
    </r>
    <r>
      <rPr>
        <sz val="9"/>
        <color theme="1"/>
        <rFont val="Calibri"/>
        <family val="2"/>
        <scheme val="minor"/>
      </rPr>
      <t xml:space="preserve"> =  b  </t>
    </r>
    <r>
      <rPr>
        <sz val="8"/>
        <color theme="1"/>
        <rFont val="Calibri"/>
        <family val="2"/>
        <scheme val="minor"/>
      </rPr>
      <t xml:space="preserve"> Ecuación de la recta OA</t>
    </r>
  </si>
  <si>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</si>
  <si>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</si>
  <si>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rPr>
        <b/>
        <i/>
        <sz val="11"/>
        <color theme="1"/>
        <rFont val="Calibri"/>
        <family val="2"/>
        <scheme val="minor"/>
      </rPr>
      <t>y</t>
    </r>
    <r>
      <rPr>
        <b/>
        <i/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</t>
    </r>
  </si>
  <si>
    <r>
      <rPr>
        <b/>
        <i/>
        <sz val="11"/>
        <color theme="1"/>
        <rFont val="Calibri"/>
        <family val="2"/>
        <scheme val="minor"/>
      </rPr>
      <t>y</t>
    </r>
    <r>
      <rPr>
        <b/>
        <i/>
        <vertAlign val="sub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</si>
  <si>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</si>
  <si>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t>Pendiente de la recta que intersecta a la recta OA</t>
  </si>
  <si>
    <r>
      <t xml:space="preserve">      [ </t>
    </r>
    <r>
      <rPr>
        <b/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]           [</t>
    </r>
    <r>
      <rPr>
        <b/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]      =     [</t>
    </r>
    <r>
      <rPr>
        <b/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</t>
    </r>
  </si>
  <si>
    <r>
      <t xml:space="preserve">   [</t>
    </r>
    <r>
      <rPr>
        <b/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] =[</t>
    </r>
    <r>
      <rPr>
        <b/>
        <i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theme="1"/>
        <rFont val="Calibri"/>
        <family val="2"/>
        <scheme val="minor"/>
      </rPr>
      <t xml:space="preserve"> -1</t>
    </r>
    <r>
      <rPr>
        <sz val="11"/>
        <color theme="1"/>
        <rFont val="Calibri"/>
        <family val="2"/>
        <scheme val="minor"/>
      </rPr>
      <t xml:space="preserve"> [</t>
    </r>
    <r>
      <rPr>
        <b/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]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</si>
  <si>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</si>
  <si>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</si>
  <si>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t xml:space="preserve">Relación </t>
  </si>
  <si>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</si>
  <si>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</si>
  <si>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t>Solución del sistema (KN m)</t>
  </si>
  <si>
    <r>
      <t xml:space="preserve">   </t>
    </r>
    <r>
      <rPr>
        <b/>
        <i/>
        <sz val="11"/>
        <color theme="1"/>
        <rFont val="Calibri"/>
        <family val="2"/>
        <scheme val="minor"/>
      </rPr>
      <t xml:space="preserve">    y </t>
    </r>
    <r>
      <rPr>
        <sz val="11"/>
        <color theme="1"/>
        <rFont val="Calibri"/>
        <family val="2"/>
        <scheme val="minor"/>
      </rPr>
      <t xml:space="preserve">        -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 =  </t>
    </r>
    <r>
      <rPr>
        <b/>
        <i/>
        <sz val="11"/>
        <color theme="1"/>
        <rFont val="Calibri"/>
        <family val="2"/>
        <scheme val="minor"/>
      </rPr>
      <t>y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- 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Ecuación de la recta que intersecta a la recta OA</t>
    </r>
  </si>
  <si>
    <t>Gráfica de la carga actuante. Recta OA</t>
  </si>
  <si>
    <r>
      <t>Areas de barras de acero, cm</t>
    </r>
    <r>
      <rPr>
        <vertAlign val="superscript"/>
        <sz val="11"/>
        <color theme="1"/>
        <rFont val="Calibri"/>
        <family val="2"/>
        <scheme val="minor"/>
      </rPr>
      <t>2</t>
    </r>
  </si>
  <si>
    <t>2  C Á L C U L O S</t>
  </si>
  <si>
    <r>
      <t xml:space="preserve">3 CÁLCULO DE  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y relación 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M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P</t>
    </r>
    <r>
      <rPr>
        <b/>
        <i/>
        <vertAlign val="subscript"/>
        <sz val="11"/>
        <color theme="1"/>
        <rFont val="Calibri"/>
        <family val="2"/>
        <scheme val="minor"/>
      </rPr>
      <t>R</t>
    </r>
  </si>
  <si>
    <t xml:space="preserve">Cálculo de curva resistente de interaccion </t>
  </si>
  <si>
    <t>10 Puntos de la curva nominal (KN m)</t>
  </si>
  <si>
    <r>
      <t>5 Cálculo de punto  P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 xml:space="preserve"> (KN, m)</t>
    </r>
  </si>
  <si>
    <r>
      <t>7 Cálculo de punto P</t>
    </r>
    <r>
      <rPr>
        <b/>
        <vertAlign val="subscript"/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 xml:space="preserve"> (KN, m)</t>
    </r>
  </si>
  <si>
    <r>
      <t>8 Cálculo de punto P</t>
    </r>
    <r>
      <rPr>
        <b/>
        <vertAlign val="subscript"/>
        <sz val="12"/>
        <color theme="1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 xml:space="preserve"> (KN, m)</t>
    </r>
  </si>
  <si>
    <r>
      <t>9 Cálculo de punto P</t>
    </r>
    <r>
      <rPr>
        <b/>
        <vertAlign val="subscript"/>
        <sz val="12"/>
        <color theme="1"/>
        <rFont val="Calibri"/>
        <family val="2"/>
        <scheme val="minor"/>
      </rPr>
      <t>7</t>
    </r>
  </si>
  <si>
    <r>
      <t>e</t>
    </r>
    <r>
      <rPr>
        <b/>
        <i/>
        <vertAlign val="subscript"/>
        <sz val="12"/>
        <color theme="1"/>
        <rFont val="Calibri"/>
        <family val="2"/>
        <scheme val="minor"/>
      </rPr>
      <t xml:space="preserve">s4 </t>
    </r>
  </si>
  <si>
    <r>
      <t>Matriz inversa</t>
    </r>
    <r>
      <rPr>
        <b/>
        <i/>
        <sz val="11"/>
        <color theme="1"/>
        <rFont val="Calibri"/>
        <family val="2"/>
        <scheme val="minor"/>
      </rPr>
      <t xml:space="preserve"> [A]</t>
    </r>
    <r>
      <rPr>
        <b/>
        <i/>
        <vertAlign val="superscript"/>
        <sz val="11"/>
        <color theme="1"/>
        <rFont val="Calibri"/>
        <family val="2"/>
        <scheme val="minor"/>
      </rPr>
      <t>-1</t>
    </r>
  </si>
  <si>
    <t>3/4</t>
  </si>
  <si>
    <t>Apoyo en la docencia</t>
  </si>
  <si>
    <r>
      <t xml:space="preserve">Nota: 1) Si </t>
    </r>
    <r>
      <rPr>
        <b/>
        <i/>
        <sz val="8"/>
        <rFont val="Calibri"/>
        <family val="2"/>
        <scheme val="minor"/>
      </rPr>
      <t>M</t>
    </r>
    <r>
      <rPr>
        <b/>
        <i/>
        <vertAlign val="subscript"/>
        <sz val="8"/>
        <rFont val="Calibri"/>
        <family val="2"/>
        <scheme val="minor"/>
      </rPr>
      <t>U</t>
    </r>
    <r>
      <rPr>
        <sz val="8"/>
        <rFont val="Calibri"/>
        <family val="2"/>
        <scheme val="minor"/>
      </rPr>
      <t xml:space="preserve">=0 introducir un valor cercano a cero. 2) Si </t>
    </r>
    <r>
      <rPr>
        <b/>
        <i/>
        <sz val="8"/>
        <rFont val="Calibri"/>
        <family val="2"/>
        <scheme val="minor"/>
      </rPr>
      <t>P</t>
    </r>
    <r>
      <rPr>
        <b/>
        <i/>
        <vertAlign val="subscript"/>
        <sz val="8"/>
        <rFont val="Calibri"/>
        <family val="2"/>
        <scheme val="minor"/>
      </rPr>
      <t>U</t>
    </r>
    <r>
      <rPr>
        <sz val="8"/>
        <rFont val="Calibri"/>
        <family val="2"/>
        <scheme val="minor"/>
      </rPr>
      <t>=0 introducir un valor cercano a cero.  En ambos casos se recomienda 0.001.</t>
    </r>
  </si>
  <si>
    <t>Nota: En caso de modificar el diámetro de las barras cambiar también el área de la barra.</t>
  </si>
  <si>
    <t>Desarrollado en: Universidad Autónoma de Guerrero. México</t>
  </si>
  <si>
    <t>Desarrollado por: Sulpicio Sánchez Tizapa</t>
  </si>
  <si>
    <t>Registro ISBN: en trámite</t>
  </si>
  <si>
    <r>
      <t>Cálculo de momento resistente (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vertAlign val="subscript"/>
        <sz val="16"/>
        <color theme="1"/>
        <rFont val="Calibri"/>
        <family val="2"/>
        <scheme val="minor"/>
      </rPr>
      <t>R</t>
    </r>
    <r>
      <rPr>
        <b/>
        <sz val="16"/>
        <color theme="1"/>
        <rFont val="Calibri"/>
        <family val="2"/>
        <scheme val="minor"/>
      </rPr>
      <t>) y carga resistente (</t>
    </r>
    <r>
      <rPr>
        <b/>
        <i/>
        <sz val="16"/>
        <color theme="1"/>
        <rFont val="Calibri"/>
        <family val="2"/>
        <scheme val="minor"/>
      </rPr>
      <t>P</t>
    </r>
    <r>
      <rPr>
        <b/>
        <i/>
        <vertAlign val="subscript"/>
        <sz val="16"/>
        <color theme="1"/>
        <rFont val="Calibri"/>
        <family val="2"/>
        <scheme val="minor"/>
      </rPr>
      <t>R</t>
    </r>
    <r>
      <rPr>
        <b/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</si>
</sst>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1"/>
      <charset val="2"/>
    </font>
    <font>
      <sz val="12"/>
      <name val="Symbol"/>
      <family val="1"/>
      <charset val="2"/>
    </font>
    <font>
      <vertAlign val="subscript"/>
      <sz val="12"/>
      <name val="Calibri"/>
      <family val="2"/>
    </font>
    <font>
      <sz val="12"/>
      <color theme="1"/>
      <name val="Symbol"/>
      <family val="1"/>
      <charset val="2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  <font>
      <b/>
      <i/>
      <sz val="12"/>
      <name val="Calibri"/>
      <family val="2"/>
      <scheme val="minor"/>
    </font>
    <font>
      <b/>
      <i/>
      <vertAlign val="subscript"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i/>
      <sz val="12"/>
      <color theme="1"/>
      <name val="Calibri"/>
      <family val="1"/>
      <charset val="2"/>
      <scheme val="minor"/>
    </font>
    <font>
      <b/>
      <i/>
      <sz val="12"/>
      <color theme="1"/>
      <name val="Symbol"/>
      <family val="1"/>
      <charset val="2"/>
    </font>
    <font>
      <b/>
      <i/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1"/>
      <charset val="2"/>
      <scheme val="minor"/>
    </font>
    <font>
      <b/>
      <sz val="12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vertAlign val="subscript"/>
      <sz val="14.3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vertAlign val="subscript"/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vertAlign val="subscript"/>
      <sz val="8"/>
      <name val="Calibri"/>
      <family val="2"/>
      <scheme val="minor"/>
    </font>
    <font>
      <sz val="7.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vertAlign val="subscript"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2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2" fontId="2" fillId="3" borderId="0" xfId="0" applyNumberFormat="1" applyFont="1" applyFill="1" applyAlignment="1">
      <alignment horizontal="left"/>
    </xf>
    <xf numFmtId="0" fontId="15" fillId="3" borderId="0" xfId="0" applyFont="1" applyFill="1" applyAlignment="1">
      <alignment horizontal="center"/>
    </xf>
    <xf numFmtId="16" fontId="2" fillId="3" borderId="0" xfId="0" quotePrefix="1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left"/>
    </xf>
    <xf numFmtId="0" fontId="2" fillId="3" borderId="0" xfId="0" quotePrefix="1" applyFont="1" applyFill="1" applyAlignment="1">
      <alignment horizontal="center"/>
    </xf>
    <xf numFmtId="1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18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right"/>
    </xf>
    <xf numFmtId="2" fontId="3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0" fontId="26" fillId="3" borderId="1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" fontId="0" fillId="3" borderId="13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/>
    </xf>
    <xf numFmtId="0" fontId="36" fillId="3" borderId="6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0" fillId="3" borderId="0" xfId="0" applyFill="1"/>
    <xf numFmtId="165" fontId="0" fillId="3" borderId="0" xfId="0" applyNumberFormat="1" applyFill="1" applyAlignment="1">
      <alignment horizontal="center" vertical="center"/>
    </xf>
    <xf numFmtId="165" fontId="0" fillId="3" borderId="13" xfId="0" applyNumberFormat="1" applyFill="1" applyBorder="1" applyAlignment="1">
      <alignment horizontal="center" vertical="center"/>
    </xf>
    <xf numFmtId="0" fontId="0" fillId="3" borderId="13" xfId="0" applyFill="1" applyBorder="1"/>
    <xf numFmtId="0" fontId="36" fillId="3" borderId="0" xfId="0" applyFont="1" applyFill="1" applyAlignment="1">
      <alignment horizontal="right" vertical="center"/>
    </xf>
    <xf numFmtId="0" fontId="0" fillId="3" borderId="0" xfId="0" applyFill="1" applyAlignment="1"/>
    <xf numFmtId="0" fontId="24" fillId="3" borderId="0" xfId="0" applyFont="1" applyFill="1" applyAlignment="1">
      <alignment horizontal="right" vertic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left"/>
    </xf>
    <xf numFmtId="0" fontId="0" fillId="3" borderId="0" xfId="0" quotePrefix="1" applyFill="1"/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2" fontId="0" fillId="4" borderId="0" xfId="0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right"/>
    </xf>
    <xf numFmtId="0" fontId="30" fillId="0" borderId="0" xfId="0" applyFont="1" applyAlignment="1"/>
    <xf numFmtId="0" fontId="30" fillId="0" borderId="9" xfId="0" applyFont="1" applyFill="1" applyBorder="1" applyAlignment="1">
      <alignment horizontal="left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left"/>
    </xf>
    <xf numFmtId="0" fontId="3" fillId="2" borderId="13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3" borderId="1" xfId="0" applyFont="1" applyFill="1" applyBorder="1" applyAlignment="1">
      <alignment horizontal="left"/>
    </xf>
    <xf numFmtId="0" fontId="2" fillId="3" borderId="10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2" fontId="2" fillId="3" borderId="13" xfId="0" applyNumberFormat="1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2" fontId="2" fillId="3" borderId="13" xfId="0" applyNumberFormat="1" applyFont="1" applyFill="1" applyBorder="1" applyAlignment="1">
      <alignment horizontal="center" vertical="center"/>
    </xf>
    <xf numFmtId="1" fontId="2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24" fillId="0" borderId="0" xfId="0" applyFont="1"/>
    <xf numFmtId="0" fontId="24" fillId="0" borderId="0" xfId="0" applyFont="1" applyAlignment="1"/>
    <xf numFmtId="165" fontId="3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66" fontId="2" fillId="3" borderId="0" xfId="0" applyNumberFormat="1" applyFont="1" applyFill="1" applyAlignment="1">
      <alignment horizontal="center"/>
    </xf>
    <xf numFmtId="166" fontId="2" fillId="3" borderId="13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left"/>
    </xf>
    <xf numFmtId="166" fontId="2" fillId="3" borderId="0" xfId="0" applyNumberFormat="1" applyFont="1" applyFill="1" applyAlignment="1">
      <alignment horizontal="center" vertical="center"/>
    </xf>
    <xf numFmtId="166" fontId="2" fillId="3" borderId="13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right"/>
    </xf>
    <xf numFmtId="0" fontId="0" fillId="0" borderId="0" xfId="0" applyFill="1"/>
    <xf numFmtId="164" fontId="0" fillId="3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0" fillId="0" borderId="0" xfId="0" applyFont="1" applyFill="1"/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 vertical="center"/>
    </xf>
    <xf numFmtId="0" fontId="0" fillId="3" borderId="0" xfId="0" applyFont="1" applyFill="1"/>
    <xf numFmtId="0" fontId="2" fillId="3" borderId="0" xfId="0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0" fontId="2" fillId="0" borderId="0" xfId="0" applyFont="1" applyFill="1" applyBorder="1"/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0" fontId="26" fillId="0" borderId="0" xfId="0" applyFont="1"/>
    <xf numFmtId="166" fontId="0" fillId="3" borderId="0" xfId="0" applyNumberFormat="1" applyFont="1" applyFill="1" applyAlignment="1">
      <alignment horizontal="center"/>
    </xf>
    <xf numFmtId="166" fontId="0" fillId="3" borderId="13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/>
    <xf numFmtId="0" fontId="41" fillId="2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0" fillId="3" borderId="0" xfId="0" applyFont="1" applyFill="1" applyAlignment="1"/>
    <xf numFmtId="0" fontId="0" fillId="0" borderId="0" xfId="0" applyFont="1" applyAlignment="1"/>
    <xf numFmtId="0" fontId="44" fillId="3" borderId="0" xfId="0" applyFont="1" applyFill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30" fillId="3" borderId="0" xfId="0" applyFont="1" applyFill="1" applyAlignment="1">
      <alignment horizontal="right" wrapText="1"/>
    </xf>
    <xf numFmtId="0" fontId="30" fillId="0" borderId="0" xfId="0" applyFont="1" applyAlignment="1">
      <alignment horizontal="right" wrapText="1"/>
    </xf>
    <xf numFmtId="0" fontId="0" fillId="3" borderId="0" xfId="0" applyFill="1" applyAlignment="1"/>
    <xf numFmtId="0" fontId="30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0" fillId="3" borderId="0" xfId="0" applyFont="1" applyFill="1" applyAlignment="1">
      <alignment horizontal="center" vertical="center"/>
    </xf>
    <xf numFmtId="0" fontId="30" fillId="3" borderId="0" xfId="0" applyFont="1" applyFill="1" applyAlignment="1"/>
    <xf numFmtId="0" fontId="28" fillId="3" borderId="3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9" fillId="3" borderId="0" xfId="0" applyFont="1" applyFill="1" applyAlignment="1"/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45" fillId="0" borderId="0" xfId="0" applyFont="1" applyAlignment="1"/>
    <xf numFmtId="0" fontId="4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354190521922208E-2"/>
          <c:y val="2.2411603753991718E-2"/>
          <c:w val="0.91364680823623601"/>
          <c:h val="0.90831068640933588"/>
        </c:manualLayout>
      </c:layout>
      <c:scatterChart>
        <c:scatterStyle val="lineMarker"/>
        <c:varyColors val="0"/>
        <c:ser>
          <c:idx val="2"/>
          <c:order val="0"/>
          <c:tx>
            <c:v>Recta OA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'Curva resistente y MR-PR'!$K$23:$K$25</c:f>
              <c:numCache>
                <c:formatCode>0.0</c:formatCode>
                <c:ptCount val="3"/>
                <c:pt idx="0" formatCode="General">
                  <c:v>0</c:v>
                </c:pt>
                <c:pt idx="1">
                  <c:v>150</c:v>
                </c:pt>
                <c:pt idx="2" formatCode="0">
                  <c:v>187.4058113115012</c:v>
                </c:pt>
              </c:numCache>
            </c:numRef>
          </c:xVal>
          <c:yVal>
            <c:numRef>
              <c:f>'Curva resistente y MR-PR'!$L$23:$L$25</c:f>
              <c:numCache>
                <c:formatCode>General</c:formatCode>
                <c:ptCount val="3"/>
                <c:pt idx="0">
                  <c:v>0</c:v>
                </c:pt>
                <c:pt idx="1">
                  <c:v>1000</c:v>
                </c:pt>
                <c:pt idx="2" formatCode="0">
                  <c:v>1249.3720754100082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67E-4E06-BEBE-6BD1DF72CCC0}"/>
            </c:ext>
          </c:extLst>
        </c:ser>
        <c:ser>
          <c:idx val="0"/>
          <c:order val="1"/>
          <c:tx>
            <c:v>Curva nominal MN-PN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'Curva resistente y MR-PR'!$B$4:$B$10</c:f>
              <c:numCache>
                <c:formatCode>0</c:formatCode>
                <c:ptCount val="7"/>
                <c:pt idx="0">
                  <c:v>0</c:v>
                </c:pt>
                <c:pt idx="1">
                  <c:v>230.87202255000017</c:v>
                </c:pt>
                <c:pt idx="2">
                  <c:v>362.23915500000004</c:v>
                </c:pt>
                <c:pt idx="3">
                  <c:v>399.95305842599998</c:v>
                </c:pt>
                <c:pt idx="4">
                  <c:v>376.39725131020407</c:v>
                </c:pt>
                <c:pt idx="5">
                  <c:v>273.1854261834319</c:v>
                </c:pt>
                <c:pt idx="6">
                  <c:v>0</c:v>
                </c:pt>
              </c:numCache>
            </c:numRef>
          </c:xVal>
          <c:yVal>
            <c:numRef>
              <c:f>'Curva resistente y MR-PR'!$C$4:$C$10</c:f>
              <c:numCache>
                <c:formatCode>0</c:formatCode>
                <c:ptCount val="7"/>
                <c:pt idx="0">
                  <c:v>2735.5773599999998</c:v>
                </c:pt>
                <c:pt idx="1">
                  <c:v>2169.2485124999994</c:v>
                </c:pt>
                <c:pt idx="2">
                  <c:v>1604.0821500000002</c:v>
                </c:pt>
                <c:pt idx="3">
                  <c:v>1243.0422674999998</c:v>
                </c:pt>
                <c:pt idx="4">
                  <c:v>869.95220142857113</c:v>
                </c:pt>
                <c:pt idx="5">
                  <c:v>436.93211769230754</c:v>
                </c:pt>
                <c:pt idx="6">
                  <c:v>-234.02735999999999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67E-4E06-BEBE-6BD1DF72CCC0}"/>
            </c:ext>
          </c:extLst>
        </c:ser>
        <c:ser>
          <c:idx val="1"/>
          <c:order val="2"/>
          <c:tx>
            <c:v>Curva resistente MR-PR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'Curva resistente y MR-PR'!$D$4:$D$10</c:f>
              <c:numCache>
                <c:formatCode>0</c:formatCode>
                <c:ptCount val="7"/>
                <c:pt idx="0">
                  <c:v>0</c:v>
                </c:pt>
                <c:pt idx="1">
                  <c:v>150.06681465750012</c:v>
                </c:pt>
                <c:pt idx="2">
                  <c:v>235.45545075000004</c:v>
                </c:pt>
                <c:pt idx="3">
                  <c:v>259.96948797689998</c:v>
                </c:pt>
                <c:pt idx="4">
                  <c:v>244.65821335163264</c:v>
                </c:pt>
                <c:pt idx="5">
                  <c:v>204.88906963757393</c:v>
                </c:pt>
                <c:pt idx="6">
                  <c:v>0</c:v>
                </c:pt>
              </c:numCache>
            </c:numRef>
          </c:xVal>
          <c:yVal>
            <c:numRef>
              <c:f>'Curva resistente y MR-PR'!$E$4:$E$10</c:f>
              <c:numCache>
                <c:formatCode>0</c:formatCode>
                <c:ptCount val="7"/>
                <c:pt idx="0">
                  <c:v>1778.125284</c:v>
                </c:pt>
                <c:pt idx="1">
                  <c:v>1410.0115331249997</c:v>
                </c:pt>
                <c:pt idx="2">
                  <c:v>1042.6533975000002</c:v>
                </c:pt>
                <c:pt idx="3">
                  <c:v>807.97747387499987</c:v>
                </c:pt>
                <c:pt idx="4">
                  <c:v>565.46893092857124</c:v>
                </c:pt>
                <c:pt idx="5">
                  <c:v>327.69908826923063</c:v>
                </c:pt>
                <c:pt idx="6">
                  <c:v>-175.52051999999998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67E-4E06-BEBE-6BD1DF72C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235992"/>
        <c:axId val="620237632"/>
      </c:scatterChart>
      <c:valAx>
        <c:axId val="62023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Momento,</a:t>
                </a:r>
                <a:r>
                  <a:rPr lang="es-MX" baseline="0"/>
                  <a:t> KN m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0237632"/>
        <c:crosses val="autoZero"/>
        <c:crossBetween val="midCat"/>
      </c:valAx>
      <c:valAx>
        <c:axId val="6202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Carga, KN</a:t>
                </a:r>
              </a:p>
            </c:rich>
          </c:tx>
          <c:layout>
            <c:manualLayout>
              <c:xMode val="edge"/>
              <c:yMode val="edge"/>
              <c:x val="5.3630338280081943E-2"/>
              <c:y val="0.42203768051260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023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339751860225944E-2"/>
          <c:y val="4.5630505700957412E-2"/>
          <c:w val="0.89999997777441421"/>
          <c:h val="5.6933596863145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w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220133</xdr:colOff>
      <xdr:row>6</xdr:row>
      <xdr:rowOff>116584</xdr:rowOff>
    </xdr:from>
    <xdr:to>
      <xdr:col>6</xdr:col>
      <xdr:colOff>582083</xdr:colOff>
      <xdr:row>17</xdr:row>
      <xdr:rowOff>175684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472A13-8BC4-4328-9D2C-89D04B6BE2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750" t="23399" r="12996" b="27190"/>
        <a:stretch/>
      </xdr:blipFill>
      <xdr:spPr bwMode="auto">
        <a:xfrm>
          <a:off x="220133" y="1376001"/>
          <a:ext cx="4933950" cy="215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213360</xdr:colOff>
      <xdr:row>20</xdr:row>
      <xdr:rowOff>16510</xdr:rowOff>
    </xdr:from>
    <xdr:ext cx="1418529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E10E483-C50C-4FEC-8913-4B44921C5CCC}"/>
                </a:ext>
              </a:extLst>
            </xdr:cNvPr>
            <xdr:cNvSpPr txBox="1"/>
          </xdr:nvSpPr>
          <xdr:spPr>
            <a:xfrm>
              <a:off x="1407160" y="4410710"/>
              <a:ext cx="141852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=0.85 </m:t>
                    </m:r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′ </m:t>
                        </m:r>
                      </m:sup>
                    </m:sSubSup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E10E483-C50C-4FEC-8913-4B44921C5CCC}"/>
                </a:ext>
              </a:extLst>
            </xdr:cNvPr>
            <xdr:cNvSpPr txBox="1"/>
          </xdr:nvSpPr>
          <xdr:spPr>
            <a:xfrm>
              <a:off x="1407160" y="4410710"/>
              <a:ext cx="141852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𝑃_𝑜=0.85 𝑓_𝑐^(′ ) 𝐴_𝑔+𝐴_𝑠  𝑓_𝑦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0</xdr:col>
      <xdr:colOff>136525</xdr:colOff>
      <xdr:row>19</xdr:row>
      <xdr:rowOff>96520</xdr:rowOff>
    </xdr:from>
    <xdr:to>
      <xdr:col>1</xdr:col>
      <xdr:colOff>494665</xdr:colOff>
      <xdr:row>21</xdr:row>
      <xdr:rowOff>58420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5BFCF61-2EF6-4AE9-A2AA-ACE63102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4287520"/>
          <a:ext cx="95504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177800</xdr:colOff>
      <xdr:row>22</xdr:row>
      <xdr:rowOff>17780</xdr:rowOff>
    </xdr:from>
    <xdr:to>
      <xdr:col>1</xdr:col>
      <xdr:colOff>228600</xdr:colOff>
      <xdr:row>23</xdr:row>
      <xdr:rowOff>10160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CAC111E-50B8-4C32-9D1C-D7C6D23B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4818380"/>
          <a:ext cx="647700" cy="19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137160</xdr:colOff>
      <xdr:row>23</xdr:row>
      <xdr:rowOff>142240</xdr:rowOff>
    </xdr:from>
    <xdr:to>
      <xdr:col>1</xdr:col>
      <xdr:colOff>487680</xdr:colOff>
      <xdr:row>24</xdr:row>
      <xdr:rowOff>134620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F4EC22-7DD7-4654-B8C3-C2567282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5146040"/>
          <a:ext cx="947420" cy="19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152400</xdr:colOff>
      <xdr:row>25</xdr:row>
      <xdr:rowOff>60960</xdr:rowOff>
    </xdr:from>
    <xdr:to>
      <xdr:col>1</xdr:col>
      <xdr:colOff>213360</xdr:colOff>
      <xdr:row>27</xdr:row>
      <xdr:rowOff>22860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71588CB-2835-42DB-9AFA-46C30517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471160"/>
          <a:ext cx="65786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109220</xdr:colOff>
      <xdr:row>27</xdr:row>
      <xdr:rowOff>53340</xdr:rowOff>
    </xdr:from>
    <xdr:to>
      <xdr:col>1</xdr:col>
      <xdr:colOff>147320</xdr:colOff>
      <xdr:row>28</xdr:row>
      <xdr:rowOff>45720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411080E-C5B7-4F1C-B296-7B0675BF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" y="5869940"/>
          <a:ext cx="635000" cy="19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254000</xdr:colOff>
      <xdr:row>21</xdr:row>
      <xdr:rowOff>152400</xdr:rowOff>
    </xdr:from>
    <xdr:to>
      <xdr:col>4</xdr:col>
      <xdr:colOff>55880</xdr:colOff>
      <xdr:row>23</xdr:row>
      <xdr:rowOff>78740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BC4A198-CC19-4A6C-B3E8-5BB24E3C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749800"/>
          <a:ext cx="995680" cy="33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</xdr:colOff>
      <xdr:row>23</xdr:row>
      <xdr:rowOff>160020</xdr:rowOff>
    </xdr:from>
    <xdr:to>
      <xdr:col>3</xdr:col>
      <xdr:colOff>541020</xdr:colOff>
      <xdr:row>25</xdr:row>
      <xdr:rowOff>91440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6EE1ED8-3F34-41CF-B72F-C90C2AB1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163820"/>
          <a:ext cx="947420" cy="337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307340</xdr:colOff>
      <xdr:row>26</xdr:row>
      <xdr:rowOff>63500</xdr:rowOff>
    </xdr:from>
    <xdr:to>
      <xdr:col>3</xdr:col>
      <xdr:colOff>497840</xdr:colOff>
      <xdr:row>27</xdr:row>
      <xdr:rowOff>55880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8CAEC15F-F288-48C1-819B-691281BE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5676900"/>
          <a:ext cx="787400" cy="19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238760</xdr:colOff>
      <xdr:row>27</xdr:row>
      <xdr:rowOff>129540</xdr:rowOff>
    </xdr:from>
    <xdr:to>
      <xdr:col>4</xdr:col>
      <xdr:colOff>63500</xdr:colOff>
      <xdr:row>29</xdr:row>
      <xdr:rowOff>86360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E72507C-CEB6-4ECE-BCDD-5F004AF1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" y="5946140"/>
          <a:ext cx="1018540" cy="363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411480</xdr:colOff>
      <xdr:row>19</xdr:row>
      <xdr:rowOff>149860</xdr:rowOff>
    </xdr:from>
    <xdr:to>
      <xdr:col>7</xdr:col>
      <xdr:colOff>96520</xdr:colOff>
      <xdr:row>20</xdr:row>
      <xdr:rowOff>142240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D687EC6-143C-48CF-A3CF-5921F229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980" y="4340860"/>
          <a:ext cx="878840" cy="19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452120</xdr:colOff>
      <xdr:row>21</xdr:row>
      <xdr:rowOff>160020</xdr:rowOff>
    </xdr:from>
    <xdr:to>
      <xdr:col>7</xdr:col>
      <xdr:colOff>419100</xdr:colOff>
      <xdr:row>24</xdr:row>
      <xdr:rowOff>83820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E67B8D7-83C7-4C5F-82C8-350770A9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4757420"/>
          <a:ext cx="116078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383540</xdr:colOff>
      <xdr:row>25</xdr:row>
      <xdr:rowOff>30480</xdr:rowOff>
    </xdr:from>
    <xdr:to>
      <xdr:col>7</xdr:col>
      <xdr:colOff>528320</xdr:colOff>
      <xdr:row>27</xdr:row>
      <xdr:rowOff>172720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54147E4-8BB1-4968-85DD-6A777424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5440680"/>
          <a:ext cx="1338580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5293</xdr:colOff>
      <xdr:row>30</xdr:row>
      <xdr:rowOff>0</xdr:rowOff>
    </xdr:from>
    <xdr:to>
      <xdr:col>7</xdr:col>
      <xdr:colOff>291043</xdr:colOff>
      <xdr:row>41</xdr:row>
      <xdr:rowOff>57257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484F26C-D240-4175-99EE-0A845FB8BD5D}"/>
            </a:ext>
          </a:extLst>
        </xdr:cNvPr>
        <xdr:cNvPicPr/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88" t="25475" r="17519" b="17477"/>
        <a:stretch/>
      </xdr:blipFill>
      <xdr:spPr bwMode="auto">
        <a:xfrm>
          <a:off x="5293" y="6879166"/>
          <a:ext cx="4312708" cy="227181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34</xdr:row>
      <xdr:rowOff>95250</xdr:rowOff>
    </xdr:from>
    <xdr:to>
      <xdr:col>14</xdr:col>
      <xdr:colOff>541019</xdr:colOff>
      <xdr:row>53</xdr:row>
      <xdr:rowOff>36195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9450DC-A8B2-413B-804A-23FFABF25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ULPICIO SANCHEZ TIZAPA" id="{B28E4F49-28F7-45D7-ABE9-72E83B1E83CC}" userId="SULPICIO SANCHEZ TIZAP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0-09-09T20:03:37.13" personId="{B28E4F49-28F7-45D7-ABE9-72E83B1E83CC}" id="{6B725485-E1C3-412F-AB07-AAC5B040FEE9}">
    <text>NTC 3.7</text>
  </threadedComment>
  <threadedComment ref="D12" dT="2020-09-14T01:50:21.91" personId="{B28E4F49-28F7-45D7-ABE9-72E83B1E83CC}" id="{4E9708E2-9F00-413D-B478-EE537AE42A5D}">
    <text>1 para ubicar entre que puntos está el par MU, PU</text>
  </threadedComment>
  <threadedComment ref="B29" dT="2020-09-14T03:52:09.00" personId="{B28E4F49-28F7-45D7-ABE9-72E83B1E83CC}" id="{528CE204-C8E1-496E-9573-2B484D331B31}">
    <text>Pares MR2-PR2 y MR3-PR3 de acuerdo con ecuación 12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88FB-D510-4C19-B2E5-89D223E65414}">
  <dimension ref="A3:G36"/>
  <sheetViews>
    <sheetView showGridLines="0" view="pageBreakPreview" zoomScale="90" zoomScaleNormal="100" zoomScaleSheetLayoutView="90" workbookViewId="0">
      <selection activeCell="D25" sqref="D25"/>
    </sheetView>
  </sheetViews>
  <sheetFormatPr baseColWidth="10" defaultRowHeight="15"/>
  <sheetData>
    <row r="3" spans="1:7" ht="21">
      <c r="A3" s="181" t="s">
        <v>105</v>
      </c>
      <c r="B3" s="181"/>
      <c r="C3" s="181"/>
      <c r="D3" s="181"/>
      <c r="E3" s="181"/>
      <c r="F3" s="181"/>
      <c r="G3" s="107"/>
    </row>
    <row r="4" spans="1:7" ht="18" customHeight="1">
      <c r="A4" s="180" t="s">
        <v>120</v>
      </c>
      <c r="B4" s="180"/>
      <c r="C4" s="180"/>
      <c r="D4" s="180"/>
      <c r="E4" s="180"/>
      <c r="F4" s="180"/>
      <c r="G4" s="180"/>
    </row>
    <row r="5" spans="1:7">
      <c r="C5" s="108"/>
      <c r="D5" s="108"/>
      <c r="E5" s="108"/>
      <c r="F5" s="108"/>
      <c r="G5" s="108"/>
    </row>
    <row r="23" spans="2:2">
      <c r="B23" s="138" t="s">
        <v>114</v>
      </c>
    </row>
    <row r="34" spans="2:2">
      <c r="B34" t="s">
        <v>117</v>
      </c>
    </row>
    <row r="35" spans="2:2">
      <c r="B35" t="s">
        <v>118</v>
      </c>
    </row>
    <row r="36" spans="2:2">
      <c r="B36" t="s">
        <v>119</v>
      </c>
    </row>
  </sheetData>
  <mergeCells count="2">
    <mergeCell ref="A3:F3"/>
    <mergeCell ref="A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0D7A-46E4-41B6-A1CC-03677633A2E3}">
  <dimension ref="A2:H119"/>
  <sheetViews>
    <sheetView showGridLines="0" view="pageBreakPreview" topLeftCell="A97" zoomScale="120" zoomScaleNormal="140" zoomScaleSheetLayoutView="120" workbookViewId="0">
      <selection activeCell="J43" sqref="J43"/>
    </sheetView>
  </sheetViews>
  <sheetFormatPr baseColWidth="10" defaultColWidth="11.5703125" defaultRowHeight="15.75"/>
  <cols>
    <col min="1" max="1" width="8.7109375" style="3" customWidth="1"/>
    <col min="2" max="2" width="8" style="3" customWidth="1"/>
    <col min="3" max="12" width="8.7109375" style="3" customWidth="1"/>
    <col min="13" max="16384" width="11.5703125" style="3"/>
  </cols>
  <sheetData>
    <row r="2" spans="1:8" ht="19.5" thickBot="1">
      <c r="A2" s="6" t="s">
        <v>24</v>
      </c>
    </row>
    <row r="3" spans="1:8" ht="34.9" customHeight="1" thickBot="1">
      <c r="A3" s="142" t="s">
        <v>47</v>
      </c>
      <c r="B3" s="143"/>
      <c r="C3" s="143"/>
      <c r="D3" s="144"/>
      <c r="E3" s="9"/>
      <c r="F3" s="145" t="s">
        <v>48</v>
      </c>
      <c r="G3" s="146"/>
      <c r="H3" s="147"/>
    </row>
    <row r="4" spans="1:8" ht="20.25" thickBot="1">
      <c r="A4" s="12" t="s">
        <v>29</v>
      </c>
      <c r="B4" s="16">
        <v>0.15</v>
      </c>
      <c r="C4" s="13" t="s">
        <v>25</v>
      </c>
      <c r="D4" s="11">
        <f>200*0.0981</f>
        <v>19.62</v>
      </c>
      <c r="E4" s="9"/>
      <c r="F4" s="84" t="s">
        <v>22</v>
      </c>
      <c r="G4" s="85" t="s">
        <v>23</v>
      </c>
      <c r="H4" s="86"/>
    </row>
    <row r="5" spans="1:8" ht="18.75">
      <c r="A5" s="12" t="s">
        <v>30</v>
      </c>
      <c r="B5" s="16">
        <v>0.04</v>
      </c>
      <c r="C5" s="13" t="s">
        <v>26</v>
      </c>
      <c r="D5" s="11">
        <f>4200*0.0981</f>
        <v>412.02000000000004</v>
      </c>
      <c r="E5" s="9"/>
      <c r="F5" s="109">
        <v>150</v>
      </c>
      <c r="G5" s="109">
        <v>1000</v>
      </c>
      <c r="H5" s="110"/>
    </row>
    <row r="6" spans="1:8" ht="18.75">
      <c r="A6" s="12" t="s">
        <v>31</v>
      </c>
      <c r="B6" s="16">
        <v>0.04</v>
      </c>
      <c r="C6" s="17" t="s">
        <v>17</v>
      </c>
      <c r="D6" s="14" t="s">
        <v>0</v>
      </c>
      <c r="E6" s="9"/>
      <c r="F6" s="148" t="s">
        <v>115</v>
      </c>
      <c r="G6" s="149"/>
      <c r="H6" s="149"/>
    </row>
    <row r="7" spans="1:8" ht="18.75">
      <c r="A7" s="12" t="s">
        <v>32</v>
      </c>
      <c r="B7" s="16">
        <v>0.12</v>
      </c>
      <c r="C7" s="10" t="s">
        <v>4</v>
      </c>
      <c r="D7" s="11">
        <v>8</v>
      </c>
      <c r="E7" s="9"/>
      <c r="F7" s="149"/>
      <c r="G7" s="149"/>
      <c r="H7" s="149"/>
    </row>
    <row r="8" spans="1:8" ht="16.5" thickBot="1">
      <c r="A8" s="81" t="s">
        <v>33</v>
      </c>
      <c r="B8" s="82">
        <v>1</v>
      </c>
      <c r="C8" s="83"/>
      <c r="D8" s="83"/>
      <c r="E8" s="83"/>
      <c r="F8" s="150"/>
      <c r="G8" s="150"/>
      <c r="H8" s="150"/>
    </row>
    <row r="9" spans="1:8" ht="16.5" thickTop="1">
      <c r="A9" s="4"/>
    </row>
    <row r="10" spans="1:8" ht="19.5" thickBot="1">
      <c r="A10" s="15" t="s">
        <v>103</v>
      </c>
    </row>
    <row r="11" spans="1:8" ht="18.75" thickBot="1">
      <c r="A11" s="87" t="s">
        <v>50</v>
      </c>
      <c r="B11" s="88"/>
      <c r="C11" s="88"/>
      <c r="D11" s="89"/>
      <c r="E11" s="19"/>
      <c r="F11" s="19"/>
      <c r="G11" s="19"/>
      <c r="H11" s="113"/>
    </row>
    <row r="12" spans="1:8" ht="19.5">
      <c r="A12" s="20" t="s">
        <v>34</v>
      </c>
      <c r="B12" s="40">
        <f>IF(D6=E14,F14,IF(D6=E15,F15,IF(D6=E16,F16,F17)))</f>
        <v>0.71</v>
      </c>
      <c r="C12" s="19" t="s">
        <v>51</v>
      </c>
      <c r="D12" s="19"/>
      <c r="E12" s="151" t="s">
        <v>102</v>
      </c>
      <c r="F12" s="152"/>
      <c r="G12" s="152"/>
      <c r="H12" s="113"/>
    </row>
    <row r="13" spans="1:8" ht="19.5">
      <c r="A13" s="20" t="s">
        <v>35</v>
      </c>
      <c r="B13" s="21">
        <f>B12*D7</f>
        <v>5.68</v>
      </c>
      <c r="C13" s="19" t="s">
        <v>51</v>
      </c>
      <c r="D13" s="19"/>
      <c r="E13" s="22" t="s">
        <v>27</v>
      </c>
      <c r="F13" s="30" t="s">
        <v>28</v>
      </c>
      <c r="G13" s="153" t="s">
        <v>116</v>
      </c>
      <c r="H13" s="113"/>
    </row>
    <row r="14" spans="1:8">
      <c r="A14" s="20" t="s">
        <v>36</v>
      </c>
      <c r="B14" s="21">
        <f>B8-B5</f>
        <v>0.96</v>
      </c>
      <c r="C14" s="19" t="s">
        <v>52</v>
      </c>
      <c r="D14" s="19"/>
      <c r="E14" s="23" t="s">
        <v>0</v>
      </c>
      <c r="F14" s="24">
        <v>0.71</v>
      </c>
      <c r="G14" s="154"/>
      <c r="H14" s="113"/>
    </row>
    <row r="15" spans="1:8">
      <c r="A15" s="20" t="s">
        <v>37</v>
      </c>
      <c r="B15" s="116">
        <f>B13/(B4*100*B8*100)</f>
        <v>3.7866666666666665E-3</v>
      </c>
      <c r="C15" s="19"/>
      <c r="D15" s="19"/>
      <c r="E15" s="26" t="s">
        <v>2</v>
      </c>
      <c r="F15" s="24">
        <v>1.27</v>
      </c>
      <c r="G15" s="154"/>
      <c r="H15" s="113"/>
    </row>
    <row r="16" spans="1:8" ht="19.5">
      <c r="A16" s="130" t="s">
        <v>49</v>
      </c>
      <c r="B16" s="131">
        <f>B4*B8</f>
        <v>0.15</v>
      </c>
      <c r="C16" s="132" t="s">
        <v>53</v>
      </c>
      <c r="D16" s="19"/>
      <c r="E16" s="26" t="s">
        <v>3</v>
      </c>
      <c r="F16" s="24">
        <v>1.99</v>
      </c>
      <c r="G16" s="154"/>
      <c r="H16" s="113"/>
    </row>
    <row r="17" spans="1:8">
      <c r="A17" s="130"/>
      <c r="B17" s="131"/>
      <c r="C17" s="132"/>
      <c r="D17" s="132"/>
      <c r="E17" s="26" t="s">
        <v>113</v>
      </c>
      <c r="F17" s="24">
        <v>2.85</v>
      </c>
      <c r="G17" s="154"/>
      <c r="H17" s="133"/>
    </row>
    <row r="18" spans="1:8">
      <c r="A18" s="4"/>
      <c r="B18" s="7"/>
      <c r="E18" s="8"/>
      <c r="F18" s="5"/>
    </row>
    <row r="19" spans="1:8">
      <c r="A19" s="1" t="s">
        <v>54</v>
      </c>
      <c r="B19" s="7"/>
      <c r="E19" s="8"/>
      <c r="F19" s="5"/>
    </row>
    <row r="20" spans="1:8">
      <c r="A20" s="20"/>
      <c r="B20" s="21"/>
      <c r="C20" s="19"/>
      <c r="D20" s="19"/>
      <c r="E20" s="26"/>
      <c r="F20" s="24"/>
      <c r="G20" s="19"/>
      <c r="H20" s="19"/>
    </row>
    <row r="21" spans="1:8">
      <c r="A21" s="20"/>
      <c r="B21" s="21"/>
      <c r="C21" s="19"/>
      <c r="D21" s="19"/>
      <c r="E21" s="26"/>
      <c r="F21" s="24"/>
      <c r="G21" s="19"/>
      <c r="H21" s="19"/>
    </row>
    <row r="22" spans="1:8">
      <c r="A22" s="20"/>
      <c r="B22" s="21"/>
      <c r="C22" s="19"/>
      <c r="D22" s="19"/>
      <c r="E22" s="26"/>
      <c r="F22" s="24"/>
      <c r="G22" s="19"/>
      <c r="H22" s="19"/>
    </row>
    <row r="23" spans="1:8">
      <c r="A23" s="20"/>
      <c r="B23" s="21"/>
      <c r="C23" s="19"/>
      <c r="D23" s="19"/>
      <c r="E23" s="26"/>
      <c r="F23" s="24"/>
      <c r="G23" s="19"/>
      <c r="H23" s="19"/>
    </row>
    <row r="24" spans="1:8">
      <c r="A24" s="20"/>
      <c r="B24" s="21"/>
      <c r="C24" s="19"/>
      <c r="D24" s="19"/>
      <c r="E24" s="26"/>
      <c r="F24" s="24"/>
      <c r="G24" s="19"/>
      <c r="H24" s="19"/>
    </row>
    <row r="25" spans="1:8">
      <c r="A25" s="20"/>
      <c r="B25" s="21"/>
      <c r="C25" s="19"/>
      <c r="D25" s="19"/>
      <c r="E25" s="26"/>
      <c r="F25" s="24"/>
      <c r="G25" s="19"/>
      <c r="H25" s="19"/>
    </row>
    <row r="26" spans="1:8">
      <c r="A26" s="20"/>
      <c r="B26" s="21"/>
      <c r="C26" s="19"/>
      <c r="D26" s="19"/>
      <c r="E26" s="26"/>
      <c r="F26" s="24"/>
      <c r="G26" s="19"/>
      <c r="H26" s="19"/>
    </row>
    <row r="27" spans="1:8">
      <c r="A27" s="20"/>
      <c r="B27" s="21"/>
      <c r="C27" s="19"/>
      <c r="D27" s="19"/>
      <c r="E27" s="26"/>
      <c r="F27" s="24"/>
      <c r="G27" s="19"/>
      <c r="H27" s="19"/>
    </row>
    <row r="28" spans="1:8">
      <c r="A28" s="20"/>
      <c r="B28" s="21"/>
      <c r="C28" s="19"/>
      <c r="D28" s="19"/>
      <c r="E28" s="26"/>
      <c r="F28" s="24"/>
      <c r="G28" s="19"/>
      <c r="H28" s="19"/>
    </row>
    <row r="29" spans="1:8">
      <c r="A29" s="20"/>
      <c r="B29" s="21"/>
      <c r="C29" s="19"/>
      <c r="D29" s="19"/>
      <c r="E29" s="26"/>
      <c r="F29" s="24"/>
      <c r="G29" s="19"/>
      <c r="H29" s="19"/>
    </row>
    <row r="30" spans="1:8">
      <c r="A30" s="20"/>
      <c r="B30" s="21"/>
      <c r="C30" s="19"/>
      <c r="D30" s="19"/>
      <c r="E30" s="26"/>
      <c r="F30" s="24"/>
      <c r="G30" s="19"/>
      <c r="H30" s="19"/>
    </row>
    <row r="31" spans="1:8">
      <c r="A31" s="20"/>
      <c r="B31" s="21"/>
      <c r="C31" s="19"/>
      <c r="D31" s="19"/>
      <c r="E31" s="26"/>
      <c r="F31" s="24"/>
      <c r="G31" s="19"/>
      <c r="H31" s="19"/>
    </row>
    <row r="32" spans="1:8">
      <c r="A32" s="20"/>
      <c r="B32" s="21"/>
      <c r="C32" s="19"/>
      <c r="D32" s="19"/>
      <c r="E32" s="26"/>
      <c r="F32" s="24"/>
      <c r="G32" s="19"/>
      <c r="H32" s="19"/>
    </row>
    <row r="33" spans="1:8">
      <c r="A33" s="20"/>
      <c r="B33" s="21"/>
      <c r="C33" s="19"/>
      <c r="D33" s="19"/>
      <c r="E33" s="26"/>
      <c r="F33" s="24"/>
      <c r="G33" s="19"/>
      <c r="H33" s="19"/>
    </row>
    <row r="34" spans="1:8">
      <c r="A34" s="20"/>
      <c r="B34" s="21"/>
      <c r="C34" s="19"/>
      <c r="D34" s="19"/>
      <c r="E34" s="26"/>
      <c r="F34" s="24"/>
      <c r="G34" s="19"/>
      <c r="H34" s="19"/>
    </row>
    <row r="35" spans="1:8">
      <c r="A35" s="20"/>
      <c r="B35" s="21"/>
      <c r="C35" s="19"/>
      <c r="D35" s="19"/>
      <c r="E35" s="26"/>
      <c r="F35" s="24"/>
      <c r="G35" s="19"/>
      <c r="H35" s="19"/>
    </row>
    <row r="36" spans="1:8">
      <c r="A36" s="20"/>
      <c r="B36" s="21"/>
      <c r="C36" s="19"/>
      <c r="D36" s="19"/>
      <c r="E36" s="26"/>
      <c r="F36" s="24"/>
      <c r="G36" s="19"/>
      <c r="H36" s="19"/>
    </row>
    <row r="37" spans="1:8">
      <c r="A37" s="20"/>
      <c r="B37" s="21"/>
      <c r="C37" s="19"/>
      <c r="D37" s="19"/>
      <c r="E37" s="26"/>
      <c r="F37" s="24"/>
      <c r="G37" s="19"/>
      <c r="H37" s="19"/>
    </row>
    <row r="38" spans="1:8">
      <c r="A38" s="20"/>
      <c r="B38" s="21"/>
      <c r="C38" s="19"/>
      <c r="D38" s="19"/>
      <c r="E38" s="26"/>
      <c r="F38" s="24"/>
      <c r="G38" s="19"/>
      <c r="H38" s="19"/>
    </row>
    <row r="39" spans="1:8">
      <c r="A39" s="19"/>
      <c r="B39" s="19"/>
      <c r="C39" s="19"/>
      <c r="D39" s="19"/>
      <c r="E39" s="19"/>
      <c r="F39" s="19"/>
      <c r="G39" s="19"/>
      <c r="H39" s="19"/>
    </row>
    <row r="40" spans="1:8">
      <c r="A40" s="19"/>
      <c r="B40" s="19"/>
      <c r="C40" s="19"/>
      <c r="D40" s="19"/>
      <c r="E40" s="19"/>
      <c r="F40" s="19"/>
      <c r="G40" s="19"/>
      <c r="H40" s="19"/>
    </row>
    <row r="42" spans="1:8" ht="18.75">
      <c r="A42" s="1" t="s">
        <v>55</v>
      </c>
      <c r="B42" s="2"/>
    </row>
    <row r="43" spans="1:8" ht="18.75">
      <c r="A43" s="20" t="s">
        <v>38</v>
      </c>
      <c r="B43" s="27">
        <f>(0.85*D$4*B$16*1000000+B$13*D$5*100)/1000</f>
        <v>2735.5773599999998</v>
      </c>
      <c r="C43" s="113"/>
      <c r="D43" s="113"/>
      <c r="E43" s="113"/>
      <c r="F43" s="113"/>
      <c r="G43" s="113"/>
      <c r="H43" s="113"/>
    </row>
    <row r="44" spans="1:8" ht="18.75">
      <c r="A44" s="20" t="s">
        <v>39</v>
      </c>
      <c r="B44" s="28">
        <v>0</v>
      </c>
      <c r="C44" s="113"/>
      <c r="D44" s="113"/>
      <c r="E44" s="113"/>
      <c r="F44" s="113"/>
      <c r="G44" s="113"/>
      <c r="H44" s="113"/>
    </row>
    <row r="46" spans="1:8" ht="18.75">
      <c r="A46" s="1" t="s">
        <v>56</v>
      </c>
    </row>
    <row r="47" spans="1:8" ht="18.75">
      <c r="A47" s="29" t="s">
        <v>40</v>
      </c>
      <c r="B47" s="19">
        <v>3.0000000000000001E-3</v>
      </c>
      <c r="C47" s="19"/>
      <c r="D47" s="20" t="s">
        <v>42</v>
      </c>
      <c r="E47" s="21">
        <f>B$14*B47/(B47+B48)</f>
        <v>0.95999999999999985</v>
      </c>
      <c r="F47" s="19"/>
      <c r="G47" s="20" t="s">
        <v>45</v>
      </c>
      <c r="H47" s="21">
        <f>B$8/2-E48/2</f>
        <v>9.2000000000000082E-2</v>
      </c>
    </row>
    <row r="48" spans="1:8" ht="18.75">
      <c r="A48" s="29" t="s">
        <v>41</v>
      </c>
      <c r="B48" s="19">
        <v>0</v>
      </c>
      <c r="C48" s="19"/>
      <c r="D48" s="20" t="s">
        <v>43</v>
      </c>
      <c r="E48" s="21">
        <f>0.85*E47</f>
        <v>0.81599999999999984</v>
      </c>
      <c r="F48" s="19"/>
      <c r="G48" s="20" t="s">
        <v>46</v>
      </c>
      <c r="H48" s="27">
        <f>H47*E49</f>
        <v>187.79636160000013</v>
      </c>
    </row>
    <row r="49" spans="1:8" ht="19.5" thickBot="1">
      <c r="A49" s="19"/>
      <c r="B49" s="19"/>
      <c r="C49" s="19"/>
      <c r="D49" s="20" t="s">
        <v>44</v>
      </c>
      <c r="E49" s="27">
        <f>0.85*D$4*E48*B$4*1000</f>
        <v>2041.2647999999995</v>
      </c>
      <c r="F49" s="19"/>
      <c r="G49" s="19"/>
      <c r="H49" s="19"/>
    </row>
    <row r="50" spans="1:8" ht="19.5" thickBot="1">
      <c r="A50" s="90" t="s">
        <v>57</v>
      </c>
      <c r="B50" s="91" t="s">
        <v>61</v>
      </c>
      <c r="C50" s="91" t="s">
        <v>58</v>
      </c>
      <c r="D50" s="92" t="s">
        <v>59</v>
      </c>
      <c r="E50" s="91" t="s">
        <v>6</v>
      </c>
      <c r="F50" s="91" t="s">
        <v>7</v>
      </c>
      <c r="G50" s="91" t="s">
        <v>8</v>
      </c>
      <c r="H50" s="93" t="s">
        <v>9</v>
      </c>
    </row>
    <row r="51" spans="1:8">
      <c r="A51" s="24">
        <v>1</v>
      </c>
      <c r="B51" s="31">
        <f>2*B$12</f>
        <v>1.42</v>
      </c>
      <c r="C51" s="31">
        <f>B$5</f>
        <v>0.04</v>
      </c>
      <c r="D51" s="114">
        <f>(E$47-C51)*B$47/E$47</f>
        <v>2.875E-3</v>
      </c>
      <c r="E51" s="33">
        <f>IF(ABS(D51)&gt;=0.002,SIGN(D51)*1*D$5,(D51/0.002)*D$5)</f>
        <v>412.02000000000004</v>
      </c>
      <c r="F51" s="33">
        <f>E51*B51/10</f>
        <v>58.506839999999997</v>
      </c>
      <c r="G51" s="31">
        <f>B$8/2-C51</f>
        <v>0.46</v>
      </c>
      <c r="H51" s="33">
        <f>G51*F51</f>
        <v>26.913146399999999</v>
      </c>
    </row>
    <row r="52" spans="1:8">
      <c r="A52" s="24">
        <v>2</v>
      </c>
      <c r="B52" s="31">
        <f>2*B$12</f>
        <v>1.42</v>
      </c>
      <c r="C52" s="31">
        <f>B$7+B$5</f>
        <v>0.16</v>
      </c>
      <c r="D52" s="114">
        <f t="shared" ref="D52:D54" si="0">(E$47-C52)*B$47/E$47</f>
        <v>2.4999999999999996E-3</v>
      </c>
      <c r="E52" s="33">
        <f>IF(ABS(D52)&gt;=0.002,SIGN(D52)*1*D$5,(D52/0.002)*D$5)</f>
        <v>412.02000000000004</v>
      </c>
      <c r="F52" s="33">
        <f t="shared" ref="F52:F53" si="1">E52*B52/10</f>
        <v>58.506839999999997</v>
      </c>
      <c r="G52" s="31">
        <f t="shared" ref="G52:G54" si="2">B$8/2-C52</f>
        <v>0.33999999999999997</v>
      </c>
      <c r="H52" s="33">
        <f t="shared" ref="H52:H54" si="3">G52*F52</f>
        <v>19.892325599999996</v>
      </c>
    </row>
    <row r="53" spans="1:8">
      <c r="A53" s="24">
        <v>3</v>
      </c>
      <c r="B53" s="31">
        <f>2*B$12</f>
        <v>1.42</v>
      </c>
      <c r="C53" s="31">
        <f>B$8-B$5-B$7</f>
        <v>0.84</v>
      </c>
      <c r="D53" s="114">
        <f t="shared" si="0"/>
        <v>3.7499999999999968E-4</v>
      </c>
      <c r="E53" s="33">
        <f t="shared" ref="E53:E54" si="4">IF(ABS(D53)&gt;=0.002,SIGN(D53)*1*D$5,(D53/0.002)*D$5)</f>
        <v>77.25374999999994</v>
      </c>
      <c r="F53" s="33">
        <f t="shared" si="1"/>
        <v>10.970032499999991</v>
      </c>
      <c r="G53" s="31">
        <f t="shared" si="2"/>
        <v>-0.33999999999999997</v>
      </c>
      <c r="H53" s="33">
        <f t="shared" si="3"/>
        <v>-3.7298110499999968</v>
      </c>
    </row>
    <row r="54" spans="1:8" ht="16.5" thickBot="1">
      <c r="A54" s="94">
        <v>4</v>
      </c>
      <c r="B54" s="95">
        <f>2*B$12</f>
        <v>1.42</v>
      </c>
      <c r="C54" s="95">
        <f>B$8-B$5</f>
        <v>0.96</v>
      </c>
      <c r="D54" s="115">
        <f t="shared" si="0"/>
        <v>-3.4694469519536149E-19</v>
      </c>
      <c r="E54" s="97">
        <f t="shared" si="4"/>
        <v>-7.1474076657196419E-14</v>
      </c>
      <c r="F54" s="97">
        <f t="shared" ref="F54" si="5">E54*B54</f>
        <v>-1.014931888532189E-13</v>
      </c>
      <c r="G54" s="95">
        <f t="shared" si="2"/>
        <v>-0.45999999999999996</v>
      </c>
      <c r="H54" s="97">
        <f t="shared" si="3"/>
        <v>4.6686866872480695E-14</v>
      </c>
    </row>
    <row r="55" spans="1:8" ht="16.5" thickTop="1">
      <c r="A55" s="24"/>
      <c r="B55" s="24"/>
      <c r="C55" s="24"/>
      <c r="D55" s="24"/>
      <c r="E55" s="24" t="s">
        <v>60</v>
      </c>
      <c r="F55" s="33">
        <f>SUM(F51:F54)</f>
        <v>127.98371249999988</v>
      </c>
      <c r="G55" s="24"/>
      <c r="H55" s="33">
        <f>SUM(H51:H54)</f>
        <v>43.075660950000049</v>
      </c>
    </row>
    <row r="56" spans="1:8">
      <c r="A56" s="19"/>
      <c r="B56" s="34" t="s">
        <v>20</v>
      </c>
      <c r="C56" s="27">
        <f>F55+E49</f>
        <v>2169.2485124999994</v>
      </c>
      <c r="D56" s="19"/>
      <c r="E56" s="34" t="s">
        <v>21</v>
      </c>
      <c r="F56" s="27">
        <f>H55+H48</f>
        <v>230.87202255000017</v>
      </c>
      <c r="G56" s="19"/>
      <c r="H56" s="19"/>
    </row>
    <row r="58" spans="1:8" ht="18.75">
      <c r="A58" s="1" t="s">
        <v>107</v>
      </c>
    </row>
    <row r="59" spans="1:8" ht="18.75">
      <c r="A59" s="29" t="s">
        <v>40</v>
      </c>
      <c r="B59" s="19">
        <v>3.0000000000000001E-3</v>
      </c>
      <c r="C59" s="19"/>
      <c r="D59" s="20" t="s">
        <v>42</v>
      </c>
      <c r="E59" s="21">
        <f>B$14*B59/(B59+B60)</f>
        <v>0.72</v>
      </c>
      <c r="F59" s="19"/>
      <c r="G59" s="20" t="s">
        <v>45</v>
      </c>
      <c r="H59" s="21">
        <f>B$8/2-E60/2</f>
        <v>0.19400000000000001</v>
      </c>
    </row>
    <row r="60" spans="1:8" ht="18.75">
      <c r="A60" s="29" t="s">
        <v>41</v>
      </c>
      <c r="B60" s="19">
        <v>1E-3</v>
      </c>
      <c r="C60" s="19"/>
      <c r="D60" s="20" t="s">
        <v>43</v>
      </c>
      <c r="E60" s="21">
        <f>0.85*E59</f>
        <v>0.61199999999999999</v>
      </c>
      <c r="F60" s="19"/>
      <c r="G60" s="20" t="s">
        <v>46</v>
      </c>
      <c r="H60" s="27">
        <f>H59*E61</f>
        <v>297.00402840000004</v>
      </c>
    </row>
    <row r="61" spans="1:8" ht="19.5" thickBot="1">
      <c r="A61" s="19"/>
      <c r="B61" s="19"/>
      <c r="C61" s="19"/>
      <c r="D61" s="20" t="s">
        <v>44</v>
      </c>
      <c r="E61" s="27">
        <f>0.85*D$4*E60*B$4*1000</f>
        <v>1530.9486000000002</v>
      </c>
      <c r="F61" s="19"/>
      <c r="G61" s="19"/>
      <c r="H61" s="19"/>
    </row>
    <row r="62" spans="1:8" ht="19.5" thickBot="1">
      <c r="A62" s="90" t="s">
        <v>57</v>
      </c>
      <c r="B62" s="91" t="s">
        <v>61</v>
      </c>
      <c r="C62" s="91" t="s">
        <v>58</v>
      </c>
      <c r="D62" s="92" t="s">
        <v>59</v>
      </c>
      <c r="E62" s="91" t="s">
        <v>6</v>
      </c>
      <c r="F62" s="91" t="s">
        <v>7</v>
      </c>
      <c r="G62" s="91" t="s">
        <v>8</v>
      </c>
      <c r="H62" s="93" t="s">
        <v>9</v>
      </c>
    </row>
    <row r="63" spans="1:8">
      <c r="A63" s="24">
        <v>1</v>
      </c>
      <c r="B63" s="31">
        <f>2*B$12</f>
        <v>1.42</v>
      </c>
      <c r="C63" s="31">
        <f>B$5</f>
        <v>0.04</v>
      </c>
      <c r="D63" s="114">
        <f>(E$59-C63)*B$59/E$59</f>
        <v>2.8333333333333331E-3</v>
      </c>
      <c r="E63" s="33">
        <f>IF(ABS(D63)&gt;=0.002,SIGN(D63)*1*D$5,(D63/0.002)*D$5)</f>
        <v>412.02000000000004</v>
      </c>
      <c r="F63" s="33">
        <f>E63*B63/10</f>
        <v>58.506839999999997</v>
      </c>
      <c r="G63" s="31">
        <f>B$8/2-C63</f>
        <v>0.46</v>
      </c>
      <c r="H63" s="33">
        <f>G63*F63</f>
        <v>26.913146399999999</v>
      </c>
    </row>
    <row r="64" spans="1:8">
      <c r="A64" s="24">
        <v>2</v>
      </c>
      <c r="B64" s="31">
        <f>2*B$12</f>
        <v>1.42</v>
      </c>
      <c r="C64" s="31">
        <f>B$7+B$5</f>
        <v>0.16</v>
      </c>
      <c r="D64" s="114">
        <f t="shared" ref="D64:D66" si="6">(E$59-C64)*B$59/E$59</f>
        <v>2.3333333333333331E-3</v>
      </c>
      <c r="E64" s="33">
        <f>IF(ABS(D64)&gt;=0.002,SIGN(D64)*1*D$5,(D64/0.002)*D$5)</f>
        <v>412.02000000000004</v>
      </c>
      <c r="F64" s="33">
        <f t="shared" ref="F64:F65" si="7">E64*B64/10</f>
        <v>58.506839999999997</v>
      </c>
      <c r="G64" s="31">
        <f t="shared" ref="G64:G66" si="8">B$8/2-C64</f>
        <v>0.33999999999999997</v>
      </c>
      <c r="H64" s="33">
        <f t="shared" ref="H64:H66" si="9">G64*F64</f>
        <v>19.892325599999996</v>
      </c>
    </row>
    <row r="65" spans="1:8">
      <c r="A65" s="24">
        <v>3</v>
      </c>
      <c r="B65" s="31">
        <f>2*B$12</f>
        <v>1.42</v>
      </c>
      <c r="C65" s="31">
        <f>B$8-B$5-B$7</f>
        <v>0.84</v>
      </c>
      <c r="D65" s="114">
        <f t="shared" si="6"/>
        <v>-5.0000000000000001E-4</v>
      </c>
      <c r="E65" s="33">
        <f t="shared" ref="E65:E66" si="10">IF(ABS(D65)&gt;=0.002,SIGN(D65)*1*D$5,(D65/0.002)*D$5)</f>
        <v>-103.00500000000001</v>
      </c>
      <c r="F65" s="33">
        <f t="shared" si="7"/>
        <v>-14.626709999999999</v>
      </c>
      <c r="G65" s="31">
        <f t="shared" si="8"/>
        <v>-0.33999999999999997</v>
      </c>
      <c r="H65" s="33">
        <f t="shared" si="9"/>
        <v>4.973081399999999</v>
      </c>
    </row>
    <row r="66" spans="1:8" ht="16.5" thickBot="1">
      <c r="A66" s="94">
        <v>4</v>
      </c>
      <c r="B66" s="95">
        <f>2*B$12</f>
        <v>1.42</v>
      </c>
      <c r="C66" s="95">
        <f>B$8-B$5</f>
        <v>0.96</v>
      </c>
      <c r="D66" s="115">
        <f t="shared" si="6"/>
        <v>-1E-3</v>
      </c>
      <c r="E66" s="97">
        <f t="shared" si="10"/>
        <v>-206.01000000000002</v>
      </c>
      <c r="F66" s="97">
        <f>E66*B66/10</f>
        <v>-29.253419999999998</v>
      </c>
      <c r="G66" s="95">
        <f t="shared" si="8"/>
        <v>-0.45999999999999996</v>
      </c>
      <c r="H66" s="97">
        <f t="shared" si="9"/>
        <v>13.456573199999998</v>
      </c>
    </row>
    <row r="67" spans="1:8" ht="16.5" thickTop="1">
      <c r="A67" s="24"/>
      <c r="B67" s="24"/>
      <c r="C67" s="24"/>
      <c r="D67" s="24"/>
      <c r="E67" s="24" t="s">
        <v>60</v>
      </c>
      <c r="F67" s="33">
        <f>SUM(F63:F66)</f>
        <v>73.133549999999985</v>
      </c>
      <c r="G67" s="24"/>
      <c r="H67" s="33">
        <f>SUM(H63:H66)</f>
        <v>65.235126599999987</v>
      </c>
    </row>
    <row r="68" spans="1:8">
      <c r="A68" s="19"/>
      <c r="B68" s="34" t="s">
        <v>20</v>
      </c>
      <c r="C68" s="27">
        <f>F67+E61</f>
        <v>1604.0821500000002</v>
      </c>
      <c r="D68" s="19"/>
      <c r="E68" s="34" t="s">
        <v>21</v>
      </c>
      <c r="F68" s="27">
        <f>H67+H60</f>
        <v>362.23915500000004</v>
      </c>
      <c r="G68" s="19"/>
      <c r="H68" s="19"/>
    </row>
    <row r="70" spans="1:8" ht="18.75">
      <c r="A70" s="1" t="s">
        <v>66</v>
      </c>
    </row>
    <row r="71" spans="1:8" ht="18.75">
      <c r="A71" s="35" t="s">
        <v>62</v>
      </c>
      <c r="B71" s="28">
        <v>3.0000000000000001E-3</v>
      </c>
      <c r="C71" s="19"/>
      <c r="D71" s="20" t="s">
        <v>42</v>
      </c>
      <c r="E71" s="21">
        <f>B$14*B71/(B71+B72)</f>
        <v>0.57599999999999996</v>
      </c>
      <c r="F71" s="19"/>
      <c r="G71" s="20" t="s">
        <v>45</v>
      </c>
      <c r="H71" s="21">
        <f>B$8/2-E72/2</f>
        <v>0.25520000000000004</v>
      </c>
    </row>
    <row r="72" spans="1:8" ht="18.75">
      <c r="A72" s="35" t="s">
        <v>63</v>
      </c>
      <c r="B72" s="28">
        <v>2E-3</v>
      </c>
      <c r="C72" s="19"/>
      <c r="D72" s="20" t="s">
        <v>43</v>
      </c>
      <c r="E72" s="21">
        <f>0.85*E71</f>
        <v>0.48959999999999992</v>
      </c>
      <c r="F72" s="19"/>
      <c r="G72" s="20" t="s">
        <v>46</v>
      </c>
      <c r="H72" s="27">
        <f>H71*E73</f>
        <v>312.55846617600002</v>
      </c>
    </row>
    <row r="73" spans="1:8" ht="19.5" thickBot="1">
      <c r="A73" s="19"/>
      <c r="B73" s="19"/>
      <c r="C73" s="19"/>
      <c r="D73" s="20" t="s">
        <v>44</v>
      </c>
      <c r="E73" s="27">
        <f>0.85*D$4*E72*B$4*1000</f>
        <v>1224.7588799999999</v>
      </c>
      <c r="F73" s="19"/>
      <c r="G73" s="19"/>
      <c r="H73" s="19"/>
    </row>
    <row r="74" spans="1:8" ht="19.5" thickBot="1">
      <c r="A74" s="90" t="s">
        <v>57</v>
      </c>
      <c r="B74" s="91" t="s">
        <v>61</v>
      </c>
      <c r="C74" s="91" t="s">
        <v>58</v>
      </c>
      <c r="D74" s="92" t="s">
        <v>59</v>
      </c>
      <c r="E74" s="91" t="s">
        <v>6</v>
      </c>
      <c r="F74" s="91" t="s">
        <v>7</v>
      </c>
      <c r="G74" s="91" t="s">
        <v>8</v>
      </c>
      <c r="H74" s="93" t="s">
        <v>9</v>
      </c>
    </row>
    <row r="75" spans="1:8">
      <c r="A75" s="36">
        <v>1</v>
      </c>
      <c r="B75" s="36">
        <f>2*B$12</f>
        <v>1.42</v>
      </c>
      <c r="C75" s="37">
        <f>B$5</f>
        <v>0.04</v>
      </c>
      <c r="D75" s="117">
        <f>(E$71-C75)*B$71/E$71</f>
        <v>2.7916666666666667E-3</v>
      </c>
      <c r="E75" s="38">
        <f>IF(ABS(D75)&gt;=0.002,SIGN(D75)*1*D$5,(D75/0.002)*D$5)</f>
        <v>412.02000000000004</v>
      </c>
      <c r="F75" s="38">
        <f>E75*B75/10</f>
        <v>58.506839999999997</v>
      </c>
      <c r="G75" s="37">
        <f>B$8/2-C75</f>
        <v>0.46</v>
      </c>
      <c r="H75" s="38">
        <f>G75*F75</f>
        <v>26.913146399999999</v>
      </c>
    </row>
    <row r="76" spans="1:8">
      <c r="A76" s="36">
        <v>2</v>
      </c>
      <c r="B76" s="36">
        <f>2*B$12</f>
        <v>1.42</v>
      </c>
      <c r="C76" s="37">
        <f>B$7+B$5</f>
        <v>0.16</v>
      </c>
      <c r="D76" s="117">
        <f t="shared" ref="D76:D78" si="11">(E$71-C76)*B$71/E$71</f>
        <v>2.1666666666666666E-3</v>
      </c>
      <c r="E76" s="38">
        <f>IF(ABS(D76)&gt;=0.002,SIGN(D76)*1*D$5,(D76/0.002)*D$5)</f>
        <v>412.02000000000004</v>
      </c>
      <c r="F76" s="38">
        <f t="shared" ref="F76:F78" si="12">E76*B76/10</f>
        <v>58.506839999999997</v>
      </c>
      <c r="G76" s="37">
        <f t="shared" ref="G76:G78" si="13">B$8/2-C76</f>
        <v>0.33999999999999997</v>
      </c>
      <c r="H76" s="38">
        <f t="shared" ref="H76:H78" si="14">G76*F76</f>
        <v>19.892325599999996</v>
      </c>
    </row>
    <row r="77" spans="1:8">
      <c r="A77" s="36">
        <v>3</v>
      </c>
      <c r="B77" s="36">
        <f>2*B$12</f>
        <v>1.42</v>
      </c>
      <c r="C77" s="37">
        <f>B$8-B$5-B$7</f>
        <v>0.84</v>
      </c>
      <c r="D77" s="117">
        <f t="shared" si="11"/>
        <v>-1.3750000000000001E-3</v>
      </c>
      <c r="E77" s="38">
        <f t="shared" ref="E77:E78" si="15">IF(ABS(D77)&gt;=0.002,SIGN(D77)*1*D$5,(D77/0.002)*D$5)</f>
        <v>-283.26375000000002</v>
      </c>
      <c r="F77" s="38">
        <f t="shared" si="12"/>
        <v>-40.2234525</v>
      </c>
      <c r="G77" s="37">
        <f t="shared" si="13"/>
        <v>-0.33999999999999997</v>
      </c>
      <c r="H77" s="38">
        <f t="shared" si="14"/>
        <v>13.675973849999998</v>
      </c>
    </row>
    <row r="78" spans="1:8" ht="16.5" thickBot="1">
      <c r="A78" s="98">
        <v>4</v>
      </c>
      <c r="B78" s="98">
        <f>2*B$12</f>
        <v>1.42</v>
      </c>
      <c r="C78" s="99">
        <f>B$8-B$5</f>
        <v>0.96</v>
      </c>
      <c r="D78" s="118">
        <f t="shared" si="11"/>
        <v>-2E-3</v>
      </c>
      <c r="E78" s="100">
        <f t="shared" si="15"/>
        <v>-412.02000000000004</v>
      </c>
      <c r="F78" s="100">
        <f t="shared" si="12"/>
        <v>-58.506839999999997</v>
      </c>
      <c r="G78" s="98">
        <f t="shared" si="13"/>
        <v>-0.45999999999999996</v>
      </c>
      <c r="H78" s="100">
        <f t="shared" si="14"/>
        <v>26.913146399999995</v>
      </c>
    </row>
    <row r="79" spans="1:8" ht="16.5" thickTop="1">
      <c r="A79" s="19"/>
      <c r="B79" s="19"/>
      <c r="C79" s="19"/>
      <c r="D79" s="19"/>
      <c r="E79" s="33"/>
      <c r="F79" s="33">
        <f>SUM(F75:F78)</f>
        <v>18.283387499999989</v>
      </c>
      <c r="G79" s="19"/>
      <c r="H79" s="33">
        <f>SUM(H75:H78)</f>
        <v>87.394592249999988</v>
      </c>
    </row>
    <row r="80" spans="1:8">
      <c r="A80" s="19"/>
      <c r="B80" s="39" t="s">
        <v>64</v>
      </c>
      <c r="C80" s="27">
        <f>F79+E73</f>
        <v>1243.0422674999998</v>
      </c>
      <c r="D80" s="19"/>
      <c r="E80" s="39" t="s">
        <v>65</v>
      </c>
      <c r="F80" s="27">
        <f>H79+H72</f>
        <v>399.95305842599998</v>
      </c>
      <c r="G80" s="19"/>
      <c r="H80" s="19"/>
    </row>
    <row r="82" spans="1:8" ht="18.75">
      <c r="A82" s="1" t="s">
        <v>108</v>
      </c>
    </row>
    <row r="83" spans="1:8" ht="18.75">
      <c r="A83" s="35" t="s">
        <v>62</v>
      </c>
      <c r="B83" s="25">
        <v>3.0000000000000001E-3</v>
      </c>
      <c r="C83" s="19"/>
      <c r="D83" s="20" t="s">
        <v>42</v>
      </c>
      <c r="E83" s="21">
        <f>B$14*B83/(B83+B84)</f>
        <v>0.41142857142857137</v>
      </c>
      <c r="F83" s="19"/>
      <c r="G83" s="20" t="s">
        <v>45</v>
      </c>
      <c r="H83" s="21">
        <f>B$8/2-E84/2</f>
        <v>0.32514285714285718</v>
      </c>
    </row>
    <row r="84" spans="1:8" ht="18.75">
      <c r="A84" s="35" t="s">
        <v>63</v>
      </c>
      <c r="B84" s="25">
        <v>4.0000000000000001E-3</v>
      </c>
      <c r="C84" s="19"/>
      <c r="D84" s="20" t="s">
        <v>43</v>
      </c>
      <c r="E84" s="21">
        <f>0.85*E83</f>
        <v>0.34971428571428564</v>
      </c>
      <c r="F84" s="19"/>
      <c r="G84" s="20" t="s">
        <v>46</v>
      </c>
      <c r="H84" s="27">
        <f>H83*E85</f>
        <v>284.44400111020406</v>
      </c>
    </row>
    <row r="85" spans="1:8" ht="19.5" thickBot="1">
      <c r="A85" s="19"/>
      <c r="B85" s="19"/>
      <c r="C85" s="19"/>
      <c r="D85" s="20" t="s">
        <v>44</v>
      </c>
      <c r="E85" s="27">
        <f>0.85*D$4*E84*B$4*1000</f>
        <v>874.82777142857117</v>
      </c>
      <c r="F85" s="19"/>
      <c r="G85" s="19"/>
      <c r="H85" s="19"/>
    </row>
    <row r="86" spans="1:8" ht="19.5" thickBot="1">
      <c r="A86" s="90" t="s">
        <v>5</v>
      </c>
      <c r="B86" s="101" t="s">
        <v>1</v>
      </c>
      <c r="C86" s="101" t="s">
        <v>18</v>
      </c>
      <c r="D86" s="102" t="s">
        <v>19</v>
      </c>
      <c r="E86" s="101" t="s">
        <v>6</v>
      </c>
      <c r="F86" s="101" t="s">
        <v>7</v>
      </c>
      <c r="G86" s="101" t="s">
        <v>8</v>
      </c>
      <c r="H86" s="103" t="s">
        <v>9</v>
      </c>
    </row>
    <row r="87" spans="1:8">
      <c r="A87" s="24">
        <v>1</v>
      </c>
      <c r="B87" s="24">
        <f>2*B$12</f>
        <v>1.42</v>
      </c>
      <c r="C87" s="31">
        <f>B$5</f>
        <v>0.04</v>
      </c>
      <c r="D87" s="139">
        <f>(E$83-C87)*B$83/E$83</f>
        <v>2.7083333333333334E-3</v>
      </c>
      <c r="E87" s="33">
        <f>IF(ABS(D87)&gt;=0.002,SIGN(D87)*1*D$5,(D87/0.002)*D$5)</f>
        <v>412.02000000000004</v>
      </c>
      <c r="F87" s="33">
        <f>E87*B87/10</f>
        <v>58.506839999999997</v>
      </c>
      <c r="G87" s="31">
        <f>B$8/2-C87</f>
        <v>0.46</v>
      </c>
      <c r="H87" s="33">
        <f>G87*F87</f>
        <v>26.913146399999999</v>
      </c>
    </row>
    <row r="88" spans="1:8">
      <c r="A88" s="24">
        <v>2</v>
      </c>
      <c r="B88" s="24">
        <f>2*B$12</f>
        <v>1.42</v>
      </c>
      <c r="C88" s="31">
        <f>B$7+B$5</f>
        <v>0.16</v>
      </c>
      <c r="D88" s="139">
        <f t="shared" ref="D88:D90" si="16">(E$83-C88)*B$83/E$83</f>
        <v>1.8333333333333331E-3</v>
      </c>
      <c r="E88" s="33">
        <f>IF(ABS(D88)&gt;=0.002,SIGN(D88)*1*D$5,(D88/0.002)*D$5)</f>
        <v>377.685</v>
      </c>
      <c r="F88" s="33">
        <f t="shared" ref="F88:F90" si="17">E88*B88/10</f>
        <v>53.631269999999994</v>
      </c>
      <c r="G88" s="31">
        <f t="shared" ref="G88:G90" si="18">B$8/2-C88</f>
        <v>0.33999999999999997</v>
      </c>
      <c r="H88" s="33">
        <f t="shared" ref="H88:H90" si="19">G88*F88</f>
        <v>18.234631799999995</v>
      </c>
    </row>
    <row r="89" spans="1:8">
      <c r="A89" s="24">
        <v>3</v>
      </c>
      <c r="B89" s="24">
        <f>2*B$12</f>
        <v>1.42</v>
      </c>
      <c r="C89" s="31">
        <f>B$8-B$5-B$7</f>
        <v>0.84</v>
      </c>
      <c r="D89" s="139">
        <f t="shared" si="16"/>
        <v>-3.125000000000001E-3</v>
      </c>
      <c r="E89" s="33">
        <f t="shared" ref="E89:E90" si="20">IF(ABS(D89)&gt;=0.002,SIGN(D89)*1*D$5,(D89/0.002)*D$5)</f>
        <v>-412.02000000000004</v>
      </c>
      <c r="F89" s="33">
        <f t="shared" si="17"/>
        <v>-58.506839999999997</v>
      </c>
      <c r="G89" s="31">
        <f t="shared" si="18"/>
        <v>-0.33999999999999997</v>
      </c>
      <c r="H89" s="33">
        <f t="shared" si="19"/>
        <v>19.892325599999996</v>
      </c>
    </row>
    <row r="90" spans="1:8" ht="16.5" thickBot="1">
      <c r="A90" s="94">
        <v>4</v>
      </c>
      <c r="B90" s="94">
        <f>2*B$12</f>
        <v>1.42</v>
      </c>
      <c r="C90" s="95">
        <f>B$8-B$5</f>
        <v>0.96</v>
      </c>
      <c r="D90" s="140">
        <f t="shared" si="16"/>
        <v>-4.000000000000001E-3</v>
      </c>
      <c r="E90" s="97">
        <f t="shared" si="20"/>
        <v>-412.02000000000004</v>
      </c>
      <c r="F90" s="97">
        <f t="shared" si="17"/>
        <v>-58.506839999999997</v>
      </c>
      <c r="G90" s="95">
        <f t="shared" si="18"/>
        <v>-0.45999999999999996</v>
      </c>
      <c r="H90" s="97">
        <f t="shared" si="19"/>
        <v>26.913146399999995</v>
      </c>
    </row>
    <row r="91" spans="1:8" ht="16.5" thickTop="1">
      <c r="A91" s="24"/>
      <c r="B91" s="24"/>
      <c r="C91" s="24"/>
      <c r="D91" s="24"/>
      <c r="E91" s="24"/>
      <c r="F91" s="33">
        <f>SUM(F87:F90)</f>
        <v>-4.8755700000000104</v>
      </c>
      <c r="G91" s="24"/>
      <c r="H91" s="33">
        <f>SUM(H87:H90)</f>
        <v>91.953250199999985</v>
      </c>
    </row>
    <row r="92" spans="1:8">
      <c r="A92" s="19"/>
      <c r="B92" s="39" t="s">
        <v>64</v>
      </c>
      <c r="C92" s="27">
        <f>F91+E85</f>
        <v>869.95220142857113</v>
      </c>
      <c r="D92" s="19"/>
      <c r="E92" s="39" t="s">
        <v>65</v>
      </c>
      <c r="F92" s="33">
        <f>H91+H84</f>
        <v>376.39725131020407</v>
      </c>
      <c r="G92" s="19"/>
      <c r="H92" s="19"/>
    </row>
    <row r="94" spans="1:8" ht="18.75">
      <c r="A94" s="1" t="s">
        <v>109</v>
      </c>
    </row>
    <row r="95" spans="1:8" ht="18.75">
      <c r="A95" s="35" t="s">
        <v>62</v>
      </c>
      <c r="B95" s="25">
        <v>3.0000000000000001E-3</v>
      </c>
      <c r="C95" s="19"/>
      <c r="D95" s="20" t="s">
        <v>42</v>
      </c>
      <c r="E95" s="21">
        <f>B$14*B95/(B95+B96)</f>
        <v>0.22153846153846149</v>
      </c>
      <c r="F95" s="19"/>
      <c r="G95" s="20" t="s">
        <v>45</v>
      </c>
      <c r="H95" s="21">
        <f>B$8/2-E96/2</f>
        <v>0.40584615384615386</v>
      </c>
    </row>
    <row r="96" spans="1:8" ht="18.75">
      <c r="A96" s="35" t="s">
        <v>63</v>
      </c>
      <c r="B96" s="25">
        <v>0.01</v>
      </c>
      <c r="C96" s="19"/>
      <c r="D96" s="20" t="s">
        <v>43</v>
      </c>
      <c r="E96" s="21">
        <f>0.85*E95</f>
        <v>0.18830769230769226</v>
      </c>
      <c r="F96" s="19"/>
      <c r="G96" s="20" t="s">
        <v>46</v>
      </c>
      <c r="H96" s="27">
        <f>H95*E97</f>
        <v>191.17833878343188</v>
      </c>
    </row>
    <row r="97" spans="1:8" ht="19.5" thickBot="1">
      <c r="A97" s="19"/>
      <c r="B97" s="19"/>
      <c r="C97" s="19"/>
      <c r="D97" s="20" t="s">
        <v>44</v>
      </c>
      <c r="E97" s="27">
        <f>0.85*D$4*E96*B$4*1000</f>
        <v>471.06110769230753</v>
      </c>
      <c r="F97" s="19"/>
      <c r="G97" s="19"/>
      <c r="H97" s="19"/>
    </row>
    <row r="98" spans="1:8" ht="19.5" thickBot="1">
      <c r="A98" s="90" t="s">
        <v>5</v>
      </c>
      <c r="B98" s="101" t="s">
        <v>1</v>
      </c>
      <c r="C98" s="101" t="s">
        <v>18</v>
      </c>
      <c r="D98" s="102" t="s">
        <v>19</v>
      </c>
      <c r="E98" s="101" t="s">
        <v>6</v>
      </c>
      <c r="F98" s="101" t="s">
        <v>7</v>
      </c>
      <c r="G98" s="101" t="s">
        <v>8</v>
      </c>
      <c r="H98" s="103" t="s">
        <v>9</v>
      </c>
    </row>
    <row r="99" spans="1:8">
      <c r="A99" s="24">
        <v>1</v>
      </c>
      <c r="B99" s="24">
        <f>2*B$12</f>
        <v>1.42</v>
      </c>
      <c r="C99" s="31">
        <f>B$5</f>
        <v>0.04</v>
      </c>
      <c r="D99" s="32">
        <f>(E$95-C99)*B$95/E$95</f>
        <v>2.4583333333333332E-3</v>
      </c>
      <c r="E99" s="33">
        <f>IF(ABS(D99)&gt;=0.002,SIGN(D99)*1*D$5,(D99/0.002)*D$5)</f>
        <v>412.02000000000004</v>
      </c>
      <c r="F99" s="33">
        <f>E99*B99/10</f>
        <v>58.506839999999997</v>
      </c>
      <c r="G99" s="31">
        <f>B$8/2-C99</f>
        <v>0.46</v>
      </c>
      <c r="H99" s="33">
        <f>G99*F99</f>
        <v>26.913146399999999</v>
      </c>
    </row>
    <row r="100" spans="1:8">
      <c r="A100" s="24">
        <v>2</v>
      </c>
      <c r="B100" s="24">
        <f>2*B$12</f>
        <v>1.42</v>
      </c>
      <c r="C100" s="31">
        <f>B$7+B$5</f>
        <v>0.16</v>
      </c>
      <c r="D100" s="32">
        <f t="shared" ref="D100:D102" si="21">(E$95-C100)*B$95/E$95</f>
        <v>8.3333333333333284E-4</v>
      </c>
      <c r="E100" s="33">
        <f>IF(ABS(D100)&gt;=0.002,SIGN(D100)*1*D$5,(D100/0.002)*D$5)</f>
        <v>171.6749999999999</v>
      </c>
      <c r="F100" s="33">
        <f t="shared" ref="F100:F102" si="22">E100*B100/10</f>
        <v>24.377849999999984</v>
      </c>
      <c r="G100" s="31">
        <f t="shared" ref="G100:G102" si="23">B$8/2-C100</f>
        <v>0.33999999999999997</v>
      </c>
      <c r="H100" s="33">
        <f t="shared" ref="H100:H102" si="24">G100*F100</f>
        <v>8.2884689999999939</v>
      </c>
    </row>
    <row r="101" spans="1:8">
      <c r="A101" s="24">
        <v>3</v>
      </c>
      <c r="B101" s="24">
        <f>2*B$12</f>
        <v>1.42</v>
      </c>
      <c r="C101" s="31">
        <f>B$8-B$5-B$7</f>
        <v>0.84</v>
      </c>
      <c r="D101" s="32">
        <f t="shared" si="21"/>
        <v>-8.3750000000000022E-3</v>
      </c>
      <c r="E101" s="33">
        <f t="shared" ref="E101:E102" si="25">IF(ABS(D101)&gt;=0.002,SIGN(D101)*1*D$5,(D101/0.002)*D$5)</f>
        <v>-412.02000000000004</v>
      </c>
      <c r="F101" s="33">
        <f t="shared" si="22"/>
        <v>-58.506839999999997</v>
      </c>
      <c r="G101" s="31">
        <f t="shared" si="23"/>
        <v>-0.33999999999999997</v>
      </c>
      <c r="H101" s="33">
        <f t="shared" si="24"/>
        <v>19.892325599999996</v>
      </c>
    </row>
    <row r="102" spans="1:8" ht="16.5" thickBot="1">
      <c r="A102" s="94">
        <v>4</v>
      </c>
      <c r="B102" s="94">
        <f>2*B$12</f>
        <v>1.42</v>
      </c>
      <c r="C102" s="95">
        <f>B$8-B$5</f>
        <v>0.96</v>
      </c>
      <c r="D102" s="96">
        <f t="shared" si="21"/>
        <v>-1.0000000000000004E-2</v>
      </c>
      <c r="E102" s="97">
        <f t="shared" si="25"/>
        <v>-412.02000000000004</v>
      </c>
      <c r="F102" s="97">
        <f t="shared" si="22"/>
        <v>-58.506839999999997</v>
      </c>
      <c r="G102" s="95">
        <f t="shared" si="23"/>
        <v>-0.45999999999999996</v>
      </c>
      <c r="H102" s="97">
        <f t="shared" si="24"/>
        <v>26.913146399999995</v>
      </c>
    </row>
    <row r="103" spans="1:8" ht="16.5" thickTop="1">
      <c r="A103" s="24"/>
      <c r="B103" s="24"/>
      <c r="C103" s="24"/>
      <c r="D103" s="24"/>
      <c r="E103" s="24"/>
      <c r="F103" s="33">
        <f>SUM(F99:F102)</f>
        <v>-34.128990000000016</v>
      </c>
      <c r="G103" s="24"/>
      <c r="H103" s="33">
        <f>SUM(H99:H102)</f>
        <v>82.007087399999989</v>
      </c>
    </row>
    <row r="104" spans="1:8">
      <c r="A104" s="19"/>
      <c r="B104" s="39" t="s">
        <v>64</v>
      </c>
      <c r="C104" s="27">
        <f>F103+E97</f>
        <v>436.93211769230754</v>
      </c>
      <c r="D104" s="19"/>
      <c r="E104" s="39" t="s">
        <v>65</v>
      </c>
      <c r="F104" s="33">
        <f>H103+H96</f>
        <v>273.1854261834319</v>
      </c>
      <c r="G104" s="19"/>
      <c r="H104" s="19"/>
    </row>
    <row r="106" spans="1:8" ht="18.75">
      <c r="A106" s="1" t="s">
        <v>110</v>
      </c>
      <c r="B106" s="2"/>
    </row>
    <row r="107" spans="1:8" ht="18.75">
      <c r="A107" s="20" t="s">
        <v>38</v>
      </c>
      <c r="B107" s="28">
        <f>B$13*D$5*-1/10</f>
        <v>-234.02735999999999</v>
      </c>
      <c r="C107" s="113"/>
      <c r="D107" s="113"/>
      <c r="E107" s="113"/>
      <c r="F107" s="113"/>
      <c r="G107" s="113"/>
      <c r="H107" s="113"/>
    </row>
    <row r="108" spans="1:8" ht="18.75">
      <c r="A108" s="20" t="s">
        <v>39</v>
      </c>
      <c r="B108" s="28">
        <v>0</v>
      </c>
      <c r="C108" s="113"/>
      <c r="D108" s="113"/>
      <c r="E108" s="113"/>
      <c r="F108" s="113"/>
      <c r="G108" s="113"/>
      <c r="H108" s="113"/>
    </row>
    <row r="109" spans="1:8">
      <c r="A109" s="111"/>
      <c r="B109" s="112"/>
      <c r="C109" s="113"/>
      <c r="D109" s="113"/>
      <c r="E109" s="113"/>
      <c r="F109" s="113"/>
      <c r="G109" s="113"/>
      <c r="H109" s="113"/>
    </row>
    <row r="110" spans="1:8" ht="16.5" thickBot="1">
      <c r="A110" s="2" t="s">
        <v>106</v>
      </c>
    </row>
    <row r="111" spans="1:8" ht="16.5" thickBot="1">
      <c r="A111" s="104" t="s">
        <v>5</v>
      </c>
      <c r="B111" s="105" t="s">
        <v>10</v>
      </c>
      <c r="C111" s="106" t="s">
        <v>11</v>
      </c>
      <c r="D111" s="113"/>
      <c r="E111" s="113"/>
      <c r="F111" s="113"/>
      <c r="G111" s="113"/>
      <c r="H111" s="113"/>
    </row>
    <row r="112" spans="1:8">
      <c r="A112" s="36">
        <v>1</v>
      </c>
      <c r="B112" s="38">
        <f>B44</f>
        <v>0</v>
      </c>
      <c r="C112" s="38">
        <f>B43</f>
        <v>2735.5773599999998</v>
      </c>
      <c r="D112" s="113"/>
      <c r="E112" s="113"/>
      <c r="F112" s="113"/>
      <c r="G112" s="113"/>
      <c r="H112" s="113"/>
    </row>
    <row r="113" spans="1:8">
      <c r="A113" s="36">
        <v>2</v>
      </c>
      <c r="B113" s="38">
        <f>F56</f>
        <v>230.87202255000017</v>
      </c>
      <c r="C113" s="38">
        <f>C56</f>
        <v>2169.2485124999994</v>
      </c>
      <c r="D113" s="113"/>
      <c r="E113" s="113"/>
      <c r="F113" s="113"/>
      <c r="G113" s="113"/>
      <c r="H113" s="113"/>
    </row>
    <row r="114" spans="1:8">
      <c r="A114" s="36">
        <v>3</v>
      </c>
      <c r="B114" s="38">
        <f>F68</f>
        <v>362.23915500000004</v>
      </c>
      <c r="C114" s="38">
        <f>C68</f>
        <v>1604.0821500000002</v>
      </c>
      <c r="D114" s="113"/>
      <c r="E114" s="113"/>
      <c r="F114" s="113"/>
      <c r="G114" s="113"/>
      <c r="H114" s="113"/>
    </row>
    <row r="115" spans="1:8">
      <c r="A115" s="36">
        <v>4</v>
      </c>
      <c r="B115" s="38">
        <f>F80</f>
        <v>399.95305842599998</v>
      </c>
      <c r="C115" s="38">
        <f>C80</f>
        <v>1243.0422674999998</v>
      </c>
      <c r="D115" s="113"/>
      <c r="E115" s="113"/>
      <c r="F115" s="113"/>
      <c r="G115" s="113"/>
      <c r="H115" s="113"/>
    </row>
    <row r="116" spans="1:8">
      <c r="A116" s="36">
        <v>5</v>
      </c>
      <c r="B116" s="38">
        <f>F92</f>
        <v>376.39725131020407</v>
      </c>
      <c r="C116" s="38">
        <f>C92</f>
        <v>869.95220142857113</v>
      </c>
      <c r="D116" s="113"/>
      <c r="E116" s="113"/>
      <c r="F116" s="113"/>
      <c r="G116" s="113"/>
      <c r="H116" s="113"/>
    </row>
    <row r="117" spans="1:8">
      <c r="A117" s="36">
        <v>6</v>
      </c>
      <c r="B117" s="38">
        <f>F104</f>
        <v>273.1854261834319</v>
      </c>
      <c r="C117" s="38">
        <f>C104</f>
        <v>436.93211769230754</v>
      </c>
      <c r="D117" s="113"/>
      <c r="E117" s="113"/>
      <c r="F117" s="113"/>
      <c r="G117" s="113"/>
      <c r="H117" s="113"/>
    </row>
    <row r="118" spans="1:8" ht="16.5" thickBot="1">
      <c r="A118" s="98">
        <v>7</v>
      </c>
      <c r="B118" s="100">
        <f>B108</f>
        <v>0</v>
      </c>
      <c r="C118" s="100">
        <f>B107</f>
        <v>-234.02735999999999</v>
      </c>
      <c r="D118" s="113"/>
      <c r="E118" s="113"/>
      <c r="F118" s="113"/>
      <c r="G118" s="113"/>
      <c r="H118" s="113"/>
    </row>
    <row r="119" spans="1:8" ht="16.5" thickTop="1"/>
  </sheetData>
  <mergeCells count="5">
    <mergeCell ref="A3:D3"/>
    <mergeCell ref="F3:H3"/>
    <mergeCell ref="F6:H8"/>
    <mergeCell ref="E12:G12"/>
    <mergeCell ref="G13:G17"/>
  </mergeCells>
  <dataValidations disablePrompts="1" count="1">
    <dataValidation type="list" showInputMessage="1" showErrorMessage="1" sqref="D6" xr:uid="{372E7A0F-FBD4-41F5-821C-870E748A52EC}">
      <formula1>"'3/8, '1/2, '5/8, '3/4"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53A-07AF-4019-BE64-37C57F80F581}">
  <dimension ref="A1:Q76"/>
  <sheetViews>
    <sheetView showGridLines="0" tabSelected="1" view="pageBreakPreview" topLeftCell="A25" zoomScaleNormal="130" zoomScaleSheetLayoutView="100" workbookViewId="0">
      <selection activeCell="I25" sqref="I25"/>
    </sheetView>
  </sheetViews>
  <sheetFormatPr baseColWidth="10" defaultRowHeight="15"/>
  <cols>
    <col min="1" max="3" width="7.7109375" customWidth="1"/>
    <col min="4" max="4" width="8.7109375" customWidth="1"/>
    <col min="5" max="11" width="7.7109375" customWidth="1"/>
    <col min="12" max="12" width="9.28515625" customWidth="1"/>
    <col min="13" max="13" width="7.7109375" customWidth="1"/>
    <col min="14" max="14" width="10" customWidth="1"/>
    <col min="15" max="15" width="9.42578125" customWidth="1"/>
  </cols>
  <sheetData>
    <row r="1" spans="1:15" ht="18.75" thickBot="1">
      <c r="A1" s="107" t="s">
        <v>104</v>
      </c>
    </row>
    <row r="2" spans="1:15" ht="15.75" thickBot="1">
      <c r="A2" s="168" t="s">
        <v>72</v>
      </c>
      <c r="B2" s="165" t="s">
        <v>12</v>
      </c>
      <c r="C2" s="166"/>
      <c r="D2" s="167" t="s">
        <v>13</v>
      </c>
      <c r="E2" s="166"/>
      <c r="F2" s="170"/>
      <c r="G2" s="171"/>
    </row>
    <row r="3" spans="1:15" ht="19.5" thickBot="1">
      <c r="A3" s="169"/>
      <c r="B3" s="50" t="s">
        <v>67</v>
      </c>
      <c r="C3" s="51" t="s">
        <v>68</v>
      </c>
      <c r="D3" s="50" t="s">
        <v>69</v>
      </c>
      <c r="E3" s="51" t="s">
        <v>70</v>
      </c>
      <c r="F3" s="50" t="s">
        <v>71</v>
      </c>
      <c r="G3" s="120" t="s">
        <v>111</v>
      </c>
      <c r="H3" s="119"/>
    </row>
    <row r="4" spans="1:15">
      <c r="A4" s="134">
        <v>1</v>
      </c>
      <c r="B4" s="135">
        <f>'Curva interacción nominal'!B112</f>
        <v>0</v>
      </c>
      <c r="C4" s="135">
        <f>'Curva interacción nominal'!C112</f>
        <v>2735.5773599999998</v>
      </c>
      <c r="D4" s="53">
        <f>B4*F4</f>
        <v>0</v>
      </c>
      <c r="E4" s="53">
        <f>F4*C4</f>
        <v>1778.125284</v>
      </c>
      <c r="F4" s="54">
        <f>IF(ABS(G4)&lt;=0.005,0.65,0.75)</f>
        <v>0.65</v>
      </c>
      <c r="G4" s="55">
        <v>3.0000000000000001E-3</v>
      </c>
    </row>
    <row r="5" spans="1:15">
      <c r="A5" s="134">
        <v>2</v>
      </c>
      <c r="B5" s="135">
        <f>'Curva interacción nominal'!B113</f>
        <v>230.87202255000017</v>
      </c>
      <c r="C5" s="135">
        <f>'Curva interacción nominal'!C113</f>
        <v>2169.2485124999994</v>
      </c>
      <c r="D5" s="53">
        <f t="shared" ref="D5:D10" si="0">B5*F5</f>
        <v>150.06681465750012</v>
      </c>
      <c r="E5" s="53">
        <f t="shared" ref="E5:E10" si="1">F5*C5</f>
        <v>1410.0115331249997</v>
      </c>
      <c r="F5" s="54">
        <f t="shared" ref="F5:F10" si="2">IF(ABS(G5)&lt;=0.005,0.65,0.75)</f>
        <v>0.65</v>
      </c>
      <c r="G5" s="55">
        <f>'Curva interacción nominal'!B48*-1</f>
        <v>0</v>
      </c>
    </row>
    <row r="6" spans="1:15">
      <c r="A6" s="134">
        <v>3</v>
      </c>
      <c r="B6" s="135">
        <f>'Curva interacción nominal'!B114</f>
        <v>362.23915500000004</v>
      </c>
      <c r="C6" s="135">
        <f>'Curva interacción nominal'!C114</f>
        <v>1604.0821500000002</v>
      </c>
      <c r="D6" s="53">
        <f t="shared" si="0"/>
        <v>235.45545075000004</v>
      </c>
      <c r="E6" s="53">
        <f t="shared" si="1"/>
        <v>1042.6533975000002</v>
      </c>
      <c r="F6" s="54">
        <f t="shared" si="2"/>
        <v>0.65</v>
      </c>
      <c r="G6" s="55">
        <f>'Curva interacción nominal'!B60*-1</f>
        <v>-1E-3</v>
      </c>
    </row>
    <row r="7" spans="1:15">
      <c r="A7" s="134">
        <v>4</v>
      </c>
      <c r="B7" s="135">
        <f>'Curva interacción nominal'!B115</f>
        <v>399.95305842599998</v>
      </c>
      <c r="C7" s="135">
        <f>'Curva interacción nominal'!C115</f>
        <v>1243.0422674999998</v>
      </c>
      <c r="D7" s="53">
        <f t="shared" ref="D7:D8" si="3">B7*F7</f>
        <v>259.96948797689998</v>
      </c>
      <c r="E7" s="53">
        <f t="shared" ref="E7:E8" si="4">F7*C7</f>
        <v>807.97747387499987</v>
      </c>
      <c r="F7" s="54">
        <f t="shared" si="2"/>
        <v>0.65</v>
      </c>
      <c r="G7" s="55">
        <f>'Curva interacción nominal'!B72*-1</f>
        <v>-2E-3</v>
      </c>
    </row>
    <row r="8" spans="1:15">
      <c r="A8" s="134">
        <v>5</v>
      </c>
      <c r="B8" s="135">
        <f>'Curva interacción nominal'!B116</f>
        <v>376.39725131020407</v>
      </c>
      <c r="C8" s="135">
        <f>'Curva interacción nominal'!C116</f>
        <v>869.95220142857113</v>
      </c>
      <c r="D8" s="53">
        <f t="shared" si="3"/>
        <v>244.65821335163264</v>
      </c>
      <c r="E8" s="53">
        <f t="shared" si="4"/>
        <v>565.46893092857124</v>
      </c>
      <c r="F8" s="54">
        <f t="shared" si="2"/>
        <v>0.65</v>
      </c>
      <c r="G8" s="55">
        <f>'Curva interacción nominal'!B84*-1</f>
        <v>-4.0000000000000001E-3</v>
      </c>
    </row>
    <row r="9" spans="1:15">
      <c r="A9" s="134">
        <v>6</v>
      </c>
      <c r="B9" s="135">
        <f>'Curva interacción nominal'!B117</f>
        <v>273.1854261834319</v>
      </c>
      <c r="C9" s="135">
        <f>'Curva interacción nominal'!C117</f>
        <v>436.93211769230754</v>
      </c>
      <c r="D9" s="53">
        <f t="shared" si="0"/>
        <v>204.88906963757393</v>
      </c>
      <c r="E9" s="53">
        <f t="shared" si="1"/>
        <v>327.69908826923063</v>
      </c>
      <c r="F9" s="54">
        <f t="shared" si="2"/>
        <v>0.75</v>
      </c>
      <c r="G9" s="55">
        <f>'Curva interacción nominal'!B96*-1</f>
        <v>-0.01</v>
      </c>
    </row>
    <row r="10" spans="1:15" ht="15.75" thickBot="1">
      <c r="A10" s="136">
        <v>7</v>
      </c>
      <c r="B10" s="137">
        <f>'Curva interacción nominal'!B118</f>
        <v>0</v>
      </c>
      <c r="C10" s="137">
        <f>'Curva interacción nominal'!C118</f>
        <v>-234.02735999999999</v>
      </c>
      <c r="D10" s="56">
        <f t="shared" si="0"/>
        <v>0</v>
      </c>
      <c r="E10" s="56">
        <f t="shared" si="1"/>
        <v>-175.52051999999998</v>
      </c>
      <c r="F10" s="57">
        <f t="shared" si="2"/>
        <v>0.75</v>
      </c>
      <c r="G10" s="58">
        <f>G9</f>
        <v>-0.01</v>
      </c>
    </row>
    <row r="11" spans="1:15" ht="16.5" thickTop="1" thickBot="1"/>
    <row r="12" spans="1:15" ht="31.15" customHeight="1" thickBot="1">
      <c r="A12" s="172" t="s">
        <v>72</v>
      </c>
      <c r="B12" s="162" t="s">
        <v>14</v>
      </c>
      <c r="C12" s="163"/>
      <c r="D12" s="174" t="s">
        <v>73</v>
      </c>
      <c r="E12" s="176" t="s">
        <v>13</v>
      </c>
      <c r="F12" s="177"/>
      <c r="G12" s="178" t="s">
        <v>74</v>
      </c>
      <c r="H12" s="179"/>
      <c r="K12" t="s">
        <v>15</v>
      </c>
    </row>
    <row r="13" spans="1:15" ht="21" thickBot="1">
      <c r="A13" s="173"/>
      <c r="B13" s="59" t="s">
        <v>80</v>
      </c>
      <c r="C13" s="60" t="s">
        <v>81</v>
      </c>
      <c r="D13" s="175"/>
      <c r="E13" s="50" t="s">
        <v>69</v>
      </c>
      <c r="F13" s="51" t="s">
        <v>70</v>
      </c>
      <c r="G13" s="50" t="s">
        <v>69</v>
      </c>
      <c r="H13" s="51" t="s">
        <v>70</v>
      </c>
      <c r="K13" s="50" t="s">
        <v>75</v>
      </c>
      <c r="L13" s="51" t="s">
        <v>76</v>
      </c>
      <c r="M13" s="78"/>
      <c r="N13" s="43"/>
      <c r="O13" s="43"/>
    </row>
    <row r="14" spans="1:15">
      <c r="A14" s="134">
        <v>1</v>
      </c>
      <c r="B14" s="53">
        <v>0</v>
      </c>
      <c r="C14" s="62">
        <f>IF(B14&gt;=0,B14,90+ABS(B14))</f>
        <v>0</v>
      </c>
      <c r="D14" s="61"/>
      <c r="E14" s="135">
        <f>D4</f>
        <v>0</v>
      </c>
      <c r="F14" s="135">
        <f>E4</f>
        <v>1778.125284</v>
      </c>
      <c r="G14" s="53">
        <v>0</v>
      </c>
      <c r="H14" s="53">
        <f>IF(D15=1,F14,0)</f>
        <v>0</v>
      </c>
      <c r="J14" s="52"/>
      <c r="K14" s="62">
        <f>'Curva interacción nominal'!F5</f>
        <v>150</v>
      </c>
      <c r="L14" s="62">
        <f>'Curva interacción nominal'!G5</f>
        <v>1000</v>
      </c>
      <c r="M14" s="61"/>
      <c r="N14" s="61"/>
    </row>
    <row r="15" spans="1:15">
      <c r="A15" s="134"/>
      <c r="B15" s="53"/>
      <c r="C15" s="53"/>
      <c r="D15" s="52">
        <f>IF(K16&lt;=C16,1,0)</f>
        <v>0</v>
      </c>
      <c r="E15" s="135"/>
      <c r="F15" s="135"/>
      <c r="G15" s="53"/>
      <c r="H15" s="53"/>
      <c r="J15" s="65" t="s">
        <v>77</v>
      </c>
      <c r="K15" s="54">
        <f>ATAN(K14/L14)*180/PI()</f>
        <v>8.5307656099481335</v>
      </c>
      <c r="L15" s="52"/>
      <c r="M15" s="61"/>
      <c r="N15" s="61"/>
    </row>
    <row r="16" spans="1:15" ht="20.25">
      <c r="A16" s="134">
        <v>2</v>
      </c>
      <c r="B16" s="62">
        <f>ATAN(D5/E5)*180/PI()</f>
        <v>6.0750917249430643</v>
      </c>
      <c r="C16" s="62">
        <f>IF(B16&gt;=0,B16,90+ABS(B16))</f>
        <v>6.0750917249430643</v>
      </c>
      <c r="D16" s="52"/>
      <c r="E16" s="135">
        <f>D5</f>
        <v>150.06681465750012</v>
      </c>
      <c r="F16" s="135">
        <f>E5</f>
        <v>1410.0115331249997</v>
      </c>
      <c r="G16" s="53">
        <f>IF(D15=0,IF(D17=0,0,E16),E16)</f>
        <v>150.06681465750012</v>
      </c>
      <c r="H16" s="53">
        <f>IF(D15=0,IF(D17=0,0,F16),F16)</f>
        <v>1410.0115331249997</v>
      </c>
      <c r="J16" s="65" t="s">
        <v>82</v>
      </c>
      <c r="K16" s="54">
        <f>IF(K15&gt;=0,K15, 180+(K15))</f>
        <v>8.5307656099481335</v>
      </c>
      <c r="L16" s="160" t="s">
        <v>79</v>
      </c>
      <c r="M16" s="161"/>
      <c r="N16" s="66"/>
      <c r="O16" s="43"/>
    </row>
    <row r="17" spans="1:15" ht="18">
      <c r="A17" s="134"/>
      <c r="B17" s="62"/>
      <c r="C17" s="62"/>
      <c r="D17" s="52">
        <f>IF(K16&gt;=C16,IF(K16&lt;=C18,1,0),0)</f>
        <v>1</v>
      </c>
      <c r="E17" s="135"/>
      <c r="F17" s="135"/>
      <c r="G17" s="53"/>
      <c r="H17" s="53"/>
      <c r="J17" s="67" t="s">
        <v>83</v>
      </c>
      <c r="K17" s="54">
        <f>L14/K14</f>
        <v>6.666666666666667</v>
      </c>
      <c r="L17" s="160" t="s">
        <v>78</v>
      </c>
      <c r="M17" s="161"/>
      <c r="N17" s="61"/>
    </row>
    <row r="18" spans="1:15">
      <c r="A18" s="134">
        <v>3</v>
      </c>
      <c r="B18" s="62">
        <f>ATAN(D6/E6)*180/PI()</f>
        <v>12.725275223874149</v>
      </c>
      <c r="C18" s="62">
        <f>IF(B18&gt;=0,B18,90+ABS(B18))</f>
        <v>12.725275223874149</v>
      </c>
      <c r="D18" s="52"/>
      <c r="E18" s="135">
        <f>D6</f>
        <v>235.45545075000004</v>
      </c>
      <c r="F18" s="135">
        <f>E6</f>
        <v>1042.6533975000002</v>
      </c>
      <c r="G18" s="53">
        <f>IF(D17=0,IF(D19=0,0,E18),E18)</f>
        <v>235.45545075000004</v>
      </c>
      <c r="H18" s="53">
        <f>IF(D17=0,IF(D19=0,0,F18),F18)</f>
        <v>1042.6533975000002</v>
      </c>
      <c r="J18" s="164" t="s">
        <v>85</v>
      </c>
      <c r="K18" s="164"/>
      <c r="L18" s="164"/>
      <c r="M18" s="164"/>
      <c r="N18" s="157"/>
    </row>
    <row r="19" spans="1:15">
      <c r="A19" s="134"/>
      <c r="B19" s="62"/>
      <c r="C19" s="62"/>
      <c r="D19" s="52">
        <f>IF(K16&gt;=C18,IF(K16&lt;=C20,1,0),0)</f>
        <v>0</v>
      </c>
      <c r="E19" s="135"/>
      <c r="F19" s="135"/>
      <c r="G19" s="53"/>
      <c r="H19" s="53"/>
      <c r="J19" s="52">
        <v>1</v>
      </c>
      <c r="K19" s="54">
        <f>-1*K17</f>
        <v>-6.666666666666667</v>
      </c>
      <c r="L19" s="52">
        <v>0</v>
      </c>
      <c r="M19" s="61"/>
      <c r="N19" s="61"/>
    </row>
    <row r="20" spans="1:15" ht="15.75" thickBot="1">
      <c r="A20" s="134">
        <v>4</v>
      </c>
      <c r="B20" s="62">
        <f>ATAN(D7/E7)*180/PI()</f>
        <v>17.835755100889074</v>
      </c>
      <c r="C20" s="62">
        <f>IF(B20&gt;=0,B20,90+ABS(B20))</f>
        <v>17.835755100889074</v>
      </c>
      <c r="D20" s="52"/>
      <c r="E20" s="135">
        <f>D7</f>
        <v>259.96948797689998</v>
      </c>
      <c r="F20" s="135">
        <f>E7</f>
        <v>807.97747387499987</v>
      </c>
      <c r="G20" s="53">
        <f>IF(D19=0,IF(D21=0,0,E20),E20)</f>
        <v>0</v>
      </c>
      <c r="H20" s="53">
        <f>IF(D19=0,IF(D21=0,0,F20),F20)</f>
        <v>0</v>
      </c>
    </row>
    <row r="21" spans="1:15" ht="22.15" customHeight="1">
      <c r="A21" s="134"/>
      <c r="B21" s="53"/>
      <c r="C21" s="53"/>
      <c r="D21" s="52">
        <f>IF(K16&gt;=C20,IF(K16&lt;=C22,1,0),0)</f>
        <v>0</v>
      </c>
      <c r="E21" s="135"/>
      <c r="F21" s="135"/>
      <c r="G21" s="53"/>
      <c r="H21" s="53"/>
      <c r="K21" s="158" t="s">
        <v>101</v>
      </c>
      <c r="L21" s="159"/>
      <c r="M21" s="77"/>
    </row>
    <row r="22" spans="1:15" ht="22.15" customHeight="1" thickBot="1">
      <c r="A22" s="134">
        <v>5</v>
      </c>
      <c r="B22" s="62">
        <f>ATAN(D8/E8)*180/PI()</f>
        <v>23.396411744352292</v>
      </c>
      <c r="C22" s="62">
        <f>IF(B22&gt;=0,B22,90+ABS(B22))</f>
        <v>23.396411744352292</v>
      </c>
      <c r="D22" s="52"/>
      <c r="E22" s="135">
        <f>D8</f>
        <v>244.65821335163264</v>
      </c>
      <c r="F22" s="135">
        <f>E8</f>
        <v>565.46893092857124</v>
      </c>
      <c r="G22" s="53">
        <f>IF(D21=0,IF(D23=0,0,E22),E22)</f>
        <v>0</v>
      </c>
      <c r="H22" s="53">
        <f>IF(D21=0,IF(D23=0,0,F22),F22)</f>
        <v>0</v>
      </c>
      <c r="K22" s="79" t="s">
        <v>75</v>
      </c>
      <c r="L22" s="80" t="s">
        <v>76</v>
      </c>
      <c r="M22" s="77"/>
    </row>
    <row r="23" spans="1:15" ht="22.15" customHeight="1">
      <c r="A23" s="134"/>
      <c r="B23" s="53"/>
      <c r="C23" s="53"/>
      <c r="D23" s="52">
        <f>IF(K16&gt;=C22,IF(K16&lt;=C24,1,0),0)</f>
        <v>0</v>
      </c>
      <c r="E23" s="135"/>
      <c r="F23" s="135"/>
      <c r="G23" s="53"/>
      <c r="H23" s="53"/>
      <c r="K23" s="52">
        <v>0</v>
      </c>
      <c r="L23" s="52">
        <v>0</v>
      </c>
      <c r="M23" s="77"/>
    </row>
    <row r="24" spans="1:15" ht="22.15" customHeight="1">
      <c r="A24" s="134">
        <v>6</v>
      </c>
      <c r="B24" s="62">
        <f>ATAN(D9/E9)*180/PI()</f>
        <v>32.015080892895263</v>
      </c>
      <c r="C24" s="62">
        <f>IF(B24&gt;=0,B24,90+ABS(B24))</f>
        <v>32.015080892895263</v>
      </c>
      <c r="D24" s="52"/>
      <c r="E24" s="135">
        <f>D9</f>
        <v>204.88906963757393</v>
      </c>
      <c r="F24" s="135">
        <f>E9</f>
        <v>327.69908826923063</v>
      </c>
      <c r="G24" s="53">
        <f>IF(D23=0,IF(D25=0,0,E24),E24)</f>
        <v>0</v>
      </c>
      <c r="H24" s="53">
        <f>IF(D23=0,IF(D25=0,0,F24),F24)</f>
        <v>0</v>
      </c>
      <c r="K24" s="62">
        <f>K14</f>
        <v>150</v>
      </c>
      <c r="L24" s="52">
        <f>L14</f>
        <v>1000</v>
      </c>
      <c r="M24" s="77"/>
    </row>
    <row r="25" spans="1:15" ht="22.15" customHeight="1" thickBot="1">
      <c r="A25" s="134"/>
      <c r="B25" s="53"/>
      <c r="C25" s="53"/>
      <c r="D25" s="52">
        <f>IF(K16&gt;=C24,IF(K16&lt;=C26,1,0),0)</f>
        <v>0</v>
      </c>
      <c r="E25" s="135"/>
      <c r="F25" s="135"/>
      <c r="G25" s="53"/>
      <c r="H25" s="53"/>
      <c r="K25" s="56">
        <f>C38</f>
        <v>187.4058113115012</v>
      </c>
      <c r="L25" s="56">
        <f>C37</f>
        <v>1249.3720754100082</v>
      </c>
      <c r="M25" s="77"/>
    </row>
    <row r="26" spans="1:15" ht="16.5" thickTop="1" thickBot="1">
      <c r="A26" s="136">
        <v>7</v>
      </c>
      <c r="B26" s="56">
        <v>-180</v>
      </c>
      <c r="C26" s="63">
        <f>IF(B26&gt;=0,B26,ABS(B26))</f>
        <v>180</v>
      </c>
      <c r="D26" s="64"/>
      <c r="E26" s="137">
        <f>D10</f>
        <v>0</v>
      </c>
      <c r="F26" s="137">
        <f>E10</f>
        <v>-175.52051999999998</v>
      </c>
      <c r="G26" s="56">
        <v>0</v>
      </c>
      <c r="H26" s="56">
        <f>IF(D25=0,0,F26)</f>
        <v>0</v>
      </c>
    </row>
    <row r="27" spans="1:15" ht="15.75" thickTop="1">
      <c r="A27" s="44"/>
      <c r="B27" s="45"/>
      <c r="C27" s="46"/>
      <c r="D27" s="47"/>
      <c r="E27" s="45"/>
      <c r="F27" s="45"/>
      <c r="G27" s="45"/>
      <c r="H27" s="45"/>
    </row>
    <row r="28" spans="1:15">
      <c r="A28" s="44"/>
      <c r="B28" s="45"/>
      <c r="C28" s="46"/>
      <c r="D28" s="47"/>
      <c r="E28" s="45"/>
      <c r="F28" s="45"/>
      <c r="G28" s="45"/>
      <c r="H28" s="45"/>
    </row>
    <row r="29" spans="1:15" ht="17.25">
      <c r="B29" s="157" t="s">
        <v>84</v>
      </c>
      <c r="C29" s="157"/>
      <c r="D29" s="157"/>
      <c r="E29" s="157"/>
      <c r="F29" s="157"/>
      <c r="G29" s="157"/>
      <c r="H29" s="157"/>
      <c r="J29" s="61" t="s">
        <v>16</v>
      </c>
      <c r="K29" s="61"/>
      <c r="L29" s="61"/>
      <c r="N29" s="61" t="s">
        <v>112</v>
      </c>
      <c r="O29" s="61"/>
    </row>
    <row r="30" spans="1:15" ht="18">
      <c r="B30" s="52" t="s">
        <v>86</v>
      </c>
      <c r="C30" s="53">
        <f>IF(H14&lt;&gt;0,G14,IF(H16&lt;&gt;0,G16,IF(H18&lt;&gt;0,G18,IF(H20&lt;&gt;0,G20,IF(H22&lt;&gt;0,G22, IF(H24&lt;&gt;0,G24,0))))))</f>
        <v>150.06681465750012</v>
      </c>
      <c r="D30" s="52" t="s">
        <v>88</v>
      </c>
      <c r="E30" s="53">
        <f>IF(H14&lt;&gt;0,H14,IF(H14=0,IF(H16&lt;&gt;0,H16,IF(H16=0,IF(H18&lt;&gt;0,H18,IF(H18=0,IF(H20&lt;&gt;0,H20,IF(H20=0,IF(H22&lt;&gt;0,H22,IF(H22=0,IF(H24&lt;&gt;0,H24,0)))))))))))</f>
        <v>1410.0115331249997</v>
      </c>
      <c r="F30" s="61"/>
      <c r="G30" s="68" t="s">
        <v>90</v>
      </c>
      <c r="H30" s="69">
        <f>(E30-E31)/(C30-C31)</f>
        <v>-4.3021899919685707</v>
      </c>
      <c r="J30" s="61" t="s">
        <v>92</v>
      </c>
      <c r="K30" s="61"/>
      <c r="L30" s="61"/>
      <c r="N30" s="122" cm="1">
        <f t="array" ref="N30:O31">MINVERSE(J31:K32)</f>
        <v>0.60778136447050124</v>
      </c>
      <c r="O30" s="122">
        <v>0.39221863552949882</v>
      </c>
    </row>
    <row r="31" spans="1:15" ht="22.9" customHeight="1">
      <c r="B31" s="52" t="s">
        <v>87</v>
      </c>
      <c r="C31" s="53">
        <f>IF(H14&lt;&gt;0,G16,IF(H16&lt;&gt;0,G18,IF(H18&lt;&gt;0,G20,IF(H20&lt;&gt;0,G22,IF(H22&lt;&gt;0,G24,IF(H24&lt;&gt;0,G26,0))))))</f>
        <v>235.45545075000004</v>
      </c>
      <c r="D31" s="52" t="s">
        <v>89</v>
      </c>
      <c r="E31" s="53">
        <f>IF(H26&lt;&gt;0,H26,IF(H26=0,IF(H24&lt;&gt;0,H24,IF(H24=0,IF(H22&lt;&gt;0,H22,IF(H22=0,IF(H20&lt;&gt;0,H20,IF(H20=0,IF(H18&lt;&gt;0,H18,IF(H18=0,IF(H16&lt;&gt;0,H16,0)))))))))))</f>
        <v>1042.6533975000002</v>
      </c>
      <c r="F31" s="155" t="s">
        <v>91</v>
      </c>
      <c r="G31" s="156"/>
      <c r="H31" s="156"/>
      <c r="J31" s="68">
        <f>B33</f>
        <v>1</v>
      </c>
      <c r="K31" s="72">
        <f>C33</f>
        <v>4.3021899919685707</v>
      </c>
      <c r="L31" s="71">
        <f>D33</f>
        <v>2055.627481271099</v>
      </c>
      <c r="N31" s="122">
        <v>9.1167204670575167E-2</v>
      </c>
      <c r="O31" s="122">
        <v>-9.1167204670575167E-2</v>
      </c>
    </row>
    <row r="32" spans="1:15" ht="18">
      <c r="B32" s="61" t="s">
        <v>100</v>
      </c>
      <c r="C32" s="70"/>
      <c r="D32" s="61"/>
      <c r="E32" s="70"/>
      <c r="F32" s="61"/>
      <c r="G32" s="61"/>
      <c r="H32" s="61"/>
      <c r="J32" s="68">
        <f>J19</f>
        <v>1</v>
      </c>
      <c r="K32" s="72">
        <f>K19</f>
        <v>-6.666666666666667</v>
      </c>
      <c r="L32" s="71">
        <f>L19</f>
        <v>0</v>
      </c>
    </row>
    <row r="33" spans="2:15">
      <c r="B33" s="52">
        <v>1</v>
      </c>
      <c r="C33" s="54">
        <f>-H30</f>
        <v>4.3021899919685707</v>
      </c>
      <c r="D33" s="52">
        <f>-H$30*C$30+E$30</f>
        <v>2055.627481271099</v>
      </c>
      <c r="E33" s="61"/>
      <c r="F33" s="61"/>
      <c r="G33" s="61"/>
      <c r="H33" s="61"/>
    </row>
    <row r="35" spans="2:15">
      <c r="B35" s="129" t="s">
        <v>99</v>
      </c>
      <c r="C35" s="61"/>
      <c r="D35" s="61"/>
      <c r="F35" s="48" t="s">
        <v>96</v>
      </c>
      <c r="G35" s="48"/>
      <c r="K35" s="124"/>
      <c r="L35" s="121"/>
      <c r="M35" s="121"/>
      <c r="N35" s="48"/>
      <c r="O35" s="48"/>
    </row>
    <row r="36" spans="2:15" ht="18.75">
      <c r="B36" s="73" t="s">
        <v>93</v>
      </c>
      <c r="C36" s="61"/>
      <c r="D36" s="61"/>
      <c r="F36" s="127" t="s">
        <v>97</v>
      </c>
      <c r="G36" s="75">
        <f>K14/C38</f>
        <v>0.80040207371517313</v>
      </c>
      <c r="H36" s="123"/>
      <c r="I36" s="123"/>
      <c r="K36" s="48"/>
      <c r="L36" s="48"/>
      <c r="M36" s="48"/>
      <c r="N36" s="125"/>
      <c r="O36" s="128"/>
    </row>
    <row r="37" spans="2:15" ht="18">
      <c r="B37" s="74" t="s">
        <v>94</v>
      </c>
      <c r="C37" s="141" cm="1">
        <f t="array" ref="C37:C38">MMULT(N30:O31,L31:L32)</f>
        <v>1249.3720754100082</v>
      </c>
      <c r="D37" s="71"/>
      <c r="E37" s="18"/>
      <c r="F37" s="76" t="s">
        <v>98</v>
      </c>
      <c r="G37" s="75">
        <f>L14/C37</f>
        <v>0.80040207371517302</v>
      </c>
      <c r="H37" s="123"/>
      <c r="I37" s="123"/>
      <c r="K37" s="125"/>
      <c r="L37" s="126"/>
      <c r="M37" s="48"/>
      <c r="N37" s="125"/>
      <c r="O37" s="128"/>
    </row>
    <row r="38" spans="2:15" ht="18">
      <c r="B38" s="74" t="s">
        <v>95</v>
      </c>
      <c r="C38" s="72">
        <v>187.4058113115012</v>
      </c>
      <c r="D38" s="71"/>
      <c r="F38" s="48" t="str">
        <f>IF(G36&lt;=1,IF(G37&lt;=1, "El muro resiste","El muro no resiste"),"El muro no resiste")</f>
        <v>El muro resiste</v>
      </c>
      <c r="G38" s="49"/>
      <c r="K38" s="125"/>
      <c r="L38" s="126"/>
      <c r="M38" s="48"/>
      <c r="N38" s="48"/>
      <c r="O38" s="49"/>
    </row>
    <row r="39" spans="2:15">
      <c r="B39" s="41"/>
      <c r="C39" s="42"/>
      <c r="D39" s="41"/>
      <c r="N39" s="48"/>
      <c r="O39" s="49"/>
    </row>
    <row r="66" spans="17:17">
      <c r="Q66" s="121"/>
    </row>
    <row r="67" spans="17:17">
      <c r="Q67" s="121"/>
    </row>
    <row r="68" spans="17:17">
      <c r="Q68" s="121"/>
    </row>
    <row r="69" spans="17:17">
      <c r="Q69" s="121"/>
    </row>
    <row r="70" spans="17:17">
      <c r="Q70" s="121"/>
    </row>
    <row r="71" spans="17:17">
      <c r="Q71" s="121"/>
    </row>
    <row r="72" spans="17:17">
      <c r="Q72" s="121"/>
    </row>
    <row r="73" spans="17:17">
      <c r="Q73" s="121"/>
    </row>
    <row r="74" spans="17:17">
      <c r="Q74" s="121"/>
    </row>
    <row r="75" spans="17:17">
      <c r="Q75" s="121"/>
    </row>
    <row r="76" spans="17:17">
      <c r="Q76" s="121"/>
    </row>
  </sheetData>
  <mergeCells count="15">
    <mergeCell ref="B12:C12"/>
    <mergeCell ref="J18:N18"/>
    <mergeCell ref="B2:C2"/>
    <mergeCell ref="D2:E2"/>
    <mergeCell ref="A2:A3"/>
    <mergeCell ref="F2:G2"/>
    <mergeCell ref="A12:A13"/>
    <mergeCell ref="D12:D13"/>
    <mergeCell ref="E12:F12"/>
    <mergeCell ref="G12:H12"/>
    <mergeCell ref="F31:H31"/>
    <mergeCell ref="B29:H29"/>
    <mergeCell ref="K21:L21"/>
    <mergeCell ref="L17:M17"/>
    <mergeCell ref="L16:M16"/>
  </mergeCells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Curva interacción nominal</vt:lpstr>
      <vt:lpstr>Curva resistente y MR-PR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sulpicio</dc:creator>
  <cp:lastModifiedBy>sulpicio</cp:lastModifiedBy>
  <cp:lastPrinted>2020-11-05T17:19:02Z</cp:lastPrinted>
  <dcterms:created xsi:type="dcterms:W3CDTF">2020-05-02T14:10:41Z</dcterms:created>
  <dcterms:modified xsi:type="dcterms:W3CDTF">2021-04-05T03:39:06Z</dcterms:modified>
</cp:coreProperties>
</file>