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snahanp/Dropbox/SOCON/Manuscript 1/SeaHawk-HawkEye_Analyses/"/>
    </mc:Choice>
  </mc:AlternateContent>
  <xr:revisionPtr revIDLastSave="0" documentId="13_ncr:1_{6E45770C-FD82-2F4E-AD38-B1C6EB5A9DC2}" xr6:coauthVersionLast="47" xr6:coauthVersionMax="47" xr10:uidLastSave="{00000000-0000-0000-0000-000000000000}"/>
  <bookViews>
    <workbookView xWindow="-37000" yWindow="2040" windowWidth="34560" windowHeight="21100" xr2:uid="{F7DDFEDE-8747-461F-B4BC-AEC9B29C69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1" l="1"/>
  <c r="G45" i="1"/>
  <c r="K45" i="1"/>
  <c r="D17" i="1"/>
  <c r="J35" i="1" l="1"/>
  <c r="J34" i="1"/>
  <c r="J33" i="1"/>
  <c r="J32" i="1"/>
  <c r="J31" i="1"/>
  <c r="J30" i="1"/>
  <c r="J29" i="1"/>
  <c r="J28" i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I35" i="1"/>
  <c r="I34" i="1"/>
  <c r="I33" i="1"/>
  <c r="I32" i="1"/>
  <c r="I31" i="1"/>
  <c r="I30" i="1"/>
  <c r="I29" i="1"/>
  <c r="I28" i="1"/>
  <c r="K29" i="1" l="1"/>
  <c r="K31" i="1"/>
  <c r="K28" i="1"/>
  <c r="K33" i="1"/>
  <c r="K30" i="1"/>
  <c r="K32" i="1"/>
  <c r="K34" i="1"/>
  <c r="K35" i="1"/>
  <c r="A7" i="1" l="1"/>
  <c r="B16" i="1" s="1"/>
  <c r="A6" i="1"/>
  <c r="B17" i="1" l="1"/>
  <c r="C17" i="1" s="1"/>
  <c r="C18" i="1" s="1"/>
  <c r="D18" i="1"/>
  <c r="L35" i="1" l="1"/>
  <c r="E17" i="1"/>
  <c r="E18" i="1" s="1"/>
  <c r="I51" i="1" s="1"/>
  <c r="M51" i="1" s="1"/>
  <c r="L33" i="1"/>
  <c r="L28" i="1"/>
  <c r="L29" i="1"/>
  <c r="L31" i="1"/>
  <c r="L30" i="1"/>
  <c r="L32" i="1"/>
  <c r="L34" i="1"/>
  <c r="F17" i="1"/>
  <c r="F18" i="1" s="1"/>
  <c r="H51" i="1"/>
  <c r="H50" i="1"/>
  <c r="L50" i="1" s="1"/>
  <c r="H49" i="1"/>
  <c r="H48" i="1"/>
  <c r="H47" i="1"/>
  <c r="H46" i="1"/>
  <c r="H45" i="1"/>
  <c r="H44" i="1"/>
  <c r="G51" i="1"/>
  <c r="G49" i="1"/>
  <c r="G47" i="1"/>
  <c r="G44" i="1"/>
  <c r="G50" i="1"/>
  <c r="K50" i="1" s="1"/>
  <c r="G48" i="1"/>
  <c r="G46" i="1"/>
  <c r="K48" i="1" l="1"/>
  <c r="L48" i="1"/>
  <c r="L44" i="1"/>
  <c r="I48" i="1"/>
  <c r="M48" i="1" s="1"/>
  <c r="I49" i="1"/>
  <c r="M49" i="1" s="1"/>
  <c r="I44" i="1"/>
  <c r="M44" i="1" s="1"/>
  <c r="I45" i="1"/>
  <c r="M45" i="1" s="1"/>
  <c r="I46" i="1"/>
  <c r="M46" i="1" s="1"/>
  <c r="I47" i="1"/>
  <c r="M47" i="1" s="1"/>
  <c r="L49" i="1"/>
  <c r="I50" i="1"/>
  <c r="M50" i="1" s="1"/>
  <c r="K49" i="1"/>
  <c r="L51" i="1"/>
  <c r="L45" i="1"/>
  <c r="L46" i="1"/>
  <c r="L47" i="1"/>
  <c r="K46" i="1"/>
  <c r="K44" i="1"/>
  <c r="K51" i="1"/>
  <c r="J51" i="1"/>
  <c r="N51" i="1" s="1"/>
  <c r="J47" i="1"/>
  <c r="N47" i="1" s="1"/>
  <c r="J50" i="1"/>
  <c r="N50" i="1" s="1"/>
  <c r="J46" i="1"/>
  <c r="N46" i="1" s="1"/>
  <c r="J49" i="1"/>
  <c r="N49" i="1" s="1"/>
  <c r="J45" i="1"/>
  <c r="N45" i="1" s="1"/>
  <c r="J48" i="1"/>
  <c r="N48" i="1" s="1"/>
  <c r="J44" i="1"/>
  <c r="N44" i="1" s="1"/>
  <c r="O48" i="1" l="1"/>
  <c r="O45" i="1"/>
  <c r="O49" i="1"/>
  <c r="O50" i="1"/>
  <c r="O44" i="1"/>
  <c r="O46" i="1"/>
  <c r="O47" i="1"/>
  <c r="O51" i="1"/>
</calcChain>
</file>

<file path=xl/sharedStrings.xml><?xml version="1.0" encoding="utf-8"?>
<sst xmlns="http://schemas.openxmlformats.org/spreadsheetml/2006/main" count="70" uniqueCount="60">
  <si>
    <t>ROLO comparison lunar brightness</t>
  </si>
  <si>
    <t>Date</t>
  </si>
  <si>
    <t>Time</t>
  </si>
  <si>
    <t>Phase angle</t>
  </si>
  <si>
    <t>Nominal</t>
  </si>
  <si>
    <t>Lunar Diameter</t>
  </si>
  <si>
    <t>Solar Diameter</t>
  </si>
  <si>
    <t>Phase Angle Factor (x1E6)</t>
  </si>
  <si>
    <t>Band 6 pixel size in arcseconds</t>
  </si>
  <si>
    <t>Nominal number of pixels in lunar image</t>
  </si>
  <si>
    <t>Speed factor (deg/sec)</t>
  </si>
  <si>
    <t>Total number of pixels</t>
  </si>
  <si>
    <t>Band</t>
  </si>
  <si>
    <t>Calibration</t>
  </si>
  <si>
    <t>Exposure</t>
  </si>
  <si>
    <t>Counts</t>
  </si>
  <si>
    <t>Exo-atm</t>
  </si>
  <si>
    <t>Derived</t>
  </si>
  <si>
    <t>Counts/ms/</t>
  </si>
  <si>
    <t>(ms)</t>
  </si>
  <si>
    <t>per rad</t>
  </si>
  <si>
    <t>Irradiance</t>
  </si>
  <si>
    <t>Exo-Atm</t>
  </si>
  <si>
    <t>rad unit</t>
  </si>
  <si>
    <t>unit</t>
  </si>
  <si>
    <t>Over Passband</t>
  </si>
  <si>
    <t>Rad Units</t>
  </si>
  <si>
    <t>(Averaged)</t>
  </si>
  <si>
    <t>Lunar</t>
  </si>
  <si>
    <t>Reflectivity</t>
  </si>
  <si>
    <t>ROLO</t>
  </si>
  <si>
    <t>ADU per</t>
  </si>
  <si>
    <t>Pixel</t>
  </si>
  <si>
    <t xml:space="preserve">Total </t>
  </si>
  <si>
    <t>ADU</t>
  </si>
  <si>
    <t xml:space="preserve"> </t>
  </si>
  <si>
    <t>Relative to nominal</t>
  </si>
  <si>
    <t>Measured</t>
  </si>
  <si>
    <t>Total</t>
  </si>
  <si>
    <t>Normalized</t>
  </si>
  <si>
    <t xml:space="preserve">to </t>
  </si>
  <si>
    <t>nominal</t>
  </si>
  <si>
    <t xml:space="preserve">Relative </t>
  </si>
  <si>
    <t>to</t>
  </si>
  <si>
    <t>Expected</t>
  </si>
  <si>
    <t>Response</t>
  </si>
  <si>
    <t xml:space="preserve">% Change </t>
  </si>
  <si>
    <t>per Deg C</t>
  </si>
  <si>
    <t>16 C</t>
  </si>
  <si>
    <t>Unit 2</t>
  </si>
  <si>
    <t xml:space="preserve">Original </t>
  </si>
  <si>
    <t>New</t>
  </si>
  <si>
    <t>Average</t>
  </si>
  <si>
    <t>Lunar Calibration Summary:</t>
  </si>
  <si>
    <t>(Nominal)</t>
  </si>
  <si>
    <t>Nominal scan speed for 18.6 milliseconds per pixel</t>
  </si>
  <si>
    <t>Unit 2: Flight Unit Results</t>
  </si>
  <si>
    <t>Wavelength (nm)</t>
  </si>
  <si>
    <t>Original analysis by Alan Holmes</t>
  </si>
  <si>
    <t>Final results calculated here saved as lunar_calibration_results_for_plotting.csv and read into Python script for final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</si>
</sst>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m/d;@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1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1" xfId="0" applyBorder="1"/>
    <xf numFmtId="1" fontId="0" fillId="0" borderId="1" xfId="0" applyNumberFormat="1" applyBorder="1"/>
    <xf numFmtId="0" fontId="1" fillId="0" borderId="0" xfId="0" applyFont="1"/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1" fontId="0" fillId="0" borderId="3" xfId="0" applyNumberFormat="1" applyBorder="1"/>
    <xf numFmtId="164" fontId="0" fillId="0" borderId="3" xfId="0" applyNumberFormat="1" applyBorder="1"/>
    <xf numFmtId="164" fontId="0" fillId="0" borderId="14" xfId="0" applyNumberFormat="1" applyBorder="1"/>
    <xf numFmtId="0" fontId="0" fillId="0" borderId="15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5" xfId="0" applyBorder="1"/>
    <xf numFmtId="0" fontId="0" fillId="0" borderId="16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1" fontId="0" fillId="0" borderId="16" xfId="0" applyNumberFormat="1" applyBorder="1"/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6" fontId="0" fillId="2" borderId="12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14" fontId="0" fillId="2" borderId="14" xfId="0" applyNumberFormat="1" applyFill="1" applyBorder="1" applyAlignment="1">
      <alignment horizontal="center"/>
    </xf>
    <xf numFmtId="164" fontId="0" fillId="2" borderId="1" xfId="0" applyNumberFormat="1" applyFill="1" applyBorder="1"/>
    <xf numFmtId="164" fontId="0" fillId="2" borderId="16" xfId="0" applyNumberFormat="1" applyFill="1" applyBorder="1"/>
    <xf numFmtId="164" fontId="0" fillId="2" borderId="2" xfId="0" applyNumberFormat="1" applyFill="1" applyBorder="1"/>
    <xf numFmtId="164" fontId="0" fillId="2" borderId="12" xfId="0" applyNumberFormat="1" applyFill="1" applyBorder="1"/>
    <xf numFmtId="164" fontId="0" fillId="2" borderId="3" xfId="0" applyNumberFormat="1" applyFill="1" applyBorder="1"/>
    <xf numFmtId="164" fontId="0" fillId="2" borderId="14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Sheet1!$K$43</c:f>
              <c:strCache>
                <c:ptCount val="1"/>
                <c:pt idx="0">
                  <c:v>4/14/22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Sheet1!$B$44:$B$51</c:f>
              <c:numCache>
                <c:formatCode>General</c:formatCode>
                <c:ptCount val="8"/>
                <c:pt idx="0">
                  <c:v>412.97</c:v>
                </c:pt>
                <c:pt idx="1">
                  <c:v>447.37</c:v>
                </c:pt>
                <c:pt idx="2">
                  <c:v>488.11</c:v>
                </c:pt>
                <c:pt idx="3">
                  <c:v>509.55</c:v>
                </c:pt>
                <c:pt idx="4">
                  <c:v>556.69000000000005</c:v>
                </c:pt>
                <c:pt idx="5">
                  <c:v>670.37</c:v>
                </c:pt>
                <c:pt idx="6">
                  <c:v>751.42</c:v>
                </c:pt>
                <c:pt idx="7">
                  <c:v>865.79</c:v>
                </c:pt>
              </c:numCache>
            </c:numRef>
          </c:xVal>
          <c:yVal>
            <c:numRef>
              <c:f>Sheet1!$K$44:$K$51</c:f>
              <c:numCache>
                <c:formatCode>0.000</c:formatCode>
                <c:ptCount val="8"/>
                <c:pt idx="0">
                  <c:v>0.82452674388650837</c:v>
                </c:pt>
                <c:pt idx="1">
                  <c:v>0.88097839998060623</c:v>
                </c:pt>
                <c:pt idx="2">
                  <c:v>1.0265714103936414</c:v>
                </c:pt>
                <c:pt idx="3">
                  <c:v>0.98442569043595685</c:v>
                </c:pt>
                <c:pt idx="4">
                  <c:v>1.0228861397812856</c:v>
                </c:pt>
                <c:pt idx="5">
                  <c:v>1.0031869782476706</c:v>
                </c:pt>
                <c:pt idx="6">
                  <c:v>0.93354374698530918</c:v>
                </c:pt>
                <c:pt idx="7">
                  <c:v>0.91516812716810791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3-4FA9-ABB4-D7A0510940B0}"/>
            </c:ext>
          </c:extLst>
        </c:ser>
        <c:ser>
          <c:idx val="1"/>
          <c:order val="1"/>
          <c:tx>
            <c:strRef>
              <c:f>Sheet1!$L$43</c:f>
              <c:strCache>
                <c:ptCount val="1"/>
                <c:pt idx="0">
                  <c:v>10/7/22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Sheet1!$B$44:$B$51</c:f>
              <c:numCache>
                <c:formatCode>General</c:formatCode>
                <c:ptCount val="8"/>
                <c:pt idx="0">
                  <c:v>412.97</c:v>
                </c:pt>
                <c:pt idx="1">
                  <c:v>447.37</c:v>
                </c:pt>
                <c:pt idx="2">
                  <c:v>488.11</c:v>
                </c:pt>
                <c:pt idx="3">
                  <c:v>509.55</c:v>
                </c:pt>
                <c:pt idx="4">
                  <c:v>556.69000000000005</c:v>
                </c:pt>
                <c:pt idx="5">
                  <c:v>670.37</c:v>
                </c:pt>
                <c:pt idx="6">
                  <c:v>751.42</c:v>
                </c:pt>
                <c:pt idx="7">
                  <c:v>865.79</c:v>
                </c:pt>
              </c:numCache>
            </c:numRef>
          </c:xVal>
          <c:yVal>
            <c:numRef>
              <c:f>Sheet1!$L$44:$L$51</c:f>
              <c:numCache>
                <c:formatCode>0.000</c:formatCode>
                <c:ptCount val="8"/>
                <c:pt idx="0">
                  <c:v>0.84147116491446017</c:v>
                </c:pt>
                <c:pt idx="1">
                  <c:v>0.87031338164013028</c:v>
                </c:pt>
                <c:pt idx="2">
                  <c:v>1.0392286182548798</c:v>
                </c:pt>
                <c:pt idx="3">
                  <c:v>1.0059663067871967</c:v>
                </c:pt>
                <c:pt idx="4">
                  <c:v>1.0249886935569177</c:v>
                </c:pt>
                <c:pt idx="5">
                  <c:v>0.99816132734709739</c:v>
                </c:pt>
                <c:pt idx="6">
                  <c:v>0.93598521193466744</c:v>
                </c:pt>
                <c:pt idx="7">
                  <c:v>0.90423706075178201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3-4FA9-ABB4-D7A0510940B0}"/>
            </c:ext>
          </c:extLst>
        </c:ser>
        <c:ser>
          <c:idx val="2"/>
          <c:order val="2"/>
          <c:tx>
            <c:strRef>
              <c:f>Sheet1!$M$43</c:f>
              <c:strCache>
                <c:ptCount val="1"/>
                <c:pt idx="0">
                  <c:v>11/5/22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Sheet1!$B$44:$B$51</c:f>
              <c:numCache>
                <c:formatCode>General</c:formatCode>
                <c:ptCount val="8"/>
                <c:pt idx="0">
                  <c:v>412.97</c:v>
                </c:pt>
                <c:pt idx="1">
                  <c:v>447.37</c:v>
                </c:pt>
                <c:pt idx="2">
                  <c:v>488.11</c:v>
                </c:pt>
                <c:pt idx="3">
                  <c:v>509.55</c:v>
                </c:pt>
                <c:pt idx="4">
                  <c:v>556.69000000000005</c:v>
                </c:pt>
                <c:pt idx="5">
                  <c:v>670.37</c:v>
                </c:pt>
                <c:pt idx="6">
                  <c:v>751.42</c:v>
                </c:pt>
                <c:pt idx="7">
                  <c:v>865.79</c:v>
                </c:pt>
              </c:numCache>
            </c:numRef>
          </c:xVal>
          <c:yVal>
            <c:numRef>
              <c:f>Sheet1!$M$44:$M$51</c:f>
              <c:numCache>
                <c:formatCode>0.000</c:formatCode>
                <c:ptCount val="8"/>
                <c:pt idx="0">
                  <c:v>0.83561944217259942</c:v>
                </c:pt>
                <c:pt idx="1">
                  <c:v>0.87102263644058986</c:v>
                </c:pt>
                <c:pt idx="2">
                  <c:v>1.0375590002276178</c:v>
                </c:pt>
                <c:pt idx="3">
                  <c:v>0.98251903523733608</c:v>
                </c:pt>
                <c:pt idx="4">
                  <c:v>1.0112029126666637</c:v>
                </c:pt>
                <c:pt idx="5">
                  <c:v>0.9835194821372274</c:v>
                </c:pt>
                <c:pt idx="6">
                  <c:v>0.92252829601496167</c:v>
                </c:pt>
                <c:pt idx="7">
                  <c:v>0.8904574328343835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33-4FA9-ABB4-D7A0510940B0}"/>
            </c:ext>
          </c:extLst>
        </c:ser>
        <c:ser>
          <c:idx val="3"/>
          <c:order val="3"/>
          <c:tx>
            <c:strRef>
              <c:f>Sheet1!$N$43</c:f>
              <c:strCache>
                <c:ptCount val="1"/>
                <c:pt idx="0">
                  <c:v>2/2/23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Sheet1!$B$44:$B$51</c:f>
              <c:numCache>
                <c:formatCode>General</c:formatCode>
                <c:ptCount val="8"/>
                <c:pt idx="0">
                  <c:v>412.97</c:v>
                </c:pt>
                <c:pt idx="1">
                  <c:v>447.37</c:v>
                </c:pt>
                <c:pt idx="2">
                  <c:v>488.11</c:v>
                </c:pt>
                <c:pt idx="3">
                  <c:v>509.55</c:v>
                </c:pt>
                <c:pt idx="4">
                  <c:v>556.69000000000005</c:v>
                </c:pt>
                <c:pt idx="5">
                  <c:v>670.37</c:v>
                </c:pt>
                <c:pt idx="6">
                  <c:v>751.42</c:v>
                </c:pt>
                <c:pt idx="7">
                  <c:v>865.79</c:v>
                </c:pt>
              </c:numCache>
            </c:numRef>
          </c:xVal>
          <c:yVal>
            <c:numRef>
              <c:f>Sheet1!$N$44:$N$51</c:f>
              <c:numCache>
                <c:formatCode>0.000</c:formatCode>
                <c:ptCount val="8"/>
                <c:pt idx="0">
                  <c:v>0.81084879363331486</c:v>
                </c:pt>
                <c:pt idx="1">
                  <c:v>0.85854789253210206</c:v>
                </c:pt>
                <c:pt idx="2">
                  <c:v>1.0270805323887249</c:v>
                </c:pt>
                <c:pt idx="3">
                  <c:v>0.97823934910448684</c:v>
                </c:pt>
                <c:pt idx="4">
                  <c:v>1.0070682831789213</c:v>
                </c:pt>
                <c:pt idx="5">
                  <c:v>0.99010897575964585</c:v>
                </c:pt>
                <c:pt idx="6">
                  <c:v>0.92938431871317095</c:v>
                </c:pt>
                <c:pt idx="7">
                  <c:v>0.91228616513120131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33-4FA9-ABB4-D7A0510940B0}"/>
            </c:ext>
          </c:extLst>
        </c:ser>
        <c:ser>
          <c:idx val="4"/>
          <c:order val="4"/>
          <c:tx>
            <c:strRef>
              <c:f>Sheet1!$O$43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Sheet1!$B$44:$B$51</c:f>
              <c:numCache>
                <c:formatCode>General</c:formatCode>
                <c:ptCount val="8"/>
                <c:pt idx="0">
                  <c:v>412.97</c:v>
                </c:pt>
                <c:pt idx="1">
                  <c:v>447.37</c:v>
                </c:pt>
                <c:pt idx="2">
                  <c:v>488.11</c:v>
                </c:pt>
                <c:pt idx="3">
                  <c:v>509.55</c:v>
                </c:pt>
                <c:pt idx="4">
                  <c:v>556.69000000000005</c:v>
                </c:pt>
                <c:pt idx="5">
                  <c:v>670.37</c:v>
                </c:pt>
                <c:pt idx="6">
                  <c:v>751.42</c:v>
                </c:pt>
                <c:pt idx="7">
                  <c:v>865.79</c:v>
                </c:pt>
              </c:numCache>
            </c:numRef>
          </c:xVal>
          <c:yVal>
            <c:numRef>
              <c:f>Sheet1!$O$44:$O$51</c:f>
              <c:numCache>
                <c:formatCode>0.000</c:formatCode>
                <c:ptCount val="8"/>
                <c:pt idx="0">
                  <c:v>0.82811653615172065</c:v>
                </c:pt>
                <c:pt idx="1">
                  <c:v>0.87021557764835711</c:v>
                </c:pt>
                <c:pt idx="2">
                  <c:v>1.032609890316216</c:v>
                </c:pt>
                <c:pt idx="3">
                  <c:v>0.98778759539124417</c:v>
                </c:pt>
                <c:pt idx="4">
                  <c:v>1.0165365072959471</c:v>
                </c:pt>
                <c:pt idx="5">
                  <c:v>0.99374419087291022</c:v>
                </c:pt>
                <c:pt idx="6">
                  <c:v>0.93036039341202725</c:v>
                </c:pt>
                <c:pt idx="7">
                  <c:v>0.90553719647136877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33-4FA9-ABB4-D7A051094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44704"/>
        <c:axId val="742837160"/>
      </c:scatterChart>
      <c:valAx>
        <c:axId val="742844704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 Center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37160"/>
        <c:crosses val="autoZero"/>
        <c:crossBetween val="midCat"/>
      </c:valAx>
      <c:valAx>
        <c:axId val="74283716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  <a:r>
                  <a:rPr lang="en-US" baseline="0"/>
                  <a:t> Ratio vs. Moon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4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876300</xdr:colOff>
      <xdr:row>0</xdr:row>
      <xdr:rowOff>187324</xdr:rowOff>
    </xdr:from>
    <xdr:to>
      <xdr:col>18</xdr:col>
      <xdr:colOff>63500</xdr:colOff>
      <xdr:row>21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B17D92-3239-810F-93D7-24CB04E58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DBD9-2BF9-4558-B014-3C1D7F9FEC71}">
  <dimension ref="A1:Y51"/>
  <sheetViews>
    <sheetView tabSelected="1" topLeftCell="C1" workbookViewId="0">
      <selection activeCell="Q40" sqref="Q40:Y40"/>
    </sheetView>
  </sheetViews>
  <sheetFormatPr baseColWidth="10" defaultColWidth="8.83203125" defaultRowHeight="15" x14ac:dyDescent="0.2"/>
  <cols>
    <col min="1" max="1" width="27.6640625" bestFit="1" customWidth="1"/>
    <col min="2" max="2" width="14.83203125" customWidth="1"/>
    <col min="3" max="3" width="11.6640625" customWidth="1"/>
    <col min="4" max="4" width="12.33203125" customWidth="1"/>
    <col min="5" max="7" width="11.6640625" customWidth="1"/>
    <col min="8" max="8" width="13.83203125" customWidth="1"/>
    <col min="9" max="14" width="11.6640625" customWidth="1"/>
    <col min="15" max="15" width="10.83203125" customWidth="1"/>
    <col min="16" max="19" width="11.6640625" customWidth="1"/>
    <col min="20" max="20" width="10.6640625" customWidth="1"/>
    <col min="21" max="25" width="11.6640625" customWidth="1"/>
    <col min="27" max="27" width="11.5" customWidth="1"/>
    <col min="28" max="28" width="12.33203125" customWidth="1"/>
  </cols>
  <sheetData>
    <row r="1" spans="1:8" x14ac:dyDescent="0.2">
      <c r="A1" t="s">
        <v>0</v>
      </c>
    </row>
    <row r="2" spans="1:8" x14ac:dyDescent="0.2">
      <c r="A2" t="s">
        <v>58</v>
      </c>
    </row>
    <row r="3" spans="1:8" x14ac:dyDescent="0.2">
      <c r="A3" s="1">
        <v>44963</v>
      </c>
    </row>
    <row r="4" spans="1:8" x14ac:dyDescent="0.2">
      <c r="G4" t="s">
        <v>50</v>
      </c>
      <c r="H4" t="s">
        <v>51</v>
      </c>
    </row>
    <row r="5" spans="1:8" x14ac:dyDescent="0.2">
      <c r="A5" s="13">
        <v>45.646000000000001</v>
      </c>
      <c r="B5" t="s">
        <v>8</v>
      </c>
      <c r="G5" t="s">
        <v>4</v>
      </c>
      <c r="H5" t="s">
        <v>4</v>
      </c>
    </row>
    <row r="6" spans="1:8" x14ac:dyDescent="0.2">
      <c r="A6" s="14">
        <f>((B15/A5)^2) *PI()/4</f>
        <v>1313.6510398940181</v>
      </c>
      <c r="B6" t="s">
        <v>9</v>
      </c>
      <c r="F6" t="s">
        <v>6</v>
      </c>
      <c r="G6">
        <v>1919</v>
      </c>
      <c r="H6">
        <v>1985</v>
      </c>
    </row>
    <row r="7" spans="1:8" x14ac:dyDescent="0.2">
      <c r="A7" s="15">
        <f>(A5/0.0186)/3600</f>
        <v>0.68169056152927132</v>
      </c>
      <c r="B7" t="s">
        <v>55</v>
      </c>
      <c r="F7" t="s">
        <v>5</v>
      </c>
      <c r="G7">
        <v>1848</v>
      </c>
      <c r="H7">
        <v>1866.8</v>
      </c>
    </row>
    <row r="9" spans="1:8" ht="16" thickBot="1" x14ac:dyDescent="0.25">
      <c r="A9" s="11" t="s">
        <v>53</v>
      </c>
    </row>
    <row r="10" spans="1:8" ht="16" thickBot="1" x14ac:dyDescent="0.25">
      <c r="A10" s="47" t="s">
        <v>1</v>
      </c>
      <c r="B10" s="54" t="s">
        <v>4</v>
      </c>
      <c r="C10" s="55">
        <v>44665</v>
      </c>
      <c r="D10" s="55">
        <v>44841</v>
      </c>
      <c r="E10" s="55">
        <v>44870</v>
      </c>
      <c r="F10" s="56">
        <v>44959</v>
      </c>
    </row>
    <row r="11" spans="1:8" x14ac:dyDescent="0.2">
      <c r="A11" s="32" t="s">
        <v>2</v>
      </c>
      <c r="B11" s="9"/>
      <c r="C11" s="9"/>
      <c r="D11" s="9">
        <v>947</v>
      </c>
      <c r="E11" s="9">
        <v>2105</v>
      </c>
      <c r="F11" s="48">
        <v>444</v>
      </c>
    </row>
    <row r="12" spans="1:8" x14ac:dyDescent="0.2">
      <c r="A12" s="27" t="s">
        <v>3</v>
      </c>
      <c r="B12" s="7">
        <v>30</v>
      </c>
      <c r="C12" s="7">
        <v>35.67</v>
      </c>
      <c r="D12" s="7">
        <v>31.94</v>
      </c>
      <c r="E12" s="7">
        <v>31.16</v>
      </c>
      <c r="F12" s="49">
        <v>38.92</v>
      </c>
    </row>
    <row r="13" spans="1:8" x14ac:dyDescent="0.2">
      <c r="A13" s="27" t="s">
        <v>7</v>
      </c>
      <c r="B13" s="7">
        <v>3.9737</v>
      </c>
      <c r="C13" s="7">
        <v>3.4512</v>
      </c>
      <c r="D13" s="7">
        <v>3.7866</v>
      </c>
      <c r="E13" s="7">
        <v>3.8607999999999998</v>
      </c>
      <c r="F13" s="49">
        <v>3.1829999999999998</v>
      </c>
    </row>
    <row r="14" spans="1:8" x14ac:dyDescent="0.2">
      <c r="A14" s="27" t="s">
        <v>6</v>
      </c>
      <c r="B14" s="7">
        <v>1985</v>
      </c>
      <c r="C14" s="7">
        <v>1914</v>
      </c>
      <c r="D14" s="7">
        <v>1920</v>
      </c>
      <c r="E14" s="7">
        <v>1936</v>
      </c>
      <c r="F14" s="49">
        <v>1947</v>
      </c>
    </row>
    <row r="15" spans="1:8" x14ac:dyDescent="0.2">
      <c r="A15" s="27" t="s">
        <v>5</v>
      </c>
      <c r="B15" s="7">
        <v>1866.8</v>
      </c>
      <c r="C15" s="7">
        <v>1871</v>
      </c>
      <c r="D15" s="7">
        <v>1927</v>
      </c>
      <c r="E15" s="7">
        <v>1873</v>
      </c>
      <c r="F15" s="49">
        <v>1766</v>
      </c>
    </row>
    <row r="16" spans="1:8" x14ac:dyDescent="0.2">
      <c r="A16" s="50" t="s">
        <v>10</v>
      </c>
      <c r="B16" s="8">
        <f>A7</f>
        <v>0.68169056152927132</v>
      </c>
      <c r="C16" s="8">
        <v>0.498</v>
      </c>
      <c r="D16" s="8">
        <v>0.107</v>
      </c>
      <c r="E16" s="8">
        <v>0.14297000000000001</v>
      </c>
      <c r="F16" s="51">
        <v>5.3600000000000002E-2</v>
      </c>
    </row>
    <row r="17" spans="1:12" x14ac:dyDescent="0.2">
      <c r="A17" s="32" t="s">
        <v>11</v>
      </c>
      <c r="B17" s="10">
        <f>A6</f>
        <v>1313.6510398940181</v>
      </c>
      <c r="C17" s="10">
        <f>$B17*(C14/$B14)^2 * (C15/$B15)^2*(C13/$B13)*($B16/C16)</f>
        <v>1458.5718877505919</v>
      </c>
      <c r="D17" s="10">
        <f>$B17*(D14/$B14)^2 * (D15/$B15)^2*(D13/$B13)*($B16/D16)</f>
        <v>7950.3665377441048</v>
      </c>
      <c r="E17" s="10">
        <f>$B17*(E14/$B14)^2 * (E15/$B15)^2*(E13/$B13)*($B16/E16)</f>
        <v>5827.3923566638841</v>
      </c>
      <c r="F17" s="52">
        <f>$B17*(F14/$B14)^2 * (F15/$B15)^2*(F13/$B13)*($B16/F16)</f>
        <v>11522.342020882636</v>
      </c>
    </row>
    <row r="18" spans="1:12" ht="16" thickBot="1" x14ac:dyDescent="0.25">
      <c r="A18" s="28" t="s">
        <v>36</v>
      </c>
      <c r="B18" s="30">
        <v>1</v>
      </c>
      <c r="C18" s="30">
        <f>C17/$B17</f>
        <v>1.1103191360989335</v>
      </c>
      <c r="D18" s="30">
        <f>D17/$B17</f>
        <v>6.0521145237973695</v>
      </c>
      <c r="E18" s="30">
        <f>E17/$B17</f>
        <v>4.4360276661707836</v>
      </c>
      <c r="F18" s="31">
        <f>F17/$B17</f>
        <v>8.7712350319550829</v>
      </c>
    </row>
    <row r="20" spans="1:12" x14ac:dyDescent="0.2">
      <c r="B20" s="3"/>
      <c r="C20" s="3"/>
      <c r="D20" s="3"/>
      <c r="E20" s="3"/>
      <c r="F20" s="3"/>
      <c r="G20" s="3"/>
      <c r="H20" s="3"/>
      <c r="I20" s="3"/>
      <c r="J20" s="3"/>
    </row>
    <row r="23" spans="1:12" ht="16" thickBot="1" x14ac:dyDescent="0.25">
      <c r="A23" s="11" t="s">
        <v>56</v>
      </c>
    </row>
    <row r="24" spans="1:12" x14ac:dyDescent="0.2">
      <c r="A24" s="26" t="s">
        <v>12</v>
      </c>
      <c r="B24" s="33" t="s">
        <v>57</v>
      </c>
      <c r="C24" s="33" t="s">
        <v>49</v>
      </c>
      <c r="D24" s="33" t="s">
        <v>14</v>
      </c>
      <c r="E24" s="33"/>
      <c r="F24" s="33"/>
      <c r="G24" s="33" t="s">
        <v>15</v>
      </c>
      <c r="H24" s="33" t="s">
        <v>16</v>
      </c>
      <c r="I24" s="33" t="s">
        <v>17</v>
      </c>
      <c r="J24" s="33" t="s">
        <v>30</v>
      </c>
      <c r="K24" s="33" t="s">
        <v>4</v>
      </c>
      <c r="L24" s="34" t="s">
        <v>4</v>
      </c>
    </row>
    <row r="25" spans="1:12" x14ac:dyDescent="0.2">
      <c r="A25" s="27"/>
      <c r="B25" s="4"/>
      <c r="C25" s="4" t="s">
        <v>13</v>
      </c>
      <c r="D25" s="4" t="s">
        <v>19</v>
      </c>
      <c r="E25" s="4" t="s">
        <v>45</v>
      </c>
      <c r="F25" s="4">
        <v>35</v>
      </c>
      <c r="G25" s="4" t="s">
        <v>20</v>
      </c>
      <c r="H25" s="4" t="s">
        <v>21</v>
      </c>
      <c r="I25" s="4" t="s">
        <v>22</v>
      </c>
      <c r="J25" s="4" t="s">
        <v>28</v>
      </c>
      <c r="K25" s="4" t="s">
        <v>31</v>
      </c>
      <c r="L25" s="35" t="s">
        <v>33</v>
      </c>
    </row>
    <row r="26" spans="1:12" x14ac:dyDescent="0.2">
      <c r="A26" s="27"/>
      <c r="B26" s="4"/>
      <c r="C26" s="4" t="s">
        <v>18</v>
      </c>
      <c r="D26" s="4"/>
      <c r="E26" s="4" t="s">
        <v>46</v>
      </c>
      <c r="F26" s="4" t="s">
        <v>40</v>
      </c>
      <c r="G26" s="4" t="s">
        <v>24</v>
      </c>
      <c r="H26" s="4" t="s">
        <v>25</v>
      </c>
      <c r="I26" s="4" t="s">
        <v>26</v>
      </c>
      <c r="J26" s="4" t="s">
        <v>29</v>
      </c>
      <c r="K26" s="4" t="s">
        <v>32</v>
      </c>
      <c r="L26" s="35" t="s">
        <v>34</v>
      </c>
    </row>
    <row r="27" spans="1:12" ht="16" thickBot="1" x14ac:dyDescent="0.25">
      <c r="A27" s="28"/>
      <c r="B27" s="5"/>
      <c r="C27" s="5" t="s">
        <v>23</v>
      </c>
      <c r="D27" s="5"/>
      <c r="E27" s="5" t="s">
        <v>47</v>
      </c>
      <c r="F27" s="5" t="s">
        <v>48</v>
      </c>
      <c r="G27" s="5"/>
      <c r="H27" s="5" t="s">
        <v>27</v>
      </c>
      <c r="I27" s="5"/>
      <c r="J27" s="5" t="s">
        <v>54</v>
      </c>
      <c r="K27" s="5"/>
      <c r="L27" s="53" t="s">
        <v>35</v>
      </c>
    </row>
    <row r="28" spans="1:12" x14ac:dyDescent="0.2">
      <c r="A28" s="36">
        <v>1</v>
      </c>
      <c r="B28" s="22">
        <v>412.97</v>
      </c>
      <c r="C28" s="23">
        <v>24.357599971894309</v>
      </c>
      <c r="D28" s="2">
        <v>4.1181349999999997</v>
      </c>
      <c r="E28" s="2">
        <v>0</v>
      </c>
      <c r="F28" s="2">
        <f>1+(E28*(-19))/100</f>
        <v>1</v>
      </c>
      <c r="G28" s="16">
        <f>C28*D28*F28</f>
        <v>100.30788496025697</v>
      </c>
      <c r="H28" s="18">
        <v>1713</v>
      </c>
      <c r="I28" s="16">
        <f>H28/PI()</f>
        <v>545.26483503283339</v>
      </c>
      <c r="J28" s="19">
        <f xml:space="preserve"> -0.0000000002793293*B28^3 + 0.0000004773487*B28^2- 0.0001648909*B28+ 0.04697522</f>
        <v>4.0616223196886618E-2</v>
      </c>
      <c r="K28" s="16">
        <f>I28*J28*G28</f>
        <v>2221.4784286300023</v>
      </c>
      <c r="L28" s="37">
        <f t="shared" ref="L28:L35" si="0">K28*B$17</f>
        <v>2918247.4478719318</v>
      </c>
    </row>
    <row r="29" spans="1:12" x14ac:dyDescent="0.2">
      <c r="A29" s="38">
        <v>2</v>
      </c>
      <c r="B29" s="4">
        <v>447.37</v>
      </c>
      <c r="C29" s="24">
        <v>29.381739174368491</v>
      </c>
      <c r="D29" s="12">
        <v>4.1260399999999997</v>
      </c>
      <c r="E29" s="12">
        <v>-6.6640771966702414E-2</v>
      </c>
      <c r="F29" s="12">
        <f t="shared" ref="F29:F35" si="1">1+(E29*(-19))/100</f>
        <v>1.0126617466736734</v>
      </c>
      <c r="G29" s="17">
        <f t="shared" ref="G29:G35" si="2">C29*D29*F29</f>
        <v>122.76521757842858</v>
      </c>
      <c r="H29" s="20">
        <v>1946</v>
      </c>
      <c r="I29" s="17">
        <f t="shared" ref="I29:I35" si="3">H29/PI()</f>
        <v>619.43103851365663</v>
      </c>
      <c r="J29" s="21">
        <f t="shared" ref="J29:J35" si="4" xml:space="preserve"> -0.0000000002793293*B29^3 + 0.0000004773487*B29^2- 0.0001648909*B29+ 0.04697522</f>
        <v>4.3734312916742207E-2</v>
      </c>
      <c r="K29" s="17">
        <f t="shared" ref="K29:K35" si="5">I29*J29*G29</f>
        <v>3325.7577292804895</v>
      </c>
      <c r="L29" s="39">
        <f t="shared" si="0"/>
        <v>4368885.0995048834</v>
      </c>
    </row>
    <row r="30" spans="1:12" x14ac:dyDescent="0.2">
      <c r="A30" s="38">
        <v>3</v>
      </c>
      <c r="B30" s="4">
        <v>488.11</v>
      </c>
      <c r="C30" s="24">
        <v>45.302074474997973</v>
      </c>
      <c r="D30" s="12">
        <v>4.1460349999999995</v>
      </c>
      <c r="E30" s="12">
        <v>-2.9609518826670032E-2</v>
      </c>
      <c r="F30" s="12">
        <f t="shared" si="1"/>
        <v>1.0056258085770673</v>
      </c>
      <c r="G30" s="17">
        <f t="shared" si="2"/>
        <v>188.8806481393122</v>
      </c>
      <c r="H30" s="20">
        <v>1960</v>
      </c>
      <c r="I30" s="17">
        <f t="shared" si="3"/>
        <v>623.88737692022971</v>
      </c>
      <c r="J30" s="21">
        <f t="shared" si="4"/>
        <v>4.773529755290859E-2</v>
      </c>
      <c r="K30" s="17">
        <f t="shared" si="5"/>
        <v>5625.1394985924917</v>
      </c>
      <c r="L30" s="39">
        <f t="shared" si="0"/>
        <v>7389470.3518749429</v>
      </c>
    </row>
    <row r="31" spans="1:12" x14ac:dyDescent="0.2">
      <c r="A31" s="38">
        <v>4</v>
      </c>
      <c r="B31" s="4">
        <v>509.55</v>
      </c>
      <c r="C31" s="24">
        <v>49.659660694547028</v>
      </c>
      <c r="D31" s="12">
        <v>4.1637049999999993</v>
      </c>
      <c r="E31" s="12">
        <v>-1.4065699495811513E-2</v>
      </c>
      <c r="F31" s="12">
        <f t="shared" si="1"/>
        <v>1.0026724829042042</v>
      </c>
      <c r="G31" s="17">
        <f t="shared" si="2"/>
        <v>207.32076195177714</v>
      </c>
      <c r="H31" s="20">
        <v>1875</v>
      </c>
      <c r="I31" s="17">
        <f t="shared" si="3"/>
        <v>596.83103659460755</v>
      </c>
      <c r="J31" s="21">
        <f t="shared" si="4"/>
        <v>4.9939137186520766E-2</v>
      </c>
      <c r="K31" s="17">
        <f t="shared" si="5"/>
        <v>6179.2423746200666</v>
      </c>
      <c r="L31" s="39">
        <f t="shared" si="0"/>
        <v>8117368.1711768322</v>
      </c>
    </row>
    <row r="32" spans="1:12" x14ac:dyDescent="0.2">
      <c r="A32" s="38">
        <v>5</v>
      </c>
      <c r="B32" s="4">
        <v>556.69000000000005</v>
      </c>
      <c r="C32" s="24">
        <v>56.33983283704675</v>
      </c>
      <c r="D32" s="12">
        <v>3.47254</v>
      </c>
      <c r="E32" s="12">
        <v>-1.3635906381203333E-2</v>
      </c>
      <c r="F32" s="12">
        <f t="shared" si="1"/>
        <v>1.0025908222124287</v>
      </c>
      <c r="G32" s="17">
        <f t="shared" si="2"/>
        <v>196.14919759638866</v>
      </c>
      <c r="H32" s="20">
        <v>1855</v>
      </c>
      <c r="I32" s="17">
        <f t="shared" si="3"/>
        <v>590.46483887093177</v>
      </c>
      <c r="J32" s="21">
        <f t="shared" si="4"/>
        <v>5.4924279203079754E-2</v>
      </c>
      <c r="K32" s="17">
        <f t="shared" si="5"/>
        <v>6361.28631698547</v>
      </c>
      <c r="L32" s="39">
        <f t="shared" si="0"/>
        <v>8356510.3853715509</v>
      </c>
    </row>
    <row r="33" spans="1:25" x14ac:dyDescent="0.2">
      <c r="A33" s="38">
        <v>6</v>
      </c>
      <c r="B33" s="4">
        <v>670.37</v>
      </c>
      <c r="C33" s="24">
        <v>53.658343667971266</v>
      </c>
      <c r="D33" s="12">
        <v>3.6013449999999998</v>
      </c>
      <c r="E33" s="12">
        <v>3.3279752674143979E-2</v>
      </c>
      <c r="F33" s="12">
        <f t="shared" si="1"/>
        <v>0.99367684699191261</v>
      </c>
      <c r="G33" s="17">
        <f t="shared" si="2"/>
        <v>192.02030763016816</v>
      </c>
      <c r="H33" s="20">
        <v>1535</v>
      </c>
      <c r="I33" s="17">
        <f t="shared" si="3"/>
        <v>488.60567529211869</v>
      </c>
      <c r="J33" s="21">
        <f t="shared" si="4"/>
        <v>6.6804694574409337E-2</v>
      </c>
      <c r="K33" s="17">
        <f t="shared" si="5"/>
        <v>6267.7642222623599</v>
      </c>
      <c r="L33" s="39">
        <f t="shared" si="0"/>
        <v>8233654.9883854706</v>
      </c>
    </row>
    <row r="34" spans="1:25" x14ac:dyDescent="0.2">
      <c r="A34" s="38">
        <v>7</v>
      </c>
      <c r="B34" s="4">
        <v>751.42</v>
      </c>
      <c r="C34" s="24">
        <v>38.620933035277041</v>
      </c>
      <c r="D34" s="12">
        <v>4.3841149999999995</v>
      </c>
      <c r="E34" s="12">
        <v>6.4921454710465995E-2</v>
      </c>
      <c r="F34" s="12">
        <f t="shared" si="1"/>
        <v>0.98766492360501146</v>
      </c>
      <c r="G34" s="17">
        <f t="shared" si="2"/>
        <v>167.23005382188836</v>
      </c>
      <c r="H34" s="20">
        <v>1268</v>
      </c>
      <c r="I34" s="17">
        <f t="shared" si="3"/>
        <v>403.61693568104658</v>
      </c>
      <c r="J34" s="21">
        <f t="shared" si="4"/>
        <v>7.4086599567392289E-2</v>
      </c>
      <c r="K34" s="17">
        <f t="shared" si="5"/>
        <v>5000.6144596960721</v>
      </c>
      <c r="L34" s="39">
        <f t="shared" si="0"/>
        <v>6569062.3850888088</v>
      </c>
    </row>
    <row r="35" spans="1:25" ht="16" thickBot="1" x14ac:dyDescent="0.25">
      <c r="A35" s="40">
        <v>8</v>
      </c>
      <c r="B35" s="5">
        <v>865.79</v>
      </c>
      <c r="C35" s="41">
        <v>58.42582763011476</v>
      </c>
      <c r="D35" s="42">
        <v>4.4757199999999999</v>
      </c>
      <c r="E35" s="42">
        <v>0.20325208858049718</v>
      </c>
      <c r="F35" s="42">
        <f t="shared" si="1"/>
        <v>0.96138210316970552</v>
      </c>
      <c r="G35" s="43">
        <f t="shared" si="2"/>
        <v>251.39915615538857</v>
      </c>
      <c r="H35" s="44">
        <v>978</v>
      </c>
      <c r="I35" s="43">
        <f t="shared" si="3"/>
        <v>311.30706868774729</v>
      </c>
      <c r="J35" s="45">
        <f t="shared" si="4"/>
        <v>8.0749455692328845E-2</v>
      </c>
      <c r="K35" s="43">
        <f t="shared" si="5"/>
        <v>6319.6409018555996</v>
      </c>
      <c r="L35" s="46">
        <f t="shared" si="0"/>
        <v>8301802.8424793789</v>
      </c>
    </row>
    <row r="39" spans="1:25" ht="16" thickBot="1" x14ac:dyDescent="0.25"/>
    <row r="40" spans="1:25" x14ac:dyDescent="0.2">
      <c r="A40" s="26" t="s">
        <v>12</v>
      </c>
      <c r="B40" s="58" t="s">
        <v>57</v>
      </c>
      <c r="C40" s="33" t="s">
        <v>37</v>
      </c>
      <c r="D40" s="33"/>
      <c r="E40" s="33"/>
      <c r="F40" s="33"/>
      <c r="G40" s="33" t="s">
        <v>39</v>
      </c>
      <c r="H40" s="33"/>
      <c r="I40" s="33"/>
      <c r="J40" s="33"/>
      <c r="K40" s="58" t="s">
        <v>42</v>
      </c>
      <c r="L40" s="58"/>
      <c r="M40" s="58"/>
      <c r="N40" s="58"/>
      <c r="O40" s="59"/>
      <c r="Q40" s="74" t="s">
        <v>59</v>
      </c>
      <c r="R40" s="74"/>
      <c r="S40" s="74"/>
      <c r="T40" s="74"/>
      <c r="U40" s="74"/>
      <c r="V40" s="75"/>
      <c r="W40" s="74"/>
      <c r="X40" s="74"/>
      <c r="Y40" s="74"/>
    </row>
    <row r="41" spans="1:25" x14ac:dyDescent="0.2">
      <c r="A41" s="27"/>
      <c r="B41" s="60"/>
      <c r="C41" s="4" t="s">
        <v>38</v>
      </c>
      <c r="D41" s="4"/>
      <c r="E41" s="4"/>
      <c r="F41" s="4"/>
      <c r="G41" s="4" t="s">
        <v>40</v>
      </c>
      <c r="H41" s="4"/>
      <c r="I41" s="4"/>
      <c r="J41" s="4"/>
      <c r="K41" s="60" t="s">
        <v>43</v>
      </c>
      <c r="L41" s="60"/>
      <c r="M41" s="60"/>
      <c r="N41" s="60"/>
      <c r="O41" s="61"/>
      <c r="V41" s="6"/>
    </row>
    <row r="42" spans="1:25" x14ac:dyDescent="0.2">
      <c r="A42" s="27"/>
      <c r="B42" s="60"/>
      <c r="C42" s="4" t="s">
        <v>34</v>
      </c>
      <c r="D42" s="4"/>
      <c r="E42" s="4"/>
      <c r="F42" s="4"/>
      <c r="G42" s="4" t="s">
        <v>41</v>
      </c>
      <c r="H42" s="4"/>
      <c r="I42" s="4"/>
      <c r="J42" s="4"/>
      <c r="K42" s="60" t="s">
        <v>44</v>
      </c>
      <c r="L42" s="60"/>
      <c r="M42" s="60"/>
      <c r="N42" s="60"/>
      <c r="O42" s="61"/>
    </row>
    <row r="43" spans="1:25" ht="16" thickBot="1" x14ac:dyDescent="0.25">
      <c r="A43" s="28"/>
      <c r="B43" s="70"/>
      <c r="C43" s="57">
        <v>44665</v>
      </c>
      <c r="D43" s="57">
        <v>44841</v>
      </c>
      <c r="E43" s="57">
        <v>44870</v>
      </c>
      <c r="F43" s="57">
        <v>44959</v>
      </c>
      <c r="G43" s="57">
        <v>44665</v>
      </c>
      <c r="H43" s="57">
        <v>44841</v>
      </c>
      <c r="I43" s="57">
        <v>44870</v>
      </c>
      <c r="J43" s="57">
        <v>44959</v>
      </c>
      <c r="K43" s="62">
        <v>44665</v>
      </c>
      <c r="L43" s="62">
        <v>44841</v>
      </c>
      <c r="M43" s="62">
        <v>44870</v>
      </c>
      <c r="N43" s="62">
        <v>44959</v>
      </c>
      <c r="O43" s="63" t="s">
        <v>52</v>
      </c>
    </row>
    <row r="44" spans="1:25" x14ac:dyDescent="0.2">
      <c r="A44" s="32">
        <v>1</v>
      </c>
      <c r="B44" s="71">
        <v>412.97</v>
      </c>
      <c r="C44" s="10">
        <v>2671620</v>
      </c>
      <c r="D44" s="10">
        <v>14861700</v>
      </c>
      <c r="E44" s="10">
        <v>10817450</v>
      </c>
      <c r="F44" s="10">
        <v>20755000</v>
      </c>
      <c r="G44" s="10">
        <f t="shared" ref="G44:J51" si="6">C44/C$18</f>
        <v>2406173.0660489569</v>
      </c>
      <c r="H44" s="10">
        <f t="shared" si="6"/>
        <v>2455621.0794694447</v>
      </c>
      <c r="I44" s="10">
        <f t="shared" si="6"/>
        <v>2438544.3045123555</v>
      </c>
      <c r="J44" s="10">
        <f t="shared" si="6"/>
        <v>2366257.4226304558</v>
      </c>
      <c r="K44" s="64">
        <f t="shared" ref="K44:N51" si="7">G44/$L28</f>
        <v>0.82452674388650837</v>
      </c>
      <c r="L44" s="64">
        <f t="shared" si="7"/>
        <v>0.84147116491446017</v>
      </c>
      <c r="M44" s="64">
        <f t="shared" si="7"/>
        <v>0.83561944217259942</v>
      </c>
      <c r="N44" s="64">
        <f t="shared" si="7"/>
        <v>0.81084879363331486</v>
      </c>
      <c r="O44" s="65">
        <f t="shared" ref="O44:O51" si="8">(K44+L44+M44+N44)/4</f>
        <v>0.82811653615172065</v>
      </c>
    </row>
    <row r="45" spans="1:25" x14ac:dyDescent="0.2">
      <c r="A45" s="27">
        <v>2</v>
      </c>
      <c r="B45" s="72">
        <v>447.37</v>
      </c>
      <c r="C45" s="25">
        <v>4273500</v>
      </c>
      <c r="D45" s="25">
        <v>23011949.999999996</v>
      </c>
      <c r="E45" s="25">
        <v>16880849.999999996</v>
      </c>
      <c r="F45" s="25">
        <v>32900000</v>
      </c>
      <c r="G45" s="25">
        <f t="shared" si="6"/>
        <v>3848893.4046609239</v>
      </c>
      <c r="H45" s="25">
        <f t="shared" si="6"/>
        <v>3802299.1649472723</v>
      </c>
      <c r="I45" s="25">
        <f t="shared" si="6"/>
        <v>3805397.8176767523</v>
      </c>
      <c r="J45" s="25">
        <f t="shared" si="6"/>
        <v>3750897.0948948208</v>
      </c>
      <c r="K45" s="66">
        <f t="shared" si="7"/>
        <v>0.88097839998060623</v>
      </c>
      <c r="L45" s="66">
        <f t="shared" si="7"/>
        <v>0.87031338164013028</v>
      </c>
      <c r="M45" s="66">
        <f t="shared" si="7"/>
        <v>0.87102263644058986</v>
      </c>
      <c r="N45" s="66">
        <f t="shared" si="7"/>
        <v>0.85854789253210206</v>
      </c>
      <c r="O45" s="67">
        <f t="shared" si="8"/>
        <v>0.87021557764835711</v>
      </c>
    </row>
    <row r="46" spans="1:25" x14ac:dyDescent="0.2">
      <c r="A46" s="27">
        <v>3</v>
      </c>
      <c r="B46" s="72">
        <v>488.11</v>
      </c>
      <c r="C46" s="25">
        <v>8422680</v>
      </c>
      <c r="D46" s="25">
        <v>46476300</v>
      </c>
      <c r="E46" s="25">
        <v>34011075</v>
      </c>
      <c r="F46" s="25">
        <v>66570000</v>
      </c>
      <c r="G46" s="25">
        <f t="shared" si="6"/>
        <v>7585819.0011862572</v>
      </c>
      <c r="H46" s="25">
        <f t="shared" si="6"/>
        <v>7679349.0634143976</v>
      </c>
      <c r="I46" s="25">
        <f t="shared" si="6"/>
        <v>7667011.4705029884</v>
      </c>
      <c r="J46" s="25">
        <f t="shared" si="6"/>
        <v>7589581.1430744138</v>
      </c>
      <c r="K46" s="66">
        <f t="shared" si="7"/>
        <v>1.0265714103936414</v>
      </c>
      <c r="L46" s="66">
        <f t="shared" si="7"/>
        <v>1.0392286182548798</v>
      </c>
      <c r="M46" s="66">
        <f t="shared" si="7"/>
        <v>1.0375590002276178</v>
      </c>
      <c r="N46" s="66">
        <f t="shared" si="7"/>
        <v>1.0270805323887249</v>
      </c>
      <c r="O46" s="67">
        <f t="shared" si="8"/>
        <v>1.032609890316216</v>
      </c>
    </row>
    <row r="47" spans="1:25" x14ac:dyDescent="0.2">
      <c r="A47" s="27">
        <v>4</v>
      </c>
      <c r="B47" s="72">
        <v>509.55</v>
      </c>
      <c r="C47" s="25">
        <v>8872500</v>
      </c>
      <c r="D47" s="25">
        <v>49420350</v>
      </c>
      <c r="E47" s="25">
        <v>35379400</v>
      </c>
      <c r="F47" s="25">
        <v>69650000</v>
      </c>
      <c r="G47" s="25">
        <f t="shared" si="6"/>
        <v>7990945.7664336134</v>
      </c>
      <c r="H47" s="25">
        <f t="shared" si="6"/>
        <v>8165798.8799906988</v>
      </c>
      <c r="I47" s="25">
        <f t="shared" si="6"/>
        <v>7975468.7442109203</v>
      </c>
      <c r="J47" s="25">
        <f t="shared" si="6"/>
        <v>7940728.9562135031</v>
      </c>
      <c r="K47" s="66">
        <f t="shared" si="7"/>
        <v>0.98442569043595685</v>
      </c>
      <c r="L47" s="66">
        <f t="shared" si="7"/>
        <v>1.0059663067871967</v>
      </c>
      <c r="M47" s="66">
        <f t="shared" si="7"/>
        <v>0.98251903523733608</v>
      </c>
      <c r="N47" s="66">
        <f t="shared" si="7"/>
        <v>0.97823934910448684</v>
      </c>
      <c r="O47" s="67">
        <f t="shared" si="8"/>
        <v>0.98778759539124417</v>
      </c>
    </row>
    <row r="48" spans="1:25" x14ac:dyDescent="0.2">
      <c r="A48" s="27">
        <v>5</v>
      </c>
      <c r="B48" s="72">
        <v>556.69000000000005</v>
      </c>
      <c r="C48" s="25">
        <v>9490740</v>
      </c>
      <c r="D48" s="25">
        <v>51838350</v>
      </c>
      <c r="E48" s="25">
        <v>37485000</v>
      </c>
      <c r="F48" s="25">
        <v>73815000</v>
      </c>
      <c r="G48" s="25">
        <f t="shared" si="6"/>
        <v>8547758.6501349285</v>
      </c>
      <c r="H48" s="25">
        <f t="shared" si="6"/>
        <v>8565328.6625968013</v>
      </c>
      <c r="I48" s="25">
        <f t="shared" si="6"/>
        <v>8450127.6414169371</v>
      </c>
      <c r="J48" s="25">
        <f t="shared" si="6"/>
        <v>8415576.5671629533</v>
      </c>
      <c r="K48" s="66">
        <f t="shared" si="7"/>
        <v>1.0228861397812856</v>
      </c>
      <c r="L48" s="66">
        <f t="shared" si="7"/>
        <v>1.0249886935569177</v>
      </c>
      <c r="M48" s="66">
        <f t="shared" si="7"/>
        <v>1.0112029126666637</v>
      </c>
      <c r="N48" s="66">
        <f t="shared" si="7"/>
        <v>1.0070682831789213</v>
      </c>
      <c r="O48" s="67">
        <f t="shared" si="8"/>
        <v>1.0165365072959471</v>
      </c>
    </row>
    <row r="49" spans="1:15" x14ac:dyDescent="0.2">
      <c r="A49" s="27">
        <v>6</v>
      </c>
      <c r="B49" s="72">
        <v>670.37</v>
      </c>
      <c r="C49" s="25">
        <v>9171120</v>
      </c>
      <c r="D49" s="25">
        <v>49739400</v>
      </c>
      <c r="E49" s="25">
        <v>35922775</v>
      </c>
      <c r="F49" s="25">
        <v>71505000</v>
      </c>
      <c r="G49" s="25">
        <f t="shared" si="6"/>
        <v>8259895.4677322786</v>
      </c>
      <c r="H49" s="25">
        <f t="shared" si="6"/>
        <v>8218515.9921248909</v>
      </c>
      <c r="I49" s="25">
        <f t="shared" si="6"/>
        <v>8097960.0902734771</v>
      </c>
      <c r="J49" s="25">
        <f t="shared" si="6"/>
        <v>8152215.707308637</v>
      </c>
      <c r="K49" s="66">
        <f t="shared" si="7"/>
        <v>1.0031869782476706</v>
      </c>
      <c r="L49" s="66">
        <f t="shared" si="7"/>
        <v>0.99816132734709739</v>
      </c>
      <c r="M49" s="66">
        <f t="shared" si="7"/>
        <v>0.9835194821372274</v>
      </c>
      <c r="N49" s="66">
        <f t="shared" si="7"/>
        <v>0.99010897575964585</v>
      </c>
      <c r="O49" s="67">
        <f t="shared" si="8"/>
        <v>0.99374419087291022</v>
      </c>
    </row>
    <row r="50" spans="1:15" x14ac:dyDescent="0.2">
      <c r="A50" s="27">
        <v>7</v>
      </c>
      <c r="B50" s="72">
        <v>751.42</v>
      </c>
      <c r="C50" s="25">
        <v>6809040</v>
      </c>
      <c r="D50" s="25">
        <v>37211699.999999993</v>
      </c>
      <c r="E50" s="25">
        <v>26882975</v>
      </c>
      <c r="F50" s="25">
        <v>53550000</v>
      </c>
      <c r="G50" s="25">
        <f t="shared" si="6"/>
        <v>6132507.1131560588</v>
      </c>
      <c r="H50" s="25">
        <f t="shared" si="6"/>
        <v>6148545.2487194007</v>
      </c>
      <c r="I50" s="25">
        <f t="shared" si="6"/>
        <v>6060145.9285319587</v>
      </c>
      <c r="J50" s="25">
        <f t="shared" si="6"/>
        <v>6105183.5693500806</v>
      </c>
      <c r="K50" s="66">
        <f t="shared" si="7"/>
        <v>0.93354374698530918</v>
      </c>
      <c r="L50" s="66">
        <f t="shared" si="7"/>
        <v>0.93598521193466744</v>
      </c>
      <c r="M50" s="66">
        <f t="shared" si="7"/>
        <v>0.92252829601496167</v>
      </c>
      <c r="N50" s="66">
        <f t="shared" si="7"/>
        <v>0.92938431871317095</v>
      </c>
      <c r="O50" s="67">
        <f t="shared" si="8"/>
        <v>0.93036039341202725</v>
      </c>
    </row>
    <row r="51" spans="1:15" ht="16" thickBot="1" x14ac:dyDescent="0.25">
      <c r="A51" s="28">
        <v>8</v>
      </c>
      <c r="B51" s="73">
        <v>865.79</v>
      </c>
      <c r="C51" s="29">
        <v>8435700</v>
      </c>
      <c r="D51" s="29">
        <v>45432000</v>
      </c>
      <c r="E51" s="29">
        <v>32792899.999999996</v>
      </c>
      <c r="F51" s="29">
        <v>66430000</v>
      </c>
      <c r="G51" s="29">
        <f t="shared" si="6"/>
        <v>7597545.3594707279</v>
      </c>
      <c r="H51" s="29">
        <f t="shared" si="6"/>
        <v>7506797.8012243425</v>
      </c>
      <c r="I51" s="29">
        <f t="shared" si="6"/>
        <v>7392402.0470113754</v>
      </c>
      <c r="J51" s="29">
        <f t="shared" si="6"/>
        <v>7573619.878840819</v>
      </c>
      <c r="K51" s="68">
        <f t="shared" si="7"/>
        <v>0.91516812716810791</v>
      </c>
      <c r="L51" s="68">
        <f t="shared" si="7"/>
        <v>0.90423706075178201</v>
      </c>
      <c r="M51" s="68">
        <f t="shared" si="7"/>
        <v>0.8904574328343835</v>
      </c>
      <c r="N51" s="68">
        <f t="shared" si="7"/>
        <v>0.91228616513120131</v>
      </c>
      <c r="O51" s="69">
        <f t="shared" si="8"/>
        <v>0.90553719647136877</v>
      </c>
    </row>
  </sheetData>
  <pageMargins left="0.7" right="0.7" top="0.75" bottom="0.75" header="0.3" footer="0.3"/>
  <pageSetup orientation="portrait" horizontalDpi="0" verticalDpi="0" r:id="rId1"/>
  <drawing r:id="rId2"/>
</worksheet>
</file>

<file path=docMetadata/LabelInfo.xml><?xml version="1.0" encoding="utf-8"?>
<clbl:labelList xmlns:clbl="http://schemas.microsoft.com/office/2020/mipLabelMetadata">
  <clbl:label id="{4e32bd2a-1ccd-49c1-a814-de8553946415}" enabled="1" method="Standard" siteId="{22136781-9753-4c75-af28-68a078871eb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Bresnahan, Philip  J.</cp:lastModifiedBy>
  <dcterms:created xsi:type="dcterms:W3CDTF">2022-11-09T23:21:33Z</dcterms:created>
  <dcterms:modified xsi:type="dcterms:W3CDTF">2024-07-31T14:39:52Z</dcterms:modified>
</cp:coreProperties>
</file>