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lri\Documents\Electronic Engineering\Year 3\Spring Term\ELE00056H Software Engineering Project\FinanceVersions\"/>
    </mc:Choice>
  </mc:AlternateContent>
  <xr:revisionPtr revIDLastSave="0" documentId="8_{903A74A0-9382-45B1-9EE8-80F32D58D1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 Forecast" sheetId="1" r:id="rId1"/>
    <sheet name="Cost Breakdown" sheetId="2" r:id="rId2"/>
    <sheet name="Overhead Recovery" sheetId="3" r:id="rId3"/>
    <sheet name="Projected Hours" sheetId="4" r:id="rId4"/>
    <sheet name="Actual Cash Flow" sheetId="5" r:id="rId5"/>
    <sheet name="Variance (Individuals)" sheetId="6" r:id="rId6"/>
    <sheet name="Variance (Department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7" l="1"/>
  <c r="D32" i="7"/>
  <c r="C32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1" i="7"/>
  <c r="A10" i="7"/>
  <c r="A9" i="7"/>
  <c r="A8" i="7"/>
  <c r="X7" i="7"/>
  <c r="X33" i="7" s="1"/>
  <c r="G7" i="7"/>
  <c r="G33" i="7" s="1"/>
  <c r="A7" i="7"/>
  <c r="I6" i="7"/>
  <c r="I32" i="7" s="1"/>
  <c r="A6" i="7"/>
  <c r="A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L2" i="7"/>
  <c r="B2" i="7"/>
  <c r="V49" i="6"/>
  <c r="E49" i="6"/>
  <c r="M48" i="6"/>
  <c r="O47" i="6"/>
  <c r="D47" i="6"/>
  <c r="F46" i="6"/>
  <c r="V45" i="6"/>
  <c r="R45" i="6"/>
  <c r="O44" i="6"/>
  <c r="G44" i="6"/>
  <c r="T41" i="6"/>
  <c r="L41" i="6"/>
  <c r="B39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19" i="6"/>
  <c r="P15" i="6"/>
  <c r="P49" i="6" s="1"/>
  <c r="H15" i="6"/>
  <c r="H49" i="6" s="1"/>
  <c r="A15" i="6"/>
  <c r="L14" i="6"/>
  <c r="L48" i="6" s="1"/>
  <c r="K14" i="6"/>
  <c r="K48" i="6" s="1"/>
  <c r="D14" i="6"/>
  <c r="D48" i="6" s="1"/>
  <c r="A14" i="6"/>
  <c r="W13" i="6"/>
  <c r="W47" i="6" s="1"/>
  <c r="O13" i="6"/>
  <c r="L13" i="6"/>
  <c r="L47" i="6" s="1"/>
  <c r="G13" i="6"/>
  <c r="G47" i="6" s="1"/>
  <c r="D13" i="6"/>
  <c r="A13" i="6"/>
  <c r="W12" i="6"/>
  <c r="W46" i="6" s="1"/>
  <c r="O12" i="6"/>
  <c r="O46" i="6" s="1"/>
  <c r="A12" i="6"/>
  <c r="A11" i="6"/>
  <c r="L10" i="6"/>
  <c r="L44" i="6" s="1"/>
  <c r="D10" i="6"/>
  <c r="D44" i="6" s="1"/>
  <c r="C10" i="6"/>
  <c r="C44" i="6" s="1"/>
  <c r="A10" i="6"/>
  <c r="W9" i="6"/>
  <c r="W43" i="6" s="1"/>
  <c r="T9" i="6"/>
  <c r="T43" i="6" s="1"/>
  <c r="O9" i="6"/>
  <c r="O43" i="6" s="1"/>
  <c r="L9" i="6"/>
  <c r="L43" i="6" s="1"/>
  <c r="G9" i="6"/>
  <c r="G43" i="6" s="1"/>
  <c r="D9" i="6"/>
  <c r="D43" i="6" s="1"/>
  <c r="A9" i="6"/>
  <c r="W8" i="6"/>
  <c r="W42" i="6" s="1"/>
  <c r="O8" i="6"/>
  <c r="O42" i="6" s="1"/>
  <c r="G8" i="6"/>
  <c r="G42" i="6" s="1"/>
  <c r="A8" i="6"/>
  <c r="X7" i="6"/>
  <c r="X41" i="6" s="1"/>
  <c r="A7" i="6"/>
  <c r="T6" i="6"/>
  <c r="T40" i="6" s="1"/>
  <c r="D6" i="6"/>
  <c r="D40" i="6" s="1"/>
  <c r="C6" i="6"/>
  <c r="C40" i="6" s="1"/>
  <c r="A6" i="6"/>
  <c r="W5" i="6"/>
  <c r="O5" i="6"/>
  <c r="L5" i="6"/>
  <c r="D5" i="6"/>
  <c r="A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L2" i="6"/>
  <c r="B2" i="6"/>
  <c r="A2" i="6"/>
  <c r="B38" i="5"/>
  <c r="B39" i="5" s="1"/>
  <c r="B34" i="5"/>
  <c r="B32" i="5"/>
  <c r="AM25" i="5"/>
  <c r="N24" i="5"/>
  <c r="N25" i="5" s="1"/>
  <c r="F24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22" i="5"/>
  <c r="AN19" i="5"/>
  <c r="AM19" i="5"/>
  <c r="AL19" i="5"/>
  <c r="AN20" i="5" s="1"/>
  <c r="AK19" i="5"/>
  <c r="AJ19" i="5"/>
  <c r="AI19" i="5"/>
  <c r="AH19" i="5"/>
  <c r="AG19" i="5"/>
  <c r="AF19" i="5"/>
  <c r="AE19" i="5"/>
  <c r="AD19" i="5"/>
  <c r="AJ20" i="5" s="1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K20" i="5" s="1"/>
  <c r="I19" i="5"/>
  <c r="H19" i="5"/>
  <c r="G19" i="5"/>
  <c r="F19" i="5"/>
  <c r="E19" i="5"/>
  <c r="D19" i="5"/>
  <c r="C19" i="5"/>
  <c r="B19" i="5"/>
  <c r="G20" i="5" s="1"/>
  <c r="G24" i="5" s="1"/>
  <c r="G25" i="5" s="1"/>
  <c r="K18" i="5"/>
  <c r="AN17" i="5"/>
  <c r="AM17" i="5"/>
  <c r="AL17" i="5"/>
  <c r="AN18" i="5" s="1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V18" i="5" s="1"/>
  <c r="M17" i="5"/>
  <c r="L17" i="5"/>
  <c r="K17" i="5"/>
  <c r="J17" i="5"/>
  <c r="I17" i="5"/>
  <c r="H17" i="5"/>
  <c r="G17" i="5"/>
  <c r="F17" i="5"/>
  <c r="E17" i="5"/>
  <c r="D17" i="5"/>
  <c r="C17" i="5"/>
  <c r="B17" i="5"/>
  <c r="G18" i="5" s="1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K11" i="5"/>
  <c r="AJ11" i="5"/>
  <c r="AC11" i="5"/>
  <c r="AC24" i="5" s="1"/>
  <c r="AB11" i="5"/>
  <c r="AB24" i="5" s="1"/>
  <c r="U11" i="5"/>
  <c r="U24" i="5" s="1"/>
  <c r="T11" i="5"/>
  <c r="M11" i="5"/>
  <c r="M24" i="5" s="1"/>
  <c r="L11" i="5"/>
  <c r="L24" i="5" s="1"/>
  <c r="L25" i="5" s="1"/>
  <c r="E11" i="5"/>
  <c r="D11" i="5"/>
  <c r="D24" i="5" s="1"/>
  <c r="V10" i="5"/>
  <c r="V11" i="5" s="1"/>
  <c r="U10" i="5"/>
  <c r="T10" i="5"/>
  <c r="S10" i="5"/>
  <c r="S11" i="5" s="1"/>
  <c r="S24" i="5" s="1"/>
  <c r="S25" i="5" s="1"/>
  <c r="R10" i="5"/>
  <c r="R11" i="5" s="1"/>
  <c r="R24" i="5" s="1"/>
  <c r="R25" i="5" s="1"/>
  <c r="Q10" i="5"/>
  <c r="Q11" i="5" s="1"/>
  <c r="Q24" i="5" s="1"/>
  <c r="P10" i="5"/>
  <c r="O10" i="5"/>
  <c r="O11" i="5" s="1"/>
  <c r="O24" i="5" s="1"/>
  <c r="N10" i="5"/>
  <c r="N11" i="5" s="1"/>
  <c r="M10" i="5"/>
  <c r="L10" i="5"/>
  <c r="K10" i="5"/>
  <c r="K11" i="5" s="1"/>
  <c r="J10" i="5"/>
  <c r="J11" i="5" s="1"/>
  <c r="J24" i="5" s="1"/>
  <c r="I10" i="5"/>
  <c r="I11" i="5" s="1"/>
  <c r="I24" i="5" s="1"/>
  <c r="H10" i="5"/>
  <c r="G10" i="5"/>
  <c r="G11" i="5" s="1"/>
  <c r="F10" i="5"/>
  <c r="F11" i="5" s="1"/>
  <c r="E10" i="5"/>
  <c r="D10" i="5"/>
  <c r="C10" i="5"/>
  <c r="C11" i="5" s="1"/>
  <c r="C24" i="5" s="1"/>
  <c r="C25" i="5" s="1"/>
  <c r="B10" i="5"/>
  <c r="B11" i="5" s="1"/>
  <c r="B24" i="5" s="1"/>
  <c r="AN9" i="5"/>
  <c r="AN11" i="5" s="1"/>
  <c r="AM9" i="5"/>
  <c r="AM11" i="5" s="1"/>
  <c r="AM24" i="5" s="1"/>
  <c r="AL9" i="5"/>
  <c r="AL11" i="5" s="1"/>
  <c r="AL24" i="5" s="1"/>
  <c r="AK9" i="5"/>
  <c r="AJ9" i="5"/>
  <c r="AI9" i="5"/>
  <c r="AI11" i="5" s="1"/>
  <c r="AI24" i="5" s="1"/>
  <c r="AH9" i="5"/>
  <c r="AH11" i="5" s="1"/>
  <c r="AG9" i="5"/>
  <c r="AG11" i="5" s="1"/>
  <c r="AG24" i="5" s="1"/>
  <c r="AF9" i="5"/>
  <c r="AF11" i="5" s="1"/>
  <c r="AF24" i="5" s="1"/>
  <c r="AF25" i="5" s="1"/>
  <c r="AE9" i="5"/>
  <c r="AE11" i="5" s="1"/>
  <c r="AE24" i="5" s="1"/>
  <c r="AE25" i="5" s="1"/>
  <c r="AD9" i="5"/>
  <c r="AD11" i="5" s="1"/>
  <c r="AD24" i="5" s="1"/>
  <c r="AC9" i="5"/>
  <c r="AB9" i="5"/>
  <c r="AA9" i="5"/>
  <c r="AA11" i="5" s="1"/>
  <c r="AA24" i="5" s="1"/>
  <c r="Z9" i="5"/>
  <c r="Z11" i="5" s="1"/>
  <c r="Y9" i="5"/>
  <c r="Y11" i="5" s="1"/>
  <c r="Y24" i="5" s="1"/>
  <c r="X9" i="5"/>
  <c r="X11" i="5" s="1"/>
  <c r="X24" i="5" s="1"/>
  <c r="X25" i="5" s="1"/>
  <c r="W9" i="5"/>
  <c r="W11" i="5" s="1"/>
  <c r="V9" i="5"/>
  <c r="U9" i="5"/>
  <c r="T9" i="5"/>
  <c r="S9" i="5"/>
  <c r="R9" i="5"/>
  <c r="Q9" i="5"/>
  <c r="P9" i="5"/>
  <c r="P11" i="5" s="1"/>
  <c r="P24" i="5" s="1"/>
  <c r="O9" i="5"/>
  <c r="N9" i="5"/>
  <c r="M9" i="5"/>
  <c r="L9" i="5"/>
  <c r="K9" i="5"/>
  <c r="J9" i="5"/>
  <c r="I9" i="5"/>
  <c r="H9" i="5"/>
  <c r="H11" i="5" s="1"/>
  <c r="G9" i="5"/>
  <c r="F9" i="5"/>
  <c r="E9" i="5"/>
  <c r="D9" i="5"/>
  <c r="C9" i="5"/>
  <c r="B9" i="5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X15" i="6" s="1"/>
  <c r="X49" i="6" s="1"/>
  <c r="W60" i="4"/>
  <c r="W15" i="6" s="1"/>
  <c r="W49" i="6" s="1"/>
  <c r="V60" i="4"/>
  <c r="V15" i="6" s="1"/>
  <c r="U60" i="4"/>
  <c r="U15" i="6" s="1"/>
  <c r="U49" i="6" s="1"/>
  <c r="T60" i="4"/>
  <c r="T15" i="6" s="1"/>
  <c r="T49" i="6" s="1"/>
  <c r="S60" i="4"/>
  <c r="S15" i="6" s="1"/>
  <c r="S49" i="6" s="1"/>
  <c r="R60" i="4"/>
  <c r="R15" i="6" s="1"/>
  <c r="R49" i="6" s="1"/>
  <c r="Q60" i="4"/>
  <c r="Q15" i="6" s="1"/>
  <c r="Q49" i="6" s="1"/>
  <c r="P60" i="4"/>
  <c r="O60" i="4"/>
  <c r="O15" i="6" s="1"/>
  <c r="O49" i="6" s="1"/>
  <c r="N60" i="4"/>
  <c r="N15" i="6" s="1"/>
  <c r="N49" i="6" s="1"/>
  <c r="M60" i="4"/>
  <c r="M15" i="6" s="1"/>
  <c r="M49" i="6" s="1"/>
  <c r="L60" i="4"/>
  <c r="L15" i="6" s="1"/>
  <c r="L49" i="6" s="1"/>
  <c r="K60" i="4"/>
  <c r="K15" i="6" s="1"/>
  <c r="K49" i="6" s="1"/>
  <c r="J60" i="4"/>
  <c r="J15" i="6" s="1"/>
  <c r="J49" i="6" s="1"/>
  <c r="I60" i="4"/>
  <c r="I15" i="6" s="1"/>
  <c r="I49" i="6" s="1"/>
  <c r="H60" i="4"/>
  <c r="G60" i="4"/>
  <c r="G15" i="6" s="1"/>
  <c r="G49" i="6" s="1"/>
  <c r="F60" i="4"/>
  <c r="F15" i="6" s="1"/>
  <c r="F49" i="6" s="1"/>
  <c r="E60" i="4"/>
  <c r="E15" i="6" s="1"/>
  <c r="D60" i="4"/>
  <c r="D15" i="6" s="1"/>
  <c r="D49" i="6" s="1"/>
  <c r="C60" i="4"/>
  <c r="C15" i="6" s="1"/>
  <c r="C49" i="6" s="1"/>
  <c r="B60" i="4"/>
  <c r="B15" i="6" s="1"/>
  <c r="B49" i="6" s="1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X14" i="6" s="1"/>
  <c r="X48" i="6" s="1"/>
  <c r="W59" i="4"/>
  <c r="W14" i="6" s="1"/>
  <c r="W48" i="6" s="1"/>
  <c r="V59" i="4"/>
  <c r="V14" i="6" s="1"/>
  <c r="V48" i="6" s="1"/>
  <c r="U59" i="4"/>
  <c r="U14" i="6" s="1"/>
  <c r="U48" i="6" s="1"/>
  <c r="S59" i="4"/>
  <c r="S14" i="6" s="1"/>
  <c r="S48" i="6" s="1"/>
  <c r="O59" i="4"/>
  <c r="O14" i="6" s="1"/>
  <c r="O48" i="6" s="1"/>
  <c r="N59" i="4"/>
  <c r="N14" i="6" s="1"/>
  <c r="N48" i="6" s="1"/>
  <c r="M59" i="4"/>
  <c r="M14" i="6" s="1"/>
  <c r="L59" i="4"/>
  <c r="K59" i="4"/>
  <c r="G59" i="4"/>
  <c r="G14" i="6" s="1"/>
  <c r="G48" i="6" s="1"/>
  <c r="F59" i="4"/>
  <c r="F14" i="6" s="1"/>
  <c r="F48" i="6" s="1"/>
  <c r="E59" i="4"/>
  <c r="E14" i="6" s="1"/>
  <c r="E48" i="6" s="1"/>
  <c r="D59" i="4"/>
  <c r="C59" i="4"/>
  <c r="C14" i="6" s="1"/>
  <c r="C48" i="6" s="1"/>
  <c r="B59" i="4"/>
  <c r="B14" i="6" s="1"/>
  <c r="B48" i="6" s="1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X13" i="6" s="1"/>
  <c r="X47" i="6" s="1"/>
  <c r="W58" i="4"/>
  <c r="V58" i="4"/>
  <c r="V13" i="6" s="1"/>
  <c r="V47" i="6" s="1"/>
  <c r="U58" i="4"/>
  <c r="U13" i="6" s="1"/>
  <c r="U47" i="6" s="1"/>
  <c r="R58" i="4"/>
  <c r="R13" i="6" s="1"/>
  <c r="R47" i="6" s="1"/>
  <c r="Q58" i="4"/>
  <c r="Q13" i="6" s="1"/>
  <c r="Q47" i="6" s="1"/>
  <c r="P58" i="4"/>
  <c r="P13" i="6" s="1"/>
  <c r="P47" i="6" s="1"/>
  <c r="O58" i="4"/>
  <c r="N58" i="4"/>
  <c r="N13" i="6" s="1"/>
  <c r="N47" i="6" s="1"/>
  <c r="M58" i="4"/>
  <c r="M13" i="6" s="1"/>
  <c r="M47" i="6" s="1"/>
  <c r="L58" i="4"/>
  <c r="J58" i="4"/>
  <c r="J13" i="6" s="1"/>
  <c r="J47" i="6" s="1"/>
  <c r="G58" i="4"/>
  <c r="F58" i="4"/>
  <c r="F13" i="6" s="1"/>
  <c r="F47" i="6" s="1"/>
  <c r="E58" i="4"/>
  <c r="E13" i="6" s="1"/>
  <c r="E47" i="6" s="1"/>
  <c r="D58" i="4"/>
  <c r="C58" i="4"/>
  <c r="C13" i="6" s="1"/>
  <c r="C47" i="6" s="1"/>
  <c r="B58" i="4"/>
  <c r="B13" i="6" s="1"/>
  <c r="B47" i="6" s="1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X12" i="6" s="1"/>
  <c r="X46" i="6" s="1"/>
  <c r="W57" i="4"/>
  <c r="V57" i="4"/>
  <c r="V12" i="6" s="1"/>
  <c r="V46" i="6" s="1"/>
  <c r="U57" i="4"/>
  <c r="U12" i="6" s="1"/>
  <c r="U46" i="6" s="1"/>
  <c r="T57" i="4"/>
  <c r="T12" i="6" s="1"/>
  <c r="T46" i="6" s="1"/>
  <c r="S57" i="4"/>
  <c r="S12" i="6" s="1"/>
  <c r="S46" i="6" s="1"/>
  <c r="Q57" i="4"/>
  <c r="Q12" i="6" s="1"/>
  <c r="Q46" i="6" s="1"/>
  <c r="P57" i="4"/>
  <c r="P12" i="6" s="1"/>
  <c r="P46" i="6" s="1"/>
  <c r="O57" i="4"/>
  <c r="N57" i="4"/>
  <c r="N12" i="6" s="1"/>
  <c r="N46" i="6" s="1"/>
  <c r="M57" i="4"/>
  <c r="M12" i="6" s="1"/>
  <c r="M46" i="6" s="1"/>
  <c r="L57" i="4"/>
  <c r="L12" i="6" s="1"/>
  <c r="L46" i="6" s="1"/>
  <c r="I57" i="4"/>
  <c r="I12" i="6" s="1"/>
  <c r="I46" i="6" s="1"/>
  <c r="H57" i="4"/>
  <c r="H12" i="6" s="1"/>
  <c r="H46" i="6" s="1"/>
  <c r="F57" i="4"/>
  <c r="F12" i="6" s="1"/>
  <c r="E57" i="4"/>
  <c r="E12" i="6" s="1"/>
  <c r="E46" i="6" s="1"/>
  <c r="D57" i="4"/>
  <c r="D12" i="6" s="1"/>
  <c r="D46" i="6" s="1"/>
  <c r="C57" i="4"/>
  <c r="C12" i="6" s="1"/>
  <c r="C46" i="6" s="1"/>
  <c r="B57" i="4"/>
  <c r="B12" i="6" s="1"/>
  <c r="B46" i="6" s="1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X11" i="6" s="1"/>
  <c r="X45" i="6" s="1"/>
  <c r="W56" i="4"/>
  <c r="W11" i="6" s="1"/>
  <c r="W45" i="6" s="1"/>
  <c r="V56" i="4"/>
  <c r="V11" i="6" s="1"/>
  <c r="U56" i="4"/>
  <c r="U11" i="6" s="1"/>
  <c r="U45" i="6" s="1"/>
  <c r="T56" i="4"/>
  <c r="T11" i="6" s="1"/>
  <c r="T45" i="6" s="1"/>
  <c r="S56" i="4"/>
  <c r="S11" i="6" s="1"/>
  <c r="S45" i="6" s="1"/>
  <c r="R56" i="4"/>
  <c r="R11" i="6" s="1"/>
  <c r="Q56" i="4"/>
  <c r="Q11" i="6" s="1"/>
  <c r="Q45" i="6" s="1"/>
  <c r="P56" i="4"/>
  <c r="P11" i="6" s="1"/>
  <c r="P45" i="6" s="1"/>
  <c r="O56" i="4"/>
  <c r="O11" i="6" s="1"/>
  <c r="O45" i="6" s="1"/>
  <c r="N56" i="4"/>
  <c r="N11" i="6" s="1"/>
  <c r="N45" i="6" s="1"/>
  <c r="M56" i="4"/>
  <c r="M11" i="6" s="1"/>
  <c r="M45" i="6" s="1"/>
  <c r="L56" i="4"/>
  <c r="L11" i="6" s="1"/>
  <c r="L45" i="6" s="1"/>
  <c r="K56" i="4"/>
  <c r="K11" i="6" s="1"/>
  <c r="K45" i="6" s="1"/>
  <c r="G56" i="4"/>
  <c r="G11" i="6" s="1"/>
  <c r="G45" i="6" s="1"/>
  <c r="F56" i="4"/>
  <c r="F11" i="6" s="1"/>
  <c r="F45" i="6" s="1"/>
  <c r="E56" i="4"/>
  <c r="E11" i="6" s="1"/>
  <c r="E45" i="6" s="1"/>
  <c r="D56" i="4"/>
  <c r="D11" i="6" s="1"/>
  <c r="D45" i="6" s="1"/>
  <c r="C56" i="4"/>
  <c r="C11" i="6" s="1"/>
  <c r="C45" i="6" s="1"/>
  <c r="B56" i="4"/>
  <c r="B11" i="6" s="1"/>
  <c r="B45" i="6" s="1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X10" i="6" s="1"/>
  <c r="X44" i="6" s="1"/>
  <c r="W55" i="4"/>
  <c r="W10" i="6" s="1"/>
  <c r="W44" i="6" s="1"/>
  <c r="V55" i="4"/>
  <c r="V10" i="6" s="1"/>
  <c r="V44" i="6" s="1"/>
  <c r="U55" i="4"/>
  <c r="U10" i="6" s="1"/>
  <c r="U44" i="6" s="1"/>
  <c r="Q55" i="4"/>
  <c r="Q10" i="6" s="1"/>
  <c r="Q44" i="6" s="1"/>
  <c r="P55" i="4"/>
  <c r="P10" i="6" s="1"/>
  <c r="P44" i="6" s="1"/>
  <c r="O55" i="4"/>
  <c r="O10" i="6" s="1"/>
  <c r="N55" i="4"/>
  <c r="N10" i="6" s="1"/>
  <c r="N44" i="6" s="1"/>
  <c r="M55" i="4"/>
  <c r="M10" i="6" s="1"/>
  <c r="M44" i="6" s="1"/>
  <c r="L55" i="4"/>
  <c r="K55" i="4"/>
  <c r="K10" i="6" s="1"/>
  <c r="K44" i="6" s="1"/>
  <c r="J55" i="4"/>
  <c r="J10" i="6" s="1"/>
  <c r="J44" i="6" s="1"/>
  <c r="G55" i="4"/>
  <c r="G10" i="6" s="1"/>
  <c r="F55" i="4"/>
  <c r="F10" i="6" s="1"/>
  <c r="F44" i="6" s="1"/>
  <c r="E55" i="4"/>
  <c r="E10" i="6" s="1"/>
  <c r="E44" i="6" s="1"/>
  <c r="D55" i="4"/>
  <c r="C55" i="4"/>
  <c r="B55" i="4"/>
  <c r="B10" i="6" s="1"/>
  <c r="B44" i="6" s="1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X9" i="6" s="1"/>
  <c r="X43" i="6" s="1"/>
  <c r="W54" i="4"/>
  <c r="V54" i="4"/>
  <c r="V9" i="6" s="1"/>
  <c r="V43" i="6" s="1"/>
  <c r="U54" i="4"/>
  <c r="U9" i="6" s="1"/>
  <c r="U43" i="6" s="1"/>
  <c r="T54" i="4"/>
  <c r="R54" i="4"/>
  <c r="R9" i="6" s="1"/>
  <c r="R43" i="6" s="1"/>
  <c r="Q54" i="4"/>
  <c r="Q9" i="6" s="1"/>
  <c r="Q43" i="6" s="1"/>
  <c r="P54" i="4"/>
  <c r="P9" i="6" s="1"/>
  <c r="P43" i="6" s="1"/>
  <c r="O54" i="4"/>
  <c r="N54" i="4"/>
  <c r="N9" i="6" s="1"/>
  <c r="N43" i="6" s="1"/>
  <c r="M54" i="4"/>
  <c r="M9" i="6" s="1"/>
  <c r="M43" i="6" s="1"/>
  <c r="L54" i="4"/>
  <c r="J54" i="4"/>
  <c r="J9" i="6" s="1"/>
  <c r="J43" i="6" s="1"/>
  <c r="I54" i="4"/>
  <c r="I9" i="6" s="1"/>
  <c r="I43" i="6" s="1"/>
  <c r="G54" i="4"/>
  <c r="F54" i="4"/>
  <c r="F9" i="6" s="1"/>
  <c r="F43" i="6" s="1"/>
  <c r="E54" i="4"/>
  <c r="E9" i="6" s="1"/>
  <c r="E43" i="6" s="1"/>
  <c r="D54" i="4"/>
  <c r="C54" i="4"/>
  <c r="C9" i="6" s="1"/>
  <c r="C43" i="6" s="1"/>
  <c r="B54" i="4"/>
  <c r="B9" i="6" s="1"/>
  <c r="B43" i="6" s="1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X8" i="6" s="1"/>
  <c r="X42" i="6" s="1"/>
  <c r="W53" i="4"/>
  <c r="V53" i="4"/>
  <c r="V8" i="6" s="1"/>
  <c r="V42" i="6" s="1"/>
  <c r="U53" i="4"/>
  <c r="U8" i="6" s="1"/>
  <c r="U42" i="6" s="1"/>
  <c r="T53" i="4"/>
  <c r="T8" i="6" s="1"/>
  <c r="T42" i="6" s="1"/>
  <c r="R53" i="4"/>
  <c r="R8" i="6" s="1"/>
  <c r="R42" i="6" s="1"/>
  <c r="Q53" i="4"/>
  <c r="Q8" i="6" s="1"/>
  <c r="Q42" i="6" s="1"/>
  <c r="O53" i="4"/>
  <c r="N53" i="4"/>
  <c r="N8" i="6" s="1"/>
  <c r="N42" i="6" s="1"/>
  <c r="M53" i="4"/>
  <c r="M8" i="6" s="1"/>
  <c r="M42" i="6" s="1"/>
  <c r="L53" i="4"/>
  <c r="L8" i="6" s="1"/>
  <c r="L42" i="6" s="1"/>
  <c r="K53" i="4"/>
  <c r="K8" i="6" s="1"/>
  <c r="K42" i="6" s="1"/>
  <c r="I53" i="4"/>
  <c r="I8" i="6" s="1"/>
  <c r="I42" i="6" s="1"/>
  <c r="G53" i="4"/>
  <c r="F53" i="4"/>
  <c r="F8" i="6" s="1"/>
  <c r="F42" i="6" s="1"/>
  <c r="E53" i="4"/>
  <c r="E8" i="6" s="1"/>
  <c r="E42" i="6" s="1"/>
  <c r="D53" i="4"/>
  <c r="D8" i="6" s="1"/>
  <c r="D42" i="6" s="1"/>
  <c r="C53" i="4"/>
  <c r="C8" i="6" s="1"/>
  <c r="C42" i="6" s="1"/>
  <c r="B53" i="4"/>
  <c r="B8" i="6" s="1"/>
  <c r="B42" i="6" s="1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W7" i="6" s="1"/>
  <c r="W41" i="6" s="1"/>
  <c r="V52" i="4"/>
  <c r="V7" i="6" s="1"/>
  <c r="V41" i="6" s="1"/>
  <c r="U52" i="4"/>
  <c r="U7" i="6" s="1"/>
  <c r="U41" i="6" s="1"/>
  <c r="T52" i="4"/>
  <c r="T7" i="6" s="1"/>
  <c r="S52" i="4"/>
  <c r="S7" i="6" s="1"/>
  <c r="S41" i="6" s="1"/>
  <c r="R52" i="4"/>
  <c r="R7" i="6" s="1"/>
  <c r="R41" i="6" s="1"/>
  <c r="Q52" i="4"/>
  <c r="Q7" i="6" s="1"/>
  <c r="Q41" i="6" s="1"/>
  <c r="P52" i="4"/>
  <c r="P7" i="6" s="1"/>
  <c r="P41" i="6" s="1"/>
  <c r="O52" i="4"/>
  <c r="O7" i="6" s="1"/>
  <c r="O41" i="6" s="1"/>
  <c r="N52" i="4"/>
  <c r="N7" i="6" s="1"/>
  <c r="N41" i="6" s="1"/>
  <c r="M52" i="4"/>
  <c r="M7" i="6" s="1"/>
  <c r="M41" i="6" s="1"/>
  <c r="L52" i="4"/>
  <c r="L7" i="6" s="1"/>
  <c r="K52" i="4"/>
  <c r="K7" i="6" s="1"/>
  <c r="K41" i="6" s="1"/>
  <c r="H52" i="4"/>
  <c r="H7" i="6" s="1"/>
  <c r="H41" i="6" s="1"/>
  <c r="G52" i="4"/>
  <c r="G7" i="6" s="1"/>
  <c r="G41" i="6" s="1"/>
  <c r="F52" i="4"/>
  <c r="F7" i="6" s="1"/>
  <c r="F41" i="6" s="1"/>
  <c r="E52" i="4"/>
  <c r="E7" i="6" s="1"/>
  <c r="E41" i="6" s="1"/>
  <c r="D52" i="4"/>
  <c r="D7" i="6" s="1"/>
  <c r="D41" i="6" s="1"/>
  <c r="C52" i="4"/>
  <c r="C7" i="6" s="1"/>
  <c r="C41" i="6" s="1"/>
  <c r="B52" i="4"/>
  <c r="B7" i="6" s="1"/>
  <c r="B41" i="6" s="1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X6" i="6" s="1"/>
  <c r="X40" i="6" s="1"/>
  <c r="W51" i="4"/>
  <c r="W6" i="6" s="1"/>
  <c r="W40" i="6" s="1"/>
  <c r="V51" i="4"/>
  <c r="V6" i="6" s="1"/>
  <c r="V40" i="6" s="1"/>
  <c r="U51" i="4"/>
  <c r="U6" i="6" s="1"/>
  <c r="U40" i="6" s="1"/>
  <c r="T51" i="4"/>
  <c r="S51" i="4"/>
  <c r="S6" i="6" s="1"/>
  <c r="S40" i="6" s="1"/>
  <c r="N51" i="4"/>
  <c r="N6" i="6" s="1"/>
  <c r="N40" i="6" s="1"/>
  <c r="K51" i="4"/>
  <c r="K6" i="6" s="1"/>
  <c r="K40" i="6" s="1"/>
  <c r="J51" i="4"/>
  <c r="J6" i="6" s="1"/>
  <c r="J40" i="6" s="1"/>
  <c r="G51" i="4"/>
  <c r="G6" i="6" s="1"/>
  <c r="G40" i="6" s="1"/>
  <c r="F51" i="4"/>
  <c r="F6" i="6" s="1"/>
  <c r="F40" i="6" s="1"/>
  <c r="E51" i="4"/>
  <c r="E6" i="6" s="1"/>
  <c r="E40" i="6" s="1"/>
  <c r="D51" i="4"/>
  <c r="C51" i="4"/>
  <c r="B51" i="4"/>
  <c r="B6" i="6" s="1"/>
  <c r="B40" i="6" s="1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X5" i="6" s="1"/>
  <c r="W50" i="4"/>
  <c r="V50" i="4"/>
  <c r="V5" i="6" s="1"/>
  <c r="U50" i="4"/>
  <c r="U5" i="6" s="1"/>
  <c r="R50" i="4"/>
  <c r="R5" i="6" s="1"/>
  <c r="P50" i="4"/>
  <c r="P5" i="6" s="1"/>
  <c r="O50" i="4"/>
  <c r="N50" i="4"/>
  <c r="N5" i="6" s="1"/>
  <c r="M50" i="4"/>
  <c r="M5" i="6" s="1"/>
  <c r="L50" i="4"/>
  <c r="I50" i="4"/>
  <c r="I5" i="6" s="1"/>
  <c r="I39" i="6" s="1"/>
  <c r="F50" i="4"/>
  <c r="F5" i="6" s="1"/>
  <c r="E50" i="4"/>
  <c r="E5" i="6" s="1"/>
  <c r="D50" i="4"/>
  <c r="C50" i="4"/>
  <c r="C5" i="6" s="1"/>
  <c r="B50" i="4"/>
  <c r="B5" i="6" s="1"/>
  <c r="N46" i="4"/>
  <c r="AN44" i="4"/>
  <c r="AM44" i="4"/>
  <c r="AL44" i="4"/>
  <c r="AK44" i="4"/>
  <c r="AJ44" i="4"/>
  <c r="AI44" i="4"/>
  <c r="AH44" i="4"/>
  <c r="AG44" i="4"/>
  <c r="AG46" i="4" s="1"/>
  <c r="AG10" i="1" s="1"/>
  <c r="AG11" i="1" s="1"/>
  <c r="AG24" i="1" s="1"/>
  <c r="AG31" i="1" s="1"/>
  <c r="AF44" i="4"/>
  <c r="AE44" i="4"/>
  <c r="AD44" i="4"/>
  <c r="AC44" i="4"/>
  <c r="AB44" i="4"/>
  <c r="AA44" i="4"/>
  <c r="Z44" i="4"/>
  <c r="Y44" i="4"/>
  <c r="Y46" i="4" s="1"/>
  <c r="Y10" i="1" s="1"/>
  <c r="Y11" i="1" s="1"/>
  <c r="Y24" i="1" s="1"/>
  <c r="Y31" i="1" s="1"/>
  <c r="X44" i="4"/>
  <c r="W44" i="4"/>
  <c r="W7" i="7" s="1"/>
  <c r="W33" i="7" s="1"/>
  <c r="V44" i="4"/>
  <c r="V7" i="7" s="1"/>
  <c r="V33" i="7" s="1"/>
  <c r="U44" i="4"/>
  <c r="U7" i="7" s="1"/>
  <c r="U33" i="7" s="1"/>
  <c r="S44" i="4"/>
  <c r="S7" i="7" s="1"/>
  <c r="S33" i="7" s="1"/>
  <c r="Q44" i="4"/>
  <c r="Q7" i="7" s="1"/>
  <c r="Q33" i="7" s="1"/>
  <c r="P44" i="4"/>
  <c r="O44" i="4"/>
  <c r="O7" i="7" s="1"/>
  <c r="O33" i="7" s="1"/>
  <c r="N44" i="4"/>
  <c r="N7" i="7" s="1"/>
  <c r="N33" i="7" s="1"/>
  <c r="M44" i="4"/>
  <c r="M7" i="7" s="1"/>
  <c r="M33" i="7" s="1"/>
  <c r="L44" i="4"/>
  <c r="K44" i="4"/>
  <c r="K7" i="7" s="1"/>
  <c r="K33" i="7" s="1"/>
  <c r="H44" i="4"/>
  <c r="G44" i="4"/>
  <c r="F44" i="4"/>
  <c r="F7" i="7" s="1"/>
  <c r="F33" i="7" s="1"/>
  <c r="E44" i="4"/>
  <c r="E7" i="7" s="1"/>
  <c r="E33" i="7" s="1"/>
  <c r="D44" i="4"/>
  <c r="C44" i="4"/>
  <c r="C7" i="7" s="1"/>
  <c r="C33" i="7" s="1"/>
  <c r="B44" i="4"/>
  <c r="B7" i="7" s="1"/>
  <c r="B33" i="7" s="1"/>
  <c r="T42" i="4"/>
  <c r="T59" i="4" s="1"/>
  <c r="T14" i="6" s="1"/>
  <c r="T48" i="6" s="1"/>
  <c r="R42" i="4"/>
  <c r="R44" i="4" s="1"/>
  <c r="R7" i="7" s="1"/>
  <c r="R33" i="7" s="1"/>
  <c r="Q42" i="4"/>
  <c r="Q59" i="4" s="1"/>
  <c r="Q14" i="6" s="1"/>
  <c r="Q48" i="6" s="1"/>
  <c r="P42" i="4"/>
  <c r="P59" i="4" s="1"/>
  <c r="P14" i="6" s="1"/>
  <c r="P48" i="6" s="1"/>
  <c r="J42" i="4"/>
  <c r="J44" i="4" s="1"/>
  <c r="J7" i="7" s="1"/>
  <c r="J33" i="7" s="1"/>
  <c r="I42" i="4"/>
  <c r="I59" i="4" s="1"/>
  <c r="I14" i="6" s="1"/>
  <c r="I48" i="6" s="1"/>
  <c r="H42" i="4"/>
  <c r="H59" i="4" s="1"/>
  <c r="H14" i="6" s="1"/>
  <c r="H48" i="6" s="1"/>
  <c r="AN39" i="4"/>
  <c r="AM39" i="4"/>
  <c r="AL39" i="4"/>
  <c r="AL46" i="4" s="1"/>
  <c r="AL10" i="1" s="1"/>
  <c r="AL11" i="1" s="1"/>
  <c r="AL24" i="1" s="1"/>
  <c r="AK39" i="4"/>
  <c r="AJ39" i="4"/>
  <c r="AI39" i="4"/>
  <c r="AH39" i="4"/>
  <c r="AH46" i="4" s="1"/>
  <c r="AH10" i="1" s="1"/>
  <c r="AH11" i="1" s="1"/>
  <c r="AG39" i="4"/>
  <c r="AF39" i="4"/>
  <c r="AE39" i="4"/>
  <c r="AD39" i="4"/>
  <c r="AD46" i="4" s="1"/>
  <c r="AD10" i="1" s="1"/>
  <c r="AD11" i="1" s="1"/>
  <c r="AD24" i="1" s="1"/>
  <c r="AC39" i="4"/>
  <c r="AB39" i="4"/>
  <c r="AA39" i="4"/>
  <c r="Z39" i="4"/>
  <c r="Z46" i="4" s="1"/>
  <c r="Z10" i="1" s="1"/>
  <c r="Z11" i="1" s="1"/>
  <c r="Y39" i="4"/>
  <c r="X39" i="4"/>
  <c r="X8" i="7" s="1"/>
  <c r="X34" i="7" s="1"/>
  <c r="W39" i="4"/>
  <c r="W8" i="7" s="1"/>
  <c r="W34" i="7" s="1"/>
  <c r="V39" i="4"/>
  <c r="V8" i="7" s="1"/>
  <c r="V34" i="7" s="1"/>
  <c r="U39" i="4"/>
  <c r="U8" i="7" s="1"/>
  <c r="S39" i="4"/>
  <c r="S8" i="7" s="1"/>
  <c r="S34" i="7" s="1"/>
  <c r="R39" i="4"/>
  <c r="R8" i="7" s="1"/>
  <c r="R34" i="7" s="1"/>
  <c r="Q39" i="4"/>
  <c r="Q8" i="7" s="1"/>
  <c r="Q34" i="7" s="1"/>
  <c r="O39" i="4"/>
  <c r="O8" i="7" s="1"/>
  <c r="O34" i="7" s="1"/>
  <c r="N39" i="4"/>
  <c r="N8" i="7" s="1"/>
  <c r="N34" i="7" s="1"/>
  <c r="M39" i="4"/>
  <c r="M8" i="7" s="1"/>
  <c r="M34" i="7" s="1"/>
  <c r="L39" i="4"/>
  <c r="L8" i="7" s="1"/>
  <c r="L34" i="7" s="1"/>
  <c r="K39" i="4"/>
  <c r="K8" i="7" s="1"/>
  <c r="K34" i="7" s="1"/>
  <c r="J39" i="4"/>
  <c r="J8" i="7" s="1"/>
  <c r="J34" i="7" s="1"/>
  <c r="G39" i="4"/>
  <c r="G8" i="7" s="1"/>
  <c r="G34" i="7" s="1"/>
  <c r="F39" i="4"/>
  <c r="F8" i="7" s="1"/>
  <c r="F34" i="7" s="1"/>
  <c r="E39" i="4"/>
  <c r="E8" i="7" s="1"/>
  <c r="E34" i="7" s="1"/>
  <c r="D39" i="4"/>
  <c r="D8" i="7" s="1"/>
  <c r="D34" i="7" s="1"/>
  <c r="C39" i="4"/>
  <c r="C8" i="7" s="1"/>
  <c r="C34" i="7" s="1"/>
  <c r="B39" i="4"/>
  <c r="B8" i="7" s="1"/>
  <c r="B34" i="7" s="1"/>
  <c r="T38" i="4"/>
  <c r="I38" i="4"/>
  <c r="H38" i="4"/>
  <c r="H58" i="4" s="1"/>
  <c r="H13" i="6" s="1"/>
  <c r="H47" i="6" s="1"/>
  <c r="P37" i="4"/>
  <c r="P39" i="4" s="1"/>
  <c r="P8" i="7" s="1"/>
  <c r="P34" i="7" s="1"/>
  <c r="J37" i="4"/>
  <c r="J53" i="4" s="1"/>
  <c r="J8" i="6" s="1"/>
  <c r="J42" i="6" s="1"/>
  <c r="I37" i="4"/>
  <c r="I39" i="4" s="1"/>
  <c r="I8" i="7" s="1"/>
  <c r="I34" i="7" s="1"/>
  <c r="H37" i="4"/>
  <c r="H39" i="4" s="1"/>
  <c r="H8" i="7" s="1"/>
  <c r="H34" i="7" s="1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X11" i="7" s="1"/>
  <c r="X37" i="7" s="1"/>
  <c r="W34" i="4"/>
  <c r="W11" i="7" s="1"/>
  <c r="W37" i="7" s="1"/>
  <c r="V34" i="4"/>
  <c r="V11" i="7" s="1"/>
  <c r="V37" i="7" s="1"/>
  <c r="U34" i="4"/>
  <c r="U11" i="7" s="1"/>
  <c r="U37" i="7" s="1"/>
  <c r="T34" i="4"/>
  <c r="T11" i="7" s="1"/>
  <c r="T37" i="7" s="1"/>
  <c r="P34" i="4"/>
  <c r="P11" i="7" s="1"/>
  <c r="P37" i="7" s="1"/>
  <c r="N34" i="4"/>
  <c r="N11" i="7" s="1"/>
  <c r="N37" i="7" s="1"/>
  <c r="M34" i="4"/>
  <c r="M11" i="7" s="1"/>
  <c r="M37" i="7" s="1"/>
  <c r="L34" i="4"/>
  <c r="L11" i="7" s="1"/>
  <c r="L37" i="7" s="1"/>
  <c r="H34" i="4"/>
  <c r="H11" i="7" s="1"/>
  <c r="H37" i="7" s="1"/>
  <c r="F34" i="4"/>
  <c r="F11" i="7" s="1"/>
  <c r="F37" i="7" s="1"/>
  <c r="E34" i="4"/>
  <c r="E11" i="7" s="1"/>
  <c r="E37" i="7" s="1"/>
  <c r="D34" i="4"/>
  <c r="D11" i="7" s="1"/>
  <c r="D37" i="7" s="1"/>
  <c r="C34" i="4"/>
  <c r="C11" i="7" s="1"/>
  <c r="C37" i="7" s="1"/>
  <c r="B34" i="4"/>
  <c r="B11" i="7" s="1"/>
  <c r="B37" i="7" s="1"/>
  <c r="S32" i="4"/>
  <c r="S53" i="4" s="1"/>
  <c r="S8" i="6" s="1"/>
  <c r="S42" i="6" s="1"/>
  <c r="S31" i="4"/>
  <c r="S55" i="4" s="1"/>
  <c r="S10" i="6" s="1"/>
  <c r="S44" i="6" s="1"/>
  <c r="S28" i="4"/>
  <c r="S50" i="4" s="1"/>
  <c r="S5" i="6" s="1"/>
  <c r="R28" i="4"/>
  <c r="Q28" i="4"/>
  <c r="Q24" i="4" s="1"/>
  <c r="S26" i="4"/>
  <c r="S54" i="4" s="1"/>
  <c r="S9" i="6" s="1"/>
  <c r="S43" i="6" s="1"/>
  <c r="K26" i="4"/>
  <c r="K34" i="4" s="1"/>
  <c r="K11" i="7" s="1"/>
  <c r="K37" i="7" s="1"/>
  <c r="H26" i="4"/>
  <c r="H54" i="4" s="1"/>
  <c r="H9" i="6" s="1"/>
  <c r="H43" i="6" s="1"/>
  <c r="S25" i="4"/>
  <c r="S34" i="4" s="1"/>
  <c r="S11" i="7" s="1"/>
  <c r="S37" i="7" s="1"/>
  <c r="R25" i="4"/>
  <c r="R34" i="4" s="1"/>
  <c r="R11" i="7" s="1"/>
  <c r="R37" i="7" s="1"/>
  <c r="Q25" i="4"/>
  <c r="Q51" i="4" s="1"/>
  <c r="Q6" i="6" s="1"/>
  <c r="Q40" i="6" s="1"/>
  <c r="P25" i="4"/>
  <c r="P51" i="4" s="1"/>
  <c r="P6" i="6" s="1"/>
  <c r="P40" i="6" s="1"/>
  <c r="O25" i="4"/>
  <c r="O34" i="4" s="1"/>
  <c r="O11" i="7" s="1"/>
  <c r="O37" i="7" s="1"/>
  <c r="M25" i="4"/>
  <c r="M51" i="4" s="1"/>
  <c r="M6" i="6" s="1"/>
  <c r="M40" i="6" s="1"/>
  <c r="L25" i="4"/>
  <c r="L51" i="4" s="1"/>
  <c r="L6" i="6" s="1"/>
  <c r="L40" i="6" s="1"/>
  <c r="J25" i="4"/>
  <c r="J34" i="4" s="1"/>
  <c r="J11" i="7" s="1"/>
  <c r="J37" i="7" s="1"/>
  <c r="I25" i="4"/>
  <c r="I51" i="4" s="1"/>
  <c r="I6" i="6" s="1"/>
  <c r="I40" i="6" s="1"/>
  <c r="H25" i="4"/>
  <c r="H51" i="4" s="1"/>
  <c r="H6" i="6" s="1"/>
  <c r="H40" i="6" s="1"/>
  <c r="G25" i="4"/>
  <c r="G34" i="4" s="1"/>
  <c r="G11" i="7" s="1"/>
  <c r="G37" i="7" s="1"/>
  <c r="T24" i="4"/>
  <c r="S24" i="4"/>
  <c r="R24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X10" i="7" s="1"/>
  <c r="X36" i="7" s="1"/>
  <c r="W22" i="4"/>
  <c r="W10" i="7" s="1"/>
  <c r="W36" i="7" s="1"/>
  <c r="V22" i="4"/>
  <c r="V10" i="7" s="1"/>
  <c r="V36" i="7" s="1"/>
  <c r="U22" i="4"/>
  <c r="U10" i="7" s="1"/>
  <c r="U36" i="7" s="1"/>
  <c r="T22" i="4"/>
  <c r="T10" i="7" s="1"/>
  <c r="T36" i="7" s="1"/>
  <c r="S22" i="4"/>
  <c r="S10" i="7" s="1"/>
  <c r="S36" i="7" s="1"/>
  <c r="R22" i="4"/>
  <c r="R10" i="7" s="1"/>
  <c r="R36" i="7" s="1"/>
  <c r="Q22" i="4"/>
  <c r="Q10" i="7" s="1"/>
  <c r="Q36" i="7" s="1"/>
  <c r="P22" i="4"/>
  <c r="P10" i="7" s="1"/>
  <c r="P36" i="7" s="1"/>
  <c r="O22" i="4"/>
  <c r="O10" i="7" s="1"/>
  <c r="O36" i="7" s="1"/>
  <c r="N22" i="4"/>
  <c r="N10" i="7" s="1"/>
  <c r="N36" i="7" s="1"/>
  <c r="M22" i="4"/>
  <c r="M10" i="7" s="1"/>
  <c r="M36" i="7" s="1"/>
  <c r="L22" i="4"/>
  <c r="L10" i="7" s="1"/>
  <c r="L36" i="7" s="1"/>
  <c r="K22" i="4"/>
  <c r="K10" i="7" s="1"/>
  <c r="K36" i="7" s="1"/>
  <c r="J22" i="4"/>
  <c r="J10" i="7" s="1"/>
  <c r="J36" i="7" s="1"/>
  <c r="G22" i="4"/>
  <c r="G10" i="7" s="1"/>
  <c r="G36" i="7" s="1"/>
  <c r="F22" i="4"/>
  <c r="F10" i="7" s="1"/>
  <c r="F36" i="7" s="1"/>
  <c r="E22" i="4"/>
  <c r="E10" i="7" s="1"/>
  <c r="E36" i="7" s="1"/>
  <c r="D22" i="4"/>
  <c r="D10" i="7" s="1"/>
  <c r="D36" i="7" s="1"/>
  <c r="C22" i="4"/>
  <c r="C10" i="7" s="1"/>
  <c r="C36" i="7" s="1"/>
  <c r="B22" i="4"/>
  <c r="B10" i="7" s="1"/>
  <c r="B36" i="7" s="1"/>
  <c r="K21" i="4"/>
  <c r="J21" i="4"/>
  <c r="J56" i="4" s="1"/>
  <c r="J11" i="6" s="1"/>
  <c r="J45" i="6" s="1"/>
  <c r="I21" i="4"/>
  <c r="I56" i="4" s="1"/>
  <c r="I11" i="6" s="1"/>
  <c r="I45" i="6" s="1"/>
  <c r="H21" i="4"/>
  <c r="H56" i="4" s="1"/>
  <c r="H11" i="6" s="1"/>
  <c r="H45" i="6" s="1"/>
  <c r="K20" i="4"/>
  <c r="J20" i="4"/>
  <c r="J52" i="4" s="1"/>
  <c r="J7" i="6" s="1"/>
  <c r="J41" i="6" s="1"/>
  <c r="I20" i="4"/>
  <c r="H20" i="4"/>
  <c r="H22" i="4" s="1"/>
  <c r="H10" i="7" s="1"/>
  <c r="H36" i="7" s="1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X6" i="7" s="1"/>
  <c r="X32" i="7" s="1"/>
  <c r="W17" i="4"/>
  <c r="W6" i="7" s="1"/>
  <c r="W32" i="7" s="1"/>
  <c r="V17" i="4"/>
  <c r="V6" i="7" s="1"/>
  <c r="V32" i="7" s="1"/>
  <c r="U17" i="4"/>
  <c r="U6" i="7" s="1"/>
  <c r="U32" i="7" s="1"/>
  <c r="S17" i="4"/>
  <c r="S6" i="7" s="1"/>
  <c r="S32" i="7" s="1"/>
  <c r="Q17" i="4"/>
  <c r="Q6" i="7" s="1"/>
  <c r="Q32" i="7" s="1"/>
  <c r="P17" i="4"/>
  <c r="P6" i="7" s="1"/>
  <c r="P32" i="7" s="1"/>
  <c r="O17" i="4"/>
  <c r="O6" i="7" s="1"/>
  <c r="O32" i="7" s="1"/>
  <c r="N17" i="4"/>
  <c r="N6" i="7" s="1"/>
  <c r="N32" i="7" s="1"/>
  <c r="M17" i="4"/>
  <c r="M6" i="7" s="1"/>
  <c r="M32" i="7" s="1"/>
  <c r="L17" i="4"/>
  <c r="L6" i="7" s="1"/>
  <c r="L32" i="7" s="1"/>
  <c r="J17" i="4"/>
  <c r="J6" i="7" s="1"/>
  <c r="J32" i="7" s="1"/>
  <c r="I17" i="4"/>
  <c r="F17" i="4"/>
  <c r="F6" i="7" s="1"/>
  <c r="F32" i="7" s="1"/>
  <c r="E17" i="4"/>
  <c r="E6" i="7" s="1"/>
  <c r="E32" i="7" s="1"/>
  <c r="D17" i="4"/>
  <c r="D6" i="7" s="1"/>
  <c r="C17" i="4"/>
  <c r="C6" i="7" s="1"/>
  <c r="B17" i="4"/>
  <c r="B6" i="7" s="1"/>
  <c r="B32" i="7" s="1"/>
  <c r="R16" i="4"/>
  <c r="R17" i="4" s="1"/>
  <c r="R6" i="7" s="1"/>
  <c r="R32" i="7" s="1"/>
  <c r="K16" i="4"/>
  <c r="J16" i="4"/>
  <c r="I16" i="4"/>
  <c r="I55" i="4" s="1"/>
  <c r="I10" i="6" s="1"/>
  <c r="I44" i="6" s="1"/>
  <c r="H16" i="4"/>
  <c r="H55" i="4" s="1"/>
  <c r="H10" i="6" s="1"/>
  <c r="H44" i="6" s="1"/>
  <c r="T15" i="4"/>
  <c r="T17" i="4" s="1"/>
  <c r="T6" i="7" s="1"/>
  <c r="T32" i="7" s="1"/>
  <c r="R15" i="4"/>
  <c r="R57" i="4" s="1"/>
  <c r="R12" i="6" s="1"/>
  <c r="R46" i="6" s="1"/>
  <c r="K15" i="4"/>
  <c r="J15" i="4"/>
  <c r="J57" i="4" s="1"/>
  <c r="J12" i="6" s="1"/>
  <c r="J46" i="6" s="1"/>
  <c r="I15" i="4"/>
  <c r="H15" i="4"/>
  <c r="G15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X9" i="7" s="1"/>
  <c r="X35" i="7" s="1"/>
  <c r="W12" i="4"/>
  <c r="W9" i="7" s="1"/>
  <c r="W35" i="7" s="1"/>
  <c r="V12" i="4"/>
  <c r="V9" i="7" s="1"/>
  <c r="V35" i="7" s="1"/>
  <c r="U12" i="4"/>
  <c r="U9" i="7" s="1"/>
  <c r="U35" i="7" s="1"/>
  <c r="Q12" i="4"/>
  <c r="Q9" i="7" s="1"/>
  <c r="Q35" i="7" s="1"/>
  <c r="P12" i="4"/>
  <c r="P9" i="7" s="1"/>
  <c r="P35" i="7" s="1"/>
  <c r="O12" i="4"/>
  <c r="O9" i="7" s="1"/>
  <c r="O35" i="7" s="1"/>
  <c r="N12" i="4"/>
  <c r="N9" i="7" s="1"/>
  <c r="N35" i="7" s="1"/>
  <c r="M12" i="4"/>
  <c r="M9" i="7" s="1"/>
  <c r="M35" i="7" s="1"/>
  <c r="L12" i="4"/>
  <c r="L9" i="7" s="1"/>
  <c r="L35" i="7" s="1"/>
  <c r="J12" i="4"/>
  <c r="J9" i="7" s="1"/>
  <c r="J35" i="7" s="1"/>
  <c r="H12" i="4"/>
  <c r="H9" i="7" s="1"/>
  <c r="H35" i="7" s="1"/>
  <c r="G12" i="4"/>
  <c r="G9" i="7" s="1"/>
  <c r="G35" i="7" s="1"/>
  <c r="F12" i="4"/>
  <c r="F9" i="7" s="1"/>
  <c r="F35" i="7" s="1"/>
  <c r="E12" i="4"/>
  <c r="E9" i="7" s="1"/>
  <c r="E35" i="7" s="1"/>
  <c r="D12" i="4"/>
  <c r="D9" i="7" s="1"/>
  <c r="D35" i="7" s="1"/>
  <c r="C12" i="4"/>
  <c r="C9" i="7" s="1"/>
  <c r="C35" i="7" s="1"/>
  <c r="B12" i="4"/>
  <c r="B9" i="7" s="1"/>
  <c r="B35" i="7" s="1"/>
  <c r="T11" i="4"/>
  <c r="T55" i="4" s="1"/>
  <c r="T10" i="6" s="1"/>
  <c r="T44" i="6" s="1"/>
  <c r="T10" i="4"/>
  <c r="T12" i="4" s="1"/>
  <c r="T9" i="7" s="1"/>
  <c r="T35" i="7" s="1"/>
  <c r="S10" i="4"/>
  <c r="S12" i="4" s="1"/>
  <c r="S9" i="7" s="1"/>
  <c r="S35" i="7" s="1"/>
  <c r="R10" i="4"/>
  <c r="R12" i="4" s="1"/>
  <c r="R9" i="7" s="1"/>
  <c r="R35" i="7" s="1"/>
  <c r="K10" i="4"/>
  <c r="I10" i="4"/>
  <c r="I58" i="4" s="1"/>
  <c r="I13" i="6" s="1"/>
  <c r="I47" i="6" s="1"/>
  <c r="AN7" i="4"/>
  <c r="AM7" i="4"/>
  <c r="AL7" i="4"/>
  <c r="AK7" i="4"/>
  <c r="AK46" i="4" s="1"/>
  <c r="AK10" i="1" s="1"/>
  <c r="AK11" i="1" s="1"/>
  <c r="AJ7" i="4"/>
  <c r="AI7" i="4"/>
  <c r="AH7" i="4"/>
  <c r="AG7" i="4"/>
  <c r="AF7" i="4"/>
  <c r="AE7" i="4"/>
  <c r="AD7" i="4"/>
  <c r="AC7" i="4"/>
  <c r="AC46" i="4" s="1"/>
  <c r="AC10" i="1" s="1"/>
  <c r="AC11" i="1" s="1"/>
  <c r="AC24" i="1" s="1"/>
  <c r="AC31" i="1" s="1"/>
  <c r="AB7" i="4"/>
  <c r="AA7" i="4"/>
  <c r="Z7" i="4"/>
  <c r="Y7" i="4"/>
  <c r="X7" i="4"/>
  <c r="X5" i="7" s="1"/>
  <c r="W7" i="4"/>
  <c r="W5" i="7" s="1"/>
  <c r="V7" i="4"/>
  <c r="V5" i="7" s="1"/>
  <c r="U7" i="4"/>
  <c r="U5" i="7" s="1"/>
  <c r="S7" i="4"/>
  <c r="S5" i="7" s="1"/>
  <c r="R7" i="4"/>
  <c r="R5" i="7" s="1"/>
  <c r="Q7" i="4"/>
  <c r="Q5" i="7" s="1"/>
  <c r="P7" i="4"/>
  <c r="P5" i="7" s="1"/>
  <c r="P31" i="7" s="1"/>
  <c r="O7" i="4"/>
  <c r="O5" i="7" s="1"/>
  <c r="N7" i="4"/>
  <c r="N5" i="7" s="1"/>
  <c r="M7" i="4"/>
  <c r="M5" i="7" s="1"/>
  <c r="L7" i="4"/>
  <c r="L5" i="7" s="1"/>
  <c r="I7" i="4"/>
  <c r="I5" i="7" s="1"/>
  <c r="F7" i="4"/>
  <c r="F5" i="7" s="1"/>
  <c r="E7" i="4"/>
  <c r="E5" i="7" s="1"/>
  <c r="D7" i="4"/>
  <c r="D5" i="7" s="1"/>
  <c r="C7" i="4"/>
  <c r="C5" i="7" s="1"/>
  <c r="B7" i="4"/>
  <c r="B5" i="7" s="1"/>
  <c r="T6" i="4"/>
  <c r="R6" i="4"/>
  <c r="M6" i="4"/>
  <c r="K6" i="4"/>
  <c r="J6" i="4"/>
  <c r="J7" i="4" s="1"/>
  <c r="J5" i="7" s="1"/>
  <c r="I6" i="4"/>
  <c r="H6" i="4"/>
  <c r="H50" i="4" s="1"/>
  <c r="H5" i="6" s="1"/>
  <c r="G6" i="4"/>
  <c r="D15" i="3"/>
  <c r="D14" i="3"/>
  <c r="C13" i="3"/>
  <c r="C14" i="3" s="1"/>
  <c r="C15" i="3" s="1"/>
  <c r="G5" i="3" s="1"/>
  <c r="D11" i="3"/>
  <c r="C11" i="3"/>
  <c r="C12" i="3" s="1"/>
  <c r="G4" i="3" s="1"/>
  <c r="C10" i="3"/>
  <c r="F9" i="3"/>
  <c r="D9" i="3"/>
  <c r="D8" i="3"/>
  <c r="J3" i="3"/>
  <c r="C5" i="2"/>
  <c r="C4" i="2"/>
  <c r="B48" i="1"/>
  <c r="B47" i="1"/>
  <c r="B43" i="1"/>
  <c r="B4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29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22" i="1"/>
  <c r="AN19" i="1"/>
  <c r="AM19" i="1"/>
  <c r="AL19" i="1"/>
  <c r="AK19" i="1"/>
  <c r="AN20" i="1" s="1"/>
  <c r="AJ19" i="1"/>
  <c r="AI19" i="1"/>
  <c r="AH19" i="1"/>
  <c r="AG19" i="1"/>
  <c r="AF19" i="1"/>
  <c r="AE19" i="1"/>
  <c r="AD19" i="1"/>
  <c r="AC19" i="1"/>
  <c r="AB19" i="1"/>
  <c r="AJ20" i="1" s="1"/>
  <c r="AA19" i="1"/>
  <c r="Z19" i="1"/>
  <c r="Y19" i="1"/>
  <c r="Z20" i="1" s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G20" i="1" s="1"/>
  <c r="D19" i="1"/>
  <c r="C19" i="1"/>
  <c r="B19" i="1"/>
  <c r="AN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J18" i="1" s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V18" i="1" s="1"/>
  <c r="L17" i="1"/>
  <c r="K17" i="1"/>
  <c r="J17" i="1"/>
  <c r="I17" i="1"/>
  <c r="K18" i="1" s="1"/>
  <c r="H17" i="1"/>
  <c r="G17" i="1"/>
  <c r="F17" i="1"/>
  <c r="E17" i="1"/>
  <c r="G18" i="1" s="1"/>
  <c r="D17" i="1"/>
  <c r="C17" i="1"/>
  <c r="B17" i="1"/>
  <c r="AL15" i="1"/>
  <c r="AD15" i="1"/>
  <c r="V15" i="1"/>
  <c r="N15" i="1"/>
  <c r="F15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3" i="2" s="1"/>
  <c r="C12" i="1"/>
  <c r="B12" i="1"/>
  <c r="N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31" i="1" l="1"/>
  <c r="AD32" i="1" s="1"/>
  <c r="AD25" i="1"/>
  <c r="AL31" i="1"/>
  <c r="AL25" i="1"/>
  <c r="V24" i="5"/>
  <c r="AK15" i="5"/>
  <c r="AG15" i="5"/>
  <c r="AC15" i="5"/>
  <c r="Y15" i="5"/>
  <c r="U15" i="5"/>
  <c r="W16" i="5" s="1"/>
  <c r="W24" i="5" s="1"/>
  <c r="W25" i="5" s="1"/>
  <c r="Q15" i="5"/>
  <c r="M15" i="5"/>
  <c r="I15" i="5"/>
  <c r="E15" i="5"/>
  <c r="AN15" i="5"/>
  <c r="AJ15" i="5"/>
  <c r="AF15" i="5"/>
  <c r="AB15" i="5"/>
  <c r="X15" i="5"/>
  <c r="T15" i="5"/>
  <c r="P15" i="5"/>
  <c r="L15" i="5"/>
  <c r="T16" i="5" s="1"/>
  <c r="T24" i="5" s="1"/>
  <c r="T25" i="5" s="1"/>
  <c r="H15" i="5"/>
  <c r="D15" i="5"/>
  <c r="AI15" i="5"/>
  <c r="AA15" i="5"/>
  <c r="S15" i="5"/>
  <c r="K15" i="5"/>
  <c r="C15" i="5"/>
  <c r="AM15" i="5"/>
  <c r="W15" i="5"/>
  <c r="AD15" i="5"/>
  <c r="N15" i="5"/>
  <c r="AH15" i="5"/>
  <c r="Z15" i="5"/>
  <c r="R15" i="5"/>
  <c r="J15" i="5"/>
  <c r="B15" i="5"/>
  <c r="E16" i="5" s="1"/>
  <c r="E24" i="5" s="1"/>
  <c r="AE15" i="5"/>
  <c r="O15" i="5"/>
  <c r="G15" i="5"/>
  <c r="AL15" i="5"/>
  <c r="AN16" i="5" s="1"/>
  <c r="AN24" i="5" s="1"/>
  <c r="AN25" i="5" s="1"/>
  <c r="V15" i="5"/>
  <c r="F15" i="5"/>
  <c r="J12" i="7"/>
  <c r="J31" i="7"/>
  <c r="J38" i="7" s="1"/>
  <c r="Q31" i="7"/>
  <c r="B25" i="5"/>
  <c r="B26" i="5" s="1"/>
  <c r="C22" i="5" s="1"/>
  <c r="C26" i="5" s="1"/>
  <c r="D22" i="5" s="1"/>
  <c r="C7" i="2"/>
  <c r="AN15" i="1"/>
  <c r="AJ15" i="1"/>
  <c r="AF15" i="1"/>
  <c r="AB15" i="1"/>
  <c r="X15" i="1"/>
  <c r="T15" i="1"/>
  <c r="P15" i="1"/>
  <c r="L15" i="1"/>
  <c r="H15" i="1"/>
  <c r="D15" i="1"/>
  <c r="AM15" i="1"/>
  <c r="AN16" i="1" s="1"/>
  <c r="AN24" i="1" s="1"/>
  <c r="AE15" i="1"/>
  <c r="W15" i="1"/>
  <c r="S15" i="1"/>
  <c r="K15" i="1"/>
  <c r="G15" i="1"/>
  <c r="H16" i="1" s="1"/>
  <c r="AI15" i="1"/>
  <c r="AK16" i="1" s="1"/>
  <c r="AK24" i="1" s="1"/>
  <c r="AK31" i="1" s="1"/>
  <c r="AA15" i="1"/>
  <c r="O15" i="1"/>
  <c r="C15" i="1"/>
  <c r="E31" i="7"/>
  <c r="E38" i="7" s="1"/>
  <c r="E12" i="7"/>
  <c r="H7" i="7"/>
  <c r="H33" i="7" s="1"/>
  <c r="E46" i="4"/>
  <c r="E10" i="1" s="1"/>
  <c r="E11" i="1" s="1"/>
  <c r="M46" i="4"/>
  <c r="M10" i="1" s="1"/>
  <c r="M11" i="1" s="1"/>
  <c r="M24" i="1" s="1"/>
  <c r="M31" i="1" s="1"/>
  <c r="C16" i="6"/>
  <c r="C39" i="6"/>
  <c r="C50" i="6" s="1"/>
  <c r="R16" i="6"/>
  <c r="O25" i="5"/>
  <c r="AI25" i="5"/>
  <c r="O39" i="6"/>
  <c r="Q15" i="1"/>
  <c r="AG15" i="1"/>
  <c r="M32" i="1"/>
  <c r="AC32" i="1"/>
  <c r="AG32" i="1"/>
  <c r="G50" i="4"/>
  <c r="G5" i="6" s="1"/>
  <c r="G7" i="4"/>
  <c r="G5" i="7" s="1"/>
  <c r="K50" i="4"/>
  <c r="K5" i="6" s="1"/>
  <c r="K7" i="4"/>
  <c r="K5" i="7" s="1"/>
  <c r="F12" i="7"/>
  <c r="F31" i="7"/>
  <c r="F38" i="7" s="1"/>
  <c r="M31" i="7"/>
  <c r="M38" i="7" s="1"/>
  <c r="M12" i="7"/>
  <c r="V12" i="7"/>
  <c r="V31" i="7"/>
  <c r="V38" i="7" s="1"/>
  <c r="K12" i="4"/>
  <c r="K9" i="7" s="1"/>
  <c r="K35" i="7" s="1"/>
  <c r="K58" i="4"/>
  <c r="K13" i="6" s="1"/>
  <c r="K47" i="6" s="1"/>
  <c r="I12" i="4"/>
  <c r="I9" i="7" s="1"/>
  <c r="I35" i="7" s="1"/>
  <c r="S39" i="6"/>
  <c r="I44" i="4"/>
  <c r="AA46" i="4"/>
  <c r="AA10" i="1" s="1"/>
  <c r="AA11" i="1" s="1"/>
  <c r="AA24" i="1" s="1"/>
  <c r="AE46" i="4"/>
  <c r="AE10" i="1" s="1"/>
  <c r="AE11" i="1" s="1"/>
  <c r="AE24" i="1" s="1"/>
  <c r="AI46" i="4"/>
  <c r="AI10" i="1" s="1"/>
  <c r="AI11" i="1" s="1"/>
  <c r="AI24" i="1" s="1"/>
  <c r="AM46" i="4"/>
  <c r="AM10" i="1" s="1"/>
  <c r="AM11" i="1" s="1"/>
  <c r="AM24" i="1" s="1"/>
  <c r="F46" i="4"/>
  <c r="F10" i="1" s="1"/>
  <c r="F11" i="1" s="1"/>
  <c r="F24" i="1" s="1"/>
  <c r="V46" i="4"/>
  <c r="V10" i="1" s="1"/>
  <c r="V11" i="1" s="1"/>
  <c r="J50" i="4"/>
  <c r="J5" i="6" s="1"/>
  <c r="U39" i="6"/>
  <c r="U50" i="6" s="1"/>
  <c r="U16" i="6"/>
  <c r="H53" i="4"/>
  <c r="H8" i="6" s="1"/>
  <c r="H42" i="6" s="1"/>
  <c r="Z20" i="5"/>
  <c r="P25" i="5"/>
  <c r="AB25" i="5"/>
  <c r="D39" i="6"/>
  <c r="D50" i="6" s="1"/>
  <c r="D16" i="6"/>
  <c r="B50" i="6"/>
  <c r="B15" i="1"/>
  <c r="J15" i="1"/>
  <c r="R15" i="1"/>
  <c r="Z15" i="1"/>
  <c r="AH15" i="1"/>
  <c r="AL32" i="1"/>
  <c r="H39" i="6"/>
  <c r="H50" i="6" s="1"/>
  <c r="H16" i="6"/>
  <c r="I31" i="7"/>
  <c r="N12" i="7"/>
  <c r="N31" i="7"/>
  <c r="N38" i="7" s="1"/>
  <c r="R12" i="7"/>
  <c r="R31" i="7"/>
  <c r="R38" i="7" s="1"/>
  <c r="G57" i="4"/>
  <c r="G12" i="6" s="1"/>
  <c r="G46" i="6" s="1"/>
  <c r="G17" i="4"/>
  <c r="G6" i="7" s="1"/>
  <c r="G32" i="7" s="1"/>
  <c r="K57" i="4"/>
  <c r="K12" i="6" s="1"/>
  <c r="K46" i="6" s="1"/>
  <c r="K17" i="4"/>
  <c r="K6" i="7" s="1"/>
  <c r="K32" i="7" s="1"/>
  <c r="I22" i="4"/>
  <c r="I10" i="7" s="1"/>
  <c r="I36" i="7" s="1"/>
  <c r="I52" i="4"/>
  <c r="I7" i="6" s="1"/>
  <c r="I41" i="6" s="1"/>
  <c r="I34" i="4"/>
  <c r="I11" i="7" s="1"/>
  <c r="I37" i="7" s="1"/>
  <c r="T44" i="4"/>
  <c r="X46" i="4"/>
  <c r="X10" i="1" s="1"/>
  <c r="X11" i="1" s="1"/>
  <c r="X24" i="1" s="1"/>
  <c r="X31" i="1" s="1"/>
  <c r="X32" i="1" s="1"/>
  <c r="AB46" i="4"/>
  <c r="AB10" i="1" s="1"/>
  <c r="AB11" i="1" s="1"/>
  <c r="AB24" i="1" s="1"/>
  <c r="AB31" i="1" s="1"/>
  <c r="AB32" i="1" s="1"/>
  <c r="AF46" i="4"/>
  <c r="AF10" i="1" s="1"/>
  <c r="AF11" i="1" s="1"/>
  <c r="AF24" i="1" s="1"/>
  <c r="AF31" i="1" s="1"/>
  <c r="AF32" i="1" s="1"/>
  <c r="AJ46" i="4"/>
  <c r="AJ10" i="1" s="1"/>
  <c r="AJ11" i="1" s="1"/>
  <c r="AJ24" i="1" s="1"/>
  <c r="AN46" i="4"/>
  <c r="AN10" i="1" s="1"/>
  <c r="AN11" i="1" s="1"/>
  <c r="E39" i="6"/>
  <c r="E50" i="6" s="1"/>
  <c r="E16" i="6"/>
  <c r="P39" i="6"/>
  <c r="P50" i="6" s="1"/>
  <c r="V16" i="6"/>
  <c r="V39" i="6"/>
  <c r="V50" i="6" s="1"/>
  <c r="O51" i="4"/>
  <c r="O6" i="6" s="1"/>
  <c r="O40" i="6" s="1"/>
  <c r="R55" i="4"/>
  <c r="R10" i="6" s="1"/>
  <c r="R44" i="6" s="1"/>
  <c r="V20" i="5"/>
  <c r="I25" i="5"/>
  <c r="M25" i="5"/>
  <c r="Q25" i="5"/>
  <c r="U25" i="5"/>
  <c r="Y25" i="5"/>
  <c r="AC25" i="5"/>
  <c r="AG25" i="5"/>
  <c r="W16" i="6"/>
  <c r="W39" i="6"/>
  <c r="W50" i="6" s="1"/>
  <c r="C7" i="3"/>
  <c r="C8" i="3" s="1"/>
  <c r="C9" i="3" s="1"/>
  <c r="G3" i="3" s="1"/>
  <c r="G6" i="3" s="1"/>
  <c r="T50" i="4"/>
  <c r="T5" i="6" s="1"/>
  <c r="T7" i="4"/>
  <c r="T5" i="7" s="1"/>
  <c r="U31" i="7"/>
  <c r="U38" i="7" s="1"/>
  <c r="U12" i="7"/>
  <c r="D7" i="7"/>
  <c r="D33" i="7" s="1"/>
  <c r="D46" i="4"/>
  <c r="D10" i="1" s="1"/>
  <c r="D11" i="1" s="1"/>
  <c r="D24" i="1" s="1"/>
  <c r="D31" i="1" s="1"/>
  <c r="D32" i="1" s="1"/>
  <c r="U46" i="4"/>
  <c r="U10" i="1" s="1"/>
  <c r="U11" i="1" s="1"/>
  <c r="U24" i="1" s="1"/>
  <c r="U31" i="1" s="1"/>
  <c r="U32" i="1" s="1"/>
  <c r="I50" i="6"/>
  <c r="N16" i="6"/>
  <c r="N39" i="6"/>
  <c r="N50" i="6" s="1"/>
  <c r="X39" i="6"/>
  <c r="X50" i="6" s="1"/>
  <c r="X16" i="6"/>
  <c r="P53" i="4"/>
  <c r="P8" i="6" s="1"/>
  <c r="P42" i="6" s="1"/>
  <c r="AA25" i="5"/>
  <c r="N11" i="1"/>
  <c r="N24" i="1" s="1"/>
  <c r="I15" i="1"/>
  <c r="K16" i="1" s="1"/>
  <c r="Y15" i="1"/>
  <c r="Y32" i="1"/>
  <c r="AK32" i="1"/>
  <c r="B12" i="7"/>
  <c r="B31" i="7"/>
  <c r="B38" i="7" s="1"/>
  <c r="J59" i="4"/>
  <c r="J14" i="6" s="1"/>
  <c r="J48" i="6" s="1"/>
  <c r="D25" i="5"/>
  <c r="E15" i="1"/>
  <c r="M15" i="1"/>
  <c r="U15" i="1"/>
  <c r="W16" i="1" s="1"/>
  <c r="W24" i="1" s="1"/>
  <c r="AC15" i="1"/>
  <c r="AK15" i="1"/>
  <c r="Z18" i="1"/>
  <c r="K20" i="1"/>
  <c r="C8" i="2" s="1"/>
  <c r="V20" i="1"/>
  <c r="V24" i="1" s="1"/>
  <c r="M25" i="1"/>
  <c r="U25" i="1"/>
  <c r="Y25" i="1"/>
  <c r="AC25" i="1"/>
  <c r="AG25" i="1"/>
  <c r="H17" i="4"/>
  <c r="H6" i="7" s="1"/>
  <c r="H32" i="7" s="1"/>
  <c r="Q34" i="4"/>
  <c r="Q11" i="7" s="1"/>
  <c r="Q37" i="7" s="1"/>
  <c r="T58" i="4"/>
  <c r="T13" i="6" s="1"/>
  <c r="T47" i="6" s="1"/>
  <c r="G46" i="4"/>
  <c r="G10" i="1" s="1"/>
  <c r="G11" i="1" s="1"/>
  <c r="G24" i="1" s="1"/>
  <c r="L7" i="7"/>
  <c r="L33" i="7" s="1"/>
  <c r="L46" i="4"/>
  <c r="L10" i="1" s="1"/>
  <c r="L11" i="1" s="1"/>
  <c r="L24" i="1" s="1"/>
  <c r="L31" i="1" s="1"/>
  <c r="L32" i="1" s="1"/>
  <c r="P7" i="7"/>
  <c r="P46" i="4"/>
  <c r="P10" i="1" s="1"/>
  <c r="P11" i="1" s="1"/>
  <c r="P24" i="1" s="1"/>
  <c r="P31" i="1" s="1"/>
  <c r="P32" i="1" s="1"/>
  <c r="B46" i="4"/>
  <c r="J46" i="4"/>
  <c r="J10" i="1" s="1"/>
  <c r="J11" i="1" s="1"/>
  <c r="J24" i="1" s="1"/>
  <c r="R46" i="4"/>
  <c r="R10" i="1" s="1"/>
  <c r="R11" i="1" s="1"/>
  <c r="R24" i="1" s="1"/>
  <c r="B16" i="6"/>
  <c r="F16" i="6"/>
  <c r="F39" i="6"/>
  <c r="F50" i="6" s="1"/>
  <c r="M16" i="6"/>
  <c r="M39" i="6"/>
  <c r="M50" i="6" s="1"/>
  <c r="Q50" i="4"/>
  <c r="Q5" i="6" s="1"/>
  <c r="R51" i="4"/>
  <c r="R6" i="6" s="1"/>
  <c r="R40" i="6" s="1"/>
  <c r="R59" i="4"/>
  <c r="R14" i="6" s="1"/>
  <c r="R48" i="6" s="1"/>
  <c r="Z18" i="5"/>
  <c r="AJ18" i="5"/>
  <c r="AJ24" i="5" s="1"/>
  <c r="AJ25" i="5" s="1"/>
  <c r="F25" i="5"/>
  <c r="J25" i="5"/>
  <c r="V25" i="5"/>
  <c r="AD25" i="5"/>
  <c r="AL25" i="5"/>
  <c r="L39" i="6"/>
  <c r="L50" i="6" s="1"/>
  <c r="L16" i="6"/>
  <c r="I16" i="6"/>
  <c r="R39" i="6"/>
  <c r="R50" i="6" s="1"/>
  <c r="C12" i="7"/>
  <c r="C31" i="7"/>
  <c r="C38" i="7" s="1"/>
  <c r="O12" i="7"/>
  <c r="O31" i="7"/>
  <c r="O38" i="7" s="1"/>
  <c r="S12" i="7"/>
  <c r="S31" i="7"/>
  <c r="S38" i="7" s="1"/>
  <c r="W12" i="7"/>
  <c r="W31" i="7"/>
  <c r="W38" i="7" s="1"/>
  <c r="T39" i="4"/>
  <c r="T8" i="7" s="1"/>
  <c r="T34" i="7" s="1"/>
  <c r="C46" i="4"/>
  <c r="C10" i="1" s="1"/>
  <c r="C11" i="1" s="1"/>
  <c r="C24" i="1" s="1"/>
  <c r="O46" i="4"/>
  <c r="O10" i="1" s="1"/>
  <c r="O11" i="1" s="1"/>
  <c r="O24" i="1" s="1"/>
  <c r="S46" i="4"/>
  <c r="S10" i="1" s="1"/>
  <c r="S11" i="1" s="1"/>
  <c r="S24" i="1" s="1"/>
  <c r="W46" i="4"/>
  <c r="W10" i="1" s="1"/>
  <c r="W11" i="1" s="1"/>
  <c r="K54" i="4"/>
  <c r="K9" i="6" s="1"/>
  <c r="K43" i="6" s="1"/>
  <c r="S58" i="4"/>
  <c r="S13" i="6" s="1"/>
  <c r="S47" i="6" s="1"/>
  <c r="D31" i="7"/>
  <c r="D38" i="7" s="1"/>
  <c r="H7" i="4"/>
  <c r="H5" i="7" s="1"/>
  <c r="L31" i="7"/>
  <c r="L12" i="7"/>
  <c r="X31" i="7"/>
  <c r="X38" i="7" s="1"/>
  <c r="X12" i="7"/>
  <c r="G25" i="1" l="1"/>
  <c r="G31" i="1"/>
  <c r="G32" i="1" s="1"/>
  <c r="AN31" i="1"/>
  <c r="AN32" i="1" s="1"/>
  <c r="AN25" i="1"/>
  <c r="V31" i="1"/>
  <c r="V32" i="1" s="1"/>
  <c r="V25" i="1"/>
  <c r="AJ31" i="1"/>
  <c r="AJ32" i="1" s="1"/>
  <c r="AJ25" i="1"/>
  <c r="H24" i="1"/>
  <c r="S25" i="1"/>
  <c r="S31" i="1"/>
  <c r="S32" i="1" s="1"/>
  <c r="B10" i="1"/>
  <c r="B11" i="1" s="1"/>
  <c r="K12" i="7"/>
  <c r="K31" i="7"/>
  <c r="K38" i="7" s="1"/>
  <c r="Z16" i="1"/>
  <c r="Z24" i="1" s="1"/>
  <c r="D26" i="5"/>
  <c r="E22" i="5" s="1"/>
  <c r="E26" i="5" s="1"/>
  <c r="F22" i="5" s="1"/>
  <c r="F26" i="5" s="1"/>
  <c r="G22" i="5" s="1"/>
  <c r="G26" i="5" s="1"/>
  <c r="H22" i="5" s="1"/>
  <c r="AH16" i="5"/>
  <c r="AH24" i="5" s="1"/>
  <c r="AH25" i="5" s="1"/>
  <c r="L38" i="7"/>
  <c r="T39" i="6"/>
  <c r="T50" i="6" s="1"/>
  <c r="T16" i="6"/>
  <c r="E25" i="5"/>
  <c r="T7" i="7"/>
  <c r="T33" i="7" s="1"/>
  <c r="T46" i="4"/>
  <c r="T10" i="1" s="1"/>
  <c r="T11" i="1" s="1"/>
  <c r="D25" i="1"/>
  <c r="AI25" i="1"/>
  <c r="AI31" i="1"/>
  <c r="AI32" i="1" s="1"/>
  <c r="K16" i="6"/>
  <c r="K39" i="6"/>
  <c r="K50" i="6" s="1"/>
  <c r="T16" i="1"/>
  <c r="AK16" i="5"/>
  <c r="AK24" i="5" s="1"/>
  <c r="AK25" i="5" s="1"/>
  <c r="K16" i="5"/>
  <c r="K24" i="5" s="1"/>
  <c r="K25" i="5" s="1"/>
  <c r="H31" i="7"/>
  <c r="H38" i="7" s="1"/>
  <c r="H12" i="7"/>
  <c r="K46" i="4"/>
  <c r="K10" i="1" s="1"/>
  <c r="K11" i="1" s="1"/>
  <c r="K24" i="1" s="1"/>
  <c r="R25" i="1"/>
  <c r="R31" i="1"/>
  <c r="R32" i="1" s="1"/>
  <c r="P33" i="7"/>
  <c r="P38" i="7" s="1"/>
  <c r="P12" i="7"/>
  <c r="AK25" i="1"/>
  <c r="N31" i="1"/>
  <c r="N32" i="1" s="1"/>
  <c r="N25" i="1"/>
  <c r="F12" i="3"/>
  <c r="J4" i="3"/>
  <c r="AF25" i="1"/>
  <c r="P25" i="1"/>
  <c r="E16" i="1"/>
  <c r="AE31" i="1"/>
  <c r="AE32" i="1" s="1"/>
  <c r="AE25" i="1"/>
  <c r="S16" i="6"/>
  <c r="G12" i="7"/>
  <c r="G31" i="7"/>
  <c r="G38" i="7" s="1"/>
  <c r="H46" i="4"/>
  <c r="H10" i="1" s="1"/>
  <c r="H11" i="1" s="1"/>
  <c r="Q12" i="7"/>
  <c r="H16" i="5"/>
  <c r="H24" i="5" s="1"/>
  <c r="H25" i="5" s="1"/>
  <c r="Q39" i="6"/>
  <c r="Q50" i="6" s="1"/>
  <c r="Q16" i="6"/>
  <c r="W25" i="1"/>
  <c r="W31" i="1"/>
  <c r="W32" i="1" s="1"/>
  <c r="T31" i="7"/>
  <c r="T38" i="7" s="1"/>
  <c r="T12" i="7"/>
  <c r="X25" i="1"/>
  <c r="AM25" i="1"/>
  <c r="AM31" i="1"/>
  <c r="AM32" i="1" s="1"/>
  <c r="I7" i="7"/>
  <c r="I46" i="4"/>
  <c r="I10" i="1" s="1"/>
  <c r="I11" i="1" s="1"/>
  <c r="I24" i="1" s="1"/>
  <c r="O50" i="6"/>
  <c r="O31" i="1"/>
  <c r="O32" i="1" s="1"/>
  <c r="O25" i="1"/>
  <c r="J16" i="6"/>
  <c r="J39" i="6"/>
  <c r="J50" i="6" s="1"/>
  <c r="S50" i="6"/>
  <c r="O16" i="6"/>
  <c r="D12" i="7"/>
  <c r="C25" i="1"/>
  <c r="C31" i="1"/>
  <c r="C32" i="1" s="1"/>
  <c r="J31" i="1"/>
  <c r="J32" i="1" s="1"/>
  <c r="J25" i="1"/>
  <c r="P16" i="6"/>
  <c r="Q46" i="4"/>
  <c r="Q10" i="1" s="1"/>
  <c r="Q11" i="1" s="1"/>
  <c r="Q24" i="1" s="1"/>
  <c r="AB25" i="1"/>
  <c r="L25" i="1"/>
  <c r="F31" i="1"/>
  <c r="F32" i="1" s="1"/>
  <c r="F25" i="1"/>
  <c r="AA25" i="1"/>
  <c r="AA31" i="1"/>
  <c r="AA32" i="1" s="1"/>
  <c r="G16" i="6"/>
  <c r="G39" i="6"/>
  <c r="G50" i="6" s="1"/>
  <c r="AH16" i="1"/>
  <c r="AH24" i="1" s="1"/>
  <c r="Q38" i="7"/>
  <c r="Z16" i="5"/>
  <c r="Z24" i="5" s="1"/>
  <c r="Z25" i="5" s="1"/>
  <c r="K25" i="1" l="1"/>
  <c r="K31" i="1"/>
  <c r="K32" i="1" s="1"/>
  <c r="B28" i="5"/>
  <c r="C6" i="2"/>
  <c r="D6" i="2" s="1"/>
  <c r="E24" i="1"/>
  <c r="J5" i="3"/>
  <c r="J6" i="3"/>
  <c r="J8" i="3" s="1"/>
  <c r="H26" i="5"/>
  <c r="I22" i="5" s="1"/>
  <c r="I26" i="5" s="1"/>
  <c r="J22" i="5" s="1"/>
  <c r="J26" i="5" s="1"/>
  <c r="K22" i="5" s="1"/>
  <c r="K26" i="5" s="1"/>
  <c r="L22" i="5" s="1"/>
  <c r="L26" i="5" s="1"/>
  <c r="M22" i="5" s="1"/>
  <c r="M26" i="5" s="1"/>
  <c r="N22" i="5" s="1"/>
  <c r="N26" i="5" s="1"/>
  <c r="O22" i="5" s="1"/>
  <c r="O26" i="5" s="1"/>
  <c r="P22" i="5" s="1"/>
  <c r="P26" i="5" s="1"/>
  <c r="Q22" i="5" s="1"/>
  <c r="Q26" i="5" s="1"/>
  <c r="R22" i="5" s="1"/>
  <c r="R26" i="5" s="1"/>
  <c r="S22" i="5" s="1"/>
  <c r="S26" i="5" s="1"/>
  <c r="T22" i="5" s="1"/>
  <c r="T26" i="5" s="1"/>
  <c r="U22" i="5" s="1"/>
  <c r="U26" i="5" s="1"/>
  <c r="V22" i="5" s="1"/>
  <c r="V26" i="5" s="1"/>
  <c r="W22" i="5" s="1"/>
  <c r="W26" i="5" s="1"/>
  <c r="X22" i="5" s="1"/>
  <c r="X26" i="5" s="1"/>
  <c r="Y22" i="5" s="1"/>
  <c r="Y26" i="5" s="1"/>
  <c r="Z22" i="5" s="1"/>
  <c r="Z26" i="5" s="1"/>
  <c r="AA22" i="5" s="1"/>
  <c r="AA26" i="5" s="1"/>
  <c r="AB22" i="5" s="1"/>
  <c r="AB26" i="5" s="1"/>
  <c r="AC22" i="5" s="1"/>
  <c r="AC26" i="5" s="1"/>
  <c r="AD22" i="5" s="1"/>
  <c r="AD26" i="5" s="1"/>
  <c r="AE22" i="5" s="1"/>
  <c r="AE26" i="5" s="1"/>
  <c r="AF22" i="5" s="1"/>
  <c r="AF26" i="5" s="1"/>
  <c r="AG22" i="5" s="1"/>
  <c r="AG26" i="5" s="1"/>
  <c r="AH22" i="5" s="1"/>
  <c r="AH26" i="5" s="1"/>
  <c r="AI22" i="5" s="1"/>
  <c r="AI26" i="5" s="1"/>
  <c r="AJ22" i="5" s="1"/>
  <c r="AJ26" i="5" s="1"/>
  <c r="AK22" i="5" s="1"/>
  <c r="AK26" i="5" s="1"/>
  <c r="AL22" i="5" s="1"/>
  <c r="AL26" i="5" s="1"/>
  <c r="AM22" i="5" s="1"/>
  <c r="AM26" i="5" s="1"/>
  <c r="AN22" i="5" s="1"/>
  <c r="AN26" i="5" s="1"/>
  <c r="AH25" i="1"/>
  <c r="AH31" i="1"/>
  <c r="AH32" i="1" s="1"/>
  <c r="I31" i="1"/>
  <c r="I32" i="1" s="1"/>
  <c r="I25" i="1"/>
  <c r="Z31" i="1"/>
  <c r="Z32" i="1" s="1"/>
  <c r="Z25" i="1"/>
  <c r="C2" i="2"/>
  <c r="B24" i="1"/>
  <c r="B48" i="4"/>
  <c r="H31" i="1"/>
  <c r="H32" i="1" s="1"/>
  <c r="H25" i="1"/>
  <c r="Q31" i="1"/>
  <c r="Q32" i="1" s="1"/>
  <c r="Q25" i="1"/>
  <c r="I33" i="7"/>
  <c r="I38" i="7" s="1"/>
  <c r="I12" i="7"/>
  <c r="T24" i="1"/>
  <c r="T31" i="1" l="1"/>
  <c r="T32" i="1" s="1"/>
  <c r="T25" i="1"/>
  <c r="B37" i="1"/>
  <c r="B25" i="1"/>
  <c r="B26" i="1" s="1"/>
  <c r="C22" i="1" s="1"/>
  <c r="C26" i="1" s="1"/>
  <c r="D22" i="1" s="1"/>
  <c r="D26" i="1" s="1"/>
  <c r="E22" i="1" s="1"/>
  <c r="E26" i="1" s="1"/>
  <c r="F22" i="1" s="1"/>
  <c r="F26" i="1" s="1"/>
  <c r="G22" i="1" s="1"/>
  <c r="G26" i="1" s="1"/>
  <c r="H22" i="1" s="1"/>
  <c r="H26" i="1" s="1"/>
  <c r="I22" i="1" s="1"/>
  <c r="I26" i="1" s="1"/>
  <c r="J22" i="1" s="1"/>
  <c r="J26" i="1" s="1"/>
  <c r="K22" i="1" s="1"/>
  <c r="K26" i="1" s="1"/>
  <c r="L22" i="1" s="1"/>
  <c r="L26" i="1" s="1"/>
  <c r="M22" i="1" s="1"/>
  <c r="M26" i="1" s="1"/>
  <c r="N22" i="1" s="1"/>
  <c r="N26" i="1" s="1"/>
  <c r="O22" i="1" s="1"/>
  <c r="O26" i="1" s="1"/>
  <c r="P22" i="1" s="1"/>
  <c r="P26" i="1" s="1"/>
  <c r="Q22" i="1" s="1"/>
  <c r="Q26" i="1" s="1"/>
  <c r="R22" i="1" s="1"/>
  <c r="R26" i="1" s="1"/>
  <c r="S22" i="1" s="1"/>
  <c r="S26" i="1" s="1"/>
  <c r="T22" i="1" s="1"/>
  <c r="T26" i="1" s="1"/>
  <c r="U22" i="1" s="1"/>
  <c r="U26" i="1" s="1"/>
  <c r="V22" i="1" s="1"/>
  <c r="V26" i="1" s="1"/>
  <c r="W22" i="1" s="1"/>
  <c r="W26" i="1" s="1"/>
  <c r="X22" i="1" s="1"/>
  <c r="X26" i="1" s="1"/>
  <c r="Y22" i="1" s="1"/>
  <c r="Y26" i="1" s="1"/>
  <c r="Z22" i="1" s="1"/>
  <c r="Z26" i="1" s="1"/>
  <c r="AA22" i="1" s="1"/>
  <c r="AA26" i="1" s="1"/>
  <c r="AB22" i="1" s="1"/>
  <c r="AB26" i="1" s="1"/>
  <c r="AC22" i="1" s="1"/>
  <c r="AC26" i="1" s="1"/>
  <c r="AD22" i="1" s="1"/>
  <c r="AD26" i="1" s="1"/>
  <c r="AE22" i="1" s="1"/>
  <c r="AE26" i="1" s="1"/>
  <c r="AF22" i="1" s="1"/>
  <c r="AF26" i="1" s="1"/>
  <c r="AG22" i="1" s="1"/>
  <c r="AG26" i="1" s="1"/>
  <c r="AH22" i="1" s="1"/>
  <c r="AH26" i="1" s="1"/>
  <c r="AI22" i="1" s="1"/>
  <c r="AI26" i="1" s="1"/>
  <c r="AJ22" i="1" s="1"/>
  <c r="AJ26" i="1" s="1"/>
  <c r="AK22" i="1" s="1"/>
  <c r="AK26" i="1" s="1"/>
  <c r="AL22" i="1" s="1"/>
  <c r="AL26" i="1" s="1"/>
  <c r="AM22" i="1" s="1"/>
  <c r="AM26" i="1" s="1"/>
  <c r="AN22" i="1" s="1"/>
  <c r="AN26" i="1" s="1"/>
  <c r="B31" i="1"/>
  <c r="B32" i="1" s="1"/>
  <c r="B33" i="1" s="1"/>
  <c r="C29" i="1" s="1"/>
  <c r="C33" i="1" s="1"/>
  <c r="D29" i="1" s="1"/>
  <c r="D33" i="1" s="1"/>
  <c r="E29" i="1" s="1"/>
  <c r="D2" i="2"/>
  <c r="D3" i="2"/>
  <c r="D4" i="2"/>
  <c r="D5" i="2"/>
  <c r="D7" i="2"/>
  <c r="D8" i="2"/>
  <c r="E31" i="1"/>
  <c r="E32" i="1" s="1"/>
  <c r="E25" i="1"/>
  <c r="E33" i="1" l="1"/>
  <c r="F29" i="1" s="1"/>
  <c r="F33" i="1" s="1"/>
  <c r="G29" i="1" s="1"/>
  <c r="G33" i="1" s="1"/>
  <c r="H29" i="1" s="1"/>
  <c r="H33" i="1" s="1"/>
  <c r="I29" i="1" s="1"/>
  <c r="I33" i="1" s="1"/>
  <c r="J29" i="1" s="1"/>
  <c r="J33" i="1" s="1"/>
  <c r="K29" i="1" s="1"/>
  <c r="K33" i="1" s="1"/>
  <c r="L29" i="1" s="1"/>
  <c r="L33" i="1" s="1"/>
  <c r="M29" i="1" s="1"/>
  <c r="M33" i="1" s="1"/>
  <c r="N29" i="1" s="1"/>
  <c r="N33" i="1" s="1"/>
  <c r="O29" i="1" s="1"/>
  <c r="O33" i="1" s="1"/>
  <c r="P29" i="1" s="1"/>
  <c r="P33" i="1" s="1"/>
  <c r="Q29" i="1" s="1"/>
  <c r="Q33" i="1" s="1"/>
  <c r="R29" i="1" s="1"/>
  <c r="R33" i="1" s="1"/>
  <c r="S29" i="1" s="1"/>
  <c r="S33" i="1" s="1"/>
  <c r="T29" i="1" s="1"/>
  <c r="T33" i="1" s="1"/>
  <c r="U29" i="1" s="1"/>
  <c r="U33" i="1" s="1"/>
  <c r="V29" i="1" s="1"/>
  <c r="V33" i="1" s="1"/>
  <c r="W29" i="1" s="1"/>
  <c r="W33" i="1" s="1"/>
  <c r="X29" i="1" s="1"/>
  <c r="X33" i="1" s="1"/>
  <c r="Y29" i="1" s="1"/>
  <c r="Y33" i="1" s="1"/>
  <c r="Z29" i="1" s="1"/>
  <c r="Z33" i="1" s="1"/>
  <c r="AA29" i="1" s="1"/>
  <c r="AA33" i="1" s="1"/>
  <c r="AB29" i="1" s="1"/>
  <c r="AB33" i="1" s="1"/>
  <c r="AC29" i="1" s="1"/>
  <c r="AC33" i="1" s="1"/>
  <c r="AD29" i="1" s="1"/>
  <c r="AD33" i="1" s="1"/>
  <c r="AE29" i="1" s="1"/>
  <c r="AE33" i="1" s="1"/>
  <c r="AF29" i="1" s="1"/>
  <c r="AF33" i="1" s="1"/>
  <c r="AG29" i="1" s="1"/>
  <c r="AG33" i="1" s="1"/>
  <c r="AH29" i="1" s="1"/>
  <c r="AH33" i="1" s="1"/>
  <c r="AI29" i="1" s="1"/>
  <c r="AI33" i="1" s="1"/>
  <c r="AJ29" i="1" s="1"/>
  <c r="AJ33" i="1" s="1"/>
  <c r="AK29" i="1" s="1"/>
  <c r="AK33" i="1" s="1"/>
  <c r="AL29" i="1" s="1"/>
  <c r="AL33" i="1" s="1"/>
  <c r="AM29" i="1" s="1"/>
  <c r="AM33" i="1" s="1"/>
  <c r="AN29" i="1" s="1"/>
  <c r="AN33" i="1" s="1"/>
</calcChain>
</file>

<file path=xl/sharedStrings.xml><?xml version="1.0" encoding="utf-8"?>
<sst xmlns="http://schemas.openxmlformats.org/spreadsheetml/2006/main" count="380" uniqueCount="139">
  <si>
    <t>Cash Flow Forecast
Autumn Term</t>
  </si>
  <si>
    <t>Cash Flow Forecast
Winter Break</t>
  </si>
  <si>
    <t>Cash Flow Forecast
Spring Term</t>
  </si>
  <si>
    <t>Cash Flow Forecast
Spring Break</t>
  </si>
  <si>
    <t>Cash Flow Forecast
Summer Term</t>
  </si>
  <si>
    <t>Relative Week Number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</si>
  <si>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</si>
  <si>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</si>
  <si>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</si>
  <si>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</si>
  <si>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</si>
  <si>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</si>
  <si>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</si>
  <si>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</si>
  <si>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</si>
  <si>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</si>
  <si>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Week Number</t>
  </si>
  <si>
    <t>Cash In</t>
  </si>
  <si>
    <t>Bank Loan</t>
  </si>
  <si>
    <t>Contracts In</t>
  </si>
  <si>
    <t>Cash Out</t>
  </si>
  <si>
    <t>Hourly Wage</t>
  </si>
  <si>
    <t>Total Hours</t>
  </si>
  <si>
    <t>Total Wages</t>
  </si>
  <si>
    <t>Loan Interest</t>
  </si>
  <si>
    <t>Marketing Campaign</t>
  </si>
  <si>
    <t>Contracts Out</t>
  </si>
  <si>
    <t>Rent</t>
  </si>
  <si>
    <t>Rent Out</t>
  </si>
  <si>
    <t>Utilities</t>
  </si>
  <si>
    <t>Utilities Out</t>
  </si>
  <si>
    <t>IT Infrastructure</t>
  </si>
  <si>
    <t>IT Infrastructure Out</t>
  </si>
  <si>
    <t>Opening Balance</t>
  </si>
  <si>
    <t>Net Flow</t>
  </si>
  <si>
    <t>Closing Balance</t>
  </si>
  <si>
    <t>Cash In (without Bank Loan)</t>
  </si>
  <si>
    <t>Net Flow (without Bank Loan)</t>
  </si>
  <si>
    <t>Closing Balance (without Bank Loan)</t>
  </si>
  <si>
    <t>Total Expendature</t>
  </si>
  <si>
    <t>Desired Bank Loan</t>
  </si>
  <si>
    <t>Interest (APR)</t>
  </si>
  <si>
    <t>Weekly Interest</t>
  </si>
  <si>
    <t>Square Footage</t>
  </si>
  <si>
    <t>Annual charge</t>
  </si>
  <si>
    <t>Weekly Charge</t>
  </si>
  <si>
    <t>Total Wages Out</t>
  </si>
  <si>
    <t>Total Loan Interest</t>
  </si>
  <si>
    <t>Total Marketing Campaign</t>
  </si>
  <si>
    <t>Total Contracts Out</t>
  </si>
  <si>
    <t>Total Rent Out</t>
  </si>
  <si>
    <t>Total Utilities Out</t>
  </si>
  <si>
    <t>Total IT Infrastructure Out</t>
  </si>
  <si>
    <t>Overhead Calculations</t>
  </si>
  <si>
    <t>Overhead Costs</t>
  </si>
  <si>
    <t>Contracts Cost</t>
  </si>
  <si>
    <t>Number of Workers</t>
  </si>
  <si>
    <t>Wage</t>
  </si>
  <si>
    <t>Number of Hours</t>
  </si>
  <si>
    <t>Overheads</t>
  </si>
  <si>
    <t>Day</t>
  </si>
  <si>
    <t>Days the hours are spread across</t>
  </si>
  <si>
    <t>Profit</t>
  </si>
  <si>
    <t>Hourly Rate</t>
  </si>
  <si>
    <t>Total Overheads</t>
  </si>
  <si>
    <t>Total</t>
  </si>
  <si>
    <t>Weekly Total Rent</t>
  </si>
  <si>
    <t>Hours</t>
  </si>
  <si>
    <t>Percentage Profit</t>
  </si>
  <si>
    <t>Weekly Total Utilities Payment</t>
  </si>
  <si>
    <t>Overhead Recovery Rate (£/hour)</t>
  </si>
  <si>
    <t>2 Days utilities for 1 employee</t>
  </si>
  <si>
    <t>Weekly Total IT Infrastructure Payment</t>
  </si>
  <si>
    <t>Projected Hours
Autumn Term</t>
  </si>
  <si>
    <t>Projected Hours
Winter Break</t>
  </si>
  <si>
    <t>Projected Hours
Spring Term</t>
  </si>
  <si>
    <t>Projected Hours
Spring Break</t>
  </si>
  <si>
    <t>Projected Hours
Summer Term</t>
  </si>
  <si>
    <t>Relative Week</t>
  </si>
  <si>
    <t>Total Weeks</t>
  </si>
  <si>
    <t>Project Manager</t>
  </si>
  <si>
    <t>Connall</t>
  </si>
  <si>
    <t>Project Manager Total</t>
  </si>
  <si>
    <t>Finance</t>
  </si>
  <si>
    <t>Tom</t>
  </si>
  <si>
    <t>Ophelia</t>
  </si>
  <si>
    <t>Finance Total</t>
  </si>
  <si>
    <t>Documentation</t>
  </si>
  <si>
    <t>Ana</t>
  </si>
  <si>
    <t>Documentation Total</t>
  </si>
  <si>
    <t>QA</t>
  </si>
  <si>
    <t>Ethan</t>
  </si>
  <si>
    <t>Roman</t>
  </si>
  <si>
    <t>QA Total</t>
  </si>
  <si>
    <t>Software</t>
  </si>
  <si>
    <t>Giuseppe</t>
  </si>
  <si>
    <t>Harry</t>
  </si>
  <si>
    <t>Alan</t>
  </si>
  <si>
    <t>Oscar</t>
  </si>
  <si>
    <t>Dawid</t>
  </si>
  <si>
    <t>Software Total</t>
  </si>
  <si>
    <t>Marketing</t>
  </si>
  <si>
    <t>Marketing Total</t>
  </si>
  <si>
    <t>Media</t>
  </si>
  <si>
    <t>Media Total</t>
  </si>
  <si>
    <t>Total Time</t>
  </si>
  <si>
    <t>Connall Total</t>
  </si>
  <si>
    <t>Giuseppe Total</t>
  </si>
  <si>
    <t>Ethan Total</t>
  </si>
  <si>
    <t>Oscar Total</t>
  </si>
  <si>
    <t>Harry Total</t>
  </si>
  <si>
    <t>Ophelia Total</t>
  </si>
  <si>
    <t>Roman Total</t>
  </si>
  <si>
    <t>Ana Total</t>
  </si>
  <si>
    <t>Tom Total</t>
  </si>
  <si>
    <t>Dawid Total</t>
  </si>
  <si>
    <t>Alan Total</t>
  </si>
  <si>
    <t>Projected Weekly Total Hours By Team Member</t>
  </si>
  <si>
    <t>Projected Total</t>
  </si>
  <si>
    <t>Actual Weekly Total Hours By Team Member</t>
  </si>
  <si>
    <t>Actual Hours
Autumn Term</t>
  </si>
  <si>
    <t>Actual Hours
Winter Break</t>
  </si>
  <si>
    <t>Actual Hours
Spring Term</t>
  </si>
  <si>
    <t xml:space="preserve">Oscar Total </t>
  </si>
  <si>
    <t>Actual Total</t>
  </si>
  <si>
    <t>Variance Between Weekly Predicted and Actual Total Hours By Department</t>
  </si>
  <si>
    <t>Variance Hours
Autumn Term</t>
  </si>
  <si>
    <t>Variance Hours
Winter Break</t>
  </si>
  <si>
    <t>Total Variance</t>
  </si>
  <si>
    <t>Projected Weekly Total Hours By Department</t>
  </si>
  <si>
    <t>Actual Weekly Total Hours By Department</t>
  </si>
  <si>
    <t>Variance Hours
Spring Term</t>
  </si>
  <si>
    <t>Project Manager Variance</t>
  </si>
  <si>
    <t>Documentation Variance</t>
  </si>
  <si>
    <t>Media Variance</t>
  </si>
  <si>
    <t>Marketing Variance</t>
  </si>
  <si>
    <t>Finance Variance</t>
  </si>
  <si>
    <t>QA Variance</t>
  </si>
  <si>
    <t>Software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</si>
</sst>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0" x14ac:knownFonts="1"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1"/>
      <color theme="1"/>
      <name val="Arial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/>
    <xf numFmtId="10" fontId="5" fillId="1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4" fillId="13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7" borderId="2" xfId="0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4" fillId="33" borderId="2" xfId="0" applyFont="1" applyFill="1" applyBorder="1" applyAlignment="1">
      <alignment horizontal="center" vertical="center"/>
    </xf>
    <xf numFmtId="0" fontId="4" fillId="34" borderId="2" xfId="0" applyFont="1" applyFill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GB" b="0">
                <a:solidFill>
                  <a:srgbClr val="000000"/>
                </a:solidFill>
                <a:latin typeface="+mn-lt"/>
              </a:rPr>
              <a:t>Chart Showing the Weekly Closing Balance Both With and Without the Desired Loan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With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Forecast'!$B$26:$AN$26</c:f>
              <c:numCache>
                <c:formatCode>[$£-809]#,##0.00</c:formatCode>
                <c:ptCount val="39"/>
                <c:pt idx="0">
                  <c:v>34894.973006817629</c:v>
                </c:pt>
                <c:pt idx="1">
                  <c:v>34789.946013635257</c:v>
                </c:pt>
                <c:pt idx="2">
                  <c:v>34684.919020452886</c:v>
                </c:pt>
                <c:pt idx="3">
                  <c:v>32049.122796501284</c:v>
                </c:pt>
                <c:pt idx="4">
                  <c:v>31944.095803318913</c:v>
                </c:pt>
                <c:pt idx="5">
                  <c:v>30817.193810136541</c:v>
                </c:pt>
                <c:pt idx="6">
                  <c:v>28223.464893877244</c:v>
                </c:pt>
                <c:pt idx="7">
                  <c:v>27655.937900694873</c:v>
                </c:pt>
                <c:pt idx="8">
                  <c:v>26960.285907512502</c:v>
                </c:pt>
                <c:pt idx="9">
                  <c:v>23888.431991253205</c:v>
                </c:pt>
                <c:pt idx="10">
                  <c:v>23674.029998070833</c:v>
                </c:pt>
                <c:pt idx="11">
                  <c:v>23434.628004888462</c:v>
                </c:pt>
                <c:pt idx="12">
                  <c:v>23329.601011706091</c:v>
                </c:pt>
                <c:pt idx="13">
                  <c:v>23143.324018523719</c:v>
                </c:pt>
                <c:pt idx="14">
                  <c:v>22957.047025341348</c:v>
                </c:pt>
                <c:pt idx="15">
                  <c:v>22267.645032158976</c:v>
                </c:pt>
                <c:pt idx="16">
                  <c:v>21750.118038976605</c:v>
                </c:pt>
                <c:pt idx="17">
                  <c:v>20798.216045794234</c:v>
                </c:pt>
                <c:pt idx="18">
                  <c:v>14358.333283381093</c:v>
                </c:pt>
                <c:pt idx="19">
                  <c:v>13440.806290198721</c:v>
                </c:pt>
                <c:pt idx="20">
                  <c:v>10817.02929701635</c:v>
                </c:pt>
                <c:pt idx="21">
                  <c:v>7720.1753807570549</c:v>
                </c:pt>
                <c:pt idx="22">
                  <c:v>6877.6483875746826</c:v>
                </c:pt>
                <c:pt idx="23">
                  <c:v>5885.1213943923103</c:v>
                </c:pt>
                <c:pt idx="24">
                  <c:v>2488.2674781330147</c:v>
                </c:pt>
                <c:pt idx="25">
                  <c:v>2383.2404849506424</c:v>
                </c:pt>
                <c:pt idx="26">
                  <c:v>2278.2134917682702</c:v>
                </c:pt>
                <c:pt idx="27">
                  <c:v>2173.1864985858979</c:v>
                </c:pt>
                <c:pt idx="28">
                  <c:v>2068.1595054035256</c:v>
                </c:pt>
                <c:pt idx="29">
                  <c:v>17429.619401246859</c:v>
                </c:pt>
                <c:pt idx="30">
                  <c:v>16948.579297090193</c:v>
                </c:pt>
                <c:pt idx="31">
                  <c:v>16280.039192933526</c:v>
                </c:pt>
                <c:pt idx="32">
                  <c:v>10749.960627238397</c:v>
                </c:pt>
                <c:pt idx="33">
                  <c:v>10231.42052308173</c:v>
                </c:pt>
                <c:pt idx="34">
                  <c:v>7987.8804189250623</c:v>
                </c:pt>
                <c:pt idx="35">
                  <c:v>5433.763391691472</c:v>
                </c:pt>
                <c:pt idx="36">
                  <c:v>4302.7232875348045</c:v>
                </c:pt>
                <c:pt idx="37">
                  <c:v>4146.6831833781371</c:v>
                </c:pt>
                <c:pt idx="38">
                  <c:v>1492.5661561445463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97-497B-908B-D0E69CC55383}"/>
            </c:ext>
          </c:extLst>
        </c:ser>
        <c:ser>
          <c:idx val="1"/>
          <c:order val="1"/>
          <c:tx>
            <c:v>Without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Forecast'!$B$33:$AN$33</c:f>
              <c:numCache>
                <c:formatCode>[$£-809]#,##0.00</c:formatCode>
                <c:ptCount val="39"/>
                <c:pt idx="0">
                  <c:v>-105.02699318237218</c:v>
                </c:pt>
                <c:pt idx="1">
                  <c:v>-210.05398636474436</c:v>
                </c:pt>
                <c:pt idx="2">
                  <c:v>-315.08097954711656</c:v>
                </c:pt>
                <c:pt idx="3">
                  <c:v>-2950.8772034987196</c:v>
                </c:pt>
                <c:pt idx="4">
                  <c:v>-3055.9041966810919</c:v>
                </c:pt>
                <c:pt idx="5">
                  <c:v>-4182.8061898634642</c:v>
                </c:pt>
                <c:pt idx="6">
                  <c:v>-6776.5351061227593</c:v>
                </c:pt>
                <c:pt idx="7">
                  <c:v>-7344.0620993051316</c:v>
                </c:pt>
                <c:pt idx="8">
                  <c:v>-8039.7140924875039</c:v>
                </c:pt>
                <c:pt idx="9">
                  <c:v>-11111.568008746799</c:v>
                </c:pt>
                <c:pt idx="10">
                  <c:v>-11325.97000192917</c:v>
                </c:pt>
                <c:pt idx="11">
                  <c:v>-11565.371995111542</c:v>
                </c:pt>
                <c:pt idx="12">
                  <c:v>-11670.398988293913</c:v>
                </c:pt>
                <c:pt idx="13">
                  <c:v>-11856.675981476285</c:v>
                </c:pt>
                <c:pt idx="14">
                  <c:v>-12042.952974658656</c:v>
                </c:pt>
                <c:pt idx="15">
                  <c:v>-12732.354967841027</c:v>
                </c:pt>
                <c:pt idx="16">
                  <c:v>-13249.881961023399</c:v>
                </c:pt>
                <c:pt idx="17">
                  <c:v>-14201.78395420577</c:v>
                </c:pt>
                <c:pt idx="18">
                  <c:v>-20641.666716618911</c:v>
                </c:pt>
                <c:pt idx="19">
                  <c:v>-21309.193709801282</c:v>
                </c:pt>
                <c:pt idx="20">
                  <c:v>-24182.970702983654</c:v>
                </c:pt>
                <c:pt idx="21">
                  <c:v>-27279.824619242951</c:v>
                </c:pt>
                <c:pt idx="22">
                  <c:v>-28122.351612425322</c:v>
                </c:pt>
                <c:pt idx="23">
                  <c:v>-28614.878605607693</c:v>
                </c:pt>
                <c:pt idx="24">
                  <c:v>-32511.73252186699</c:v>
                </c:pt>
                <c:pt idx="25">
                  <c:v>-32616.759515049362</c:v>
                </c:pt>
                <c:pt idx="26">
                  <c:v>-32721.786508231733</c:v>
                </c:pt>
                <c:pt idx="27">
                  <c:v>-32826.813501414108</c:v>
                </c:pt>
                <c:pt idx="28">
                  <c:v>-32681.840494596479</c:v>
                </c:pt>
                <c:pt idx="29">
                  <c:v>-34570.380598753145</c:v>
                </c:pt>
                <c:pt idx="30">
                  <c:v>-35051.420702909811</c:v>
                </c:pt>
                <c:pt idx="31">
                  <c:v>-35719.960807066476</c:v>
                </c:pt>
                <c:pt idx="32">
                  <c:v>-41250.039372761603</c:v>
                </c:pt>
                <c:pt idx="33">
                  <c:v>-41768.579476918268</c:v>
                </c:pt>
                <c:pt idx="34">
                  <c:v>-44012.119581074934</c:v>
                </c:pt>
                <c:pt idx="35">
                  <c:v>-46566.236608308522</c:v>
                </c:pt>
                <c:pt idx="36">
                  <c:v>-47697.276712465187</c:v>
                </c:pt>
                <c:pt idx="37">
                  <c:v>-47853.316816621853</c:v>
                </c:pt>
                <c:pt idx="38">
                  <c:v>-50507.433843855441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597-497B-908B-D0E69CC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83264"/>
        <c:axId val="725471527"/>
      </c:barChart>
      <c:catAx>
        <c:axId val="1743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Week Number (From Week 1 April)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471527"/>
        <c:crosses val="autoZero"/>
        <c:auto val="1"/>
        <c:lblAlgn val="ctr"/>
        <c:lblOffset val="100"/>
        <c:noMultiLvlLbl val="1"/>
      </c:catAx>
      <c:valAx>
        <c:axId val="72547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Closing Balance (£)</a:t>
                </a:r>
              </a:p>
            </c:rich>
          </c:tx>
          <c:overlay val="0"/>
        </c:title>
        <c:numFmt formatCode="[$£-809]#,##0.00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3832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Ana's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DD9-412B-87FD-DE0A8A89B651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(Individuals)'!$B$46:$X$46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0.75</c:v>
                </c:pt>
                <c:pt idx="21">
                  <c:v>-2.25</c:v>
                </c:pt>
                <c:pt idx="22">
                  <c:v>-7.5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D9-412B-87FD-DE0A8A89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447652"/>
        <c:axId val="1184503582"/>
      </c:barChart>
      <c:catAx>
        <c:axId val="963447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4503582"/>
        <c:crosses val="autoZero"/>
        <c:auto val="1"/>
        <c:lblAlgn val="ctr"/>
        <c:lblOffset val="100"/>
        <c:noMultiLvlLbl val="1"/>
      </c:catAx>
      <c:valAx>
        <c:axId val="1184503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4476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Tom's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3C5-424F-AB8F-C7CC12FB36E9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(Individuals)'!$B$47:$X$47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-3</c:v>
                </c:pt>
                <c:pt idx="21">
                  <c:v>2.75</c:v>
                </c:pt>
                <c:pt idx="22">
                  <c:v>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3C5-424F-AB8F-C7CC12FB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348782"/>
        <c:axId val="8280392"/>
      </c:barChart>
      <c:catAx>
        <c:axId val="1462348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0392"/>
        <c:crosses val="autoZero"/>
        <c:auto val="1"/>
        <c:lblAlgn val="ctr"/>
        <c:lblOffset val="100"/>
        <c:noMultiLvlLbl val="1"/>
      </c:catAx>
      <c:valAx>
        <c:axId val="8280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3487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Dawid's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10E-462F-81D8-E001322E0E42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(Individuals)'!$B$48:$X$48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-7.75</c:v>
                </c:pt>
                <c:pt idx="22">
                  <c:v>-7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0E-462F-81D8-E001322E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202179"/>
        <c:axId val="30657431"/>
      </c:barChart>
      <c:catAx>
        <c:axId val="122020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657431"/>
        <c:crosses val="autoZero"/>
        <c:auto val="1"/>
        <c:lblAlgn val="ctr"/>
        <c:lblOffset val="100"/>
        <c:noMultiLvlLbl val="1"/>
      </c:catAx>
      <c:valAx>
        <c:axId val="30657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02021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Alan's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08D-4980-8BBD-64748993540B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(Individuals)'!$B$49:$X$49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8D-4980-8BBD-64748993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688033"/>
        <c:axId val="1698142946"/>
      </c:barChart>
      <c:catAx>
        <c:axId val="112568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8142946"/>
        <c:crosses val="autoZero"/>
        <c:auto val="1"/>
        <c:lblAlgn val="ctr"/>
        <c:lblOffset val="100"/>
        <c:noMultiLvlLbl val="1"/>
      </c:catAx>
      <c:valAx>
        <c:axId val="169814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56880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Actual vs Projected Total Weekly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4B8-4BC1-B819-5B50050F0B1E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(Department)'!$B$12:$X$12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51.25</c:v>
                </c:pt>
                <c:pt idx="19">
                  <c:v>65</c:v>
                </c:pt>
                <c:pt idx="20">
                  <c:v>69.5</c:v>
                </c:pt>
                <c:pt idx="21">
                  <c:v>87.5</c:v>
                </c:pt>
                <c:pt idx="22">
                  <c:v>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B8-4BC1-B819-5B50050F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746561"/>
        <c:axId val="463605962"/>
      </c:barChart>
      <c:lineChart>
        <c:grouping val="standard"/>
        <c:varyColors val="0"/>
        <c:ser>
          <c:idx val="1"/>
          <c:order val="1"/>
          <c:tx>
            <c:v>Actual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(Department)'!$B$25:$X$25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52</c:v>
                </c:pt>
                <c:pt idx="19">
                  <c:v>55.25</c:v>
                </c:pt>
                <c:pt idx="20">
                  <c:v>66.5</c:v>
                </c:pt>
                <c:pt idx="21">
                  <c:v>88.5</c:v>
                </c:pt>
                <c:pt idx="22">
                  <c:v>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8-4BC1-B819-5B50050F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46561"/>
        <c:axId val="463605962"/>
      </c:lineChart>
      <c:catAx>
        <c:axId val="1224746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605962"/>
        <c:crosses val="autoZero"/>
        <c:auto val="1"/>
        <c:lblAlgn val="ctr"/>
        <c:lblOffset val="100"/>
        <c:noMultiLvlLbl val="1"/>
      </c:catAx>
      <c:valAx>
        <c:axId val="463605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746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4BB-4120-B093-A5FC4C3DF4C8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(Department)'!$B$38:$X$38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-0.75</c:v>
                </c:pt>
                <c:pt idx="19">
                  <c:v>9.75</c:v>
                </c:pt>
                <c:pt idx="20">
                  <c:v>3</c:v>
                </c:pt>
                <c:pt idx="21">
                  <c:v>-1</c:v>
                </c:pt>
                <c:pt idx="22">
                  <c:v>-9.75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4BB-4120-B093-A5FC4C3D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159042"/>
        <c:axId val="2001220664"/>
      </c:barChart>
      <c:catAx>
        <c:axId val="712159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220664"/>
        <c:crosses val="autoZero"/>
        <c:auto val="1"/>
        <c:lblAlgn val="ctr"/>
        <c:lblOffset val="100"/>
        <c:noMultiLvlLbl val="1"/>
      </c:catAx>
      <c:valAx>
        <c:axId val="200122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21590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Project Manager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2C7-4D69-A954-74DA98A86CEB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(Department)'!$B$31:$X$31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</c:v>
                </c:pt>
                <c:pt idx="19">
                  <c:v>-2.5</c:v>
                </c:pt>
                <c:pt idx="20">
                  <c:v>-5</c:v>
                </c:pt>
                <c:pt idx="21">
                  <c:v>-3.25</c:v>
                </c:pt>
                <c:pt idx="2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C7-4D69-A954-74DA98A8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86324"/>
        <c:axId val="644956010"/>
      </c:barChart>
      <c:catAx>
        <c:axId val="1485086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4956010"/>
        <c:crosses val="autoZero"/>
        <c:auto val="1"/>
        <c:lblAlgn val="ctr"/>
        <c:lblOffset val="100"/>
        <c:noMultiLvlLbl val="1"/>
      </c:catAx>
      <c:valAx>
        <c:axId val="64495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0863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Documentation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6BD-450C-8D66-3870E8B9DD61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(Department)'!$B$32:$X$32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</c:v>
                </c:pt>
                <c:pt idx="19">
                  <c:v>3</c:v>
                </c:pt>
                <c:pt idx="20">
                  <c:v>-0.75</c:v>
                </c:pt>
                <c:pt idx="21">
                  <c:v>1.75</c:v>
                </c:pt>
                <c:pt idx="22">
                  <c:v>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BD-450C-8D66-3870E8B9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5043"/>
        <c:axId val="772083064"/>
      </c:barChart>
      <c:catAx>
        <c:axId val="147875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2083064"/>
        <c:crosses val="autoZero"/>
        <c:auto val="1"/>
        <c:lblAlgn val="ctr"/>
        <c:lblOffset val="100"/>
        <c:noMultiLvlLbl val="1"/>
      </c:catAx>
      <c:valAx>
        <c:axId val="772083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8750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Media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1F5-4031-BB57-FC852E902A96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(Department)'!$B$33:$X$33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-12.5</c:v>
                </c:pt>
                <c:pt idx="22">
                  <c:v>-11.75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1F5-4031-BB57-FC852E90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686451"/>
        <c:axId val="1865474343"/>
      </c:barChart>
      <c:catAx>
        <c:axId val="78768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474343"/>
        <c:crosses val="autoZero"/>
        <c:auto val="1"/>
        <c:lblAlgn val="ctr"/>
        <c:lblOffset val="100"/>
        <c:noMultiLvlLbl val="1"/>
      </c:catAx>
      <c:valAx>
        <c:axId val="186547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6864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Marketing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772-4469-9AC2-FDACB41B7C09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(Department)'!$B$34:$X$34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</c:v>
                </c:pt>
                <c:pt idx="19">
                  <c:v>1</c:v>
                </c:pt>
                <c:pt idx="20">
                  <c:v>-0.5</c:v>
                </c:pt>
                <c:pt idx="21">
                  <c:v>5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72-4469-9AC2-FDACB41B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42341"/>
        <c:axId val="1499154422"/>
      </c:barChart>
      <c:catAx>
        <c:axId val="60094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9154422"/>
        <c:crosses val="autoZero"/>
        <c:auto val="1"/>
        <c:lblAlgn val="ctr"/>
        <c:lblOffset val="100"/>
        <c:noMultiLvlLbl val="1"/>
      </c:catAx>
      <c:valAx>
        <c:axId val="1499154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942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Chart Showing the Predicted Breakdown of Costs During Development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241-4675-93F9-E8F00346144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241-4675-93F9-E8F00346144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241-4675-93F9-E8F00346144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241-4675-93F9-E8F00346144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241-4675-93F9-E8F00346144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241-4675-93F9-E8F00346144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241-4675-93F9-E8F00346144A}"/>
              </c:ext>
            </c:extLst>
          </c:dPt>
          <c:val>
            <c:numRef>
              <c:f>'Cost Breakdown'!$C$2:$C$8</c:f>
              <c:numCache>
                <c:formatCode>[$£-809]#,##0.00</c:formatCode>
                <c:ptCount val="7"/>
                <c:pt idx="0">
                  <c:v>14156.25</c:v>
                </c:pt>
                <c:pt idx="1">
                  <c:v>4606.1838438554696</c:v>
                </c:pt>
                <c:pt idx="2">
                  <c:v>1120</c:v>
                </c:pt>
                <c:pt idx="3">
                  <c:v>1100</c:v>
                </c:pt>
                <c:pt idx="4">
                  <c:v>24675</c:v>
                </c:pt>
                <c:pt idx="5">
                  <c:v>1950</c:v>
                </c:pt>
                <c:pt idx="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41-4675-93F9-E8F00346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Finance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79A-466F-A95C-D9D82C252E27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(Department)'!$B$35:$X$35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0</c:v>
                </c:pt>
                <c:pt idx="20">
                  <c:v>-3.75</c:v>
                </c:pt>
                <c:pt idx="21">
                  <c:v>-0.5</c:v>
                </c:pt>
                <c:pt idx="2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9A-466F-A95C-D9D82C25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521325"/>
        <c:axId val="1326159616"/>
      </c:barChart>
      <c:catAx>
        <c:axId val="1482521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159616"/>
        <c:crosses val="autoZero"/>
        <c:auto val="1"/>
        <c:lblAlgn val="ctr"/>
        <c:lblOffset val="100"/>
        <c:noMultiLvlLbl val="1"/>
      </c:catAx>
      <c:valAx>
        <c:axId val="132615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521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QA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A46-4435-96BA-31B81A80423C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(Department)'!$B$36:$X$36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-3.5</c:v>
                </c:pt>
                <c:pt idx="19">
                  <c:v>-0.75</c:v>
                </c:pt>
                <c:pt idx="20">
                  <c:v>-2.5</c:v>
                </c:pt>
                <c:pt idx="21">
                  <c:v>-3.5</c:v>
                </c:pt>
                <c:pt idx="22">
                  <c:v>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46-4435-96BA-31B81A80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437487"/>
        <c:axId val="1297850235"/>
      </c:barChart>
      <c:catAx>
        <c:axId val="73143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850235"/>
        <c:crosses val="autoZero"/>
        <c:auto val="1"/>
        <c:lblAlgn val="ctr"/>
        <c:lblOffset val="100"/>
        <c:noMultiLvlLbl val="1"/>
      </c:catAx>
      <c:valAx>
        <c:axId val="1297850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4374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Software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078-4A82-B2C5-D7CB20C77BBA}"/>
              </c:ext>
            </c:extLst>
          </c:dPt>
          <c:cat>
            <c:numRef>
              <c:f>'Variance (Department)'!$B$4:$X$4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(Department)'!$B$37:$X$37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14.5</c:v>
                </c:pt>
                <c:pt idx="21">
                  <c:v>12</c:v>
                </c:pt>
                <c:pt idx="22">
                  <c:v>-9.25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78-4A82-B2C5-D7CB20C7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30453"/>
        <c:axId val="2131836332"/>
      </c:barChart>
      <c:catAx>
        <c:axId val="700030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836332"/>
        <c:crosses val="autoZero"/>
        <c:auto val="1"/>
        <c:lblAlgn val="ctr"/>
        <c:lblOffset val="100"/>
        <c:noMultiLvlLbl val="1"/>
      </c:catAx>
      <c:valAx>
        <c:axId val="2131836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00304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Giuseppe's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102-47F2-B069-C9F3DFDD926F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(Individuals)'!$B$40:$X$40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-8.25</c:v>
                </c:pt>
                <c:pt idx="20">
                  <c:v>-0.5</c:v>
                </c:pt>
                <c:pt idx="21">
                  <c:v>-4</c:v>
                </c:pt>
                <c:pt idx="22">
                  <c:v>-4.75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02-47F2-B069-C9F3DFDD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23271"/>
        <c:axId val="1363504729"/>
      </c:barChart>
      <c:catAx>
        <c:axId val="432123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504729"/>
        <c:crosses val="autoZero"/>
        <c:auto val="1"/>
        <c:lblAlgn val="ctr"/>
        <c:lblOffset val="100"/>
        <c:noMultiLvlLbl val="1"/>
      </c:catAx>
      <c:valAx>
        <c:axId val="136350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1232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Ethan's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E70-4E77-839C-C1156ACB20F0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(Individuals)'!$B$41:$X$41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2.5</c:v>
                </c:pt>
                <c:pt idx="22">
                  <c:v>1.25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70-4E77-839C-C1156ACB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586729"/>
        <c:axId val="1319205532"/>
      </c:barChart>
      <c:catAx>
        <c:axId val="666586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205532"/>
        <c:crosses val="autoZero"/>
        <c:auto val="1"/>
        <c:lblAlgn val="ctr"/>
        <c:lblOffset val="100"/>
        <c:noMultiLvlLbl val="1"/>
      </c:catAx>
      <c:valAx>
        <c:axId val="131920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5867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Connall's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7E1-4875-B686-4784DF4C38FF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(Individuals)'!$B$39:$X$39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2.5</c:v>
                </c:pt>
                <c:pt idx="20">
                  <c:v>-2</c:v>
                </c:pt>
                <c:pt idx="21">
                  <c:v>1.75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E1-4875-B686-4784DF4C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270"/>
        <c:axId val="1604726688"/>
      </c:barChart>
      <c:catAx>
        <c:axId val="2408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726688"/>
        <c:crosses val="autoZero"/>
        <c:auto val="1"/>
        <c:lblAlgn val="ctr"/>
        <c:lblOffset val="100"/>
        <c:noMultiLvlLbl val="1"/>
      </c:catAx>
      <c:valAx>
        <c:axId val="160472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8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Oscar's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C9D-45F3-BD37-EB497DD4EABA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(Individuals)'!$B$42:$X$42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3.5</c:v>
                </c:pt>
                <c:pt idx="21">
                  <c:v>4.25</c:v>
                </c:pt>
                <c:pt idx="2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9D-45F3-BD37-EB497DD4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599065"/>
        <c:axId val="1324469747"/>
      </c:barChart>
      <c:catAx>
        <c:axId val="834599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469747"/>
        <c:crosses val="autoZero"/>
        <c:auto val="1"/>
        <c:lblAlgn val="ctr"/>
        <c:lblOffset val="100"/>
        <c:noMultiLvlLbl val="1"/>
      </c:catAx>
      <c:valAx>
        <c:axId val="1324469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599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Harry's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30B-4579-94AA-42F69A23EEE6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(Individuals)'!$B$43:$X$43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0B-4579-94AA-42F69A23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21618"/>
        <c:axId val="204786734"/>
      </c:barChart>
      <c:catAx>
        <c:axId val="1531221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786734"/>
        <c:crosses val="autoZero"/>
        <c:auto val="1"/>
        <c:lblAlgn val="ctr"/>
        <c:lblOffset val="100"/>
        <c:noMultiLvlLbl val="1"/>
      </c:catAx>
      <c:valAx>
        <c:axId val="204786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2216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Ophelia's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F47-4448-9A0E-DF0A381C92FA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(Individuals)'!$B$44:$X$44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3.25</c:v>
                </c:pt>
                <c:pt idx="20">
                  <c:v>-0.25</c:v>
                </c:pt>
                <c:pt idx="21">
                  <c:v>2.75</c:v>
                </c:pt>
                <c:pt idx="22">
                  <c:v>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F47-4448-9A0E-DF0A381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95122"/>
        <c:axId val="1368989694"/>
      </c:barChart>
      <c:catAx>
        <c:axId val="39709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8989694"/>
        <c:crosses val="autoZero"/>
        <c:auto val="1"/>
        <c:lblAlgn val="ctr"/>
        <c:lblOffset val="100"/>
        <c:noMultiLvlLbl val="1"/>
      </c:catAx>
      <c:valAx>
        <c:axId val="1368989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095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Roman's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0BB-4F0B-80F1-78EE0673D666}"/>
              </c:ext>
            </c:extLst>
          </c:dPt>
          <c:cat>
            <c:numRef>
              <c:f>'Variance (Individuals)'!$B$4:$X$4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'Variance (Individuals)'!$B$45:$X$45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-2.75</c:v>
                </c:pt>
                <c:pt idx="20">
                  <c:v>-3.5</c:v>
                </c:pt>
                <c:pt idx="21">
                  <c:v>-6</c:v>
                </c:pt>
                <c:pt idx="22">
                  <c:v>-10.75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0BB-4F0B-80F1-78EE0673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706809"/>
        <c:axId val="656901025"/>
      </c:barChart>
      <c:catAx>
        <c:axId val="1638706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6901025"/>
        <c:crosses val="autoZero"/>
        <c:auto val="1"/>
        <c:lblAlgn val="ctr"/>
        <c:lblOffset val="100"/>
        <c:noMultiLvlLbl val="1"/>
      </c:catAx>
      <c:valAx>
        <c:axId val="656901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7068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704850</xdr:colOff>
      <xdr:row>36</xdr:row>
      <xdr:rowOff>47625</xdr:rowOff>
    </xdr:from>
    <xdr:ext cx="8534400" cy="4048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180975</xdr:rowOff>
    </xdr:from>
    <xdr:ext cx="6962775" cy="41148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65</xdr:row>
      <xdr:rowOff>104775</xdr:rowOff>
    </xdr:from>
    <xdr:ext cx="4362450" cy="26955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200025</xdr:colOff>
      <xdr:row>51</xdr:row>
      <xdr:rowOff>66675</xdr:rowOff>
    </xdr:from>
    <xdr:ext cx="4362450" cy="26955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51</xdr:row>
      <xdr:rowOff>66675</xdr:rowOff>
    </xdr:from>
    <xdr:ext cx="4362450" cy="26955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200025</xdr:colOff>
      <xdr:row>65</xdr:row>
      <xdr:rowOff>104775</xdr:rowOff>
    </xdr:from>
    <xdr:ext cx="4362450" cy="26955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914400</xdr:colOff>
      <xdr:row>51</xdr:row>
      <xdr:rowOff>66675</xdr:rowOff>
    </xdr:from>
    <xdr:ext cx="4362450" cy="26955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914400</xdr:colOff>
      <xdr:row>65</xdr:row>
      <xdr:rowOff>104775</xdr:rowOff>
    </xdr:from>
    <xdr:ext cx="4362450" cy="26955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419100</xdr:colOff>
      <xdr:row>51</xdr:row>
      <xdr:rowOff>66675</xdr:rowOff>
    </xdr:from>
    <xdr:ext cx="4362450" cy="26955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419100</xdr:colOff>
      <xdr:row>65</xdr:row>
      <xdr:rowOff>104775</xdr:rowOff>
    </xdr:from>
    <xdr:ext cx="4362450" cy="26955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323850</xdr:colOff>
      <xdr:row>79</xdr:row>
      <xdr:rowOff>142875</xdr:rowOff>
    </xdr:from>
    <xdr:ext cx="4362450" cy="26955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200025</xdr:colOff>
      <xdr:row>79</xdr:row>
      <xdr:rowOff>142875</xdr:rowOff>
    </xdr:from>
    <xdr:ext cx="4362450" cy="26955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914400</xdr:colOff>
      <xdr:row>79</xdr:row>
      <xdr:rowOff>142875</xdr:rowOff>
    </xdr:from>
    <xdr:ext cx="4362450" cy="26955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1333500</xdr:colOff>
      <xdr:row>40</xdr:row>
      <xdr:rowOff>171450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552450</xdr:colOff>
      <xdr:row>40</xdr:row>
      <xdr:rowOff>180975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60</xdr:row>
      <xdr:rowOff>190500</xdr:rowOff>
    </xdr:from>
    <xdr:ext cx="5486400" cy="33528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914400</xdr:colOff>
      <xdr:row>60</xdr:row>
      <xdr:rowOff>190500</xdr:rowOff>
    </xdr:from>
    <xdr:ext cx="5486400" cy="33528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723900</xdr:colOff>
      <xdr:row>60</xdr:row>
      <xdr:rowOff>190500</xdr:rowOff>
    </xdr:from>
    <xdr:ext cx="5486400" cy="33528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590550</xdr:colOff>
      <xdr:row>60</xdr:row>
      <xdr:rowOff>190500</xdr:rowOff>
    </xdr:from>
    <xdr:ext cx="5486400" cy="33528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77</xdr:row>
      <xdr:rowOff>180975</xdr:rowOff>
    </xdr:from>
    <xdr:ext cx="5486400" cy="33528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914400</xdr:colOff>
      <xdr:row>77</xdr:row>
      <xdr:rowOff>180975</xdr:rowOff>
    </xdr:from>
    <xdr:ext cx="5429250" cy="33528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10</xdr:col>
      <xdr:colOff>723900</xdr:colOff>
      <xdr:row>78</xdr:row>
      <xdr:rowOff>38100</xdr:rowOff>
    </xdr:from>
    <xdr:ext cx="5429250" cy="329565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1"/>
      <c r="L1" s="69" t="s">
        <v>1</v>
      </c>
      <c r="M1" s="70"/>
      <c r="N1" s="70"/>
      <c r="O1" s="70"/>
      <c r="P1" s="71"/>
      <c r="Q1" s="69" t="s">
        <v>2</v>
      </c>
      <c r="R1" s="70"/>
      <c r="S1" s="70"/>
      <c r="T1" s="70"/>
      <c r="U1" s="70"/>
      <c r="V1" s="70"/>
      <c r="W1" s="70"/>
      <c r="X1" s="70"/>
      <c r="Y1" s="70"/>
      <c r="Z1" s="71"/>
      <c r="AA1" s="69" t="s">
        <v>3</v>
      </c>
      <c r="AB1" s="70"/>
      <c r="AC1" s="70"/>
      <c r="AD1" s="71"/>
      <c r="AE1" s="69" t="s">
        <v>4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>
        <v>250</v>
      </c>
      <c r="W6" s="5"/>
      <c r="X6" s="5"/>
      <c r="Y6" s="5"/>
      <c r="Z6" s="5">
        <v>500</v>
      </c>
      <c r="AA6" s="5"/>
      <c r="AB6" s="5"/>
      <c r="AC6" s="5"/>
      <c r="AD6" s="5"/>
      <c r="AE6" s="5">
        <v>250</v>
      </c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$B$39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'Projected Hours'!B46</f>
        <v>0</v>
      </c>
      <c r="C10" s="7">
        <f>'Projected Hours'!C46</f>
        <v>0</v>
      </c>
      <c r="D10" s="7">
        <f>'Projected Hours'!D46</f>
        <v>0</v>
      </c>
      <c r="E10" s="7">
        <f>'Projected Hours'!E46</f>
        <v>0</v>
      </c>
      <c r="F10" s="7">
        <f>'Projected Hours'!F46</f>
        <v>0</v>
      </c>
      <c r="G10" s="7">
        <f>'Projected Hours'!G46</f>
        <v>9.75</v>
      </c>
      <c r="H10" s="7">
        <f>'Projected Hours'!H46</f>
        <v>47.25</v>
      </c>
      <c r="I10" s="7">
        <f>'Projected Hours'!I46</f>
        <v>37</v>
      </c>
      <c r="J10" s="7">
        <f>'Projected Hours'!J46</f>
        <v>47.25</v>
      </c>
      <c r="K10" s="7">
        <f>'Projected Hours'!K46</f>
        <v>37.5</v>
      </c>
      <c r="L10" s="7">
        <f>'Projected Hours'!L46</f>
        <v>8.75</v>
      </c>
      <c r="M10" s="7">
        <f>'Projected Hours'!M46</f>
        <v>10.75</v>
      </c>
      <c r="N10" s="7">
        <f>'Projected Hours'!N46</f>
        <v>0</v>
      </c>
      <c r="O10" s="7">
        <f>'Projected Hours'!O46</f>
        <v>6.5</v>
      </c>
      <c r="P10" s="7">
        <f>'Projected Hours'!P46</f>
        <v>6.5</v>
      </c>
      <c r="Q10" s="7">
        <f>'Projected Hours'!Q46</f>
        <v>46.75</v>
      </c>
      <c r="R10" s="7">
        <f>'Projected Hours'!R46</f>
        <v>33</v>
      </c>
      <c r="S10" s="7">
        <f>'Projected Hours'!S46</f>
        <v>67.75</v>
      </c>
      <c r="T10" s="7">
        <f>'Projected Hours'!T46</f>
        <v>51.25</v>
      </c>
      <c r="U10" s="7">
        <f>'Projected Hours'!U46</f>
        <v>65</v>
      </c>
      <c r="V10" s="7">
        <f>'Projected Hours'!V46</f>
        <v>69.5</v>
      </c>
      <c r="W10" s="7">
        <f>'Projected Hours'!W46</f>
        <v>87.5</v>
      </c>
      <c r="X10" s="7">
        <f>'Projected Hours'!X46</f>
        <v>59</v>
      </c>
      <c r="Y10" s="7">
        <f>'Projected Hours'!Y46</f>
        <v>71</v>
      </c>
      <c r="Z10" s="7">
        <f>'Projected Hours'!Z46</f>
        <v>63.5</v>
      </c>
      <c r="AA10" s="7">
        <f>'Projected Hours'!AA46</f>
        <v>0</v>
      </c>
      <c r="AB10" s="7">
        <f>'Projected Hours'!AB46</f>
        <v>0</v>
      </c>
      <c r="AC10" s="7">
        <f>'Projected Hours'!AC46</f>
        <v>0</v>
      </c>
      <c r="AD10" s="7">
        <f>'Projected Hours'!AD46</f>
        <v>0</v>
      </c>
      <c r="AE10" s="7">
        <f>'Projected Hours'!AE46</f>
        <v>21</v>
      </c>
      <c r="AF10" s="7">
        <f>'Projected Hours'!AF46</f>
        <v>26</v>
      </c>
      <c r="AG10" s="7">
        <f>'Projected Hours'!AG46</f>
        <v>41</v>
      </c>
      <c r="AH10" s="7">
        <f>'Projected Hours'!AH46</f>
        <v>25</v>
      </c>
      <c r="AI10" s="7">
        <f>'Projected Hours'!AI46</f>
        <v>29</v>
      </c>
      <c r="AJ10" s="7">
        <f>'Projected Hours'!AJ46</f>
        <v>47</v>
      </c>
      <c r="AK10" s="7">
        <f>'Projected Hours'!AK46</f>
        <v>40</v>
      </c>
      <c r="AL10" s="7">
        <f>'Projected Hours'!AL46</f>
        <v>78</v>
      </c>
      <c r="AM10" s="7">
        <f>'Projected Hours'!AM46</f>
        <v>0</v>
      </c>
      <c r="AN10" s="7">
        <f>'Projected Hours'!AN46</f>
        <v>0</v>
      </c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640.625</v>
      </c>
      <c r="U11" s="5">
        <f t="shared" si="1"/>
        <v>812.5</v>
      </c>
      <c r="V11" s="5">
        <f t="shared" si="1"/>
        <v>868.75</v>
      </c>
      <c r="W11" s="5">
        <f t="shared" si="1"/>
        <v>1093.75</v>
      </c>
      <c r="X11" s="5">
        <f t="shared" si="1"/>
        <v>737.5</v>
      </c>
      <c r="Y11" s="5">
        <f t="shared" si="1"/>
        <v>887.5</v>
      </c>
      <c r="Z11" s="5">
        <f t="shared" si="1"/>
        <v>793.75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262.5</v>
      </c>
      <c r="AF11" s="5">
        <f t="shared" si="1"/>
        <v>325</v>
      </c>
      <c r="AG11" s="5">
        <f t="shared" si="1"/>
        <v>512.5</v>
      </c>
      <c r="AH11" s="5">
        <f t="shared" si="1"/>
        <v>312.5</v>
      </c>
      <c r="AI11" s="5">
        <f t="shared" si="1"/>
        <v>362.5</v>
      </c>
      <c r="AJ11" s="5">
        <f t="shared" si="1"/>
        <v>587.5</v>
      </c>
      <c r="AK11" s="5">
        <f t="shared" si="1"/>
        <v>500</v>
      </c>
      <c r="AL11" s="5">
        <f t="shared" si="1"/>
        <v>975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$B$43*$B5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$B$43*($B5+$AE$5)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250</v>
      </c>
      <c r="W14" s="5"/>
      <c r="X14" s="5"/>
      <c r="Y14" s="5"/>
      <c r="Z14" s="5">
        <v>500</v>
      </c>
      <c r="AA14" s="5"/>
      <c r="AB14" s="5"/>
      <c r="AC14" s="5"/>
      <c r="AD14" s="5"/>
      <c r="AE14" s="5">
        <v>350</v>
      </c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$B$48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$B$50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$B$51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B53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28223.464893877244</v>
      </c>
      <c r="J22" s="5">
        <f t="shared" si="7"/>
        <v>27655.937900694873</v>
      </c>
      <c r="K22" s="5">
        <f t="shared" si="7"/>
        <v>26960.285907512502</v>
      </c>
      <c r="L22" s="5">
        <f t="shared" si="7"/>
        <v>23888.431991253205</v>
      </c>
      <c r="M22" s="5">
        <f t="shared" si="7"/>
        <v>23674.029998070833</v>
      </c>
      <c r="N22" s="5">
        <f t="shared" si="7"/>
        <v>23434.628004888462</v>
      </c>
      <c r="O22" s="5">
        <f t="shared" si="7"/>
        <v>23329.601011706091</v>
      </c>
      <c r="P22" s="5">
        <f t="shared" si="7"/>
        <v>23143.324018523719</v>
      </c>
      <c r="Q22" s="5">
        <f t="shared" si="7"/>
        <v>22957.047025341348</v>
      </c>
      <c r="R22" s="5">
        <f t="shared" si="7"/>
        <v>22267.645032158976</v>
      </c>
      <c r="S22" s="5">
        <f t="shared" si="7"/>
        <v>21750.118038976605</v>
      </c>
      <c r="T22" s="5">
        <f t="shared" si="7"/>
        <v>20798.216045794234</v>
      </c>
      <c r="U22" s="5">
        <f t="shared" si="7"/>
        <v>14358.333283381093</v>
      </c>
      <c r="V22" s="5">
        <f t="shared" si="7"/>
        <v>13440.806290198721</v>
      </c>
      <c r="W22" s="5">
        <f t="shared" si="7"/>
        <v>10817.02929701635</v>
      </c>
      <c r="X22" s="5">
        <f t="shared" si="7"/>
        <v>7720.1753807570549</v>
      </c>
      <c r="Y22" s="5">
        <f t="shared" si="7"/>
        <v>6877.6483875746826</v>
      </c>
      <c r="Z22" s="5">
        <f t="shared" si="7"/>
        <v>5885.1213943923103</v>
      </c>
      <c r="AA22" s="5">
        <f t="shared" si="7"/>
        <v>2488.2674781330147</v>
      </c>
      <c r="AB22" s="5">
        <f t="shared" si="7"/>
        <v>2383.2404849506424</v>
      </c>
      <c r="AC22" s="5">
        <f t="shared" si="7"/>
        <v>2278.2134917682702</v>
      </c>
      <c r="AD22" s="5">
        <f t="shared" si="7"/>
        <v>2173.1864985858979</v>
      </c>
      <c r="AE22" s="5">
        <f t="shared" si="7"/>
        <v>2068.1595054035256</v>
      </c>
      <c r="AF22" s="5">
        <f t="shared" si="7"/>
        <v>17429.619401246859</v>
      </c>
      <c r="AG22" s="5">
        <f t="shared" si="7"/>
        <v>16948.579297090193</v>
      </c>
      <c r="AH22" s="5">
        <f t="shared" si="7"/>
        <v>16280.039192933526</v>
      </c>
      <c r="AI22" s="5">
        <f t="shared" si="7"/>
        <v>10749.960627238397</v>
      </c>
      <c r="AJ22" s="5">
        <f t="shared" si="7"/>
        <v>10231.42052308173</v>
      </c>
      <c r="AK22" s="5">
        <f t="shared" si="7"/>
        <v>7987.8804189250623</v>
      </c>
      <c r="AL22" s="5">
        <f t="shared" si="7"/>
        <v>5433.763391691472</v>
      </c>
      <c r="AM22" s="5">
        <f t="shared" si="7"/>
        <v>4302.7232875348045</v>
      </c>
      <c r="AN22" s="5">
        <f t="shared" si="7"/>
        <v>4146.6831833781371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250</v>
      </c>
      <c r="W23" s="5">
        <f t="shared" si="8"/>
        <v>0</v>
      </c>
      <c r="X23" s="5">
        <f t="shared" si="8"/>
        <v>0</v>
      </c>
      <c r="Y23" s="5">
        <f t="shared" si="8"/>
        <v>0</v>
      </c>
      <c r="Z23" s="5">
        <f t="shared" si="8"/>
        <v>500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17250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2593.7289162592956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951.90199318237217</v>
      </c>
      <c r="T24" s="13">
        <f t="shared" si="9"/>
        <v>6439.8827624131418</v>
      </c>
      <c r="U24" s="13">
        <f t="shared" si="9"/>
        <v>917.52699318237217</v>
      </c>
      <c r="V24" s="13">
        <f t="shared" si="9"/>
        <v>2873.7769931823723</v>
      </c>
      <c r="W24" s="13">
        <f t="shared" si="9"/>
        <v>3096.8539162592956</v>
      </c>
      <c r="X24" s="13">
        <f t="shared" si="9"/>
        <v>842.52699318237217</v>
      </c>
      <c r="Y24" s="13">
        <f t="shared" si="9"/>
        <v>992.52699318237217</v>
      </c>
      <c r="Z24" s="13">
        <f t="shared" si="9"/>
        <v>3896.8539162592956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1888.5401041566672</v>
      </c>
      <c r="AF24" s="13">
        <f t="shared" si="9"/>
        <v>481.04010415666721</v>
      </c>
      <c r="AG24" s="13">
        <f t="shared" si="9"/>
        <v>668.54010415666721</v>
      </c>
      <c r="AH24" s="13">
        <f t="shared" si="9"/>
        <v>5530.0785656951293</v>
      </c>
      <c r="AI24" s="13">
        <f t="shared" si="9"/>
        <v>518.54010415666721</v>
      </c>
      <c r="AJ24" s="13">
        <f t="shared" si="9"/>
        <v>2243.5401041566674</v>
      </c>
      <c r="AK24" s="13">
        <f t="shared" si="9"/>
        <v>2554.1170272335903</v>
      </c>
      <c r="AL24" s="13">
        <f t="shared" si="9"/>
        <v>1131.0401041566672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-2593.7289162592956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-951.90199318237217</v>
      </c>
      <c r="T25" s="5">
        <f t="shared" si="10"/>
        <v>-6439.8827624131418</v>
      </c>
      <c r="U25" s="5">
        <f t="shared" si="10"/>
        <v>-917.52699318237217</v>
      </c>
      <c r="V25" s="5">
        <f t="shared" si="10"/>
        <v>-2623.7769931823723</v>
      </c>
      <c r="W25" s="5">
        <f t="shared" si="10"/>
        <v>-3096.8539162592956</v>
      </c>
      <c r="X25" s="5">
        <f t="shared" si="10"/>
        <v>-842.52699318237217</v>
      </c>
      <c r="Y25" s="5">
        <f t="shared" si="10"/>
        <v>-992.52699318237217</v>
      </c>
      <c r="Z25" s="5">
        <f t="shared" si="10"/>
        <v>-3396.8539162592956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15361.459895843333</v>
      </c>
      <c r="AF25" s="5">
        <f t="shared" si="10"/>
        <v>-481.04010415666721</v>
      </c>
      <c r="AG25" s="5">
        <f t="shared" si="10"/>
        <v>-668.54010415666721</v>
      </c>
      <c r="AH25" s="5">
        <f t="shared" si="10"/>
        <v>-5530.0785656951293</v>
      </c>
      <c r="AI25" s="5">
        <f t="shared" si="10"/>
        <v>-518.54010415666721</v>
      </c>
      <c r="AJ25" s="5">
        <f t="shared" si="10"/>
        <v>-2243.5401041566674</v>
      </c>
      <c r="AK25" s="5">
        <f t="shared" si="10"/>
        <v>-2554.1170272335903</v>
      </c>
      <c r="AL25" s="5">
        <f t="shared" si="10"/>
        <v>-1131.0401041566672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28223.464893877244</v>
      </c>
      <c r="I26" s="5">
        <f t="shared" si="11"/>
        <v>27655.937900694873</v>
      </c>
      <c r="J26" s="5">
        <f t="shared" si="11"/>
        <v>26960.285907512502</v>
      </c>
      <c r="K26" s="5">
        <f t="shared" si="11"/>
        <v>23888.431991253205</v>
      </c>
      <c r="L26" s="5">
        <f t="shared" si="11"/>
        <v>23674.029998070833</v>
      </c>
      <c r="M26" s="5">
        <f t="shared" si="11"/>
        <v>23434.628004888462</v>
      </c>
      <c r="N26" s="5">
        <f t="shared" si="11"/>
        <v>23329.601011706091</v>
      </c>
      <c r="O26" s="5">
        <f t="shared" si="11"/>
        <v>23143.324018523719</v>
      </c>
      <c r="P26" s="5">
        <f t="shared" si="11"/>
        <v>22957.047025341348</v>
      </c>
      <c r="Q26" s="5">
        <f t="shared" si="11"/>
        <v>22267.645032158976</v>
      </c>
      <c r="R26" s="5">
        <f t="shared" si="11"/>
        <v>21750.118038976605</v>
      </c>
      <c r="S26" s="5">
        <f t="shared" si="11"/>
        <v>20798.216045794234</v>
      </c>
      <c r="T26" s="5">
        <f t="shared" si="11"/>
        <v>14358.333283381093</v>
      </c>
      <c r="U26" s="5">
        <f t="shared" si="11"/>
        <v>13440.806290198721</v>
      </c>
      <c r="V26" s="5">
        <f t="shared" si="11"/>
        <v>10817.02929701635</v>
      </c>
      <c r="W26" s="5">
        <f t="shared" si="11"/>
        <v>7720.1753807570549</v>
      </c>
      <c r="X26" s="5">
        <f t="shared" si="11"/>
        <v>6877.6483875746826</v>
      </c>
      <c r="Y26" s="5">
        <f t="shared" si="11"/>
        <v>5885.1213943923103</v>
      </c>
      <c r="Z26" s="5">
        <f t="shared" si="11"/>
        <v>2488.2674781330147</v>
      </c>
      <c r="AA26" s="5">
        <f t="shared" si="11"/>
        <v>2383.2404849506424</v>
      </c>
      <c r="AB26" s="5">
        <f t="shared" si="11"/>
        <v>2278.2134917682702</v>
      </c>
      <c r="AC26" s="5">
        <f t="shared" si="11"/>
        <v>2173.1864985858979</v>
      </c>
      <c r="AD26" s="5">
        <f t="shared" si="11"/>
        <v>2068.1595054035256</v>
      </c>
      <c r="AE26" s="5">
        <f t="shared" si="11"/>
        <v>17429.619401246859</v>
      </c>
      <c r="AF26" s="5">
        <f t="shared" si="11"/>
        <v>16948.579297090193</v>
      </c>
      <c r="AG26" s="5">
        <f t="shared" si="11"/>
        <v>16280.039192933526</v>
      </c>
      <c r="AH26" s="5">
        <f t="shared" si="11"/>
        <v>10749.960627238397</v>
      </c>
      <c r="AI26" s="5">
        <f t="shared" si="11"/>
        <v>10231.42052308173</v>
      </c>
      <c r="AJ26" s="5">
        <f t="shared" si="11"/>
        <v>7987.8804189250623</v>
      </c>
      <c r="AK26" s="5">
        <f t="shared" si="11"/>
        <v>5433.763391691472</v>
      </c>
      <c r="AL26" s="5">
        <f t="shared" si="11"/>
        <v>4302.7232875348045</v>
      </c>
      <c r="AM26" s="5">
        <f t="shared" si="11"/>
        <v>4146.6831833781371</v>
      </c>
      <c r="AN26" s="5">
        <f t="shared" si="11"/>
        <v>1492.5661561445463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25">
      <c r="A29" s="17" t="s">
        <v>33</v>
      </c>
      <c r="B29" s="5">
        <f>B53</f>
        <v>0</v>
      </c>
      <c r="C29" s="5">
        <f t="shared" ref="C29:AN29" si="12">B33</f>
        <v>-105.02699318237218</v>
      </c>
      <c r="D29" s="5">
        <f t="shared" si="12"/>
        <v>-210.05398636474436</v>
      </c>
      <c r="E29" s="5">
        <f t="shared" si="12"/>
        <v>-315.08097954711656</v>
      </c>
      <c r="F29" s="5">
        <f t="shared" si="12"/>
        <v>-2950.8772034987196</v>
      </c>
      <c r="G29" s="5">
        <f t="shared" si="12"/>
        <v>-3055.9041966810919</v>
      </c>
      <c r="H29" s="5">
        <f t="shared" si="12"/>
        <v>-4182.8061898634642</v>
      </c>
      <c r="I29" s="5">
        <f t="shared" si="12"/>
        <v>-6776.5351061227593</v>
      </c>
      <c r="J29" s="5">
        <f t="shared" si="12"/>
        <v>-7344.0620993051316</v>
      </c>
      <c r="K29" s="5">
        <f t="shared" si="12"/>
        <v>-8039.7140924875039</v>
      </c>
      <c r="L29" s="5">
        <f t="shared" si="12"/>
        <v>-11111.568008746799</v>
      </c>
      <c r="M29" s="5">
        <f t="shared" si="12"/>
        <v>-11325.97000192917</v>
      </c>
      <c r="N29" s="5">
        <f t="shared" si="12"/>
        <v>-11565.371995111542</v>
      </c>
      <c r="O29" s="5">
        <f t="shared" si="12"/>
        <v>-11670.398988293913</v>
      </c>
      <c r="P29" s="5">
        <f t="shared" si="12"/>
        <v>-11856.675981476285</v>
      </c>
      <c r="Q29" s="5">
        <f t="shared" si="12"/>
        <v>-12042.952974658656</v>
      </c>
      <c r="R29" s="5">
        <f t="shared" si="12"/>
        <v>-12732.354967841027</v>
      </c>
      <c r="S29" s="5">
        <f t="shared" si="12"/>
        <v>-13249.881961023399</v>
      </c>
      <c r="T29" s="5">
        <f t="shared" si="12"/>
        <v>-14201.78395420577</v>
      </c>
      <c r="U29" s="5">
        <f t="shared" si="12"/>
        <v>-20641.666716618911</v>
      </c>
      <c r="V29" s="5">
        <f t="shared" si="12"/>
        <v>-21309.193709801282</v>
      </c>
      <c r="W29" s="5">
        <f t="shared" si="12"/>
        <v>-24182.970702983654</v>
      </c>
      <c r="X29" s="5">
        <f t="shared" si="12"/>
        <v>-27279.824619242951</v>
      </c>
      <c r="Y29" s="5">
        <f t="shared" si="12"/>
        <v>-28122.351612425322</v>
      </c>
      <c r="Z29" s="5">
        <f t="shared" si="12"/>
        <v>-28614.878605607693</v>
      </c>
      <c r="AA29" s="5">
        <f t="shared" si="12"/>
        <v>-32511.73252186699</v>
      </c>
      <c r="AB29" s="5">
        <f t="shared" si="12"/>
        <v>-32616.759515049362</v>
      </c>
      <c r="AC29" s="5">
        <f t="shared" si="12"/>
        <v>-32721.786508231733</v>
      </c>
      <c r="AD29" s="5">
        <f t="shared" si="12"/>
        <v>-32826.813501414108</v>
      </c>
      <c r="AE29" s="5">
        <f t="shared" si="12"/>
        <v>-32681.840494596479</v>
      </c>
      <c r="AF29" s="5">
        <f t="shared" si="12"/>
        <v>-34570.380598753145</v>
      </c>
      <c r="AG29" s="5">
        <f t="shared" si="12"/>
        <v>-35051.420702909811</v>
      </c>
      <c r="AH29" s="5">
        <f t="shared" si="12"/>
        <v>-35719.960807066476</v>
      </c>
      <c r="AI29" s="5">
        <f t="shared" si="12"/>
        <v>-41250.039372761603</v>
      </c>
      <c r="AJ29" s="5">
        <f t="shared" si="12"/>
        <v>-41768.579476918268</v>
      </c>
      <c r="AK29" s="5">
        <f t="shared" si="12"/>
        <v>-44012.119581074934</v>
      </c>
      <c r="AL29" s="5">
        <f t="shared" si="12"/>
        <v>-46566.236608308522</v>
      </c>
      <c r="AM29" s="5">
        <f t="shared" si="12"/>
        <v>-47697.276712465187</v>
      </c>
      <c r="AN29" s="5">
        <f t="shared" si="12"/>
        <v>-47853.316816621853</v>
      </c>
    </row>
    <row r="30" spans="1:40" x14ac:dyDescent="0.25">
      <c r="A30" s="18" t="s">
        <v>36</v>
      </c>
      <c r="B30" s="5">
        <f t="shared" ref="B30:T30" si="13">B6</f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G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si="13"/>
        <v>0</v>
      </c>
      <c r="M30" s="5">
        <f t="shared" si="13"/>
        <v>0</v>
      </c>
      <c r="N30" s="5">
        <f t="shared" si="13"/>
        <v>0</v>
      </c>
      <c r="O30" s="5">
        <f t="shared" si="13"/>
        <v>0</v>
      </c>
      <c r="P30" s="5">
        <f t="shared" si="13"/>
        <v>0</v>
      </c>
      <c r="Q30" s="5">
        <f t="shared" si="13"/>
        <v>0</v>
      </c>
      <c r="R30" s="5">
        <f t="shared" si="13"/>
        <v>0</v>
      </c>
      <c r="S30" s="5">
        <f t="shared" si="13"/>
        <v>0</v>
      </c>
      <c r="T30" s="5">
        <f t="shared" si="13"/>
        <v>0</v>
      </c>
      <c r="U30" s="5">
        <f t="shared" ref="U30:AN30" si="14">V6</f>
        <v>250</v>
      </c>
      <c r="V30" s="5">
        <f t="shared" si="14"/>
        <v>0</v>
      </c>
      <c r="W30" s="5">
        <f t="shared" si="14"/>
        <v>0</v>
      </c>
      <c r="X30" s="5">
        <f t="shared" si="14"/>
        <v>0</v>
      </c>
      <c r="Y30" s="5">
        <f t="shared" si="14"/>
        <v>500</v>
      </c>
      <c r="Z30" s="5">
        <f t="shared" si="14"/>
        <v>0</v>
      </c>
      <c r="AA30" s="5">
        <f t="shared" si="14"/>
        <v>0</v>
      </c>
      <c r="AB30" s="5">
        <f t="shared" si="14"/>
        <v>0</v>
      </c>
      <c r="AC30" s="5">
        <f t="shared" si="14"/>
        <v>0</v>
      </c>
      <c r="AD30" s="5">
        <f t="shared" si="14"/>
        <v>250</v>
      </c>
      <c r="AE30" s="5">
        <f t="shared" si="14"/>
        <v>0</v>
      </c>
      <c r="AF30" s="5">
        <f t="shared" si="14"/>
        <v>0</v>
      </c>
      <c r="AG30" s="5">
        <f t="shared" si="14"/>
        <v>0</v>
      </c>
      <c r="AH30" s="5">
        <f t="shared" si="14"/>
        <v>0</v>
      </c>
      <c r="AI30" s="5">
        <f t="shared" si="14"/>
        <v>0</v>
      </c>
      <c r="AJ30" s="5">
        <f t="shared" si="14"/>
        <v>0</v>
      </c>
      <c r="AK30" s="5">
        <f t="shared" si="14"/>
        <v>0</v>
      </c>
      <c r="AL30" s="5">
        <f t="shared" si="14"/>
        <v>0</v>
      </c>
      <c r="AM30" s="5">
        <f t="shared" si="14"/>
        <v>0</v>
      </c>
      <c r="AN30" s="5">
        <f t="shared" si="14"/>
        <v>0</v>
      </c>
    </row>
    <row r="31" spans="1:40" x14ac:dyDescent="0.25">
      <c r="A31" s="18" t="s">
        <v>20</v>
      </c>
      <c r="B31" s="5">
        <f t="shared" ref="B31:AN31" si="15">B24</f>
        <v>105.02699318237218</v>
      </c>
      <c r="C31" s="5">
        <f t="shared" si="15"/>
        <v>105.02699318237218</v>
      </c>
      <c r="D31" s="5">
        <f t="shared" si="15"/>
        <v>105.02699318237218</v>
      </c>
      <c r="E31" s="5">
        <f t="shared" si="15"/>
        <v>2635.7962239516032</v>
      </c>
      <c r="F31" s="5">
        <f t="shared" si="15"/>
        <v>105.02699318237218</v>
      </c>
      <c r="G31" s="5">
        <f t="shared" si="15"/>
        <v>1126.9019931823723</v>
      </c>
      <c r="H31" s="5">
        <f t="shared" si="15"/>
        <v>2593.7289162592956</v>
      </c>
      <c r="I31" s="5">
        <f t="shared" si="15"/>
        <v>567.52699318237217</v>
      </c>
      <c r="J31" s="5">
        <f t="shared" si="15"/>
        <v>695.65199318237217</v>
      </c>
      <c r="K31" s="5">
        <f t="shared" si="15"/>
        <v>3071.8539162592956</v>
      </c>
      <c r="L31" s="5">
        <f t="shared" si="15"/>
        <v>214.40199318237217</v>
      </c>
      <c r="M31" s="5">
        <f t="shared" si="15"/>
        <v>239.40199318237217</v>
      </c>
      <c r="N31" s="5">
        <f t="shared" si="15"/>
        <v>105.02699318237218</v>
      </c>
      <c r="O31" s="5">
        <f t="shared" si="15"/>
        <v>186.27699318237217</v>
      </c>
      <c r="P31" s="5">
        <f t="shared" si="15"/>
        <v>186.27699318237217</v>
      </c>
      <c r="Q31" s="5">
        <f t="shared" si="15"/>
        <v>689.40199318237217</v>
      </c>
      <c r="R31" s="5">
        <f t="shared" si="15"/>
        <v>517.52699318237217</v>
      </c>
      <c r="S31" s="5">
        <f t="shared" si="15"/>
        <v>951.90199318237217</v>
      </c>
      <c r="T31" s="5">
        <f t="shared" si="15"/>
        <v>6439.8827624131418</v>
      </c>
      <c r="U31" s="5">
        <f t="shared" si="15"/>
        <v>917.52699318237217</v>
      </c>
      <c r="V31" s="5">
        <f t="shared" si="15"/>
        <v>2873.7769931823723</v>
      </c>
      <c r="W31" s="5">
        <f t="shared" si="15"/>
        <v>3096.8539162592956</v>
      </c>
      <c r="X31" s="5">
        <f t="shared" si="15"/>
        <v>842.52699318237217</v>
      </c>
      <c r="Y31" s="5">
        <f t="shared" si="15"/>
        <v>992.52699318237217</v>
      </c>
      <c r="Z31" s="5">
        <f t="shared" si="15"/>
        <v>3896.8539162592956</v>
      </c>
      <c r="AA31" s="5">
        <f t="shared" si="15"/>
        <v>105.02699318237218</v>
      </c>
      <c r="AB31" s="5">
        <f t="shared" si="15"/>
        <v>105.02699318237218</v>
      </c>
      <c r="AC31" s="5">
        <f t="shared" si="15"/>
        <v>105.02699318237218</v>
      </c>
      <c r="AD31" s="5">
        <f t="shared" si="15"/>
        <v>105.02699318237218</v>
      </c>
      <c r="AE31" s="5">
        <f t="shared" si="15"/>
        <v>1888.5401041566672</v>
      </c>
      <c r="AF31" s="5">
        <f t="shared" si="15"/>
        <v>481.04010415666721</v>
      </c>
      <c r="AG31" s="5">
        <f t="shared" si="15"/>
        <v>668.54010415666721</v>
      </c>
      <c r="AH31" s="5">
        <f t="shared" si="15"/>
        <v>5530.0785656951293</v>
      </c>
      <c r="AI31" s="5">
        <f t="shared" si="15"/>
        <v>518.54010415666721</v>
      </c>
      <c r="AJ31" s="5">
        <f t="shared" si="15"/>
        <v>2243.5401041566674</v>
      </c>
      <c r="AK31" s="5">
        <f t="shared" si="15"/>
        <v>2554.1170272335903</v>
      </c>
      <c r="AL31" s="5">
        <f t="shared" si="15"/>
        <v>1131.0401041566672</v>
      </c>
      <c r="AM31" s="5">
        <f t="shared" si="15"/>
        <v>156.04010415666724</v>
      </c>
      <c r="AN31" s="5">
        <f t="shared" si="15"/>
        <v>2654.1170272335908</v>
      </c>
    </row>
    <row r="32" spans="1:40" x14ac:dyDescent="0.25">
      <c r="A32" s="17" t="s">
        <v>37</v>
      </c>
      <c r="B32" s="5">
        <f t="shared" ref="B32:AN32" si="16">B30-B31</f>
        <v>-105.02699318237218</v>
      </c>
      <c r="C32" s="5">
        <f t="shared" si="16"/>
        <v>-105.02699318237218</v>
      </c>
      <c r="D32" s="5">
        <f t="shared" si="16"/>
        <v>-105.02699318237218</v>
      </c>
      <c r="E32" s="5">
        <f t="shared" si="16"/>
        <v>-2635.7962239516032</v>
      </c>
      <c r="F32" s="5">
        <f t="shared" si="16"/>
        <v>-105.02699318237218</v>
      </c>
      <c r="G32" s="5">
        <f t="shared" si="16"/>
        <v>-1126.9019931823723</v>
      </c>
      <c r="H32" s="5">
        <f t="shared" si="16"/>
        <v>-2593.7289162592956</v>
      </c>
      <c r="I32" s="5">
        <f t="shared" si="16"/>
        <v>-567.52699318237217</v>
      </c>
      <c r="J32" s="5">
        <f t="shared" si="16"/>
        <v>-695.65199318237217</v>
      </c>
      <c r="K32" s="5">
        <f t="shared" si="16"/>
        <v>-3071.8539162592956</v>
      </c>
      <c r="L32" s="5">
        <f t="shared" si="16"/>
        <v>-214.40199318237217</v>
      </c>
      <c r="M32" s="5">
        <f t="shared" si="16"/>
        <v>-239.40199318237217</v>
      </c>
      <c r="N32" s="5">
        <f t="shared" si="16"/>
        <v>-105.02699318237218</v>
      </c>
      <c r="O32" s="5">
        <f t="shared" si="16"/>
        <v>-186.27699318237217</v>
      </c>
      <c r="P32" s="5">
        <f t="shared" si="16"/>
        <v>-186.27699318237217</v>
      </c>
      <c r="Q32" s="5">
        <f t="shared" si="16"/>
        <v>-689.40199318237217</v>
      </c>
      <c r="R32" s="5">
        <f t="shared" si="16"/>
        <v>-517.52699318237217</v>
      </c>
      <c r="S32" s="5">
        <f t="shared" si="16"/>
        <v>-951.90199318237217</v>
      </c>
      <c r="T32" s="5">
        <f t="shared" si="16"/>
        <v>-6439.8827624131418</v>
      </c>
      <c r="U32" s="5">
        <f t="shared" si="16"/>
        <v>-667.52699318237217</v>
      </c>
      <c r="V32" s="5">
        <f t="shared" si="16"/>
        <v>-2873.7769931823723</v>
      </c>
      <c r="W32" s="5">
        <f t="shared" si="16"/>
        <v>-3096.8539162592956</v>
      </c>
      <c r="X32" s="5">
        <f t="shared" si="16"/>
        <v>-842.52699318237217</v>
      </c>
      <c r="Y32" s="5">
        <f t="shared" si="16"/>
        <v>-492.52699318237217</v>
      </c>
      <c r="Z32" s="5">
        <f t="shared" si="16"/>
        <v>-3896.8539162592956</v>
      </c>
      <c r="AA32" s="5">
        <f t="shared" si="16"/>
        <v>-105.02699318237218</v>
      </c>
      <c r="AB32" s="5">
        <f t="shared" si="16"/>
        <v>-105.02699318237218</v>
      </c>
      <c r="AC32" s="5">
        <f t="shared" si="16"/>
        <v>-105.02699318237218</v>
      </c>
      <c r="AD32" s="5">
        <f t="shared" si="16"/>
        <v>144.97300681762783</v>
      </c>
      <c r="AE32" s="5">
        <f t="shared" si="16"/>
        <v>-1888.5401041566672</v>
      </c>
      <c r="AF32" s="5">
        <f t="shared" si="16"/>
        <v>-481.04010415666721</v>
      </c>
      <c r="AG32" s="5">
        <f t="shared" si="16"/>
        <v>-668.54010415666721</v>
      </c>
      <c r="AH32" s="5">
        <f t="shared" si="16"/>
        <v>-5530.0785656951293</v>
      </c>
      <c r="AI32" s="5">
        <f t="shared" si="16"/>
        <v>-518.54010415666721</v>
      </c>
      <c r="AJ32" s="5">
        <f t="shared" si="16"/>
        <v>-2243.5401041566674</v>
      </c>
      <c r="AK32" s="5">
        <f t="shared" si="16"/>
        <v>-2554.1170272335903</v>
      </c>
      <c r="AL32" s="5">
        <f t="shared" si="16"/>
        <v>-1131.0401041566672</v>
      </c>
      <c r="AM32" s="5">
        <f t="shared" si="16"/>
        <v>-156.04010415666724</v>
      </c>
      <c r="AN32" s="5">
        <f t="shared" si="16"/>
        <v>-2654.1170272335908</v>
      </c>
    </row>
    <row r="33" spans="1:40" x14ac:dyDescent="0.25">
      <c r="A33" s="18" t="s">
        <v>38</v>
      </c>
      <c r="B33" s="5">
        <f t="shared" ref="B33:AN33" si="17">B29+B32</f>
        <v>-105.02699318237218</v>
      </c>
      <c r="C33" s="5">
        <f t="shared" si="17"/>
        <v>-210.05398636474436</v>
      </c>
      <c r="D33" s="5">
        <f t="shared" si="17"/>
        <v>-315.08097954711656</v>
      </c>
      <c r="E33" s="5">
        <f t="shared" si="17"/>
        <v>-2950.8772034987196</v>
      </c>
      <c r="F33" s="5">
        <f t="shared" si="17"/>
        <v>-3055.9041966810919</v>
      </c>
      <c r="G33" s="5">
        <f t="shared" si="17"/>
        <v>-4182.8061898634642</v>
      </c>
      <c r="H33" s="5">
        <f t="shared" si="17"/>
        <v>-6776.5351061227593</v>
      </c>
      <c r="I33" s="5">
        <f t="shared" si="17"/>
        <v>-7344.0620993051316</v>
      </c>
      <c r="J33" s="5">
        <f t="shared" si="17"/>
        <v>-8039.7140924875039</v>
      </c>
      <c r="K33" s="5">
        <f t="shared" si="17"/>
        <v>-11111.568008746799</v>
      </c>
      <c r="L33" s="5">
        <f t="shared" si="17"/>
        <v>-11325.97000192917</v>
      </c>
      <c r="M33" s="5">
        <f t="shared" si="17"/>
        <v>-11565.371995111542</v>
      </c>
      <c r="N33" s="5">
        <f t="shared" si="17"/>
        <v>-11670.398988293913</v>
      </c>
      <c r="O33" s="5">
        <f t="shared" si="17"/>
        <v>-11856.675981476285</v>
      </c>
      <c r="P33" s="5">
        <f t="shared" si="17"/>
        <v>-12042.952974658656</v>
      </c>
      <c r="Q33" s="5">
        <f t="shared" si="17"/>
        <v>-12732.354967841027</v>
      </c>
      <c r="R33" s="5">
        <f t="shared" si="17"/>
        <v>-13249.881961023399</v>
      </c>
      <c r="S33" s="5">
        <f t="shared" si="17"/>
        <v>-14201.78395420577</v>
      </c>
      <c r="T33" s="5">
        <f t="shared" si="17"/>
        <v>-20641.666716618911</v>
      </c>
      <c r="U33" s="5">
        <f t="shared" si="17"/>
        <v>-21309.193709801282</v>
      </c>
      <c r="V33" s="5">
        <f t="shared" si="17"/>
        <v>-24182.970702983654</v>
      </c>
      <c r="W33" s="5">
        <f t="shared" si="17"/>
        <v>-27279.824619242951</v>
      </c>
      <c r="X33" s="5">
        <f t="shared" si="17"/>
        <v>-28122.351612425322</v>
      </c>
      <c r="Y33" s="5">
        <f t="shared" si="17"/>
        <v>-28614.878605607693</v>
      </c>
      <c r="Z33" s="5">
        <f t="shared" si="17"/>
        <v>-32511.73252186699</v>
      </c>
      <c r="AA33" s="5">
        <f t="shared" si="17"/>
        <v>-32616.759515049362</v>
      </c>
      <c r="AB33" s="5">
        <f t="shared" si="17"/>
        <v>-32721.786508231733</v>
      </c>
      <c r="AC33" s="5">
        <f t="shared" si="17"/>
        <v>-32826.813501414108</v>
      </c>
      <c r="AD33" s="5">
        <f t="shared" si="17"/>
        <v>-32681.840494596479</v>
      </c>
      <c r="AE33" s="5">
        <f t="shared" si="17"/>
        <v>-34570.380598753145</v>
      </c>
      <c r="AF33" s="5">
        <f t="shared" si="17"/>
        <v>-35051.420702909811</v>
      </c>
      <c r="AG33" s="5">
        <f t="shared" si="17"/>
        <v>-35719.960807066476</v>
      </c>
      <c r="AH33" s="5">
        <f t="shared" si="17"/>
        <v>-41250.039372761603</v>
      </c>
      <c r="AI33" s="5">
        <f t="shared" si="17"/>
        <v>-41768.579476918268</v>
      </c>
      <c r="AJ33" s="5">
        <f t="shared" si="17"/>
        <v>-44012.119581074934</v>
      </c>
      <c r="AK33" s="5">
        <f t="shared" si="17"/>
        <v>-46566.236608308522</v>
      </c>
      <c r="AL33" s="5">
        <f t="shared" si="17"/>
        <v>-47697.276712465187</v>
      </c>
      <c r="AM33" s="5">
        <f t="shared" si="17"/>
        <v>-47853.316816621853</v>
      </c>
      <c r="AN33" s="5">
        <f t="shared" si="17"/>
        <v>-50507.433843855441</v>
      </c>
    </row>
    <row r="34" spans="1:40" x14ac:dyDescent="0.25">
      <c r="A34" s="1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1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39</v>
      </c>
      <c r="B37" s="5">
        <f>SUM(B24:AN24)</f>
        <v>51507.433843855433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21</v>
      </c>
      <c r="B39" s="5">
        <v>12.5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9"/>
      <c r="B40" s="16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" t="s">
        <v>40</v>
      </c>
      <c r="B41" s="5">
        <f>B5+AE5</f>
        <v>52000</v>
      </c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41</v>
      </c>
      <c r="B42" s="20">
        <v>0.1686</v>
      </c>
      <c r="C42" s="21"/>
      <c r="D42" s="21"/>
      <c r="E42" s="21"/>
      <c r="F42" s="21"/>
      <c r="G42" s="21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2" t="s">
        <v>42</v>
      </c>
      <c r="B43" s="20">
        <f>(B42+1)^(1/52)-1</f>
        <v>3.0007712337820625E-3</v>
      </c>
      <c r="C43" s="21"/>
      <c r="D43" s="21"/>
      <c r="E43" s="21"/>
      <c r="F43" s="21"/>
      <c r="G43" s="21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2" t="s">
        <v>43</v>
      </c>
      <c r="B45" s="7">
        <v>1400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2" t="s">
        <v>27</v>
      </c>
      <c r="B46" s="5">
        <v>23.5</v>
      </c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x14ac:dyDescent="0.25">
      <c r="A47" s="2" t="s">
        <v>44</v>
      </c>
      <c r="B47" s="5">
        <f>B45*B46</f>
        <v>32900</v>
      </c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2" t="s">
        <v>45</v>
      </c>
      <c r="B48" s="5">
        <f>B47/52</f>
        <v>632.69230769230774</v>
      </c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2" t="s">
        <v>29</v>
      </c>
      <c r="B50" s="5">
        <v>50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x14ac:dyDescent="0.25">
      <c r="A51" s="2" t="s">
        <v>31</v>
      </c>
      <c r="B51" s="5">
        <v>100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x14ac:dyDescent="0.25">
      <c r="A52" s="14"/>
      <c r="B52" s="1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x14ac:dyDescent="0.25">
      <c r="A53" s="2" t="s">
        <v>33</v>
      </c>
      <c r="B53" s="5">
        <v>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x14ac:dyDescent="0.2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x14ac:dyDescent="0.2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x14ac:dyDescent="0.2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x14ac:dyDescent="0.2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  <row r="1003" spans="1:40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</row>
    <row r="1004" spans="1:40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</row>
    <row r="1005" spans="1:40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</row>
    <row r="1006" spans="1:40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</row>
    <row r="1007" spans="1:40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</row>
    <row r="1008" spans="1:40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</row>
    <row r="1009" spans="1:40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</row>
    <row r="1010" spans="1:40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</row>
    <row r="1011" spans="1:40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</row>
    <row r="1012" spans="1:40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</row>
    <row r="1013" spans="1:40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</row>
    <row r="1014" spans="1:40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</row>
    <row r="1015" spans="1:40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</row>
    <row r="1016" spans="1:40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</row>
    <row r="1017" spans="1:40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</row>
    <row r="1018" spans="1:40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</row>
    <row r="1019" spans="1:40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</row>
    <row r="1020" spans="1:40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</row>
    <row r="1021" spans="1:40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</row>
    <row r="1022" spans="1:40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</row>
    <row r="1023" spans="1:40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</row>
  </sheetData>
  <mergeCells count="5">
    <mergeCell ref="B1:K1"/>
    <mergeCell ref="L1:P1"/>
    <mergeCell ref="Q1:Z1"/>
    <mergeCell ref="AA1:AD1"/>
    <mergeCell ref="AE1:AN1"/>
  </mergeCells>
  <conditionalFormatting sqref="B21:AN26">
    <cfRule type="cellIs" dxfId="4" priority="1" operator="lessThan">
      <formula>0</formula>
    </cfRule>
  </conditionalFormatting>
  <conditionalFormatting sqref="B28:AN33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"/>
  <sheetViews>
    <sheetView workbookViewId="0"/>
  </sheetViews>
  <sheetFormatPr defaultColWidth="12.6640625" defaultRowHeight="15.75" customHeight="1" x14ac:dyDescent="0.25"/>
  <cols>
    <col min="1" max="1" width="4.44140625" customWidth="1"/>
    <col min="2" max="2" width="20.33203125" customWidth="1"/>
  </cols>
  <sheetData>
    <row r="1" spans="1:4" x14ac:dyDescent="0.25">
      <c r="A1" s="22"/>
      <c r="B1" s="23"/>
      <c r="C1" s="23"/>
    </row>
    <row r="2" spans="1:4" x14ac:dyDescent="0.25">
      <c r="A2" s="23"/>
      <c r="B2" s="10" t="s">
        <v>46</v>
      </c>
      <c r="C2" s="24">
        <f>SUM('Cash Flow Forecast'!B11:AN11)</f>
        <v>14156.25</v>
      </c>
      <c r="D2" s="20">
        <f t="shared" ref="D2:D8" si="0">C2/SUM($C$2:$C$8)</f>
        <v>0.27483896873827185</v>
      </c>
    </row>
    <row r="3" spans="1:4" x14ac:dyDescent="0.25">
      <c r="A3" s="25"/>
      <c r="B3" s="26" t="s">
        <v>47</v>
      </c>
      <c r="C3" s="24">
        <f>SUM('Cash Flow Forecast'!B12:AN12)</f>
        <v>4606.1838438554696</v>
      </c>
      <c r="D3" s="20">
        <f t="shared" si="0"/>
        <v>8.942755443455197E-2</v>
      </c>
    </row>
    <row r="4" spans="1:4" x14ac:dyDescent="0.25">
      <c r="A4" s="25"/>
      <c r="B4" s="27" t="s">
        <v>48</v>
      </c>
      <c r="C4" s="24">
        <f>SUM('Cash Flow Forecast'!B13:AN13)</f>
        <v>1120</v>
      </c>
      <c r="D4" s="20">
        <f t="shared" si="0"/>
        <v>2.1744434082957315E-2</v>
      </c>
    </row>
    <row r="5" spans="1:4" x14ac:dyDescent="0.25">
      <c r="A5" s="25"/>
      <c r="B5" s="27" t="s">
        <v>49</v>
      </c>
      <c r="C5" s="24">
        <f>SUM('Cash Flow Forecast'!B14:AN14)</f>
        <v>1100</v>
      </c>
      <c r="D5" s="20">
        <f t="shared" si="0"/>
        <v>2.1356140617190222E-2</v>
      </c>
    </row>
    <row r="6" spans="1:4" x14ac:dyDescent="0.25">
      <c r="A6" s="25"/>
      <c r="B6" s="27" t="s">
        <v>50</v>
      </c>
      <c r="C6" s="24">
        <f>SUM('Cash Flow Forecast'!B16:AN16)</f>
        <v>24675</v>
      </c>
      <c r="D6" s="20">
        <f t="shared" si="0"/>
        <v>0.47905706339015336</v>
      </c>
    </row>
    <row r="7" spans="1:4" x14ac:dyDescent="0.25">
      <c r="A7" s="25"/>
      <c r="B7" s="27" t="s">
        <v>51</v>
      </c>
      <c r="C7" s="24">
        <f>SUM('Cash Flow Forecast'!B18:AN18)</f>
        <v>1950</v>
      </c>
      <c r="D7" s="20">
        <f t="shared" si="0"/>
        <v>3.7858612912291756E-2</v>
      </c>
    </row>
    <row r="8" spans="1:4" x14ac:dyDescent="0.25">
      <c r="A8" s="25"/>
      <c r="B8" s="27" t="s">
        <v>52</v>
      </c>
      <c r="C8" s="24">
        <f>SUM('Cash Flow Forecast'!B20:AN20)</f>
        <v>3900</v>
      </c>
      <c r="D8" s="20">
        <f t="shared" si="0"/>
        <v>7.5717225824583512E-2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defaultColWidth="12.6640625" defaultRowHeight="15.75" customHeight="1" x14ac:dyDescent="0.25"/>
  <cols>
    <col min="1" max="1" width="5.21875" customWidth="1"/>
    <col min="2" max="2" width="15.33203125" customWidth="1"/>
    <col min="4" max="4" width="31.33203125" customWidth="1"/>
    <col min="5" max="5" width="6.77734375" customWidth="1"/>
    <col min="7" max="7" width="16.6640625" customWidth="1"/>
    <col min="8" max="8" width="5.6640625" customWidth="1"/>
    <col min="9" max="9" width="14" customWidth="1"/>
  </cols>
  <sheetData>
    <row r="1" spans="1:2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4"/>
      <c r="B2" s="74" t="s">
        <v>53</v>
      </c>
      <c r="C2" s="70"/>
      <c r="D2" s="71"/>
      <c r="E2" s="14"/>
      <c r="F2" s="72" t="s">
        <v>54</v>
      </c>
      <c r="G2" s="71"/>
      <c r="H2" s="14"/>
      <c r="I2" s="72" t="s">
        <v>55</v>
      </c>
      <c r="J2" s="7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25">
      <c r="A3" s="14"/>
      <c r="B3" s="10" t="s">
        <v>56</v>
      </c>
      <c r="C3" s="28">
        <v>1</v>
      </c>
      <c r="D3" s="29"/>
      <c r="E3" s="14"/>
      <c r="F3" s="28" t="s">
        <v>27</v>
      </c>
      <c r="G3" s="24">
        <f>C9</f>
        <v>34.510489510489514</v>
      </c>
      <c r="H3" s="14"/>
      <c r="I3" s="28" t="s">
        <v>57</v>
      </c>
      <c r="J3" s="24">
        <f>C3*C4*C6</f>
        <v>187.5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14"/>
      <c r="B4" s="10" t="s">
        <v>58</v>
      </c>
      <c r="C4" s="28">
        <v>15</v>
      </c>
      <c r="D4" s="29"/>
      <c r="E4" s="14"/>
      <c r="F4" s="28" t="s">
        <v>29</v>
      </c>
      <c r="G4" s="24">
        <f>C12</f>
        <v>2.7272727272727271</v>
      </c>
      <c r="H4" s="14"/>
      <c r="I4" s="28" t="s">
        <v>59</v>
      </c>
      <c r="J4" s="24">
        <f>G6</f>
        <v>42.692307692307693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14"/>
      <c r="B5" s="10" t="s">
        <v>60</v>
      </c>
      <c r="C5" s="28">
        <v>3</v>
      </c>
      <c r="D5" s="29" t="s">
        <v>61</v>
      </c>
      <c r="E5" s="14"/>
      <c r="F5" s="28" t="s">
        <v>31</v>
      </c>
      <c r="G5" s="24">
        <f>C15</f>
        <v>5.4545454545454541</v>
      </c>
      <c r="H5" s="14"/>
      <c r="I5" s="28" t="s">
        <v>62</v>
      </c>
      <c r="J5" s="24">
        <f>600-J4-J3</f>
        <v>369.80769230769226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14"/>
      <c r="B6" s="10" t="s">
        <v>63</v>
      </c>
      <c r="C6" s="28">
        <v>12.5</v>
      </c>
      <c r="D6" s="29"/>
      <c r="E6" s="14"/>
      <c r="F6" s="28" t="s">
        <v>64</v>
      </c>
      <c r="G6" s="24">
        <f>SUM(G3:G5)</f>
        <v>42.692307692307693</v>
      </c>
      <c r="H6" s="14"/>
      <c r="I6" s="28" t="s">
        <v>65</v>
      </c>
      <c r="J6" s="24">
        <f>SUM(J3:J5)</f>
        <v>600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A7" s="14"/>
      <c r="B7" s="10" t="s">
        <v>27</v>
      </c>
      <c r="C7" s="30">
        <f>'Cash Flow Forecast'!B48</f>
        <v>632.69230769230774</v>
      </c>
      <c r="D7" s="29" t="s">
        <v>66</v>
      </c>
      <c r="E7" s="14"/>
      <c r="F7" s="75"/>
      <c r="G7" s="71"/>
      <c r="H7" s="14"/>
      <c r="I7" s="28"/>
      <c r="J7" s="29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0"/>
      <c r="C8" s="30">
        <f>C7*C5/5</f>
        <v>379.61538461538464</v>
      </c>
      <c r="D8" s="29" t="str">
        <f>C5 &amp; " Days rent for all employees"</f>
        <v>3 Days rent for all employees</v>
      </c>
      <c r="E8" s="14"/>
      <c r="F8" s="72" t="s">
        <v>67</v>
      </c>
      <c r="G8" s="71"/>
      <c r="H8" s="14"/>
      <c r="I8" s="31" t="s">
        <v>68</v>
      </c>
      <c r="J8" s="32">
        <f>(J6-(J3+J4))/(J3+J4)</f>
        <v>1.6065162907268171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4"/>
      <c r="B9" s="10"/>
      <c r="C9" s="30">
        <f>C8/11</f>
        <v>34.510489510489514</v>
      </c>
      <c r="D9" s="29" t="str">
        <f>C5 &amp; " Days rent for 1 employee"</f>
        <v>3 Days rent for 1 employee</v>
      </c>
      <c r="E9" s="14"/>
      <c r="F9" s="76">
        <f>C4</f>
        <v>15</v>
      </c>
      <c r="G9" s="7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4"/>
      <c r="B10" s="10" t="s">
        <v>29</v>
      </c>
      <c r="C10" s="30">
        <f>'Cash Flow Forecast'!B50</f>
        <v>50</v>
      </c>
      <c r="D10" s="29" t="s">
        <v>69</v>
      </c>
      <c r="E10" s="14"/>
      <c r="F10" s="77"/>
      <c r="G10" s="71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4"/>
      <c r="B11" s="10"/>
      <c r="C11" s="30">
        <f>C10*C5/5</f>
        <v>30</v>
      </c>
      <c r="D11" s="29" t="str">
        <f>C5 &amp; " Days utilities for all employees"</f>
        <v>3 Days utilities for all employees</v>
      </c>
      <c r="E11" s="14"/>
      <c r="F11" s="72" t="s">
        <v>70</v>
      </c>
      <c r="G11" s="7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4"/>
      <c r="B12" s="10"/>
      <c r="C12" s="30">
        <f>C11/11</f>
        <v>2.7272727272727271</v>
      </c>
      <c r="D12" s="29" t="s">
        <v>71</v>
      </c>
      <c r="E12" s="14"/>
      <c r="F12" s="73">
        <f>G6/F9</f>
        <v>2.8461538461538463</v>
      </c>
      <c r="G12" s="7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14"/>
      <c r="B13" s="10" t="s">
        <v>31</v>
      </c>
      <c r="C13" s="30">
        <f>'Cash Flow Forecast'!B51</f>
        <v>100</v>
      </c>
      <c r="D13" s="29" t="s">
        <v>72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14"/>
      <c r="B14" s="10"/>
      <c r="C14" s="30">
        <f>C13*C5/5</f>
        <v>60</v>
      </c>
      <c r="D14" s="29" t="str">
        <f>C5 &amp; " Days IT infrastructure for all employees"</f>
        <v>3 Days IT infrastructure for all employees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4"/>
      <c r="B15" s="10"/>
      <c r="C15" s="30">
        <f>C14/11</f>
        <v>5.4545454545454541</v>
      </c>
      <c r="D15" s="29" t="str">
        <f>C5 &amp; " Days IT infrastructure for 1 employee"</f>
        <v>3 Days IT infrastructure for 1 employee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mergeCells count="9">
    <mergeCell ref="F11:G11"/>
    <mergeCell ref="F12:G12"/>
    <mergeCell ref="B2:D2"/>
    <mergeCell ref="F2:G2"/>
    <mergeCell ref="I2:J2"/>
    <mergeCell ref="F7:G7"/>
    <mergeCell ref="F8:G8"/>
    <mergeCell ref="F9:G9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18.21875" customWidth="1"/>
  </cols>
  <sheetData>
    <row r="1" spans="1:40" x14ac:dyDescent="0.25">
      <c r="A1" s="7"/>
      <c r="B1" s="78" t="s">
        <v>73</v>
      </c>
      <c r="C1" s="70"/>
      <c r="D1" s="70"/>
      <c r="E1" s="70"/>
      <c r="F1" s="70"/>
      <c r="G1" s="70"/>
      <c r="H1" s="70"/>
      <c r="I1" s="70"/>
      <c r="J1" s="70"/>
      <c r="K1" s="71"/>
      <c r="L1" s="78" t="s">
        <v>74</v>
      </c>
      <c r="M1" s="70"/>
      <c r="N1" s="70"/>
      <c r="O1" s="70"/>
      <c r="P1" s="71"/>
      <c r="Q1" s="78" t="s">
        <v>75</v>
      </c>
      <c r="R1" s="70"/>
      <c r="S1" s="70"/>
      <c r="T1" s="70"/>
      <c r="U1" s="70"/>
      <c r="V1" s="70"/>
      <c r="W1" s="70"/>
      <c r="X1" s="70"/>
      <c r="Y1" s="70"/>
      <c r="Z1" s="71"/>
      <c r="AA1" s="78" t="s">
        <v>76</v>
      </c>
      <c r="AB1" s="70"/>
      <c r="AC1" s="70"/>
      <c r="AD1" s="71"/>
      <c r="AE1" s="78" t="s">
        <v>77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78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11</v>
      </c>
      <c r="H2" s="33" t="s">
        <v>12</v>
      </c>
      <c r="I2" s="33" t="s">
        <v>13</v>
      </c>
      <c r="J2" s="33" t="s">
        <v>14</v>
      </c>
      <c r="K2" s="33" t="s">
        <v>15</v>
      </c>
      <c r="L2" s="33" t="s">
        <v>6</v>
      </c>
      <c r="M2" s="33" t="s">
        <v>7</v>
      </c>
      <c r="N2" s="33" t="s">
        <v>8</v>
      </c>
      <c r="O2" s="33" t="s">
        <v>9</v>
      </c>
      <c r="P2" s="33" t="s">
        <v>10</v>
      </c>
      <c r="Q2" s="33" t="s">
        <v>6</v>
      </c>
      <c r="R2" s="33" t="s">
        <v>7</v>
      </c>
      <c r="S2" s="33" t="s">
        <v>8</v>
      </c>
      <c r="T2" s="33" t="s">
        <v>9</v>
      </c>
      <c r="U2" s="33" t="s">
        <v>10</v>
      </c>
      <c r="V2" s="33" t="s">
        <v>11</v>
      </c>
      <c r="W2" s="33" t="s">
        <v>12</v>
      </c>
      <c r="X2" s="33" t="s">
        <v>13</v>
      </c>
      <c r="Y2" s="33" t="s">
        <v>14</v>
      </c>
      <c r="Z2" s="33" t="s">
        <v>15</v>
      </c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6</v>
      </c>
      <c r="AF2" s="33" t="s">
        <v>7</v>
      </c>
      <c r="AG2" s="33" t="s">
        <v>8</v>
      </c>
      <c r="AH2" s="33" t="s">
        <v>9</v>
      </c>
      <c r="AI2" s="33" t="s">
        <v>10</v>
      </c>
      <c r="AJ2" s="33" t="s">
        <v>11</v>
      </c>
      <c r="AK2" s="33" t="s">
        <v>12</v>
      </c>
      <c r="AL2" s="33" t="s">
        <v>13</v>
      </c>
      <c r="AM2" s="33" t="s">
        <v>14</v>
      </c>
      <c r="AN2" s="33" t="s">
        <v>15</v>
      </c>
    </row>
    <row r="3" spans="1:40" x14ac:dyDescent="0.25">
      <c r="A3" s="3" t="s">
        <v>79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3"/>
      <c r="B4" s="7"/>
      <c r="C4" s="7"/>
      <c r="D4" s="7"/>
      <c r="E4" s="7"/>
      <c r="F4" s="7"/>
      <c r="G4" s="3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5">
      <c r="A5" s="35" t="s">
        <v>80</v>
      </c>
      <c r="B5" s="7"/>
      <c r="C5" s="7"/>
      <c r="D5" s="7"/>
      <c r="E5" s="7"/>
      <c r="F5" s="7"/>
      <c r="G5" s="3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5">
      <c r="A6" s="36" t="s">
        <v>81</v>
      </c>
      <c r="B6" s="7"/>
      <c r="C6" s="7"/>
      <c r="D6" s="7"/>
      <c r="E6" s="7"/>
      <c r="F6" s="7"/>
      <c r="G6" s="34">
        <f>0.5+1</f>
        <v>1.5</v>
      </c>
      <c r="H6" s="7">
        <f>7+1+1+1+1+1</f>
        <v>12</v>
      </c>
      <c r="I6" s="7">
        <f>1+1</f>
        <v>2</v>
      </c>
      <c r="J6" s="7">
        <f>0.5+2+1+1</f>
        <v>4.5</v>
      </c>
      <c r="K6" s="7">
        <f>0.5+1.5+0.25+3+0.5+1</f>
        <v>6.75</v>
      </c>
      <c r="L6" s="7"/>
      <c r="M6" s="7">
        <f>2+2+2</f>
        <v>6</v>
      </c>
      <c r="N6" s="7"/>
      <c r="O6" s="7"/>
      <c r="P6" s="7"/>
      <c r="Q6" s="7"/>
      <c r="R6" s="7">
        <f>2.25+0.5</f>
        <v>2.75</v>
      </c>
      <c r="S6" s="7">
        <v>7.75</v>
      </c>
      <c r="T6" s="7">
        <f>1.5+0.25+1</f>
        <v>2.75</v>
      </c>
      <c r="U6" s="34">
        <v>2</v>
      </c>
      <c r="V6" s="7">
        <v>2.5</v>
      </c>
      <c r="W6" s="7">
        <v>3</v>
      </c>
      <c r="X6" s="7">
        <v>2.5</v>
      </c>
      <c r="Y6" s="7">
        <v>3</v>
      </c>
      <c r="Z6" s="7">
        <v>2.5</v>
      </c>
      <c r="AA6" s="7">
        <v>0</v>
      </c>
      <c r="AB6" s="7">
        <v>0</v>
      </c>
      <c r="AC6" s="7">
        <v>0</v>
      </c>
      <c r="AD6" s="7">
        <v>0</v>
      </c>
      <c r="AE6" s="7">
        <v>2</v>
      </c>
      <c r="AF6" s="7">
        <v>2</v>
      </c>
      <c r="AG6" s="7">
        <v>3</v>
      </c>
      <c r="AH6" s="7">
        <v>2</v>
      </c>
      <c r="AI6" s="7">
        <v>2</v>
      </c>
      <c r="AJ6" s="7">
        <v>3</v>
      </c>
      <c r="AK6" s="7">
        <v>5</v>
      </c>
      <c r="AL6" s="7">
        <v>7</v>
      </c>
      <c r="AM6" s="7">
        <v>0</v>
      </c>
      <c r="AN6" s="7">
        <v>0</v>
      </c>
    </row>
    <row r="7" spans="1:40" x14ac:dyDescent="0.25">
      <c r="A7" s="37" t="s">
        <v>82</v>
      </c>
      <c r="B7" s="2">
        <f t="shared" ref="B7:AN7" si="0">SUM(B6)</f>
        <v>0</v>
      </c>
      <c r="C7" s="2">
        <f t="shared" si="0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38">
        <f t="shared" si="0"/>
        <v>1.5</v>
      </c>
      <c r="H7" s="2">
        <f t="shared" si="0"/>
        <v>12</v>
      </c>
      <c r="I7" s="2">
        <f t="shared" si="0"/>
        <v>2</v>
      </c>
      <c r="J7" s="2">
        <f t="shared" si="0"/>
        <v>4.5</v>
      </c>
      <c r="K7" s="2">
        <f t="shared" si="0"/>
        <v>6.75</v>
      </c>
      <c r="L7" s="2">
        <f t="shared" si="0"/>
        <v>0</v>
      </c>
      <c r="M7" s="2">
        <f t="shared" si="0"/>
        <v>6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2.75</v>
      </c>
      <c r="S7" s="2">
        <f t="shared" si="0"/>
        <v>7.75</v>
      </c>
      <c r="T7" s="2">
        <f t="shared" si="0"/>
        <v>2.75</v>
      </c>
      <c r="U7" s="38">
        <f t="shared" si="0"/>
        <v>2</v>
      </c>
      <c r="V7" s="2">
        <f t="shared" si="0"/>
        <v>2.5</v>
      </c>
      <c r="W7" s="2">
        <f t="shared" si="0"/>
        <v>3</v>
      </c>
      <c r="X7" s="2">
        <f t="shared" si="0"/>
        <v>2.5</v>
      </c>
      <c r="Y7" s="2">
        <f t="shared" si="0"/>
        <v>3</v>
      </c>
      <c r="Z7" s="2">
        <f t="shared" si="0"/>
        <v>2.5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2</v>
      </c>
      <c r="AF7" s="2">
        <f t="shared" si="0"/>
        <v>2</v>
      </c>
      <c r="AG7" s="2">
        <f t="shared" si="0"/>
        <v>3</v>
      </c>
      <c r="AH7" s="2">
        <f t="shared" si="0"/>
        <v>2</v>
      </c>
      <c r="AI7" s="2">
        <f t="shared" si="0"/>
        <v>2</v>
      </c>
      <c r="AJ7" s="2">
        <f t="shared" si="0"/>
        <v>3</v>
      </c>
      <c r="AK7" s="7">
        <f t="shared" si="0"/>
        <v>5</v>
      </c>
      <c r="AL7" s="7">
        <f t="shared" si="0"/>
        <v>7</v>
      </c>
      <c r="AM7" s="7">
        <f t="shared" si="0"/>
        <v>0</v>
      </c>
      <c r="AN7" s="7">
        <f t="shared" si="0"/>
        <v>0</v>
      </c>
    </row>
    <row r="8" spans="1:40" x14ac:dyDescent="0.25">
      <c r="A8" s="3"/>
      <c r="B8" s="7"/>
      <c r="C8" s="7"/>
      <c r="D8" s="7"/>
      <c r="E8" s="7"/>
      <c r="F8" s="7"/>
      <c r="G8" s="3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39" t="s">
        <v>83</v>
      </c>
      <c r="B9" s="7"/>
      <c r="C9" s="7"/>
      <c r="D9" s="7"/>
      <c r="E9" s="7"/>
      <c r="F9" s="7"/>
      <c r="G9" s="3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A10" s="40" t="s">
        <v>84</v>
      </c>
      <c r="B10" s="7"/>
      <c r="C10" s="7"/>
      <c r="D10" s="7"/>
      <c r="E10" s="7"/>
      <c r="F10" s="7"/>
      <c r="G10" s="34"/>
      <c r="H10" s="7">
        <v>3.5</v>
      </c>
      <c r="I10" s="7">
        <f>1+0.5</f>
        <v>1.5</v>
      </c>
      <c r="J10" s="7">
        <v>1</v>
      </c>
      <c r="K10" s="7">
        <f>0.5</f>
        <v>0.5</v>
      </c>
      <c r="L10" s="7"/>
      <c r="M10" s="7"/>
      <c r="N10" s="7"/>
      <c r="O10" s="7"/>
      <c r="P10" s="7"/>
      <c r="Q10" s="7"/>
      <c r="R10" s="7">
        <f>2+1+0.5</f>
        <v>3.5</v>
      </c>
      <c r="S10" s="7">
        <f>2.5+1+2.75</f>
        <v>6.25</v>
      </c>
      <c r="T10" s="7">
        <f>0.5+1+0.75+1.5+1</f>
        <v>4.75</v>
      </c>
      <c r="U10" s="34">
        <v>6</v>
      </c>
      <c r="V10" s="7">
        <v>2</v>
      </c>
      <c r="W10" s="7">
        <v>9</v>
      </c>
      <c r="X10" s="7">
        <v>2</v>
      </c>
      <c r="Y10" s="7">
        <v>6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4</v>
      </c>
      <c r="AF10" s="7">
        <v>5</v>
      </c>
      <c r="AG10" s="7">
        <v>8</v>
      </c>
      <c r="AH10" s="7">
        <v>4</v>
      </c>
      <c r="AI10" s="7">
        <v>5</v>
      </c>
      <c r="AJ10" s="7">
        <v>8</v>
      </c>
      <c r="AK10" s="7">
        <v>6</v>
      </c>
      <c r="AL10" s="7">
        <v>10</v>
      </c>
      <c r="AM10" s="7">
        <v>0</v>
      </c>
      <c r="AN10" s="7">
        <v>0</v>
      </c>
    </row>
    <row r="11" spans="1:40" x14ac:dyDescent="0.25">
      <c r="A11" s="40" t="s">
        <v>85</v>
      </c>
      <c r="B11" s="7"/>
      <c r="C11" s="7"/>
      <c r="D11" s="7"/>
      <c r="E11" s="7"/>
      <c r="F11" s="7"/>
      <c r="G11" s="34"/>
      <c r="H11" s="7">
        <v>2.75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2.25</v>
      </c>
      <c r="T11" s="7">
        <f>1+1.75+2.5</f>
        <v>5.25</v>
      </c>
      <c r="U11" s="34">
        <v>4</v>
      </c>
      <c r="V11" s="7">
        <v>2</v>
      </c>
      <c r="W11" s="7">
        <v>7</v>
      </c>
      <c r="X11" s="7">
        <v>2</v>
      </c>
      <c r="Y11" s="7">
        <v>6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4</v>
      </c>
      <c r="AG11" s="7">
        <v>7</v>
      </c>
      <c r="AH11" s="7">
        <v>2</v>
      </c>
      <c r="AI11" s="7">
        <v>5</v>
      </c>
      <c r="AJ11" s="7">
        <v>7</v>
      </c>
      <c r="AK11" s="7">
        <v>5</v>
      </c>
      <c r="AL11" s="7">
        <v>10</v>
      </c>
      <c r="AM11" s="7">
        <v>0</v>
      </c>
      <c r="AN11" s="7">
        <v>0</v>
      </c>
    </row>
    <row r="12" spans="1:40" x14ac:dyDescent="0.25">
      <c r="A12" s="41" t="s">
        <v>86</v>
      </c>
      <c r="B12" s="2">
        <f t="shared" ref="B12:AN12" si="1">SUM(B10:B11)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38">
        <f t="shared" si="1"/>
        <v>0</v>
      </c>
      <c r="H12" s="2">
        <f t="shared" si="1"/>
        <v>6.25</v>
      </c>
      <c r="I12" s="2">
        <f t="shared" si="1"/>
        <v>1.5</v>
      </c>
      <c r="J12" s="2">
        <f t="shared" si="1"/>
        <v>1</v>
      </c>
      <c r="K12" s="2">
        <f t="shared" si="1"/>
        <v>0.5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3.5</v>
      </c>
      <c r="S12" s="2">
        <f t="shared" si="1"/>
        <v>8.5</v>
      </c>
      <c r="T12" s="2">
        <f t="shared" si="1"/>
        <v>10</v>
      </c>
      <c r="U12" s="38">
        <f t="shared" si="1"/>
        <v>10</v>
      </c>
      <c r="V12" s="2">
        <f t="shared" si="1"/>
        <v>4</v>
      </c>
      <c r="W12" s="2">
        <f t="shared" si="1"/>
        <v>16</v>
      </c>
      <c r="X12" s="2">
        <f t="shared" si="1"/>
        <v>4</v>
      </c>
      <c r="Y12" s="2">
        <f t="shared" si="1"/>
        <v>12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6</v>
      </c>
      <c r="AF12" s="2">
        <f t="shared" si="1"/>
        <v>9</v>
      </c>
      <c r="AG12" s="2">
        <f t="shared" si="1"/>
        <v>15</v>
      </c>
      <c r="AH12" s="2">
        <f t="shared" si="1"/>
        <v>6</v>
      </c>
      <c r="AI12" s="2">
        <f t="shared" si="1"/>
        <v>10</v>
      </c>
      <c r="AJ12" s="2">
        <f t="shared" si="1"/>
        <v>15</v>
      </c>
      <c r="AK12" s="2">
        <f t="shared" si="1"/>
        <v>11</v>
      </c>
      <c r="AL12" s="2">
        <f t="shared" si="1"/>
        <v>20</v>
      </c>
      <c r="AM12" s="2">
        <f t="shared" si="1"/>
        <v>0</v>
      </c>
      <c r="AN12" s="2">
        <f t="shared" si="1"/>
        <v>0</v>
      </c>
    </row>
    <row r="13" spans="1:40" x14ac:dyDescent="0.25">
      <c r="A13" s="3"/>
      <c r="B13" s="7"/>
      <c r="C13" s="7"/>
      <c r="D13" s="7"/>
      <c r="E13" s="7"/>
      <c r="F13" s="7"/>
      <c r="G13" s="3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 s="42" t="s">
        <v>87</v>
      </c>
      <c r="B14" s="7"/>
      <c r="C14" s="7"/>
      <c r="D14" s="7"/>
      <c r="E14" s="7"/>
      <c r="F14" s="7"/>
      <c r="G14" s="3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 s="43" t="s">
        <v>88</v>
      </c>
      <c r="B15" s="7"/>
      <c r="C15" s="7"/>
      <c r="D15" s="7"/>
      <c r="E15" s="7"/>
      <c r="F15" s="7"/>
      <c r="G15" s="34">
        <f>1.25+1</f>
        <v>2.25</v>
      </c>
      <c r="H15" s="7">
        <f>3+1+0.75</f>
        <v>4.75</v>
      </c>
      <c r="I15" s="7">
        <f>1.5+0.5+1+0.5+0.5+2</f>
        <v>6</v>
      </c>
      <c r="J15" s="7">
        <f>2+1+1</f>
        <v>4</v>
      </c>
      <c r="K15" s="7">
        <f>0.5+0.25+2+0.5+1.75+0.5</f>
        <v>5.5</v>
      </c>
      <c r="L15" s="7"/>
      <c r="M15" s="7"/>
      <c r="N15" s="7"/>
      <c r="O15" s="7"/>
      <c r="P15" s="7"/>
      <c r="Q15" s="7"/>
      <c r="R15" s="7">
        <f>1.75+2.25+0.75+0.5</f>
        <v>5.25</v>
      </c>
      <c r="S15" s="7"/>
      <c r="T15" s="7">
        <f>1.5+0.5+1</f>
        <v>3</v>
      </c>
      <c r="U15" s="34">
        <v>2</v>
      </c>
      <c r="V15" s="7">
        <v>3</v>
      </c>
      <c r="W15" s="7">
        <v>3</v>
      </c>
      <c r="X15" s="7">
        <v>3</v>
      </c>
      <c r="Y15" s="7">
        <v>2</v>
      </c>
      <c r="Z15" s="7">
        <v>2</v>
      </c>
      <c r="AA15" s="7">
        <v>0</v>
      </c>
      <c r="AB15" s="7">
        <v>0</v>
      </c>
      <c r="AC15" s="7">
        <v>0</v>
      </c>
      <c r="AD15" s="7">
        <v>0</v>
      </c>
      <c r="AE15" s="7">
        <v>2</v>
      </c>
      <c r="AF15" s="7">
        <v>2</v>
      </c>
      <c r="AG15" s="7">
        <v>4</v>
      </c>
      <c r="AH15" s="7">
        <v>2</v>
      </c>
      <c r="AI15" s="7">
        <v>2</v>
      </c>
      <c r="AJ15" s="7">
        <v>6</v>
      </c>
      <c r="AK15" s="7">
        <v>2</v>
      </c>
      <c r="AL15" s="7">
        <v>8</v>
      </c>
      <c r="AM15" s="7">
        <v>0</v>
      </c>
      <c r="AN15" s="7">
        <v>0</v>
      </c>
    </row>
    <row r="16" spans="1:40" x14ac:dyDescent="0.25">
      <c r="A16" s="43" t="s">
        <v>85</v>
      </c>
      <c r="B16" s="7"/>
      <c r="C16" s="7"/>
      <c r="D16" s="7"/>
      <c r="E16" s="7"/>
      <c r="F16" s="7"/>
      <c r="G16" s="34">
        <v>2</v>
      </c>
      <c r="H16" s="7">
        <f>1+2+1+1+0.75</f>
        <v>5.75</v>
      </c>
      <c r="I16" s="7">
        <f>0.5+0.25+0.75+1</f>
        <v>2.5</v>
      </c>
      <c r="J16" s="7">
        <f>2.5+1+1</f>
        <v>4.5</v>
      </c>
      <c r="K16" s="7">
        <f>0.75+2+0.5+1</f>
        <v>4.25</v>
      </c>
      <c r="L16" s="7"/>
      <c r="M16" s="7"/>
      <c r="N16" s="7"/>
      <c r="O16" s="7"/>
      <c r="P16" s="7"/>
      <c r="Q16" s="7"/>
      <c r="R16" s="7">
        <f>2.25</f>
        <v>2.25</v>
      </c>
      <c r="S16" s="7"/>
      <c r="T16" s="7">
        <v>1.75</v>
      </c>
      <c r="U16" s="34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0</v>
      </c>
      <c r="AB16" s="7">
        <v>0</v>
      </c>
      <c r="AC16" s="7">
        <v>0</v>
      </c>
      <c r="AD16" s="7">
        <v>0</v>
      </c>
      <c r="AE16" s="7">
        <v>2</v>
      </c>
      <c r="AF16" s="7">
        <v>2</v>
      </c>
      <c r="AG16" s="7">
        <v>4</v>
      </c>
      <c r="AH16" s="7">
        <v>2</v>
      </c>
      <c r="AI16" s="7">
        <v>2</v>
      </c>
      <c r="AJ16" s="7">
        <v>6</v>
      </c>
      <c r="AK16" s="7">
        <v>2</v>
      </c>
      <c r="AL16" s="7">
        <v>8</v>
      </c>
      <c r="AM16" s="7">
        <v>0</v>
      </c>
      <c r="AN16" s="7">
        <v>0</v>
      </c>
    </row>
    <row r="17" spans="1:40" x14ac:dyDescent="0.25">
      <c r="A17" s="44" t="s">
        <v>89</v>
      </c>
      <c r="B17" s="2">
        <f t="shared" ref="B17:AN17" si="2">SUM(B15:B16)</f>
        <v>0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38">
        <f t="shared" si="2"/>
        <v>4.25</v>
      </c>
      <c r="H17" s="2">
        <f t="shared" si="2"/>
        <v>10.5</v>
      </c>
      <c r="I17" s="2">
        <f t="shared" si="2"/>
        <v>8.5</v>
      </c>
      <c r="J17" s="2">
        <f t="shared" si="2"/>
        <v>8.5</v>
      </c>
      <c r="K17" s="2">
        <f t="shared" si="2"/>
        <v>9.75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7.5</v>
      </c>
      <c r="S17" s="2">
        <f t="shared" si="2"/>
        <v>0</v>
      </c>
      <c r="T17" s="2">
        <f t="shared" si="2"/>
        <v>4.75</v>
      </c>
      <c r="U17" s="38">
        <f t="shared" si="2"/>
        <v>4</v>
      </c>
      <c r="V17" s="2">
        <f t="shared" si="2"/>
        <v>5</v>
      </c>
      <c r="W17" s="2">
        <f t="shared" si="2"/>
        <v>5</v>
      </c>
      <c r="X17" s="2">
        <f t="shared" si="2"/>
        <v>5</v>
      </c>
      <c r="Y17" s="2">
        <f t="shared" si="2"/>
        <v>4</v>
      </c>
      <c r="Z17" s="2">
        <f t="shared" si="2"/>
        <v>4</v>
      </c>
      <c r="AA17" s="2">
        <f t="shared" si="2"/>
        <v>0</v>
      </c>
      <c r="AB17" s="2">
        <f t="shared" si="2"/>
        <v>0</v>
      </c>
      <c r="AC17" s="2">
        <f t="shared" si="2"/>
        <v>0</v>
      </c>
      <c r="AD17" s="2">
        <f t="shared" si="2"/>
        <v>0</v>
      </c>
      <c r="AE17" s="2">
        <f t="shared" si="2"/>
        <v>4</v>
      </c>
      <c r="AF17" s="2">
        <f t="shared" si="2"/>
        <v>4</v>
      </c>
      <c r="AG17" s="2">
        <f t="shared" si="2"/>
        <v>8</v>
      </c>
      <c r="AH17" s="2">
        <f t="shared" si="2"/>
        <v>4</v>
      </c>
      <c r="AI17" s="2">
        <f t="shared" si="2"/>
        <v>4</v>
      </c>
      <c r="AJ17" s="2">
        <f t="shared" si="2"/>
        <v>12</v>
      </c>
      <c r="AK17" s="2">
        <f t="shared" si="2"/>
        <v>4</v>
      </c>
      <c r="AL17" s="2">
        <f t="shared" si="2"/>
        <v>16</v>
      </c>
      <c r="AM17" s="2">
        <f t="shared" si="2"/>
        <v>0</v>
      </c>
      <c r="AN17" s="2">
        <f t="shared" si="2"/>
        <v>0</v>
      </c>
    </row>
    <row r="18" spans="1:40" x14ac:dyDescent="0.25">
      <c r="A18" s="3"/>
      <c r="B18" s="7"/>
      <c r="C18" s="7"/>
      <c r="D18" s="7"/>
      <c r="E18" s="7"/>
      <c r="F18" s="7"/>
      <c r="G18" s="3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 s="45" t="s">
        <v>90</v>
      </c>
      <c r="B19" s="7"/>
      <c r="C19" s="7"/>
      <c r="D19" s="7"/>
      <c r="E19" s="7"/>
      <c r="F19" s="7"/>
      <c r="G19" s="3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 s="46" t="s">
        <v>91</v>
      </c>
      <c r="B20" s="7"/>
      <c r="C20" s="7"/>
      <c r="D20" s="7"/>
      <c r="E20" s="7"/>
      <c r="F20" s="7"/>
      <c r="G20" s="34"/>
      <c r="H20" s="7">
        <f>1+0.75</f>
        <v>1.75</v>
      </c>
      <c r="I20" s="7">
        <f>1.25+1</f>
        <v>2.25</v>
      </c>
      <c r="J20" s="7">
        <f>3.5+1.5+1</f>
        <v>6</v>
      </c>
      <c r="K20" s="7">
        <f>3</f>
        <v>3</v>
      </c>
      <c r="L20" s="7"/>
      <c r="M20" s="7"/>
      <c r="N20" s="7"/>
      <c r="O20" s="7"/>
      <c r="P20" s="7"/>
      <c r="Q20" s="7"/>
      <c r="R20" s="7">
        <v>1.5</v>
      </c>
      <c r="S20" s="7"/>
      <c r="T20" s="7">
        <v>1</v>
      </c>
      <c r="U20" s="34">
        <v>3</v>
      </c>
      <c r="V20" s="7">
        <v>4</v>
      </c>
      <c r="W20" s="7">
        <v>5</v>
      </c>
      <c r="X20" s="7">
        <v>4</v>
      </c>
      <c r="Y20" s="7">
        <v>3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1</v>
      </c>
      <c r="AF20" s="7">
        <v>2</v>
      </c>
      <c r="AG20" s="7">
        <v>4</v>
      </c>
      <c r="AH20" s="7">
        <v>3</v>
      </c>
      <c r="AI20" s="7">
        <v>3</v>
      </c>
      <c r="AJ20" s="7">
        <v>4</v>
      </c>
      <c r="AK20" s="7">
        <v>4</v>
      </c>
      <c r="AL20" s="7">
        <v>5</v>
      </c>
      <c r="AM20" s="7">
        <v>0</v>
      </c>
      <c r="AN20" s="7">
        <v>0</v>
      </c>
    </row>
    <row r="21" spans="1:40" x14ac:dyDescent="0.25">
      <c r="A21" s="46" t="s">
        <v>92</v>
      </c>
      <c r="B21" s="7"/>
      <c r="C21" s="7"/>
      <c r="D21" s="7"/>
      <c r="E21" s="7"/>
      <c r="F21" s="7"/>
      <c r="G21" s="34"/>
      <c r="H21" s="7">
        <f>2+1+0.75</f>
        <v>3.75</v>
      </c>
      <c r="I21" s="7">
        <f>1+1</f>
        <v>2</v>
      </c>
      <c r="J21" s="7">
        <f>3+2+1+1</f>
        <v>7</v>
      </c>
      <c r="K21" s="7">
        <f>2+2+0.5+0.5+1</f>
        <v>6</v>
      </c>
      <c r="L21" s="7"/>
      <c r="M21" s="7"/>
      <c r="N21" s="7"/>
      <c r="O21" s="7"/>
      <c r="P21" s="7"/>
      <c r="Q21" s="7"/>
      <c r="R21" s="7">
        <v>0.5</v>
      </c>
      <c r="S21" s="7">
        <v>3</v>
      </c>
      <c r="T21" s="7">
        <v>1</v>
      </c>
      <c r="U21" s="34">
        <v>3</v>
      </c>
      <c r="V21" s="7">
        <v>4</v>
      </c>
      <c r="W21" s="7">
        <v>5</v>
      </c>
      <c r="X21" s="7">
        <v>4</v>
      </c>
      <c r="Y21" s="7">
        <v>3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1</v>
      </c>
      <c r="AF21" s="7">
        <v>2</v>
      </c>
      <c r="AG21" s="7">
        <v>4</v>
      </c>
      <c r="AH21" s="7">
        <v>3</v>
      </c>
      <c r="AI21" s="7">
        <v>3</v>
      </c>
      <c r="AJ21" s="7">
        <v>4</v>
      </c>
      <c r="AK21" s="7">
        <v>4</v>
      </c>
      <c r="AL21" s="7">
        <v>5</v>
      </c>
      <c r="AM21" s="7">
        <v>0</v>
      </c>
      <c r="AN21" s="7">
        <v>0</v>
      </c>
    </row>
    <row r="22" spans="1:40" x14ac:dyDescent="0.25">
      <c r="A22" s="47" t="s">
        <v>93</v>
      </c>
      <c r="B22" s="2">
        <f t="shared" ref="B22:AN22" si="3">SUM(B20:B21)</f>
        <v>0</v>
      </c>
      <c r="C22" s="2">
        <f t="shared" si="3"/>
        <v>0</v>
      </c>
      <c r="D22" s="2">
        <f t="shared" si="3"/>
        <v>0</v>
      </c>
      <c r="E22" s="2">
        <f t="shared" si="3"/>
        <v>0</v>
      </c>
      <c r="F22" s="2">
        <f t="shared" si="3"/>
        <v>0</v>
      </c>
      <c r="G22" s="38">
        <f t="shared" si="3"/>
        <v>0</v>
      </c>
      <c r="H22" s="2">
        <f t="shared" si="3"/>
        <v>5.5</v>
      </c>
      <c r="I22" s="2">
        <f t="shared" si="3"/>
        <v>4.25</v>
      </c>
      <c r="J22" s="2">
        <f t="shared" si="3"/>
        <v>13</v>
      </c>
      <c r="K22" s="2">
        <f t="shared" si="3"/>
        <v>9</v>
      </c>
      <c r="L22" s="2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2</v>
      </c>
      <c r="S22" s="2">
        <f t="shared" si="3"/>
        <v>3</v>
      </c>
      <c r="T22" s="2">
        <f t="shared" si="3"/>
        <v>2</v>
      </c>
      <c r="U22" s="38">
        <f t="shared" si="3"/>
        <v>6</v>
      </c>
      <c r="V22" s="2">
        <f t="shared" si="3"/>
        <v>8</v>
      </c>
      <c r="W22" s="2">
        <f t="shared" si="3"/>
        <v>10</v>
      </c>
      <c r="X22" s="2">
        <f t="shared" si="3"/>
        <v>8</v>
      </c>
      <c r="Y22" s="2">
        <f t="shared" si="3"/>
        <v>6</v>
      </c>
      <c r="Z22" s="2">
        <f t="shared" si="3"/>
        <v>4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2</v>
      </c>
      <c r="AF22" s="2">
        <f t="shared" si="3"/>
        <v>4</v>
      </c>
      <c r="AG22" s="2">
        <f t="shared" si="3"/>
        <v>8</v>
      </c>
      <c r="AH22" s="2">
        <f t="shared" si="3"/>
        <v>6</v>
      </c>
      <c r="AI22" s="2">
        <f t="shared" si="3"/>
        <v>6</v>
      </c>
      <c r="AJ22" s="2">
        <f t="shared" si="3"/>
        <v>8</v>
      </c>
      <c r="AK22" s="2">
        <f t="shared" si="3"/>
        <v>8</v>
      </c>
      <c r="AL22" s="2">
        <f t="shared" si="3"/>
        <v>10</v>
      </c>
      <c r="AM22" s="2">
        <f t="shared" si="3"/>
        <v>0</v>
      </c>
      <c r="AN22" s="2">
        <f t="shared" si="3"/>
        <v>0</v>
      </c>
    </row>
    <row r="23" spans="1:40" x14ac:dyDescent="0.25">
      <c r="A23" s="3"/>
      <c r="B23" s="7"/>
      <c r="C23" s="7"/>
      <c r="D23" s="7"/>
      <c r="E23" s="7"/>
      <c r="F23" s="7"/>
      <c r="G23" s="3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3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5">
      <c r="A24" s="48" t="s">
        <v>94</v>
      </c>
      <c r="B24" s="7"/>
      <c r="C24" s="7"/>
      <c r="D24" s="7"/>
      <c r="E24" s="7"/>
      <c r="F24" s="7"/>
      <c r="G24" s="34"/>
      <c r="H24" s="7"/>
      <c r="I24" s="7"/>
      <c r="J24" s="7"/>
      <c r="K24" s="7"/>
      <c r="L24" s="7"/>
      <c r="M24" s="7"/>
      <c r="N24" s="7"/>
      <c r="O24" s="7"/>
      <c r="P24" s="7"/>
      <c r="Q24" s="7">
        <f t="shared" ref="Q24:T24" si="4">SUM(Q25:Q33)</f>
        <v>42.5</v>
      </c>
      <c r="R24" s="7">
        <f t="shared" si="4"/>
        <v>15.5</v>
      </c>
      <c r="S24" s="7">
        <f t="shared" si="4"/>
        <v>43</v>
      </c>
      <c r="T24" s="7">
        <f t="shared" si="4"/>
        <v>24.75</v>
      </c>
      <c r="U24" s="3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 s="29" t="s">
        <v>95</v>
      </c>
      <c r="B25" s="7"/>
      <c r="C25" s="7"/>
      <c r="D25" s="7"/>
      <c r="E25" s="7"/>
      <c r="F25" s="7"/>
      <c r="G25" s="34">
        <f>1</f>
        <v>1</v>
      </c>
      <c r="H25" s="7">
        <f>2+0.75+0.75+1+0.75</f>
        <v>5.25</v>
      </c>
      <c r="I25" s="7">
        <f>3+4+0.75+2</f>
        <v>9.75</v>
      </c>
      <c r="J25" s="7">
        <f>1.25+0.5+2.25+0.5+0.25+1.5+3+1+1</f>
        <v>11.25</v>
      </c>
      <c r="K25" s="7">
        <v>9</v>
      </c>
      <c r="L25" s="7">
        <f>0.5+1.5+0.75+2+1.25+0.75+1+1</f>
        <v>8.75</v>
      </c>
      <c r="M25" s="7">
        <f>0.5+1.25+3</f>
        <v>4.75</v>
      </c>
      <c r="N25" s="7"/>
      <c r="O25" s="7">
        <f>5.75+0.75</f>
        <v>6.5</v>
      </c>
      <c r="P25" s="7">
        <f>1.5</f>
        <v>1.5</v>
      </c>
      <c r="Q25" s="7">
        <f>4+2.75+5.25+4+2.75+1+2+7+1.75+0.75+4.25</f>
        <v>35.5</v>
      </c>
      <c r="R25" s="7">
        <f>2.5+1+1.25+1.75+0.5</f>
        <v>7</v>
      </c>
      <c r="S25" s="7">
        <f>3+2+1.75+0.75</f>
        <v>7.5</v>
      </c>
      <c r="T25" s="7">
        <v>8</v>
      </c>
      <c r="U25" s="34">
        <v>7</v>
      </c>
      <c r="V25" s="7">
        <v>8</v>
      </c>
      <c r="W25" s="7">
        <v>7.5</v>
      </c>
      <c r="X25" s="7">
        <v>7.5</v>
      </c>
      <c r="Y25" s="7">
        <v>7</v>
      </c>
      <c r="Z25" s="7">
        <v>8</v>
      </c>
      <c r="AA25" s="7">
        <v>0</v>
      </c>
      <c r="AB25" s="7">
        <v>0</v>
      </c>
      <c r="AC25" s="7">
        <v>0</v>
      </c>
      <c r="AD25" s="7">
        <v>0</v>
      </c>
      <c r="AE25" s="7">
        <v>3</v>
      </c>
      <c r="AF25" s="7">
        <v>3</v>
      </c>
      <c r="AG25" s="7">
        <v>3</v>
      </c>
      <c r="AH25" s="7">
        <v>3</v>
      </c>
      <c r="AI25" s="7">
        <v>3</v>
      </c>
      <c r="AJ25" s="7">
        <v>4</v>
      </c>
      <c r="AK25" s="7">
        <v>5</v>
      </c>
      <c r="AL25" s="7">
        <v>6</v>
      </c>
      <c r="AM25" s="7">
        <v>0</v>
      </c>
      <c r="AN25" s="7">
        <v>0</v>
      </c>
    </row>
    <row r="26" spans="1:40" x14ac:dyDescent="0.25">
      <c r="A26" s="29" t="s">
        <v>96</v>
      </c>
      <c r="B26" s="7"/>
      <c r="C26" s="7"/>
      <c r="D26" s="7"/>
      <c r="E26" s="7"/>
      <c r="F26" s="7"/>
      <c r="G26" s="34"/>
      <c r="H26" s="7">
        <f>1+0.75</f>
        <v>1.75</v>
      </c>
      <c r="I26" s="7"/>
      <c r="J26" s="7"/>
      <c r="K26" s="7">
        <f>0.5+1</f>
        <v>1.5</v>
      </c>
      <c r="L26" s="7"/>
      <c r="M26" s="7"/>
      <c r="N26" s="7"/>
      <c r="O26" s="7"/>
      <c r="P26" s="7"/>
      <c r="Q26" s="7"/>
      <c r="R26" s="7">
        <v>0.5</v>
      </c>
      <c r="S26" s="7">
        <f>3</f>
        <v>3</v>
      </c>
      <c r="T26" s="7">
        <v>1</v>
      </c>
      <c r="U26" s="34">
        <v>5</v>
      </c>
      <c r="V26" s="7">
        <v>6</v>
      </c>
      <c r="W26" s="7">
        <v>6</v>
      </c>
      <c r="X26" s="7">
        <v>6</v>
      </c>
      <c r="Y26" s="7">
        <v>7</v>
      </c>
      <c r="Z26" s="7">
        <v>7</v>
      </c>
      <c r="AA26" s="7">
        <v>0</v>
      </c>
      <c r="AB26" s="7">
        <v>0</v>
      </c>
      <c r="AC26" s="7">
        <v>0</v>
      </c>
      <c r="AD26" s="7">
        <v>0</v>
      </c>
      <c r="AE26" s="7">
        <v>2</v>
      </c>
      <c r="AF26" s="7">
        <v>2</v>
      </c>
      <c r="AG26" s="7">
        <v>2</v>
      </c>
      <c r="AH26" s="7">
        <v>2</v>
      </c>
      <c r="AI26" s="7">
        <v>2</v>
      </c>
      <c r="AJ26" s="7">
        <v>3</v>
      </c>
      <c r="AK26" s="7">
        <v>4</v>
      </c>
      <c r="AL26" s="7">
        <v>5</v>
      </c>
      <c r="AM26" s="7">
        <v>0</v>
      </c>
      <c r="AN26" s="7">
        <v>0</v>
      </c>
    </row>
    <row r="27" spans="1:40" x14ac:dyDescent="0.25">
      <c r="A27" s="29" t="s">
        <v>97</v>
      </c>
      <c r="B27" s="7"/>
      <c r="C27" s="7"/>
      <c r="D27" s="7"/>
      <c r="E27" s="7"/>
      <c r="F27" s="7"/>
      <c r="G27" s="3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3</v>
      </c>
      <c r="T27" s="7">
        <v>0</v>
      </c>
      <c r="U27" s="34">
        <v>4</v>
      </c>
      <c r="V27" s="7">
        <v>5</v>
      </c>
      <c r="W27" s="7">
        <v>5</v>
      </c>
      <c r="X27" s="7">
        <v>5</v>
      </c>
      <c r="Y27" s="7">
        <v>5</v>
      </c>
      <c r="Z27" s="7">
        <v>6</v>
      </c>
      <c r="AA27" s="7">
        <v>0</v>
      </c>
      <c r="AB27" s="7">
        <v>0</v>
      </c>
      <c r="AC27" s="7">
        <v>0</v>
      </c>
      <c r="AD27" s="7">
        <v>0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3</v>
      </c>
      <c r="AL27" s="7">
        <v>4</v>
      </c>
      <c r="AM27" s="7">
        <v>0</v>
      </c>
      <c r="AN27" s="7">
        <v>0</v>
      </c>
    </row>
    <row r="28" spans="1:40" x14ac:dyDescent="0.25">
      <c r="A28" s="29" t="s">
        <v>81</v>
      </c>
      <c r="B28" s="7"/>
      <c r="C28" s="7"/>
      <c r="D28" s="7"/>
      <c r="E28" s="7"/>
      <c r="F28" s="7"/>
      <c r="G28" s="34"/>
      <c r="H28" s="7"/>
      <c r="I28" s="7"/>
      <c r="J28" s="7"/>
      <c r="K28" s="7"/>
      <c r="L28" s="7"/>
      <c r="M28" s="7"/>
      <c r="N28" s="7"/>
      <c r="O28" s="7"/>
      <c r="P28" s="7"/>
      <c r="Q28" s="7">
        <f>2+5</f>
        <v>7</v>
      </c>
      <c r="R28" s="7">
        <f>5+3</f>
        <v>8</v>
      </c>
      <c r="S28" s="7">
        <f>3+2+1+1</f>
        <v>7</v>
      </c>
      <c r="T28" s="7">
        <v>3</v>
      </c>
      <c r="U28" s="34">
        <v>5</v>
      </c>
      <c r="V28" s="7">
        <v>5</v>
      </c>
      <c r="W28" s="7">
        <v>6</v>
      </c>
      <c r="X28" s="7">
        <v>6</v>
      </c>
      <c r="Y28" s="7">
        <v>7</v>
      </c>
      <c r="Z28" s="7">
        <v>7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s="29" t="s">
        <v>88</v>
      </c>
      <c r="B29" s="7"/>
      <c r="C29" s="7"/>
      <c r="D29" s="7"/>
      <c r="E29" s="7"/>
      <c r="F29" s="7"/>
      <c r="G29" s="3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2</v>
      </c>
      <c r="T29" s="7">
        <v>3.75</v>
      </c>
      <c r="U29" s="34">
        <v>4</v>
      </c>
      <c r="V29" s="34">
        <v>3</v>
      </c>
      <c r="W29" s="34">
        <v>3</v>
      </c>
      <c r="X29" s="34">
        <v>3</v>
      </c>
      <c r="Y29" s="7">
        <v>4</v>
      </c>
      <c r="Z29" s="7">
        <v>5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s="29" t="s">
        <v>84</v>
      </c>
      <c r="B30" s="7"/>
      <c r="C30" s="7"/>
      <c r="D30" s="7"/>
      <c r="E30" s="7"/>
      <c r="F30" s="7"/>
      <c r="G30" s="3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7.75</v>
      </c>
      <c r="T30" s="7">
        <v>4</v>
      </c>
      <c r="U30" s="34">
        <v>4</v>
      </c>
      <c r="V30" s="34">
        <v>3</v>
      </c>
      <c r="W30" s="34">
        <v>3</v>
      </c>
      <c r="X30" s="34">
        <v>3</v>
      </c>
      <c r="Y30" s="7">
        <v>4</v>
      </c>
      <c r="Z30" s="7">
        <v>5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25">
      <c r="A31" s="29" t="s">
        <v>85</v>
      </c>
      <c r="B31" s="7"/>
      <c r="C31" s="7"/>
      <c r="D31" s="7"/>
      <c r="E31" s="7"/>
      <c r="F31" s="7"/>
      <c r="G31" s="3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f>3+2</f>
        <v>5</v>
      </c>
      <c r="T31" s="7">
        <v>2</v>
      </c>
      <c r="U31" s="34">
        <v>3</v>
      </c>
      <c r="V31" s="34">
        <v>4</v>
      </c>
      <c r="W31" s="34">
        <v>3</v>
      </c>
      <c r="X31" s="34">
        <v>3</v>
      </c>
      <c r="Y31" s="7">
        <v>4</v>
      </c>
      <c r="Z31" s="7">
        <v>5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25">
      <c r="A32" s="29" t="s">
        <v>98</v>
      </c>
      <c r="B32" s="7"/>
      <c r="C32" s="7"/>
      <c r="D32" s="7"/>
      <c r="E32" s="7"/>
      <c r="F32" s="7"/>
      <c r="G32" s="3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f>3</f>
        <v>3</v>
      </c>
      <c r="T32" s="7">
        <v>3</v>
      </c>
      <c r="U32" s="34">
        <v>3</v>
      </c>
      <c r="V32" s="34">
        <v>4</v>
      </c>
      <c r="W32" s="34">
        <v>3</v>
      </c>
      <c r="X32" s="34">
        <v>3</v>
      </c>
      <c r="Y32" s="7">
        <v>4</v>
      </c>
      <c r="Z32" s="7">
        <v>5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25">
      <c r="A33" s="29" t="s">
        <v>99</v>
      </c>
      <c r="B33" s="7"/>
      <c r="C33" s="7"/>
      <c r="D33" s="7"/>
      <c r="E33" s="7"/>
      <c r="F33" s="7"/>
      <c r="G33" s="3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4.75</v>
      </c>
      <c r="T33" s="7">
        <v>0</v>
      </c>
      <c r="U33" s="34">
        <v>3</v>
      </c>
      <c r="V33" s="34">
        <v>3</v>
      </c>
      <c r="W33" s="34">
        <v>4</v>
      </c>
      <c r="X33" s="34">
        <v>3</v>
      </c>
      <c r="Y33" s="7">
        <v>4</v>
      </c>
      <c r="Z33" s="7">
        <v>5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</row>
    <row r="34" spans="1:40" x14ac:dyDescent="0.25">
      <c r="A34" s="49" t="s">
        <v>100</v>
      </c>
      <c r="B34" s="2">
        <f t="shared" ref="B34:AN34" si="5">SUM(B25:B33)</f>
        <v>0</v>
      </c>
      <c r="C34" s="2">
        <f t="shared" si="5"/>
        <v>0</v>
      </c>
      <c r="D34" s="2">
        <f t="shared" si="5"/>
        <v>0</v>
      </c>
      <c r="E34" s="2">
        <f t="shared" si="5"/>
        <v>0</v>
      </c>
      <c r="F34" s="2">
        <f t="shared" si="5"/>
        <v>0</v>
      </c>
      <c r="G34" s="38">
        <f t="shared" si="5"/>
        <v>1</v>
      </c>
      <c r="H34" s="2">
        <f t="shared" si="5"/>
        <v>7</v>
      </c>
      <c r="I34" s="2">
        <f t="shared" si="5"/>
        <v>9.75</v>
      </c>
      <c r="J34" s="2">
        <f t="shared" si="5"/>
        <v>11.25</v>
      </c>
      <c r="K34" s="2">
        <f t="shared" si="5"/>
        <v>10.5</v>
      </c>
      <c r="L34" s="2">
        <f t="shared" si="5"/>
        <v>8.75</v>
      </c>
      <c r="M34" s="2">
        <f t="shared" si="5"/>
        <v>4.75</v>
      </c>
      <c r="N34" s="2">
        <f t="shared" si="5"/>
        <v>0</v>
      </c>
      <c r="O34" s="2">
        <f t="shared" si="5"/>
        <v>6.5</v>
      </c>
      <c r="P34" s="2">
        <f t="shared" si="5"/>
        <v>1.5</v>
      </c>
      <c r="Q34" s="2">
        <f t="shared" si="5"/>
        <v>42.5</v>
      </c>
      <c r="R34" s="2">
        <f t="shared" si="5"/>
        <v>15.5</v>
      </c>
      <c r="S34" s="2">
        <f t="shared" si="5"/>
        <v>43</v>
      </c>
      <c r="T34" s="2">
        <f t="shared" si="5"/>
        <v>24.75</v>
      </c>
      <c r="U34" s="38">
        <f t="shared" si="5"/>
        <v>38</v>
      </c>
      <c r="V34" s="2">
        <f t="shared" si="5"/>
        <v>41</v>
      </c>
      <c r="W34" s="2">
        <f t="shared" si="5"/>
        <v>40.5</v>
      </c>
      <c r="X34" s="2">
        <f t="shared" si="5"/>
        <v>39.5</v>
      </c>
      <c r="Y34" s="2">
        <f t="shared" si="5"/>
        <v>46</v>
      </c>
      <c r="Z34" s="2">
        <f t="shared" si="5"/>
        <v>53</v>
      </c>
      <c r="AA34" s="2">
        <f t="shared" si="5"/>
        <v>0</v>
      </c>
      <c r="AB34" s="2">
        <f t="shared" si="5"/>
        <v>0</v>
      </c>
      <c r="AC34" s="2">
        <f t="shared" si="5"/>
        <v>0</v>
      </c>
      <c r="AD34" s="2">
        <f t="shared" si="5"/>
        <v>0</v>
      </c>
      <c r="AE34" s="2">
        <f t="shared" si="5"/>
        <v>7</v>
      </c>
      <c r="AF34" s="2">
        <f t="shared" si="5"/>
        <v>7</v>
      </c>
      <c r="AG34" s="2">
        <f t="shared" si="5"/>
        <v>7</v>
      </c>
      <c r="AH34" s="2">
        <f t="shared" si="5"/>
        <v>7</v>
      </c>
      <c r="AI34" s="2">
        <f t="shared" si="5"/>
        <v>7</v>
      </c>
      <c r="AJ34" s="2">
        <f t="shared" si="5"/>
        <v>9</v>
      </c>
      <c r="AK34" s="2">
        <f t="shared" si="5"/>
        <v>12</v>
      </c>
      <c r="AL34" s="2">
        <f t="shared" si="5"/>
        <v>15</v>
      </c>
      <c r="AM34" s="2">
        <f t="shared" si="5"/>
        <v>0</v>
      </c>
      <c r="AN34" s="2">
        <f t="shared" si="5"/>
        <v>0</v>
      </c>
    </row>
    <row r="35" spans="1:40" x14ac:dyDescent="0.25">
      <c r="A35" s="3"/>
      <c r="B35" s="7"/>
      <c r="C35" s="7"/>
      <c r="D35" s="7"/>
      <c r="E35" s="7"/>
      <c r="F35" s="7"/>
      <c r="G35" s="3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3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50" t="s">
        <v>101</v>
      </c>
      <c r="B36" s="7"/>
      <c r="C36" s="7"/>
      <c r="D36" s="7"/>
      <c r="E36" s="7"/>
      <c r="F36" s="7"/>
      <c r="G36" s="3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3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51" t="s">
        <v>98</v>
      </c>
      <c r="B37" s="7"/>
      <c r="C37" s="7"/>
      <c r="D37" s="7"/>
      <c r="E37" s="7"/>
      <c r="F37" s="7"/>
      <c r="G37" s="34"/>
      <c r="H37" s="7">
        <f>1+1</f>
        <v>2</v>
      </c>
      <c r="I37" s="7">
        <f>1+1.5+0.5+1+1</f>
        <v>5</v>
      </c>
      <c r="J37" s="7">
        <f>2+1+1.25+1</f>
        <v>5.25</v>
      </c>
      <c r="K37" s="7">
        <v>0.5</v>
      </c>
      <c r="L37" s="7"/>
      <c r="M37" s="7"/>
      <c r="N37" s="7"/>
      <c r="O37" s="7"/>
      <c r="P37" s="7">
        <f>0.75</f>
        <v>0.75</v>
      </c>
      <c r="Q37" s="7"/>
      <c r="R37" s="7">
        <v>0.5</v>
      </c>
      <c r="S37" s="7">
        <v>4.75</v>
      </c>
      <c r="T37" s="7">
        <v>2.25</v>
      </c>
      <c r="U37" s="34">
        <v>2</v>
      </c>
      <c r="V37" s="7">
        <v>3</v>
      </c>
      <c r="W37" s="7">
        <v>4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2</v>
      </c>
      <c r="AM37" s="7">
        <v>0</v>
      </c>
      <c r="AN37" s="7">
        <v>0</v>
      </c>
    </row>
    <row r="38" spans="1:40" x14ac:dyDescent="0.25">
      <c r="A38" s="51" t="s">
        <v>84</v>
      </c>
      <c r="B38" s="7"/>
      <c r="C38" s="7"/>
      <c r="D38" s="7"/>
      <c r="E38" s="7"/>
      <c r="F38" s="7"/>
      <c r="G38" s="34"/>
      <c r="H38" s="7">
        <f>0.25+1</f>
        <v>1.25</v>
      </c>
      <c r="I38" s="7">
        <f>0.25+0.75+0.25</f>
        <v>1.25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f>0.5+2+0.5</f>
        <v>3</v>
      </c>
      <c r="U38" s="34">
        <v>1</v>
      </c>
      <c r="V38" s="7">
        <v>2</v>
      </c>
      <c r="W38" s="7">
        <v>3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1</v>
      </c>
      <c r="AM38" s="7">
        <v>0</v>
      </c>
      <c r="AN38" s="7">
        <v>0</v>
      </c>
    </row>
    <row r="39" spans="1:40" x14ac:dyDescent="0.25">
      <c r="A39" s="52" t="s">
        <v>102</v>
      </c>
      <c r="B39" s="2">
        <f t="shared" ref="B39:AN39" si="6">SUM(B37:B38)</f>
        <v>0</v>
      </c>
      <c r="C39" s="2">
        <f t="shared" si="6"/>
        <v>0</v>
      </c>
      <c r="D39" s="2">
        <f t="shared" si="6"/>
        <v>0</v>
      </c>
      <c r="E39" s="2">
        <f t="shared" si="6"/>
        <v>0</v>
      </c>
      <c r="F39" s="2">
        <f t="shared" si="6"/>
        <v>0</v>
      </c>
      <c r="G39" s="38">
        <f t="shared" si="6"/>
        <v>0</v>
      </c>
      <c r="H39" s="2">
        <f t="shared" si="6"/>
        <v>3.25</v>
      </c>
      <c r="I39" s="2">
        <f t="shared" si="6"/>
        <v>6.25</v>
      </c>
      <c r="J39" s="2">
        <f t="shared" si="6"/>
        <v>5.25</v>
      </c>
      <c r="K39" s="2">
        <f t="shared" si="6"/>
        <v>0.5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0.75</v>
      </c>
      <c r="Q39" s="2">
        <f t="shared" si="6"/>
        <v>0</v>
      </c>
      <c r="R39" s="2">
        <f t="shared" si="6"/>
        <v>0.5</v>
      </c>
      <c r="S39" s="2">
        <f t="shared" si="6"/>
        <v>4.75</v>
      </c>
      <c r="T39" s="2">
        <f t="shared" si="6"/>
        <v>5.25</v>
      </c>
      <c r="U39" s="38">
        <f t="shared" si="6"/>
        <v>3</v>
      </c>
      <c r="V39" s="2">
        <f t="shared" si="6"/>
        <v>5</v>
      </c>
      <c r="W39" s="2">
        <f t="shared" si="6"/>
        <v>7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6"/>
        <v>0</v>
      </c>
      <c r="AB39" s="2">
        <f t="shared" si="6"/>
        <v>0</v>
      </c>
      <c r="AC39" s="2">
        <f t="shared" si="6"/>
        <v>0</v>
      </c>
      <c r="AD39" s="2">
        <f t="shared" si="6"/>
        <v>0</v>
      </c>
      <c r="AE39" s="2">
        <f t="shared" si="6"/>
        <v>0</v>
      </c>
      <c r="AF39" s="2">
        <f t="shared" si="6"/>
        <v>0</v>
      </c>
      <c r="AG39" s="2">
        <f t="shared" si="6"/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3</v>
      </c>
      <c r="AM39" s="2">
        <f t="shared" si="6"/>
        <v>0</v>
      </c>
      <c r="AN39" s="2">
        <f t="shared" si="6"/>
        <v>0</v>
      </c>
    </row>
    <row r="40" spans="1:40" x14ac:dyDescent="0.25">
      <c r="A40" s="3"/>
      <c r="B40" s="53"/>
      <c r="C40" s="53"/>
      <c r="D40" s="53"/>
      <c r="E40" s="53"/>
      <c r="F40" s="53"/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</row>
    <row r="41" spans="1:40" x14ac:dyDescent="0.25">
      <c r="A41" s="55" t="s">
        <v>103</v>
      </c>
      <c r="B41" s="7"/>
      <c r="C41" s="7"/>
      <c r="D41" s="7"/>
      <c r="E41" s="7"/>
      <c r="F41" s="7"/>
      <c r="G41" s="3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5">
      <c r="A42" s="56" t="s">
        <v>99</v>
      </c>
      <c r="B42" s="7"/>
      <c r="C42" s="7"/>
      <c r="D42" s="7"/>
      <c r="E42" s="7"/>
      <c r="F42" s="7"/>
      <c r="G42" s="34">
        <v>3</v>
      </c>
      <c r="H42" s="7">
        <f>0.75+1+1</f>
        <v>2.75</v>
      </c>
      <c r="I42" s="7">
        <f>2.25+1</f>
        <v>3.25</v>
      </c>
      <c r="J42" s="7">
        <f>2+0.75+1</f>
        <v>3.75</v>
      </c>
      <c r="K42" s="7">
        <v>0.5</v>
      </c>
      <c r="L42" s="7"/>
      <c r="M42" s="7"/>
      <c r="N42" s="7"/>
      <c r="O42" s="7"/>
      <c r="P42" s="7">
        <f>1.5+1.5+1.25</f>
        <v>4.25</v>
      </c>
      <c r="Q42" s="7">
        <f>2.75+1.5</f>
        <v>4.25</v>
      </c>
      <c r="R42" s="7">
        <f>0.75+0.5</f>
        <v>1.25</v>
      </c>
      <c r="S42" s="7">
        <v>0.75</v>
      </c>
      <c r="T42" s="7">
        <f>0.75+1</f>
        <v>1.75</v>
      </c>
      <c r="U42" s="34">
        <v>1</v>
      </c>
      <c r="V42" s="7">
        <v>2</v>
      </c>
      <c r="W42" s="7">
        <v>4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4</v>
      </c>
      <c r="AM42" s="7">
        <v>0</v>
      </c>
      <c r="AN42" s="7">
        <v>0</v>
      </c>
    </row>
    <row r="43" spans="1:40" x14ac:dyDescent="0.25">
      <c r="A43" s="56" t="s">
        <v>98</v>
      </c>
      <c r="B43" s="7"/>
      <c r="C43" s="7"/>
      <c r="D43" s="7"/>
      <c r="E43" s="7"/>
      <c r="F43" s="7"/>
      <c r="G43" s="34"/>
      <c r="H43" s="7"/>
      <c r="I43" s="7">
        <v>1.5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34">
        <v>1</v>
      </c>
      <c r="V43" s="7">
        <v>2</v>
      </c>
      <c r="W43" s="7">
        <v>2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3</v>
      </c>
      <c r="AM43" s="7">
        <v>0</v>
      </c>
      <c r="AN43" s="7">
        <v>0</v>
      </c>
    </row>
    <row r="44" spans="1:40" x14ac:dyDescent="0.25">
      <c r="A44" s="57" t="s">
        <v>104</v>
      </c>
      <c r="B44" s="2">
        <f t="shared" ref="B44:AN44" si="7">SUM(B42:B43)</f>
        <v>0</v>
      </c>
      <c r="C44" s="2">
        <f t="shared" si="7"/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38">
        <f t="shared" si="7"/>
        <v>3</v>
      </c>
      <c r="H44" s="2">
        <f t="shared" si="7"/>
        <v>2.75</v>
      </c>
      <c r="I44" s="2">
        <f t="shared" si="7"/>
        <v>4.75</v>
      </c>
      <c r="J44" s="2">
        <f t="shared" si="7"/>
        <v>3.75</v>
      </c>
      <c r="K44" s="2">
        <f t="shared" si="7"/>
        <v>0.5</v>
      </c>
      <c r="L44" s="2">
        <f t="shared" si="7"/>
        <v>0</v>
      </c>
      <c r="M44" s="2">
        <f t="shared" si="7"/>
        <v>0</v>
      </c>
      <c r="N44" s="2">
        <f t="shared" si="7"/>
        <v>0</v>
      </c>
      <c r="O44" s="2">
        <f t="shared" si="7"/>
        <v>0</v>
      </c>
      <c r="P44" s="2">
        <f t="shared" si="7"/>
        <v>4.25</v>
      </c>
      <c r="Q44" s="2">
        <f t="shared" si="7"/>
        <v>4.25</v>
      </c>
      <c r="R44" s="2">
        <f t="shared" si="7"/>
        <v>1.25</v>
      </c>
      <c r="S44" s="2">
        <f t="shared" si="7"/>
        <v>0.75</v>
      </c>
      <c r="T44" s="2">
        <f t="shared" si="7"/>
        <v>1.75</v>
      </c>
      <c r="U44" s="38">
        <f t="shared" si="7"/>
        <v>2</v>
      </c>
      <c r="V44" s="2">
        <f t="shared" si="7"/>
        <v>4</v>
      </c>
      <c r="W44" s="2">
        <f t="shared" si="7"/>
        <v>6</v>
      </c>
      <c r="X44" s="2">
        <f t="shared" si="7"/>
        <v>0</v>
      </c>
      <c r="Y44" s="2">
        <f t="shared" si="7"/>
        <v>0</v>
      </c>
      <c r="Z44" s="2">
        <f t="shared" si="7"/>
        <v>0</v>
      </c>
      <c r="AA44" s="2">
        <f t="shared" si="7"/>
        <v>0</v>
      </c>
      <c r="AB44" s="2">
        <f t="shared" si="7"/>
        <v>0</v>
      </c>
      <c r="AC44" s="2">
        <f t="shared" si="7"/>
        <v>0</v>
      </c>
      <c r="AD44" s="2">
        <f t="shared" si="7"/>
        <v>0</v>
      </c>
      <c r="AE44" s="2">
        <f t="shared" si="7"/>
        <v>0</v>
      </c>
      <c r="AF44" s="2">
        <f t="shared" si="7"/>
        <v>0</v>
      </c>
      <c r="AG44" s="2">
        <f t="shared" si="7"/>
        <v>0</v>
      </c>
      <c r="AH44" s="2">
        <f t="shared" si="7"/>
        <v>0</v>
      </c>
      <c r="AI44" s="2">
        <f t="shared" si="7"/>
        <v>0</v>
      </c>
      <c r="AJ44" s="2">
        <f t="shared" si="7"/>
        <v>0</v>
      </c>
      <c r="AK44" s="2">
        <f t="shared" si="7"/>
        <v>0</v>
      </c>
      <c r="AL44" s="2">
        <f t="shared" si="7"/>
        <v>7</v>
      </c>
      <c r="AM44" s="2">
        <f t="shared" si="7"/>
        <v>0</v>
      </c>
      <c r="AN44" s="2">
        <f t="shared" si="7"/>
        <v>0</v>
      </c>
    </row>
    <row r="45" spans="1:40" x14ac:dyDescent="0.25">
      <c r="A45" s="7"/>
      <c r="B45" s="7"/>
      <c r="C45" s="7"/>
      <c r="D45" s="7"/>
      <c r="E45" s="7"/>
      <c r="F45" s="7"/>
      <c r="G45" s="34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3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18" t="s">
        <v>65</v>
      </c>
      <c r="B46" s="2">
        <f t="shared" ref="B46:AN46" si="8">B44+B39+B34+B22+B17+B12+B7</f>
        <v>0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G46" s="38">
        <f t="shared" si="8"/>
        <v>9.75</v>
      </c>
      <c r="H46" s="2">
        <f t="shared" si="8"/>
        <v>47.25</v>
      </c>
      <c r="I46" s="2">
        <f t="shared" si="8"/>
        <v>37</v>
      </c>
      <c r="J46" s="2">
        <f t="shared" si="8"/>
        <v>47.25</v>
      </c>
      <c r="K46" s="2">
        <f t="shared" si="8"/>
        <v>37.5</v>
      </c>
      <c r="L46" s="2">
        <f t="shared" si="8"/>
        <v>8.75</v>
      </c>
      <c r="M46" s="2">
        <f t="shared" si="8"/>
        <v>10.75</v>
      </c>
      <c r="N46" s="2">
        <f t="shared" si="8"/>
        <v>0</v>
      </c>
      <c r="O46" s="2">
        <f t="shared" si="8"/>
        <v>6.5</v>
      </c>
      <c r="P46" s="2">
        <f t="shared" si="8"/>
        <v>6.5</v>
      </c>
      <c r="Q46" s="2">
        <f t="shared" si="8"/>
        <v>46.75</v>
      </c>
      <c r="R46" s="2">
        <f t="shared" si="8"/>
        <v>33</v>
      </c>
      <c r="S46" s="2">
        <f t="shared" si="8"/>
        <v>67.75</v>
      </c>
      <c r="T46" s="2">
        <f t="shared" si="8"/>
        <v>51.25</v>
      </c>
      <c r="U46" s="38">
        <f t="shared" si="8"/>
        <v>65</v>
      </c>
      <c r="V46" s="2">
        <f t="shared" si="8"/>
        <v>69.5</v>
      </c>
      <c r="W46" s="2">
        <f t="shared" si="8"/>
        <v>87.5</v>
      </c>
      <c r="X46" s="2">
        <f t="shared" si="8"/>
        <v>59</v>
      </c>
      <c r="Y46" s="2">
        <f t="shared" si="8"/>
        <v>71</v>
      </c>
      <c r="Z46" s="2">
        <f t="shared" si="8"/>
        <v>63.5</v>
      </c>
      <c r="AA46" s="2">
        <f t="shared" si="8"/>
        <v>0</v>
      </c>
      <c r="AB46" s="2">
        <f t="shared" si="8"/>
        <v>0</v>
      </c>
      <c r="AC46" s="2">
        <f t="shared" si="8"/>
        <v>0</v>
      </c>
      <c r="AD46" s="2">
        <f t="shared" si="8"/>
        <v>0</v>
      </c>
      <c r="AE46" s="2">
        <f t="shared" si="8"/>
        <v>21</v>
      </c>
      <c r="AF46" s="2">
        <f t="shared" si="8"/>
        <v>26</v>
      </c>
      <c r="AG46" s="2">
        <f t="shared" si="8"/>
        <v>41</v>
      </c>
      <c r="AH46" s="2">
        <f t="shared" si="8"/>
        <v>25</v>
      </c>
      <c r="AI46" s="2">
        <f t="shared" si="8"/>
        <v>29</v>
      </c>
      <c r="AJ46" s="2">
        <f t="shared" si="8"/>
        <v>47</v>
      </c>
      <c r="AK46" s="2">
        <f t="shared" si="8"/>
        <v>40</v>
      </c>
      <c r="AL46" s="2">
        <f t="shared" si="8"/>
        <v>78</v>
      </c>
      <c r="AM46" s="2">
        <f t="shared" si="8"/>
        <v>0</v>
      </c>
      <c r="AN46" s="2">
        <f t="shared" si="8"/>
        <v>0</v>
      </c>
    </row>
    <row r="47" spans="1:4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58" t="s">
        <v>105</v>
      </c>
      <c r="B48" s="2">
        <f>SUM(B46:AN46)</f>
        <v>1132.5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5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60" t="s">
        <v>106</v>
      </c>
      <c r="B50" s="7">
        <f t="shared" ref="B50:AN50" si="9">B6+B28</f>
        <v>0</v>
      </c>
      <c r="C50" s="7">
        <f t="shared" si="9"/>
        <v>0</v>
      </c>
      <c r="D50" s="7">
        <f t="shared" si="9"/>
        <v>0</v>
      </c>
      <c r="E50" s="7">
        <f t="shared" si="9"/>
        <v>0</v>
      </c>
      <c r="F50" s="7">
        <f t="shared" si="9"/>
        <v>0</v>
      </c>
      <c r="G50" s="7">
        <f t="shared" si="9"/>
        <v>1.5</v>
      </c>
      <c r="H50" s="7">
        <f t="shared" si="9"/>
        <v>12</v>
      </c>
      <c r="I50" s="7">
        <f t="shared" si="9"/>
        <v>2</v>
      </c>
      <c r="J50" s="7">
        <f t="shared" si="9"/>
        <v>4.5</v>
      </c>
      <c r="K50" s="7">
        <f t="shared" si="9"/>
        <v>6.75</v>
      </c>
      <c r="L50" s="7">
        <f t="shared" si="9"/>
        <v>0</v>
      </c>
      <c r="M50" s="7">
        <f t="shared" si="9"/>
        <v>6</v>
      </c>
      <c r="N50" s="7">
        <f t="shared" si="9"/>
        <v>0</v>
      </c>
      <c r="O50" s="7">
        <f t="shared" si="9"/>
        <v>0</v>
      </c>
      <c r="P50" s="7">
        <f t="shared" si="9"/>
        <v>0</v>
      </c>
      <c r="Q50" s="7">
        <f t="shared" si="9"/>
        <v>7</v>
      </c>
      <c r="R50" s="7">
        <f t="shared" si="9"/>
        <v>10.75</v>
      </c>
      <c r="S50" s="7">
        <f t="shared" si="9"/>
        <v>14.75</v>
      </c>
      <c r="T50" s="43">
        <f t="shared" si="9"/>
        <v>5.75</v>
      </c>
      <c r="U50" s="43">
        <f t="shared" si="9"/>
        <v>7</v>
      </c>
      <c r="V50" s="43">
        <f t="shared" si="9"/>
        <v>7.5</v>
      </c>
      <c r="W50" s="43">
        <f t="shared" si="9"/>
        <v>9</v>
      </c>
      <c r="X50" s="43">
        <f t="shared" si="9"/>
        <v>8.5</v>
      </c>
      <c r="Y50" s="43">
        <f t="shared" si="9"/>
        <v>10</v>
      </c>
      <c r="Z50" s="43">
        <f t="shared" si="9"/>
        <v>9.5</v>
      </c>
      <c r="AA50" s="43">
        <f t="shared" si="9"/>
        <v>0</v>
      </c>
      <c r="AB50" s="43">
        <f t="shared" si="9"/>
        <v>0</v>
      </c>
      <c r="AC50" s="43">
        <f t="shared" si="9"/>
        <v>0</v>
      </c>
      <c r="AD50" s="43">
        <f t="shared" si="9"/>
        <v>0</v>
      </c>
      <c r="AE50" s="43">
        <f t="shared" si="9"/>
        <v>2</v>
      </c>
      <c r="AF50" s="43">
        <f t="shared" si="9"/>
        <v>2</v>
      </c>
      <c r="AG50" s="43">
        <f t="shared" si="9"/>
        <v>3</v>
      </c>
      <c r="AH50" s="43">
        <f t="shared" si="9"/>
        <v>2</v>
      </c>
      <c r="AI50" s="43">
        <f t="shared" si="9"/>
        <v>2</v>
      </c>
      <c r="AJ50" s="43">
        <f t="shared" si="9"/>
        <v>3</v>
      </c>
      <c r="AK50" s="43">
        <f t="shared" si="9"/>
        <v>5</v>
      </c>
      <c r="AL50" s="43">
        <f t="shared" si="9"/>
        <v>7</v>
      </c>
      <c r="AM50" s="43">
        <f t="shared" si="9"/>
        <v>0</v>
      </c>
      <c r="AN50" s="43">
        <f t="shared" si="9"/>
        <v>0</v>
      </c>
    </row>
    <row r="51" spans="1:40" x14ac:dyDescent="0.25">
      <c r="A51" s="60" t="s">
        <v>107</v>
      </c>
      <c r="B51" s="7">
        <f t="shared" ref="B51:AN51" si="10">B25</f>
        <v>0</v>
      </c>
      <c r="C51" s="7">
        <f t="shared" si="10"/>
        <v>0</v>
      </c>
      <c r="D51" s="7">
        <f t="shared" si="10"/>
        <v>0</v>
      </c>
      <c r="E51" s="7">
        <f t="shared" si="10"/>
        <v>0</v>
      </c>
      <c r="F51" s="7">
        <f t="shared" si="10"/>
        <v>0</v>
      </c>
      <c r="G51" s="7">
        <f t="shared" si="10"/>
        <v>1</v>
      </c>
      <c r="H51" s="7">
        <f t="shared" si="10"/>
        <v>5.25</v>
      </c>
      <c r="I51" s="7">
        <f t="shared" si="10"/>
        <v>9.75</v>
      </c>
      <c r="J51" s="7">
        <f t="shared" si="10"/>
        <v>11.25</v>
      </c>
      <c r="K51" s="7">
        <f t="shared" si="10"/>
        <v>9</v>
      </c>
      <c r="L51" s="7">
        <f t="shared" si="10"/>
        <v>8.75</v>
      </c>
      <c r="M51" s="7">
        <f t="shared" si="10"/>
        <v>4.75</v>
      </c>
      <c r="N51" s="7">
        <f t="shared" si="10"/>
        <v>0</v>
      </c>
      <c r="O51" s="7">
        <f t="shared" si="10"/>
        <v>6.5</v>
      </c>
      <c r="P51" s="7">
        <f t="shared" si="10"/>
        <v>1.5</v>
      </c>
      <c r="Q51" s="7">
        <f t="shared" si="10"/>
        <v>35.5</v>
      </c>
      <c r="R51" s="7">
        <f t="shared" si="10"/>
        <v>7</v>
      </c>
      <c r="S51" s="7">
        <f t="shared" si="10"/>
        <v>7.5</v>
      </c>
      <c r="T51" s="43">
        <f t="shared" si="10"/>
        <v>8</v>
      </c>
      <c r="U51" s="43">
        <f t="shared" si="10"/>
        <v>7</v>
      </c>
      <c r="V51" s="43">
        <f t="shared" si="10"/>
        <v>8</v>
      </c>
      <c r="W51" s="43">
        <f t="shared" si="10"/>
        <v>7.5</v>
      </c>
      <c r="X51" s="43">
        <f t="shared" si="10"/>
        <v>7.5</v>
      </c>
      <c r="Y51" s="43">
        <f t="shared" si="10"/>
        <v>7</v>
      </c>
      <c r="Z51" s="43">
        <f t="shared" si="10"/>
        <v>8</v>
      </c>
      <c r="AA51" s="43">
        <f t="shared" si="10"/>
        <v>0</v>
      </c>
      <c r="AB51" s="43">
        <f t="shared" si="10"/>
        <v>0</v>
      </c>
      <c r="AC51" s="43">
        <f t="shared" si="10"/>
        <v>0</v>
      </c>
      <c r="AD51" s="43">
        <f t="shared" si="10"/>
        <v>0</v>
      </c>
      <c r="AE51" s="43">
        <f t="shared" si="10"/>
        <v>3</v>
      </c>
      <c r="AF51" s="43">
        <f t="shared" si="10"/>
        <v>3</v>
      </c>
      <c r="AG51" s="43">
        <f t="shared" si="10"/>
        <v>3</v>
      </c>
      <c r="AH51" s="43">
        <f t="shared" si="10"/>
        <v>3</v>
      </c>
      <c r="AI51" s="43">
        <f t="shared" si="10"/>
        <v>3</v>
      </c>
      <c r="AJ51" s="43">
        <f t="shared" si="10"/>
        <v>4</v>
      </c>
      <c r="AK51" s="43">
        <f t="shared" si="10"/>
        <v>5</v>
      </c>
      <c r="AL51" s="43">
        <f t="shared" si="10"/>
        <v>6</v>
      </c>
      <c r="AM51" s="43">
        <f t="shared" si="10"/>
        <v>0</v>
      </c>
      <c r="AN51" s="43">
        <f t="shared" si="10"/>
        <v>0</v>
      </c>
    </row>
    <row r="52" spans="1:40" x14ac:dyDescent="0.25">
      <c r="A52" s="60" t="s">
        <v>108</v>
      </c>
      <c r="B52" s="7">
        <f t="shared" ref="B52:AN52" si="11">B20</f>
        <v>0</v>
      </c>
      <c r="C52" s="7">
        <f t="shared" si="11"/>
        <v>0</v>
      </c>
      <c r="D52" s="7">
        <f t="shared" si="11"/>
        <v>0</v>
      </c>
      <c r="E52" s="7">
        <f t="shared" si="11"/>
        <v>0</v>
      </c>
      <c r="F52" s="7">
        <f t="shared" si="11"/>
        <v>0</v>
      </c>
      <c r="G52" s="7">
        <f t="shared" si="11"/>
        <v>0</v>
      </c>
      <c r="H52" s="7">
        <f t="shared" si="11"/>
        <v>1.75</v>
      </c>
      <c r="I52" s="7">
        <f t="shared" si="11"/>
        <v>2.25</v>
      </c>
      <c r="J52" s="7">
        <f t="shared" si="11"/>
        <v>6</v>
      </c>
      <c r="K52" s="7">
        <f t="shared" si="11"/>
        <v>3</v>
      </c>
      <c r="L52" s="7">
        <f t="shared" si="11"/>
        <v>0</v>
      </c>
      <c r="M52" s="7">
        <f t="shared" si="11"/>
        <v>0</v>
      </c>
      <c r="N52" s="7">
        <f t="shared" si="11"/>
        <v>0</v>
      </c>
      <c r="O52" s="7">
        <f t="shared" si="11"/>
        <v>0</v>
      </c>
      <c r="P52" s="7">
        <f t="shared" si="11"/>
        <v>0</v>
      </c>
      <c r="Q52" s="7">
        <f t="shared" si="11"/>
        <v>0</v>
      </c>
      <c r="R52" s="7">
        <f t="shared" si="11"/>
        <v>1.5</v>
      </c>
      <c r="S52" s="7">
        <f t="shared" si="11"/>
        <v>0</v>
      </c>
      <c r="T52" s="43">
        <f t="shared" si="11"/>
        <v>1</v>
      </c>
      <c r="U52" s="43">
        <f t="shared" si="11"/>
        <v>3</v>
      </c>
      <c r="V52" s="43">
        <f t="shared" si="11"/>
        <v>4</v>
      </c>
      <c r="W52" s="43">
        <f t="shared" si="11"/>
        <v>5</v>
      </c>
      <c r="X52" s="43">
        <f t="shared" si="11"/>
        <v>4</v>
      </c>
      <c r="Y52" s="43">
        <f t="shared" si="11"/>
        <v>3</v>
      </c>
      <c r="Z52" s="43">
        <f t="shared" si="11"/>
        <v>2</v>
      </c>
      <c r="AA52" s="43">
        <f t="shared" si="11"/>
        <v>0</v>
      </c>
      <c r="AB52" s="43">
        <f t="shared" si="11"/>
        <v>0</v>
      </c>
      <c r="AC52" s="43">
        <f t="shared" si="11"/>
        <v>0</v>
      </c>
      <c r="AD52" s="43">
        <f t="shared" si="11"/>
        <v>0</v>
      </c>
      <c r="AE52" s="43">
        <f t="shared" si="11"/>
        <v>1</v>
      </c>
      <c r="AF52" s="43">
        <f t="shared" si="11"/>
        <v>2</v>
      </c>
      <c r="AG52" s="43">
        <f t="shared" si="11"/>
        <v>4</v>
      </c>
      <c r="AH52" s="43">
        <f t="shared" si="11"/>
        <v>3</v>
      </c>
      <c r="AI52" s="43">
        <f t="shared" si="11"/>
        <v>3</v>
      </c>
      <c r="AJ52" s="43">
        <f t="shared" si="11"/>
        <v>4</v>
      </c>
      <c r="AK52" s="43">
        <f t="shared" si="11"/>
        <v>4</v>
      </c>
      <c r="AL52" s="43">
        <f t="shared" si="11"/>
        <v>5</v>
      </c>
      <c r="AM52" s="43">
        <f t="shared" si="11"/>
        <v>0</v>
      </c>
      <c r="AN52" s="43">
        <f t="shared" si="11"/>
        <v>0</v>
      </c>
    </row>
    <row r="53" spans="1:40" x14ac:dyDescent="0.25">
      <c r="A53" s="60" t="s">
        <v>109</v>
      </c>
      <c r="B53" s="7">
        <f t="shared" ref="B53:AN53" si="12">B32+B37+B43</f>
        <v>0</v>
      </c>
      <c r="C53" s="7">
        <f t="shared" si="12"/>
        <v>0</v>
      </c>
      <c r="D53" s="7">
        <f t="shared" si="12"/>
        <v>0</v>
      </c>
      <c r="E53" s="7">
        <f t="shared" si="12"/>
        <v>0</v>
      </c>
      <c r="F53" s="7">
        <f t="shared" si="12"/>
        <v>0</v>
      </c>
      <c r="G53" s="7">
        <f t="shared" si="12"/>
        <v>0</v>
      </c>
      <c r="H53" s="7">
        <f t="shared" si="12"/>
        <v>2</v>
      </c>
      <c r="I53" s="7">
        <f t="shared" si="12"/>
        <v>6.5</v>
      </c>
      <c r="J53" s="7">
        <f t="shared" si="12"/>
        <v>5.25</v>
      </c>
      <c r="K53" s="7">
        <f t="shared" si="12"/>
        <v>0.5</v>
      </c>
      <c r="L53" s="7">
        <f t="shared" si="12"/>
        <v>0</v>
      </c>
      <c r="M53" s="7">
        <f t="shared" si="12"/>
        <v>0</v>
      </c>
      <c r="N53" s="7">
        <f t="shared" si="12"/>
        <v>0</v>
      </c>
      <c r="O53" s="7">
        <f t="shared" si="12"/>
        <v>0</v>
      </c>
      <c r="P53" s="7">
        <f t="shared" si="12"/>
        <v>0.75</v>
      </c>
      <c r="Q53" s="7">
        <f t="shared" si="12"/>
        <v>0</v>
      </c>
      <c r="R53" s="7">
        <f t="shared" si="12"/>
        <v>0.5</v>
      </c>
      <c r="S53" s="7">
        <f t="shared" si="12"/>
        <v>7.75</v>
      </c>
      <c r="T53" s="43">
        <f t="shared" si="12"/>
        <v>5.25</v>
      </c>
      <c r="U53" s="43">
        <f t="shared" si="12"/>
        <v>6</v>
      </c>
      <c r="V53" s="43">
        <f t="shared" si="12"/>
        <v>9</v>
      </c>
      <c r="W53" s="43">
        <f t="shared" si="12"/>
        <v>9</v>
      </c>
      <c r="X53" s="43">
        <f t="shared" si="12"/>
        <v>3</v>
      </c>
      <c r="Y53" s="43">
        <f t="shared" si="12"/>
        <v>4</v>
      </c>
      <c r="Z53" s="43">
        <f t="shared" si="12"/>
        <v>5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43">
        <f t="shared" si="12"/>
        <v>0</v>
      </c>
      <c r="AK53" s="43">
        <f t="shared" si="12"/>
        <v>0</v>
      </c>
      <c r="AL53" s="43">
        <f t="shared" si="12"/>
        <v>5</v>
      </c>
      <c r="AM53" s="43">
        <f t="shared" si="12"/>
        <v>0</v>
      </c>
      <c r="AN53" s="43">
        <f t="shared" si="12"/>
        <v>0</v>
      </c>
    </row>
    <row r="54" spans="1:40" x14ac:dyDescent="0.25">
      <c r="A54" s="60" t="s">
        <v>110</v>
      </c>
      <c r="B54" s="7">
        <f t="shared" ref="B54:AN54" si="13">B26</f>
        <v>0</v>
      </c>
      <c r="C54" s="7">
        <f t="shared" si="13"/>
        <v>0</v>
      </c>
      <c r="D54" s="7">
        <f t="shared" si="13"/>
        <v>0</v>
      </c>
      <c r="E54" s="7">
        <f t="shared" si="13"/>
        <v>0</v>
      </c>
      <c r="F54" s="7">
        <f t="shared" si="13"/>
        <v>0</v>
      </c>
      <c r="G54" s="7">
        <f t="shared" si="13"/>
        <v>0</v>
      </c>
      <c r="H54" s="7">
        <f t="shared" si="13"/>
        <v>1.75</v>
      </c>
      <c r="I54" s="7">
        <f t="shared" si="13"/>
        <v>0</v>
      </c>
      <c r="J54" s="7">
        <f t="shared" si="13"/>
        <v>0</v>
      </c>
      <c r="K54" s="7">
        <f t="shared" si="13"/>
        <v>1.5</v>
      </c>
      <c r="L54" s="7">
        <f t="shared" si="13"/>
        <v>0</v>
      </c>
      <c r="M54" s="7">
        <f t="shared" si="13"/>
        <v>0</v>
      </c>
      <c r="N54" s="7">
        <f t="shared" si="13"/>
        <v>0</v>
      </c>
      <c r="O54" s="7">
        <f t="shared" si="13"/>
        <v>0</v>
      </c>
      <c r="P54" s="7">
        <f t="shared" si="13"/>
        <v>0</v>
      </c>
      <c r="Q54" s="7">
        <f t="shared" si="13"/>
        <v>0</v>
      </c>
      <c r="R54" s="7">
        <f t="shared" si="13"/>
        <v>0.5</v>
      </c>
      <c r="S54" s="7">
        <f t="shared" si="13"/>
        <v>3</v>
      </c>
      <c r="T54" s="43">
        <f t="shared" si="13"/>
        <v>1</v>
      </c>
      <c r="U54" s="43">
        <f t="shared" si="13"/>
        <v>5</v>
      </c>
      <c r="V54" s="43">
        <f t="shared" si="13"/>
        <v>6</v>
      </c>
      <c r="W54" s="43">
        <f t="shared" si="13"/>
        <v>6</v>
      </c>
      <c r="X54" s="43">
        <f t="shared" si="13"/>
        <v>6</v>
      </c>
      <c r="Y54" s="43">
        <f t="shared" si="13"/>
        <v>7</v>
      </c>
      <c r="Z54" s="43">
        <f t="shared" si="13"/>
        <v>7</v>
      </c>
      <c r="AA54" s="43">
        <f t="shared" si="13"/>
        <v>0</v>
      </c>
      <c r="AB54" s="43">
        <f t="shared" si="13"/>
        <v>0</v>
      </c>
      <c r="AC54" s="43">
        <f t="shared" si="13"/>
        <v>0</v>
      </c>
      <c r="AD54" s="43">
        <f t="shared" si="13"/>
        <v>0</v>
      </c>
      <c r="AE54" s="43">
        <f t="shared" si="13"/>
        <v>2</v>
      </c>
      <c r="AF54" s="43">
        <f t="shared" si="13"/>
        <v>2</v>
      </c>
      <c r="AG54" s="43">
        <f t="shared" si="13"/>
        <v>2</v>
      </c>
      <c r="AH54" s="43">
        <f t="shared" si="13"/>
        <v>2</v>
      </c>
      <c r="AI54" s="43">
        <f t="shared" si="13"/>
        <v>2</v>
      </c>
      <c r="AJ54" s="43">
        <f t="shared" si="13"/>
        <v>3</v>
      </c>
      <c r="AK54" s="43">
        <f t="shared" si="13"/>
        <v>4</v>
      </c>
      <c r="AL54" s="43">
        <f t="shared" si="13"/>
        <v>5</v>
      </c>
      <c r="AM54" s="43">
        <f t="shared" si="13"/>
        <v>0</v>
      </c>
      <c r="AN54" s="43">
        <f t="shared" si="13"/>
        <v>0</v>
      </c>
    </row>
    <row r="55" spans="1:40" x14ac:dyDescent="0.25">
      <c r="A55" s="60" t="s">
        <v>111</v>
      </c>
      <c r="B55" s="7">
        <f t="shared" ref="B55:AN55" si="14">B11+B16+B31</f>
        <v>0</v>
      </c>
      <c r="C55" s="7">
        <f t="shared" si="14"/>
        <v>0</v>
      </c>
      <c r="D55" s="7">
        <f t="shared" si="14"/>
        <v>0</v>
      </c>
      <c r="E55" s="7">
        <f t="shared" si="14"/>
        <v>0</v>
      </c>
      <c r="F55" s="7">
        <f t="shared" si="14"/>
        <v>0</v>
      </c>
      <c r="G55" s="7">
        <f t="shared" si="14"/>
        <v>2</v>
      </c>
      <c r="H55" s="7">
        <f t="shared" si="14"/>
        <v>8.5</v>
      </c>
      <c r="I55" s="7">
        <f t="shared" si="14"/>
        <v>2.5</v>
      </c>
      <c r="J55" s="7">
        <f t="shared" si="14"/>
        <v>4.5</v>
      </c>
      <c r="K55" s="7">
        <f t="shared" si="14"/>
        <v>4.25</v>
      </c>
      <c r="L55" s="7">
        <f t="shared" si="14"/>
        <v>0</v>
      </c>
      <c r="M55" s="7">
        <f t="shared" si="14"/>
        <v>0</v>
      </c>
      <c r="N55" s="7">
        <f t="shared" si="14"/>
        <v>0</v>
      </c>
      <c r="O55" s="7">
        <f t="shared" si="14"/>
        <v>0</v>
      </c>
      <c r="P55" s="7">
        <f t="shared" si="14"/>
        <v>0</v>
      </c>
      <c r="Q55" s="7">
        <f t="shared" si="14"/>
        <v>0</v>
      </c>
      <c r="R55" s="7">
        <f t="shared" si="14"/>
        <v>2.25</v>
      </c>
      <c r="S55" s="7">
        <f t="shared" si="14"/>
        <v>7.25</v>
      </c>
      <c r="T55" s="43">
        <f t="shared" si="14"/>
        <v>9</v>
      </c>
      <c r="U55" s="43">
        <f t="shared" si="14"/>
        <v>9</v>
      </c>
      <c r="V55" s="43">
        <f t="shared" si="14"/>
        <v>8</v>
      </c>
      <c r="W55" s="43">
        <f t="shared" si="14"/>
        <v>12</v>
      </c>
      <c r="X55" s="43">
        <f t="shared" si="14"/>
        <v>7</v>
      </c>
      <c r="Y55" s="43">
        <f t="shared" si="14"/>
        <v>12</v>
      </c>
      <c r="Z55" s="43">
        <f t="shared" si="14"/>
        <v>7</v>
      </c>
      <c r="AA55" s="43">
        <f t="shared" si="14"/>
        <v>0</v>
      </c>
      <c r="AB55" s="43">
        <f t="shared" si="14"/>
        <v>0</v>
      </c>
      <c r="AC55" s="43">
        <f t="shared" si="14"/>
        <v>0</v>
      </c>
      <c r="AD55" s="43">
        <f t="shared" si="14"/>
        <v>0</v>
      </c>
      <c r="AE55" s="43">
        <f t="shared" si="14"/>
        <v>4</v>
      </c>
      <c r="AF55" s="43">
        <f t="shared" si="14"/>
        <v>6</v>
      </c>
      <c r="AG55" s="43">
        <f t="shared" si="14"/>
        <v>11</v>
      </c>
      <c r="AH55" s="43">
        <f t="shared" si="14"/>
        <v>4</v>
      </c>
      <c r="AI55" s="43">
        <f t="shared" si="14"/>
        <v>7</v>
      </c>
      <c r="AJ55" s="43">
        <f t="shared" si="14"/>
        <v>13</v>
      </c>
      <c r="AK55" s="43">
        <f t="shared" si="14"/>
        <v>7</v>
      </c>
      <c r="AL55" s="43">
        <f t="shared" si="14"/>
        <v>18</v>
      </c>
      <c r="AM55" s="43">
        <f t="shared" si="14"/>
        <v>0</v>
      </c>
      <c r="AN55" s="43">
        <f t="shared" si="14"/>
        <v>0</v>
      </c>
    </row>
    <row r="56" spans="1:40" x14ac:dyDescent="0.25">
      <c r="A56" s="60" t="s">
        <v>112</v>
      </c>
      <c r="B56" s="7">
        <f t="shared" ref="B56:AN56" si="15">B21</f>
        <v>0</v>
      </c>
      <c r="C56" s="7">
        <f t="shared" si="15"/>
        <v>0</v>
      </c>
      <c r="D56" s="7">
        <f t="shared" si="15"/>
        <v>0</v>
      </c>
      <c r="E56" s="7">
        <f t="shared" si="15"/>
        <v>0</v>
      </c>
      <c r="F56" s="7">
        <f t="shared" si="15"/>
        <v>0</v>
      </c>
      <c r="G56" s="7">
        <f t="shared" si="15"/>
        <v>0</v>
      </c>
      <c r="H56" s="7">
        <f t="shared" si="15"/>
        <v>3.75</v>
      </c>
      <c r="I56" s="7">
        <f t="shared" si="15"/>
        <v>2</v>
      </c>
      <c r="J56" s="7">
        <f t="shared" si="15"/>
        <v>7</v>
      </c>
      <c r="K56" s="7">
        <f t="shared" si="15"/>
        <v>6</v>
      </c>
      <c r="L56" s="7">
        <f t="shared" si="15"/>
        <v>0</v>
      </c>
      <c r="M56" s="7">
        <f t="shared" si="15"/>
        <v>0</v>
      </c>
      <c r="N56" s="7">
        <f t="shared" si="15"/>
        <v>0</v>
      </c>
      <c r="O56" s="7">
        <f t="shared" si="15"/>
        <v>0</v>
      </c>
      <c r="P56" s="7">
        <f t="shared" si="15"/>
        <v>0</v>
      </c>
      <c r="Q56" s="7">
        <f t="shared" si="15"/>
        <v>0</v>
      </c>
      <c r="R56" s="7">
        <f t="shared" si="15"/>
        <v>0.5</v>
      </c>
      <c r="S56" s="7">
        <f t="shared" si="15"/>
        <v>3</v>
      </c>
      <c r="T56" s="43">
        <f t="shared" si="15"/>
        <v>1</v>
      </c>
      <c r="U56" s="43">
        <f t="shared" si="15"/>
        <v>3</v>
      </c>
      <c r="V56" s="43">
        <f t="shared" si="15"/>
        <v>4</v>
      </c>
      <c r="W56" s="43">
        <f t="shared" si="15"/>
        <v>5</v>
      </c>
      <c r="X56" s="43">
        <f t="shared" si="15"/>
        <v>4</v>
      </c>
      <c r="Y56" s="43">
        <f t="shared" si="15"/>
        <v>3</v>
      </c>
      <c r="Z56" s="43">
        <f t="shared" si="15"/>
        <v>2</v>
      </c>
      <c r="AA56" s="43">
        <f t="shared" si="15"/>
        <v>0</v>
      </c>
      <c r="AB56" s="43">
        <f t="shared" si="15"/>
        <v>0</v>
      </c>
      <c r="AC56" s="43">
        <f t="shared" si="15"/>
        <v>0</v>
      </c>
      <c r="AD56" s="43">
        <f t="shared" si="15"/>
        <v>0</v>
      </c>
      <c r="AE56" s="43">
        <f t="shared" si="15"/>
        <v>1</v>
      </c>
      <c r="AF56" s="43">
        <f t="shared" si="15"/>
        <v>2</v>
      </c>
      <c r="AG56" s="43">
        <f t="shared" si="15"/>
        <v>4</v>
      </c>
      <c r="AH56" s="43">
        <f t="shared" si="15"/>
        <v>3</v>
      </c>
      <c r="AI56" s="43">
        <f t="shared" si="15"/>
        <v>3</v>
      </c>
      <c r="AJ56" s="43">
        <f t="shared" si="15"/>
        <v>4</v>
      </c>
      <c r="AK56" s="43">
        <f t="shared" si="15"/>
        <v>4</v>
      </c>
      <c r="AL56" s="43">
        <f t="shared" si="15"/>
        <v>5</v>
      </c>
      <c r="AM56" s="43">
        <f t="shared" si="15"/>
        <v>0</v>
      </c>
      <c r="AN56" s="43">
        <f t="shared" si="15"/>
        <v>0</v>
      </c>
    </row>
    <row r="57" spans="1:40" x14ac:dyDescent="0.25">
      <c r="A57" s="60" t="s">
        <v>113</v>
      </c>
      <c r="B57" s="7">
        <f t="shared" ref="B57:AN57" si="16">B15+B29</f>
        <v>0</v>
      </c>
      <c r="C57" s="7">
        <f t="shared" si="16"/>
        <v>0</v>
      </c>
      <c r="D57" s="7">
        <f t="shared" si="16"/>
        <v>0</v>
      </c>
      <c r="E57" s="7">
        <f t="shared" si="16"/>
        <v>0</v>
      </c>
      <c r="F57" s="7">
        <f t="shared" si="16"/>
        <v>0</v>
      </c>
      <c r="G57" s="7">
        <f t="shared" si="16"/>
        <v>2.25</v>
      </c>
      <c r="H57" s="7">
        <f t="shared" si="16"/>
        <v>4.75</v>
      </c>
      <c r="I57" s="7">
        <f t="shared" si="16"/>
        <v>6</v>
      </c>
      <c r="J57" s="7">
        <f t="shared" si="16"/>
        <v>4</v>
      </c>
      <c r="K57" s="7">
        <f t="shared" si="16"/>
        <v>5.5</v>
      </c>
      <c r="L57" s="7">
        <f t="shared" si="16"/>
        <v>0</v>
      </c>
      <c r="M57" s="7">
        <f t="shared" si="16"/>
        <v>0</v>
      </c>
      <c r="N57" s="7">
        <f t="shared" si="16"/>
        <v>0</v>
      </c>
      <c r="O57" s="7">
        <f t="shared" si="16"/>
        <v>0</v>
      </c>
      <c r="P57" s="7">
        <f t="shared" si="16"/>
        <v>0</v>
      </c>
      <c r="Q57" s="7">
        <f t="shared" si="16"/>
        <v>0</v>
      </c>
      <c r="R57" s="7">
        <f t="shared" si="16"/>
        <v>5.25</v>
      </c>
      <c r="S57" s="7">
        <f t="shared" si="16"/>
        <v>2</v>
      </c>
      <c r="T57" s="43">
        <f t="shared" si="16"/>
        <v>6.75</v>
      </c>
      <c r="U57" s="43">
        <f t="shared" si="16"/>
        <v>6</v>
      </c>
      <c r="V57" s="43">
        <f t="shared" si="16"/>
        <v>6</v>
      </c>
      <c r="W57" s="43">
        <f t="shared" si="16"/>
        <v>6</v>
      </c>
      <c r="X57" s="43">
        <f t="shared" si="16"/>
        <v>6</v>
      </c>
      <c r="Y57" s="43">
        <f t="shared" si="16"/>
        <v>6</v>
      </c>
      <c r="Z57" s="43">
        <f t="shared" si="16"/>
        <v>7</v>
      </c>
      <c r="AA57" s="43">
        <f t="shared" si="16"/>
        <v>0</v>
      </c>
      <c r="AB57" s="43">
        <f t="shared" si="16"/>
        <v>0</v>
      </c>
      <c r="AC57" s="43">
        <f t="shared" si="16"/>
        <v>0</v>
      </c>
      <c r="AD57" s="43">
        <f t="shared" si="16"/>
        <v>0</v>
      </c>
      <c r="AE57" s="43">
        <f t="shared" si="16"/>
        <v>2</v>
      </c>
      <c r="AF57" s="43">
        <f t="shared" si="16"/>
        <v>2</v>
      </c>
      <c r="AG57" s="43">
        <f t="shared" si="16"/>
        <v>4</v>
      </c>
      <c r="AH57" s="43">
        <f t="shared" si="16"/>
        <v>2</v>
      </c>
      <c r="AI57" s="43">
        <f t="shared" si="16"/>
        <v>2</v>
      </c>
      <c r="AJ57" s="43">
        <f t="shared" si="16"/>
        <v>6</v>
      </c>
      <c r="AK57" s="43">
        <f t="shared" si="16"/>
        <v>2</v>
      </c>
      <c r="AL57" s="43">
        <f t="shared" si="16"/>
        <v>8</v>
      </c>
      <c r="AM57" s="43">
        <f t="shared" si="16"/>
        <v>0</v>
      </c>
      <c r="AN57" s="43">
        <f t="shared" si="16"/>
        <v>0</v>
      </c>
    </row>
    <row r="58" spans="1:40" x14ac:dyDescent="0.25">
      <c r="A58" s="60" t="s">
        <v>114</v>
      </c>
      <c r="B58" s="7">
        <f t="shared" ref="B58:AN58" si="17">B38+B10+B30</f>
        <v>0</v>
      </c>
      <c r="C58" s="7">
        <f t="shared" si="17"/>
        <v>0</v>
      </c>
      <c r="D58" s="7">
        <f t="shared" si="17"/>
        <v>0</v>
      </c>
      <c r="E58" s="7">
        <f t="shared" si="17"/>
        <v>0</v>
      </c>
      <c r="F58" s="7">
        <f t="shared" si="17"/>
        <v>0</v>
      </c>
      <c r="G58" s="7">
        <f t="shared" si="17"/>
        <v>0</v>
      </c>
      <c r="H58" s="7">
        <f t="shared" si="17"/>
        <v>4.75</v>
      </c>
      <c r="I58" s="7">
        <f t="shared" si="17"/>
        <v>2.75</v>
      </c>
      <c r="J58" s="7">
        <f t="shared" si="17"/>
        <v>1</v>
      </c>
      <c r="K58" s="7">
        <f t="shared" si="17"/>
        <v>0.5</v>
      </c>
      <c r="L58" s="7">
        <f t="shared" si="17"/>
        <v>0</v>
      </c>
      <c r="M58" s="7">
        <f t="shared" si="17"/>
        <v>0</v>
      </c>
      <c r="N58" s="7">
        <f t="shared" si="17"/>
        <v>0</v>
      </c>
      <c r="O58" s="7">
        <f t="shared" si="17"/>
        <v>0</v>
      </c>
      <c r="P58" s="7">
        <f t="shared" si="17"/>
        <v>0</v>
      </c>
      <c r="Q58" s="7">
        <f t="shared" si="17"/>
        <v>0</v>
      </c>
      <c r="R58" s="7">
        <f t="shared" si="17"/>
        <v>3.5</v>
      </c>
      <c r="S58" s="7">
        <f t="shared" si="17"/>
        <v>14</v>
      </c>
      <c r="T58" s="43">
        <f t="shared" si="17"/>
        <v>11.75</v>
      </c>
      <c r="U58" s="43">
        <f t="shared" si="17"/>
        <v>11</v>
      </c>
      <c r="V58" s="43">
        <f t="shared" si="17"/>
        <v>7</v>
      </c>
      <c r="W58" s="43">
        <f t="shared" si="17"/>
        <v>15</v>
      </c>
      <c r="X58" s="43">
        <f t="shared" si="17"/>
        <v>5</v>
      </c>
      <c r="Y58" s="43">
        <f t="shared" si="17"/>
        <v>10</v>
      </c>
      <c r="Z58" s="43">
        <f t="shared" si="17"/>
        <v>5</v>
      </c>
      <c r="AA58" s="43">
        <f t="shared" si="17"/>
        <v>0</v>
      </c>
      <c r="AB58" s="43">
        <f t="shared" si="17"/>
        <v>0</v>
      </c>
      <c r="AC58" s="43">
        <f t="shared" si="17"/>
        <v>0</v>
      </c>
      <c r="AD58" s="43">
        <f t="shared" si="17"/>
        <v>0</v>
      </c>
      <c r="AE58" s="43">
        <f t="shared" si="17"/>
        <v>4</v>
      </c>
      <c r="AF58" s="43">
        <f t="shared" si="17"/>
        <v>5</v>
      </c>
      <c r="AG58" s="43">
        <f t="shared" si="17"/>
        <v>8</v>
      </c>
      <c r="AH58" s="43">
        <f t="shared" si="17"/>
        <v>4</v>
      </c>
      <c r="AI58" s="43">
        <f t="shared" si="17"/>
        <v>5</v>
      </c>
      <c r="AJ58" s="43">
        <f t="shared" si="17"/>
        <v>8</v>
      </c>
      <c r="AK58" s="43">
        <f t="shared" si="17"/>
        <v>6</v>
      </c>
      <c r="AL58" s="43">
        <f t="shared" si="17"/>
        <v>11</v>
      </c>
      <c r="AM58" s="43">
        <f t="shared" si="17"/>
        <v>0</v>
      </c>
      <c r="AN58" s="43">
        <f t="shared" si="17"/>
        <v>0</v>
      </c>
    </row>
    <row r="59" spans="1:40" x14ac:dyDescent="0.25">
      <c r="A59" s="60" t="s">
        <v>115</v>
      </c>
      <c r="B59" s="7">
        <f t="shared" ref="B59:AN59" si="18">B42+B33</f>
        <v>0</v>
      </c>
      <c r="C59" s="7">
        <f t="shared" si="18"/>
        <v>0</v>
      </c>
      <c r="D59" s="7">
        <f t="shared" si="18"/>
        <v>0</v>
      </c>
      <c r="E59" s="7">
        <f t="shared" si="18"/>
        <v>0</v>
      </c>
      <c r="F59" s="7">
        <f t="shared" si="18"/>
        <v>0</v>
      </c>
      <c r="G59" s="7">
        <f t="shared" si="18"/>
        <v>3</v>
      </c>
      <c r="H59" s="7">
        <f t="shared" si="18"/>
        <v>2.75</v>
      </c>
      <c r="I59" s="7">
        <f t="shared" si="18"/>
        <v>3.25</v>
      </c>
      <c r="J59" s="7">
        <f t="shared" si="18"/>
        <v>3.75</v>
      </c>
      <c r="K59" s="7">
        <f t="shared" si="18"/>
        <v>0.5</v>
      </c>
      <c r="L59" s="7">
        <f t="shared" si="18"/>
        <v>0</v>
      </c>
      <c r="M59" s="7">
        <f t="shared" si="18"/>
        <v>0</v>
      </c>
      <c r="N59" s="7">
        <f t="shared" si="18"/>
        <v>0</v>
      </c>
      <c r="O59" s="7">
        <f t="shared" si="18"/>
        <v>0</v>
      </c>
      <c r="P59" s="7">
        <f t="shared" si="18"/>
        <v>4.25</v>
      </c>
      <c r="Q59" s="7">
        <f t="shared" si="18"/>
        <v>4.25</v>
      </c>
      <c r="R59" s="7">
        <f t="shared" si="18"/>
        <v>1.25</v>
      </c>
      <c r="S59" s="7">
        <f t="shared" si="18"/>
        <v>5.5</v>
      </c>
      <c r="T59" s="43">
        <f t="shared" si="18"/>
        <v>1.75</v>
      </c>
      <c r="U59" s="43">
        <f t="shared" si="18"/>
        <v>4</v>
      </c>
      <c r="V59" s="43">
        <f t="shared" si="18"/>
        <v>5</v>
      </c>
      <c r="W59" s="43">
        <f t="shared" si="18"/>
        <v>8</v>
      </c>
      <c r="X59" s="43">
        <f t="shared" si="18"/>
        <v>3</v>
      </c>
      <c r="Y59" s="43">
        <f t="shared" si="18"/>
        <v>4</v>
      </c>
      <c r="Z59" s="43">
        <f t="shared" si="18"/>
        <v>5</v>
      </c>
      <c r="AA59" s="43">
        <f t="shared" si="18"/>
        <v>0</v>
      </c>
      <c r="AB59" s="43">
        <f t="shared" si="18"/>
        <v>0</v>
      </c>
      <c r="AC59" s="43">
        <f t="shared" si="18"/>
        <v>0</v>
      </c>
      <c r="AD59" s="43">
        <f t="shared" si="18"/>
        <v>0</v>
      </c>
      <c r="AE59" s="43">
        <f t="shared" si="18"/>
        <v>0</v>
      </c>
      <c r="AF59" s="43">
        <f t="shared" si="18"/>
        <v>0</v>
      </c>
      <c r="AG59" s="43">
        <f t="shared" si="18"/>
        <v>0</v>
      </c>
      <c r="AH59" s="43">
        <f t="shared" si="18"/>
        <v>0</v>
      </c>
      <c r="AI59" s="43">
        <f t="shared" si="18"/>
        <v>0</v>
      </c>
      <c r="AJ59" s="43">
        <f t="shared" si="18"/>
        <v>0</v>
      </c>
      <c r="AK59" s="43">
        <f t="shared" si="18"/>
        <v>0</v>
      </c>
      <c r="AL59" s="43">
        <f t="shared" si="18"/>
        <v>4</v>
      </c>
      <c r="AM59" s="43">
        <f t="shared" si="18"/>
        <v>0</v>
      </c>
      <c r="AN59" s="43">
        <f t="shared" si="18"/>
        <v>0</v>
      </c>
    </row>
    <row r="60" spans="1:40" x14ac:dyDescent="0.25">
      <c r="A60" s="60" t="s">
        <v>116</v>
      </c>
      <c r="B60" s="7">
        <f t="shared" ref="B60:AE60" si="19">B27</f>
        <v>0</v>
      </c>
      <c r="C60" s="7">
        <f t="shared" si="19"/>
        <v>0</v>
      </c>
      <c r="D60" s="7">
        <f t="shared" si="19"/>
        <v>0</v>
      </c>
      <c r="E60" s="7">
        <f t="shared" si="19"/>
        <v>0</v>
      </c>
      <c r="F60" s="7">
        <f t="shared" si="19"/>
        <v>0</v>
      </c>
      <c r="G60" s="7">
        <f t="shared" si="19"/>
        <v>0</v>
      </c>
      <c r="H60" s="7">
        <f t="shared" si="19"/>
        <v>0</v>
      </c>
      <c r="I60" s="7">
        <f t="shared" si="19"/>
        <v>0</v>
      </c>
      <c r="J60" s="7">
        <f t="shared" si="19"/>
        <v>0</v>
      </c>
      <c r="K60" s="7">
        <f t="shared" si="19"/>
        <v>0</v>
      </c>
      <c r="L60" s="7">
        <f t="shared" si="19"/>
        <v>0</v>
      </c>
      <c r="M60" s="7">
        <f t="shared" si="19"/>
        <v>0</v>
      </c>
      <c r="N60" s="7">
        <f t="shared" si="19"/>
        <v>0</v>
      </c>
      <c r="O60" s="7">
        <f t="shared" si="19"/>
        <v>0</v>
      </c>
      <c r="P60" s="7">
        <f t="shared" si="19"/>
        <v>0</v>
      </c>
      <c r="Q60" s="7">
        <f t="shared" si="19"/>
        <v>0</v>
      </c>
      <c r="R60" s="7">
        <f t="shared" si="19"/>
        <v>0</v>
      </c>
      <c r="S60" s="7">
        <f t="shared" si="19"/>
        <v>3</v>
      </c>
      <c r="T60" s="43">
        <f t="shared" si="19"/>
        <v>0</v>
      </c>
      <c r="U60" s="43">
        <f t="shared" si="19"/>
        <v>4</v>
      </c>
      <c r="V60" s="43">
        <f t="shared" si="19"/>
        <v>5</v>
      </c>
      <c r="W60" s="43">
        <f t="shared" si="19"/>
        <v>5</v>
      </c>
      <c r="X60" s="43">
        <f t="shared" si="19"/>
        <v>5</v>
      </c>
      <c r="Y60" s="43">
        <f t="shared" si="19"/>
        <v>5</v>
      </c>
      <c r="Z60" s="43">
        <f t="shared" si="19"/>
        <v>6</v>
      </c>
      <c r="AA60" s="43">
        <f t="shared" si="19"/>
        <v>0</v>
      </c>
      <c r="AB60" s="43">
        <f t="shared" si="19"/>
        <v>0</v>
      </c>
      <c r="AC60" s="43">
        <f t="shared" si="19"/>
        <v>0</v>
      </c>
      <c r="AD60" s="43">
        <f t="shared" si="19"/>
        <v>0</v>
      </c>
      <c r="AE60" s="43">
        <f t="shared" si="19"/>
        <v>2</v>
      </c>
      <c r="AF60" s="43">
        <f>AE26</f>
        <v>2</v>
      </c>
      <c r="AG60" s="43">
        <f t="shared" ref="AG60:AN60" si="20">AG27</f>
        <v>2</v>
      </c>
      <c r="AH60" s="43">
        <f t="shared" si="20"/>
        <v>2</v>
      </c>
      <c r="AI60" s="43">
        <f t="shared" si="20"/>
        <v>2</v>
      </c>
      <c r="AJ60" s="43">
        <f t="shared" si="20"/>
        <v>2</v>
      </c>
      <c r="AK60" s="43">
        <f t="shared" si="20"/>
        <v>3</v>
      </c>
      <c r="AL60" s="43">
        <f t="shared" si="20"/>
        <v>4</v>
      </c>
      <c r="AM60" s="43">
        <f t="shared" si="20"/>
        <v>0</v>
      </c>
      <c r="AN60" s="43">
        <f t="shared" si="20"/>
        <v>0</v>
      </c>
    </row>
    <row r="61" spans="1:4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</sheetData>
  <mergeCells count="5">
    <mergeCell ref="B1:K1"/>
    <mergeCell ref="L1:P1"/>
    <mergeCell ref="Q1:Z1"/>
    <mergeCell ref="AA1:AD1"/>
    <mergeCell ref="AE1:A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1"/>
      <c r="L1" s="69" t="s">
        <v>1</v>
      </c>
      <c r="M1" s="70"/>
      <c r="N1" s="70"/>
      <c r="O1" s="70"/>
      <c r="P1" s="71"/>
      <c r="Q1" s="69" t="s">
        <v>2</v>
      </c>
      <c r="R1" s="70"/>
      <c r="S1" s="70"/>
      <c r="T1" s="70"/>
      <c r="U1" s="70"/>
      <c r="V1" s="70"/>
      <c r="W1" s="70"/>
      <c r="X1" s="70"/>
      <c r="Y1" s="70"/>
      <c r="Z1" s="71"/>
      <c r="AA1" s="69" t="s">
        <v>3</v>
      </c>
      <c r="AB1" s="70"/>
      <c r="AC1" s="70"/>
      <c r="AD1" s="71"/>
      <c r="AE1" s="69" t="s">
        <v>4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/>
      <c r="W6" s="5"/>
      <c r="X6" s="61">
        <v>150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$B$30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'Variance (Department)'!B25</f>
        <v>0</v>
      </c>
      <c r="C10" s="7">
        <f>'Variance (Department)'!C25</f>
        <v>0</v>
      </c>
      <c r="D10" s="7">
        <f>'Variance (Department)'!D25</f>
        <v>0</v>
      </c>
      <c r="E10" s="7">
        <f>'Variance (Department)'!E25</f>
        <v>0</v>
      </c>
      <c r="F10" s="7">
        <f>'Variance (Department)'!F25</f>
        <v>0</v>
      </c>
      <c r="G10" s="7">
        <f>'Variance (Department)'!G25</f>
        <v>9.75</v>
      </c>
      <c r="H10" s="7">
        <f>'Variance (Department)'!H25</f>
        <v>47.25</v>
      </c>
      <c r="I10" s="7">
        <f>'Variance (Department)'!I25</f>
        <v>37</v>
      </c>
      <c r="J10" s="7">
        <f>'Variance (Department)'!J25</f>
        <v>47.25</v>
      </c>
      <c r="K10" s="7">
        <f>'Variance (Department)'!K25</f>
        <v>37.5</v>
      </c>
      <c r="L10" s="7">
        <f>'Variance (Department)'!L25</f>
        <v>8.75</v>
      </c>
      <c r="M10" s="7">
        <f>'Variance (Department)'!M25</f>
        <v>10.75</v>
      </c>
      <c r="N10" s="7">
        <f>'Variance (Department)'!N25</f>
        <v>0</v>
      </c>
      <c r="O10" s="7">
        <f>'Variance (Department)'!O25</f>
        <v>6.5</v>
      </c>
      <c r="P10" s="7">
        <f>'Variance (Department)'!P25</f>
        <v>6.5</v>
      </c>
      <c r="Q10" s="7">
        <f>'Variance (Department)'!Q25</f>
        <v>46.75</v>
      </c>
      <c r="R10" s="7">
        <f>'Variance (Department)'!R25</f>
        <v>33</v>
      </c>
      <c r="S10" s="7">
        <f>'Variance (Department)'!S25</f>
        <v>67.75</v>
      </c>
      <c r="T10" s="7">
        <f>'Variance (Department)'!T25</f>
        <v>52</v>
      </c>
      <c r="U10" s="7">
        <f>'Variance (Department)'!U25</f>
        <v>55.25</v>
      </c>
      <c r="V10" s="7">
        <f>'Variance (Department)'!V25</f>
        <v>66.5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650</v>
      </c>
      <c r="U11" s="5">
        <f t="shared" si="1"/>
        <v>690.625</v>
      </c>
      <c r="V11" s="5">
        <f t="shared" si="1"/>
        <v>831.25</v>
      </c>
      <c r="W11" s="5">
        <f t="shared" si="1"/>
        <v>0</v>
      </c>
      <c r="X11" s="5">
        <f t="shared" si="1"/>
        <v>0</v>
      </c>
      <c r="Y11" s="5">
        <f t="shared" si="1"/>
        <v>0</v>
      </c>
      <c r="Z11" s="5">
        <f t="shared" si="1"/>
        <v>0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0</v>
      </c>
      <c r="AF11" s="5">
        <f t="shared" si="1"/>
        <v>0</v>
      </c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$B$34*$B5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$B$34*($B5+$AE$5)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2"/>
      <c r="V13" s="62"/>
      <c r="W13" s="62"/>
      <c r="X13" s="62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1">
        <v>150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$B$39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$B$41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$B$42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B44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28223.464893877244</v>
      </c>
      <c r="J22" s="5">
        <f t="shared" si="7"/>
        <v>27655.937900694873</v>
      </c>
      <c r="K22" s="5">
        <f t="shared" si="7"/>
        <v>26960.285907512502</v>
      </c>
      <c r="L22" s="5">
        <f t="shared" si="7"/>
        <v>23888.431991253205</v>
      </c>
      <c r="M22" s="5">
        <f t="shared" si="7"/>
        <v>23674.029998070833</v>
      </c>
      <c r="N22" s="5">
        <f t="shared" si="7"/>
        <v>23434.628004888462</v>
      </c>
      <c r="O22" s="5">
        <f t="shared" si="7"/>
        <v>23329.601011706091</v>
      </c>
      <c r="P22" s="5">
        <f t="shared" si="7"/>
        <v>23143.324018523719</v>
      </c>
      <c r="Q22" s="5">
        <f t="shared" si="7"/>
        <v>22957.047025341348</v>
      </c>
      <c r="R22" s="5">
        <f t="shared" si="7"/>
        <v>22267.645032158976</v>
      </c>
      <c r="S22" s="5">
        <f t="shared" si="7"/>
        <v>21750.118038976605</v>
      </c>
      <c r="T22" s="5">
        <f t="shared" si="7"/>
        <v>20798.216045794234</v>
      </c>
      <c r="U22" s="5">
        <f t="shared" si="7"/>
        <v>14348.958283381093</v>
      </c>
      <c r="V22" s="5">
        <f t="shared" si="7"/>
        <v>13553.306290198721</v>
      </c>
      <c r="W22" s="5">
        <f t="shared" si="7"/>
        <v>10967.02929701635</v>
      </c>
      <c r="X22" s="5">
        <f t="shared" si="7"/>
        <v>8963.9253807570549</v>
      </c>
      <c r="Y22" s="5">
        <f t="shared" si="7"/>
        <v>8858.8983875746835</v>
      </c>
      <c r="Z22" s="5">
        <f t="shared" si="7"/>
        <v>8753.8713943923121</v>
      </c>
      <c r="AA22" s="5">
        <f t="shared" si="7"/>
        <v>6150.767478133017</v>
      </c>
      <c r="AB22" s="5">
        <f t="shared" si="7"/>
        <v>6045.7404849506447</v>
      </c>
      <c r="AC22" s="5">
        <f t="shared" si="7"/>
        <v>5940.7134917682724</v>
      </c>
      <c r="AD22" s="5">
        <f t="shared" si="7"/>
        <v>5835.6864985859002</v>
      </c>
      <c r="AE22" s="5">
        <f t="shared" si="7"/>
        <v>5730.6595054035279</v>
      </c>
      <c r="AF22" s="5">
        <f t="shared" si="7"/>
        <v>21454.619401246862</v>
      </c>
      <c r="AG22" s="5">
        <f t="shared" si="7"/>
        <v>21298.579297090197</v>
      </c>
      <c r="AH22" s="5">
        <f t="shared" si="7"/>
        <v>21142.539192933531</v>
      </c>
      <c r="AI22" s="5">
        <f t="shared" si="7"/>
        <v>15924.960627238401</v>
      </c>
      <c r="AJ22" s="5">
        <f t="shared" si="7"/>
        <v>15768.920523081733</v>
      </c>
      <c r="AK22" s="5">
        <f t="shared" si="7"/>
        <v>14112.880418925066</v>
      </c>
      <c r="AL22" s="5">
        <f t="shared" si="7"/>
        <v>12058.763391691475</v>
      </c>
      <c r="AM22" s="5">
        <f t="shared" si="7"/>
        <v>11902.723287534807</v>
      </c>
      <c r="AN22" s="5">
        <f t="shared" si="7"/>
        <v>11746.68318337814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0</v>
      </c>
      <c r="W23" s="5">
        <f t="shared" si="8"/>
        <v>0</v>
      </c>
      <c r="X23" s="5">
        <f t="shared" si="8"/>
        <v>150</v>
      </c>
      <c r="Y23" s="5">
        <f t="shared" si="8"/>
        <v>0</v>
      </c>
      <c r="Z23" s="5">
        <f t="shared" si="8"/>
        <v>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17000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2593.7289162592956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951.90199318237217</v>
      </c>
      <c r="T24" s="13">
        <f t="shared" si="9"/>
        <v>6449.2577624131418</v>
      </c>
      <c r="U24" s="13">
        <f t="shared" si="9"/>
        <v>795.65199318237217</v>
      </c>
      <c r="V24" s="13">
        <f t="shared" si="9"/>
        <v>2586.2769931823723</v>
      </c>
      <c r="W24" s="13">
        <f t="shared" si="9"/>
        <v>2003.1039162592956</v>
      </c>
      <c r="X24" s="13">
        <f t="shared" si="9"/>
        <v>255.02699318237217</v>
      </c>
      <c r="Y24" s="13">
        <f t="shared" si="9"/>
        <v>105.02699318237218</v>
      </c>
      <c r="Z24" s="13">
        <f t="shared" si="9"/>
        <v>2603.1039162592956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1276.0401041566672</v>
      </c>
      <c r="AF24" s="13">
        <f t="shared" si="9"/>
        <v>156.04010415666724</v>
      </c>
      <c r="AG24" s="13">
        <f t="shared" si="9"/>
        <v>156.04010415666724</v>
      </c>
      <c r="AH24" s="13">
        <f t="shared" si="9"/>
        <v>5217.5785656951293</v>
      </c>
      <c r="AI24" s="13">
        <f t="shared" si="9"/>
        <v>156.04010415666724</v>
      </c>
      <c r="AJ24" s="13">
        <f t="shared" si="9"/>
        <v>1656.0401041566672</v>
      </c>
      <c r="AK24" s="13">
        <f t="shared" si="9"/>
        <v>2054.1170272335908</v>
      </c>
      <c r="AL24" s="13">
        <f t="shared" si="9"/>
        <v>156.04010415666724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-2593.7289162592956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-951.90199318237217</v>
      </c>
      <c r="T25" s="5">
        <f t="shared" si="10"/>
        <v>-6449.2577624131418</v>
      </c>
      <c r="U25" s="5">
        <f t="shared" si="10"/>
        <v>-795.65199318237217</v>
      </c>
      <c r="V25" s="5">
        <f t="shared" si="10"/>
        <v>-2586.2769931823723</v>
      </c>
      <c r="W25" s="5">
        <f t="shared" si="10"/>
        <v>-2003.1039162592956</v>
      </c>
      <c r="X25" s="5">
        <f t="shared" si="10"/>
        <v>-105.02699318237217</v>
      </c>
      <c r="Y25" s="5">
        <f t="shared" si="10"/>
        <v>-105.02699318237218</v>
      </c>
      <c r="Z25" s="5">
        <f t="shared" si="10"/>
        <v>-2603.1039162592956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15723.959895843333</v>
      </c>
      <c r="AF25" s="5">
        <f t="shared" si="10"/>
        <v>-156.04010415666724</v>
      </c>
      <c r="AG25" s="5">
        <f t="shared" si="10"/>
        <v>-156.04010415666724</v>
      </c>
      <c r="AH25" s="5">
        <f t="shared" si="10"/>
        <v>-5217.5785656951293</v>
      </c>
      <c r="AI25" s="5">
        <f t="shared" si="10"/>
        <v>-156.04010415666724</v>
      </c>
      <c r="AJ25" s="5">
        <f t="shared" si="10"/>
        <v>-1656.0401041566672</v>
      </c>
      <c r="AK25" s="5">
        <f t="shared" si="10"/>
        <v>-2054.1170272335908</v>
      </c>
      <c r="AL25" s="5">
        <f t="shared" si="10"/>
        <v>-156.04010415666724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28223.464893877244</v>
      </c>
      <c r="I26" s="5">
        <f t="shared" si="11"/>
        <v>27655.937900694873</v>
      </c>
      <c r="J26" s="5">
        <f t="shared" si="11"/>
        <v>26960.285907512502</v>
      </c>
      <c r="K26" s="5">
        <f t="shared" si="11"/>
        <v>23888.431991253205</v>
      </c>
      <c r="L26" s="5">
        <f t="shared" si="11"/>
        <v>23674.029998070833</v>
      </c>
      <c r="M26" s="5">
        <f t="shared" si="11"/>
        <v>23434.628004888462</v>
      </c>
      <c r="N26" s="5">
        <f t="shared" si="11"/>
        <v>23329.601011706091</v>
      </c>
      <c r="O26" s="5">
        <f t="shared" si="11"/>
        <v>23143.324018523719</v>
      </c>
      <c r="P26" s="5">
        <f t="shared" si="11"/>
        <v>22957.047025341348</v>
      </c>
      <c r="Q26" s="5">
        <f t="shared" si="11"/>
        <v>22267.645032158976</v>
      </c>
      <c r="R26" s="5">
        <f t="shared" si="11"/>
        <v>21750.118038976605</v>
      </c>
      <c r="S26" s="5">
        <f t="shared" si="11"/>
        <v>20798.216045794234</v>
      </c>
      <c r="T26" s="5">
        <f t="shared" si="11"/>
        <v>14348.958283381093</v>
      </c>
      <c r="U26" s="5">
        <f t="shared" si="11"/>
        <v>13553.306290198721</v>
      </c>
      <c r="V26" s="5">
        <f t="shared" si="11"/>
        <v>10967.02929701635</v>
      </c>
      <c r="W26" s="5">
        <f t="shared" si="11"/>
        <v>8963.9253807570549</v>
      </c>
      <c r="X26" s="5">
        <f t="shared" si="11"/>
        <v>8858.8983875746835</v>
      </c>
      <c r="Y26" s="5">
        <f t="shared" si="11"/>
        <v>8753.8713943923121</v>
      </c>
      <c r="Z26" s="5">
        <f t="shared" si="11"/>
        <v>6150.767478133017</v>
      </c>
      <c r="AA26" s="5">
        <f t="shared" si="11"/>
        <v>6045.7404849506447</v>
      </c>
      <c r="AB26" s="5">
        <f t="shared" si="11"/>
        <v>5940.7134917682724</v>
      </c>
      <c r="AC26" s="5">
        <f t="shared" si="11"/>
        <v>5835.6864985859002</v>
      </c>
      <c r="AD26" s="5">
        <f t="shared" si="11"/>
        <v>5730.6595054035279</v>
      </c>
      <c r="AE26" s="5">
        <f t="shared" si="11"/>
        <v>21454.619401246862</v>
      </c>
      <c r="AF26" s="5">
        <f t="shared" si="11"/>
        <v>21298.579297090197</v>
      </c>
      <c r="AG26" s="5">
        <f t="shared" si="11"/>
        <v>21142.539192933531</v>
      </c>
      <c r="AH26" s="5">
        <f t="shared" si="11"/>
        <v>15924.960627238401</v>
      </c>
      <c r="AI26" s="5">
        <f t="shared" si="11"/>
        <v>15768.920523081733</v>
      </c>
      <c r="AJ26" s="5">
        <f t="shared" si="11"/>
        <v>14112.880418925066</v>
      </c>
      <c r="AK26" s="5">
        <f t="shared" si="11"/>
        <v>12058.763391691475</v>
      </c>
      <c r="AL26" s="5">
        <f t="shared" si="11"/>
        <v>11902.723287534807</v>
      </c>
      <c r="AM26" s="5">
        <f t="shared" si="11"/>
        <v>11746.68318337814</v>
      </c>
      <c r="AN26" s="5">
        <f t="shared" si="11"/>
        <v>9092.5661561445486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2" t="s">
        <v>39</v>
      </c>
      <c r="B28" s="5">
        <f>SUM(B24:AN24)</f>
        <v>43057.433843855441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 x14ac:dyDescent="0.25">
      <c r="A30" s="2" t="s">
        <v>21</v>
      </c>
      <c r="B30" s="5">
        <v>12.5</v>
      </c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x14ac:dyDescent="0.25">
      <c r="A31" s="19"/>
      <c r="B31" s="16"/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0" x14ac:dyDescent="0.25">
      <c r="A32" s="2" t="s">
        <v>40</v>
      </c>
      <c r="B32" s="5">
        <f>B5+AE5</f>
        <v>52000</v>
      </c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 x14ac:dyDescent="0.25">
      <c r="A33" s="2" t="s">
        <v>41</v>
      </c>
      <c r="B33" s="20">
        <v>0.1686</v>
      </c>
      <c r="C33" s="21"/>
      <c r="D33" s="21"/>
      <c r="E33" s="21"/>
      <c r="F33" s="21"/>
      <c r="G33" s="21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 x14ac:dyDescent="0.25">
      <c r="A34" s="2" t="s">
        <v>42</v>
      </c>
      <c r="B34" s="20">
        <f>(B33+1)^(1/52)-1</f>
        <v>3.0007712337820625E-3</v>
      </c>
      <c r="C34" s="21"/>
      <c r="D34" s="21"/>
      <c r="E34" s="21"/>
      <c r="F34" s="21"/>
      <c r="G34" s="2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2" t="s">
        <v>43</v>
      </c>
      <c r="B36" s="7">
        <v>1400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27</v>
      </c>
      <c r="B37" s="5">
        <v>23.5</v>
      </c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2" t="s">
        <v>44</v>
      </c>
      <c r="B38" s="5">
        <f>B36*B37</f>
        <v>32900</v>
      </c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45</v>
      </c>
      <c r="B39" s="5">
        <f>B38/52</f>
        <v>632.69230769230774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" t="s">
        <v>29</v>
      </c>
      <c r="B41" s="5">
        <v>50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31</v>
      </c>
      <c r="B42" s="5">
        <v>100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14"/>
      <c r="B43" s="16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2" t="s">
        <v>33</v>
      </c>
      <c r="B44" s="5">
        <v>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</sheetData>
  <mergeCells count="5">
    <mergeCell ref="B1:K1"/>
    <mergeCell ref="L1:P1"/>
    <mergeCell ref="Q1:Z1"/>
    <mergeCell ref="AA1:AD1"/>
    <mergeCell ref="AE1:AN1"/>
  </mergeCells>
  <conditionalFormatting sqref="B21:AN2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3"/>
  <sheetViews>
    <sheetView workbookViewId="0"/>
  </sheetViews>
  <sheetFormatPr defaultColWidth="12.6640625" defaultRowHeight="15.75" customHeight="1" x14ac:dyDescent="0.25"/>
  <cols>
    <col min="1" max="1" width="17.6640625" customWidth="1"/>
  </cols>
  <sheetData>
    <row r="1" spans="1:24" x14ac:dyDescent="0.25">
      <c r="A1" s="74" t="s">
        <v>117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24" x14ac:dyDescent="0.25">
      <c r="A2" s="48">
        <f>'Projected Hours'!A1</f>
        <v>0</v>
      </c>
      <c r="B2" s="72" t="str">
        <f>'Projected Hours'!B1</f>
        <v>Projected Hours
Autumn Term</v>
      </c>
      <c r="C2" s="70"/>
      <c r="D2" s="70"/>
      <c r="E2" s="70"/>
      <c r="F2" s="70"/>
      <c r="G2" s="70"/>
      <c r="H2" s="70"/>
      <c r="I2" s="70"/>
      <c r="J2" s="70"/>
      <c r="K2" s="71"/>
      <c r="L2" s="72" t="str">
        <f>'Projected Hours'!L1</f>
        <v>Projected Hours
Winter Break</v>
      </c>
      <c r="M2" s="70"/>
      <c r="N2" s="70"/>
      <c r="O2" s="70"/>
      <c r="P2" s="71"/>
      <c r="Q2" s="72" t="str">
        <f>'Projected Hours'!Q1</f>
        <v>Projected Hours
Spring Term</v>
      </c>
      <c r="R2" s="70"/>
      <c r="S2" s="70"/>
      <c r="T2" s="70"/>
      <c r="U2" s="70"/>
      <c r="V2" s="70"/>
      <c r="W2" s="70"/>
      <c r="X2" s="71"/>
    </row>
    <row r="3" spans="1:24" x14ac:dyDescent="0.25">
      <c r="A3" s="49" t="str">
        <f>'Projected Hours'!A2</f>
        <v>Relative Week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  <c r="W3" s="49" t="str">
        <f>'Projected Hours'!W2</f>
        <v>Week 7</v>
      </c>
      <c r="X3" s="49" t="str">
        <f>'Projected Hours'!X2</f>
        <v>Week 8</v>
      </c>
    </row>
    <row r="4" spans="1:24" x14ac:dyDescent="0.25">
      <c r="A4" s="63" t="str">
        <f>'Projected Hours'!A3</f>
        <v>Total Weeks</v>
      </c>
      <c r="B4" s="63">
        <f>'Projected Hours'!B3</f>
        <v>1</v>
      </c>
      <c r="C4" s="63">
        <f>'Projected Hours'!C3</f>
        <v>2</v>
      </c>
      <c r="D4" s="63">
        <f>'Projected Hours'!D3</f>
        <v>3</v>
      </c>
      <c r="E4" s="63">
        <f>'Projected Hours'!E3</f>
        <v>4</v>
      </c>
      <c r="F4" s="63">
        <f>'Projected Hours'!F3</f>
        <v>5</v>
      </c>
      <c r="G4" s="63">
        <f>'Projected Hours'!G3</f>
        <v>6</v>
      </c>
      <c r="H4" s="63">
        <f>'Projected Hours'!H3</f>
        <v>7</v>
      </c>
      <c r="I4" s="63">
        <f>'Projected Hours'!I3</f>
        <v>8</v>
      </c>
      <c r="J4" s="63">
        <f>'Projected Hours'!J3</f>
        <v>9</v>
      </c>
      <c r="K4" s="63">
        <f>'Projected Hours'!K3</f>
        <v>10</v>
      </c>
      <c r="L4" s="63">
        <f>'Projected Hours'!L3</f>
        <v>11</v>
      </c>
      <c r="M4" s="63">
        <f>'Projected Hours'!M3</f>
        <v>12</v>
      </c>
      <c r="N4" s="63">
        <f>'Projected Hours'!N3</f>
        <v>13</v>
      </c>
      <c r="O4" s="63">
        <f>'Projected Hours'!O3</f>
        <v>14</v>
      </c>
      <c r="P4" s="63">
        <f>'Projected Hours'!P3</f>
        <v>15</v>
      </c>
      <c r="Q4" s="63">
        <f>'Projected Hours'!Q3</f>
        <v>16</v>
      </c>
      <c r="R4" s="63">
        <f>'Projected Hours'!R3</f>
        <v>17</v>
      </c>
      <c r="S4" s="63">
        <f>'Projected Hours'!S3</f>
        <v>18</v>
      </c>
      <c r="T4" s="63">
        <f>'Projected Hours'!T3</f>
        <v>19</v>
      </c>
      <c r="U4" s="63">
        <f>'Projected Hours'!U3</f>
        <v>20</v>
      </c>
      <c r="V4" s="63">
        <f>'Projected Hours'!V3</f>
        <v>21</v>
      </c>
      <c r="W4" s="63">
        <f>'Projected Hours'!W3</f>
        <v>22</v>
      </c>
      <c r="X4" s="63">
        <f>'Projected Hours'!X3</f>
        <v>23</v>
      </c>
    </row>
    <row r="5" spans="1:24" x14ac:dyDescent="0.25">
      <c r="A5" s="2" t="str">
        <f>'Projected Hours'!A50</f>
        <v>Connall Total</v>
      </c>
      <c r="B5" s="7">
        <f>'Projected Hours'!B50</f>
        <v>0</v>
      </c>
      <c r="C5" s="7">
        <f>'Projected Hours'!C50</f>
        <v>0</v>
      </c>
      <c r="D5" s="7">
        <f>'Projected Hours'!D50</f>
        <v>0</v>
      </c>
      <c r="E5" s="7">
        <f>'Projected Hours'!E50</f>
        <v>0</v>
      </c>
      <c r="F5" s="7">
        <f>'Projected Hours'!F50</f>
        <v>0</v>
      </c>
      <c r="G5" s="7">
        <f>'Projected Hours'!G50</f>
        <v>1.5</v>
      </c>
      <c r="H5" s="7">
        <f>'Projected Hours'!H50</f>
        <v>12</v>
      </c>
      <c r="I5" s="7">
        <f>'Projected Hours'!I50</f>
        <v>2</v>
      </c>
      <c r="J5" s="7">
        <f>'Projected Hours'!J50</f>
        <v>4.5</v>
      </c>
      <c r="K5" s="7">
        <f>'Projected Hours'!K50</f>
        <v>6.75</v>
      </c>
      <c r="L5" s="7">
        <f>'Projected Hours'!L50</f>
        <v>0</v>
      </c>
      <c r="M5" s="7">
        <f>'Projected Hours'!M50</f>
        <v>6</v>
      </c>
      <c r="N5" s="7">
        <f>'Projected Hours'!N50</f>
        <v>0</v>
      </c>
      <c r="O5" s="7">
        <f>'Projected Hours'!O50</f>
        <v>0</v>
      </c>
      <c r="P5" s="7">
        <f>'Projected Hours'!P50</f>
        <v>0</v>
      </c>
      <c r="Q5" s="7">
        <f>'Projected Hours'!Q50</f>
        <v>7</v>
      </c>
      <c r="R5" s="7">
        <f>'Projected Hours'!R50</f>
        <v>10.75</v>
      </c>
      <c r="S5" s="7">
        <f>'Projected Hours'!S50</f>
        <v>14.75</v>
      </c>
      <c r="T5" s="7">
        <f>'Projected Hours'!T50</f>
        <v>5.75</v>
      </c>
      <c r="U5" s="7">
        <f>'Projected Hours'!U50</f>
        <v>7</v>
      </c>
      <c r="V5" s="7">
        <f>'Projected Hours'!V50</f>
        <v>7.5</v>
      </c>
      <c r="W5" s="7">
        <f>'Projected Hours'!W50</f>
        <v>9</v>
      </c>
      <c r="X5" s="7">
        <f>'Projected Hours'!X50</f>
        <v>8.5</v>
      </c>
    </row>
    <row r="6" spans="1:24" x14ac:dyDescent="0.25">
      <c r="A6" s="2" t="str">
        <f>'Projected Hours'!A51</f>
        <v>Giuseppe Total</v>
      </c>
      <c r="B6" s="7">
        <f>'Projected Hours'!B51</f>
        <v>0</v>
      </c>
      <c r="C6" s="7">
        <f>'Projected Hours'!C51</f>
        <v>0</v>
      </c>
      <c r="D6" s="7">
        <f>'Projected Hours'!D51</f>
        <v>0</v>
      </c>
      <c r="E6" s="7">
        <f>'Projected Hours'!E51</f>
        <v>0</v>
      </c>
      <c r="F6" s="7">
        <f>'Projected Hours'!F51</f>
        <v>0</v>
      </c>
      <c r="G6" s="7">
        <f>'Projected Hours'!G51</f>
        <v>1</v>
      </c>
      <c r="H6" s="7">
        <f>'Projected Hours'!H51</f>
        <v>5.25</v>
      </c>
      <c r="I6" s="7">
        <f>'Projected Hours'!I51</f>
        <v>9.75</v>
      </c>
      <c r="J6" s="7">
        <f>'Projected Hours'!J51</f>
        <v>11.25</v>
      </c>
      <c r="K6" s="7">
        <f>'Projected Hours'!K51</f>
        <v>9</v>
      </c>
      <c r="L6" s="7">
        <f>'Projected Hours'!L51</f>
        <v>8.75</v>
      </c>
      <c r="M6" s="7">
        <f>'Projected Hours'!M51</f>
        <v>4.75</v>
      </c>
      <c r="N6" s="7">
        <f>'Projected Hours'!N51</f>
        <v>0</v>
      </c>
      <c r="O6" s="7">
        <f>'Projected Hours'!O51</f>
        <v>6.5</v>
      </c>
      <c r="P6" s="7">
        <f>'Projected Hours'!P51</f>
        <v>1.5</v>
      </c>
      <c r="Q6" s="7">
        <f>'Projected Hours'!Q51</f>
        <v>35.5</v>
      </c>
      <c r="R6" s="7">
        <f>'Projected Hours'!R51</f>
        <v>7</v>
      </c>
      <c r="S6" s="7">
        <f>'Projected Hours'!S51</f>
        <v>7.5</v>
      </c>
      <c r="T6" s="7">
        <f>'Projected Hours'!T51</f>
        <v>8</v>
      </c>
      <c r="U6" s="7">
        <f>'Projected Hours'!U51</f>
        <v>7</v>
      </c>
      <c r="V6" s="7">
        <f>'Projected Hours'!V51</f>
        <v>8</v>
      </c>
      <c r="W6" s="7">
        <f>'Projected Hours'!W51</f>
        <v>7.5</v>
      </c>
      <c r="X6" s="7">
        <f>'Projected Hours'!X51</f>
        <v>7.5</v>
      </c>
    </row>
    <row r="7" spans="1:24" x14ac:dyDescent="0.25">
      <c r="A7" s="2" t="str">
        <f>'Projected Hours'!A52</f>
        <v>Ethan Total</v>
      </c>
      <c r="B7" s="7">
        <f>'Projected Hours'!B52</f>
        <v>0</v>
      </c>
      <c r="C7" s="7">
        <f>'Projected Hours'!C52</f>
        <v>0</v>
      </c>
      <c r="D7" s="7">
        <f>'Projected Hours'!D52</f>
        <v>0</v>
      </c>
      <c r="E7" s="7">
        <f>'Projected Hours'!E52</f>
        <v>0</v>
      </c>
      <c r="F7" s="7">
        <f>'Projected Hours'!F52</f>
        <v>0</v>
      </c>
      <c r="G7" s="7">
        <f>'Projected Hours'!G52</f>
        <v>0</v>
      </c>
      <c r="H7" s="7">
        <f>'Projected Hours'!H52</f>
        <v>1.75</v>
      </c>
      <c r="I7" s="7">
        <f>'Projected Hours'!I52</f>
        <v>2.25</v>
      </c>
      <c r="J7" s="7">
        <f>'Projected Hours'!J52</f>
        <v>6</v>
      </c>
      <c r="K7" s="7">
        <f>'Projected Hours'!K52</f>
        <v>3</v>
      </c>
      <c r="L7" s="7">
        <f>'Projected Hours'!L52</f>
        <v>0</v>
      </c>
      <c r="M7" s="7">
        <f>'Projected Hours'!M52</f>
        <v>0</v>
      </c>
      <c r="N7" s="7">
        <f>'Projected Hours'!N52</f>
        <v>0</v>
      </c>
      <c r="O7" s="7">
        <f>'Projected Hours'!O52</f>
        <v>0</v>
      </c>
      <c r="P7" s="7">
        <f>'Projected Hours'!P52</f>
        <v>0</v>
      </c>
      <c r="Q7" s="7">
        <f>'Projected Hours'!Q52</f>
        <v>0</v>
      </c>
      <c r="R7" s="7">
        <f>'Projected Hours'!R52</f>
        <v>1.5</v>
      </c>
      <c r="S7" s="7">
        <f>'Projected Hours'!S52</f>
        <v>0</v>
      </c>
      <c r="T7" s="7">
        <f>'Projected Hours'!T52</f>
        <v>1</v>
      </c>
      <c r="U7" s="7">
        <f>'Projected Hours'!U52</f>
        <v>3</v>
      </c>
      <c r="V7" s="7">
        <f>'Projected Hours'!V52</f>
        <v>4</v>
      </c>
      <c r="W7" s="7">
        <f>'Projected Hours'!W52</f>
        <v>5</v>
      </c>
      <c r="X7" s="7">
        <f>'Projected Hours'!X52</f>
        <v>4</v>
      </c>
    </row>
    <row r="8" spans="1:24" x14ac:dyDescent="0.25">
      <c r="A8" s="2" t="str">
        <f>'Projected Hours'!A53</f>
        <v>Oscar Total</v>
      </c>
      <c r="B8" s="7">
        <f>'Projected Hours'!B53</f>
        <v>0</v>
      </c>
      <c r="C8" s="7">
        <f>'Projected Hours'!C53</f>
        <v>0</v>
      </c>
      <c r="D8" s="7">
        <f>'Projected Hours'!D53</f>
        <v>0</v>
      </c>
      <c r="E8" s="7">
        <f>'Projected Hours'!E53</f>
        <v>0</v>
      </c>
      <c r="F8" s="7">
        <f>'Projected Hours'!F53</f>
        <v>0</v>
      </c>
      <c r="G8" s="7">
        <f>'Projected Hours'!G53</f>
        <v>0</v>
      </c>
      <c r="H8" s="7">
        <f>'Projected Hours'!H53</f>
        <v>2</v>
      </c>
      <c r="I8" s="7">
        <f>'Projected Hours'!I53</f>
        <v>6.5</v>
      </c>
      <c r="J8" s="7">
        <f>'Projected Hours'!J53</f>
        <v>5.25</v>
      </c>
      <c r="K8" s="7">
        <f>'Projected Hours'!K53</f>
        <v>0.5</v>
      </c>
      <c r="L8" s="7">
        <f>'Projected Hours'!L53</f>
        <v>0</v>
      </c>
      <c r="M8" s="7">
        <f>'Projected Hours'!M53</f>
        <v>0</v>
      </c>
      <c r="N8" s="7">
        <f>'Projected Hours'!N53</f>
        <v>0</v>
      </c>
      <c r="O8" s="7">
        <f>'Projected Hours'!O53</f>
        <v>0</v>
      </c>
      <c r="P8" s="7">
        <f>'Projected Hours'!P53</f>
        <v>0.75</v>
      </c>
      <c r="Q8" s="7">
        <f>'Projected Hours'!Q53</f>
        <v>0</v>
      </c>
      <c r="R8" s="7">
        <f>'Projected Hours'!R53</f>
        <v>0.5</v>
      </c>
      <c r="S8" s="7">
        <f>'Projected Hours'!S53</f>
        <v>7.75</v>
      </c>
      <c r="T8" s="7">
        <f>'Projected Hours'!T53</f>
        <v>5.25</v>
      </c>
      <c r="U8" s="7">
        <f>'Projected Hours'!U53</f>
        <v>6</v>
      </c>
      <c r="V8" s="7">
        <f>'Projected Hours'!V53</f>
        <v>9</v>
      </c>
      <c r="W8" s="7">
        <f>'Projected Hours'!W53</f>
        <v>9</v>
      </c>
      <c r="X8" s="7">
        <f>'Projected Hours'!X53</f>
        <v>3</v>
      </c>
    </row>
    <row r="9" spans="1:24" x14ac:dyDescent="0.25">
      <c r="A9" s="2" t="str">
        <f>'Projected Hours'!A54</f>
        <v>Harry Total</v>
      </c>
      <c r="B9" s="7">
        <f>'Projected Hours'!B54</f>
        <v>0</v>
      </c>
      <c r="C9" s="7">
        <f>'Projected Hours'!C54</f>
        <v>0</v>
      </c>
      <c r="D9" s="7">
        <f>'Projected Hours'!D54</f>
        <v>0</v>
      </c>
      <c r="E9" s="7">
        <f>'Projected Hours'!E54</f>
        <v>0</v>
      </c>
      <c r="F9" s="7">
        <f>'Projected Hours'!F54</f>
        <v>0</v>
      </c>
      <c r="G9" s="7">
        <f>'Projected Hours'!G54</f>
        <v>0</v>
      </c>
      <c r="H9" s="7">
        <f>'Projected Hours'!H54</f>
        <v>1.75</v>
      </c>
      <c r="I9" s="7">
        <f>'Projected Hours'!I54</f>
        <v>0</v>
      </c>
      <c r="J9" s="7">
        <f>'Projected Hours'!J54</f>
        <v>0</v>
      </c>
      <c r="K9" s="7">
        <f>'Projected Hours'!K54</f>
        <v>1.5</v>
      </c>
      <c r="L9" s="7">
        <f>'Projected Hours'!L54</f>
        <v>0</v>
      </c>
      <c r="M9" s="7">
        <f>'Projected Hours'!M54</f>
        <v>0</v>
      </c>
      <c r="N9" s="7">
        <f>'Projected Hours'!N54</f>
        <v>0</v>
      </c>
      <c r="O9" s="7">
        <f>'Projected Hours'!O54</f>
        <v>0</v>
      </c>
      <c r="P9" s="7">
        <f>'Projected Hours'!P54</f>
        <v>0</v>
      </c>
      <c r="Q9" s="7">
        <f>'Projected Hours'!Q54</f>
        <v>0</v>
      </c>
      <c r="R9" s="7">
        <f>'Projected Hours'!R54</f>
        <v>0.5</v>
      </c>
      <c r="S9" s="7">
        <f>'Projected Hours'!S54</f>
        <v>3</v>
      </c>
      <c r="T9" s="7">
        <f>'Projected Hours'!T54</f>
        <v>1</v>
      </c>
      <c r="U9" s="7">
        <f>'Projected Hours'!U54</f>
        <v>5</v>
      </c>
      <c r="V9" s="7">
        <f>'Projected Hours'!V54</f>
        <v>6</v>
      </c>
      <c r="W9" s="7">
        <f>'Projected Hours'!W54</f>
        <v>6</v>
      </c>
      <c r="X9" s="7">
        <f>'Projected Hours'!X54</f>
        <v>6</v>
      </c>
    </row>
    <row r="10" spans="1:24" x14ac:dyDescent="0.25">
      <c r="A10" s="2" t="str">
        <f>'Projected Hours'!A55</f>
        <v>Ophelia Total</v>
      </c>
      <c r="B10" s="7">
        <f>'Projected Hours'!B55</f>
        <v>0</v>
      </c>
      <c r="C10" s="7">
        <f>'Projected Hours'!C55</f>
        <v>0</v>
      </c>
      <c r="D10" s="7">
        <f>'Projected Hours'!D55</f>
        <v>0</v>
      </c>
      <c r="E10" s="7">
        <f>'Projected Hours'!E55</f>
        <v>0</v>
      </c>
      <c r="F10" s="7">
        <f>'Projected Hours'!F55</f>
        <v>0</v>
      </c>
      <c r="G10" s="7">
        <f>'Projected Hours'!G55</f>
        <v>2</v>
      </c>
      <c r="H10" s="7">
        <f>'Projected Hours'!H55</f>
        <v>8.5</v>
      </c>
      <c r="I10" s="7">
        <f>'Projected Hours'!I55</f>
        <v>2.5</v>
      </c>
      <c r="J10" s="7">
        <f>'Projected Hours'!J55</f>
        <v>4.5</v>
      </c>
      <c r="K10" s="7">
        <f>'Projected Hours'!K55</f>
        <v>4.25</v>
      </c>
      <c r="L10" s="7">
        <f>'Projected Hours'!L55</f>
        <v>0</v>
      </c>
      <c r="M10" s="7">
        <f>'Projected Hours'!M55</f>
        <v>0</v>
      </c>
      <c r="N10" s="7">
        <f>'Projected Hours'!N55</f>
        <v>0</v>
      </c>
      <c r="O10" s="7">
        <f>'Projected Hours'!O55</f>
        <v>0</v>
      </c>
      <c r="P10" s="7">
        <f>'Projected Hours'!P55</f>
        <v>0</v>
      </c>
      <c r="Q10" s="7">
        <f>'Projected Hours'!Q55</f>
        <v>0</v>
      </c>
      <c r="R10" s="7">
        <f>'Projected Hours'!R55</f>
        <v>2.25</v>
      </c>
      <c r="S10" s="7">
        <f>'Projected Hours'!S55</f>
        <v>7.25</v>
      </c>
      <c r="T10" s="7">
        <f>'Projected Hours'!T55</f>
        <v>9</v>
      </c>
      <c r="U10" s="7">
        <f>'Projected Hours'!U55</f>
        <v>9</v>
      </c>
      <c r="V10" s="7">
        <f>'Projected Hours'!V55</f>
        <v>8</v>
      </c>
      <c r="W10" s="7">
        <f>'Projected Hours'!W55</f>
        <v>12</v>
      </c>
      <c r="X10" s="7">
        <f>'Projected Hours'!X55</f>
        <v>7</v>
      </c>
    </row>
    <row r="11" spans="1:24" x14ac:dyDescent="0.25">
      <c r="A11" s="2" t="str">
        <f>'Projected Hours'!A56</f>
        <v>Roman Total</v>
      </c>
      <c r="B11" s="7">
        <f>'Projected Hours'!B56</f>
        <v>0</v>
      </c>
      <c r="C11" s="7">
        <f>'Projected Hours'!C56</f>
        <v>0</v>
      </c>
      <c r="D11" s="7">
        <f>'Projected Hours'!D56</f>
        <v>0</v>
      </c>
      <c r="E11" s="7">
        <f>'Projected Hours'!E56</f>
        <v>0</v>
      </c>
      <c r="F11" s="7">
        <f>'Projected Hours'!F56</f>
        <v>0</v>
      </c>
      <c r="G11" s="7">
        <f>'Projected Hours'!G56</f>
        <v>0</v>
      </c>
      <c r="H11" s="7">
        <f>'Projected Hours'!H56</f>
        <v>3.75</v>
      </c>
      <c r="I11" s="7">
        <f>'Projected Hours'!I56</f>
        <v>2</v>
      </c>
      <c r="J11" s="7">
        <f>'Projected Hours'!J56</f>
        <v>7</v>
      </c>
      <c r="K11" s="7">
        <f>'Projected Hours'!K56</f>
        <v>6</v>
      </c>
      <c r="L11" s="7">
        <f>'Projected Hours'!L56</f>
        <v>0</v>
      </c>
      <c r="M11" s="7">
        <f>'Projected Hours'!M56</f>
        <v>0</v>
      </c>
      <c r="N11" s="7">
        <f>'Projected Hours'!N56</f>
        <v>0</v>
      </c>
      <c r="O11" s="7">
        <f>'Projected Hours'!O56</f>
        <v>0</v>
      </c>
      <c r="P11" s="7">
        <f>'Projected Hours'!P56</f>
        <v>0</v>
      </c>
      <c r="Q11" s="7">
        <f>'Projected Hours'!Q56</f>
        <v>0</v>
      </c>
      <c r="R11" s="7">
        <f>'Projected Hours'!R56</f>
        <v>0.5</v>
      </c>
      <c r="S11" s="7">
        <f>'Projected Hours'!S56</f>
        <v>3</v>
      </c>
      <c r="T11" s="7">
        <f>'Projected Hours'!T56</f>
        <v>1</v>
      </c>
      <c r="U11" s="7">
        <f>'Projected Hours'!U56</f>
        <v>3</v>
      </c>
      <c r="V11" s="7">
        <f>'Projected Hours'!V56</f>
        <v>4</v>
      </c>
      <c r="W11" s="7">
        <f>'Projected Hours'!W56</f>
        <v>5</v>
      </c>
      <c r="X11" s="7">
        <f>'Projected Hours'!X56</f>
        <v>4</v>
      </c>
    </row>
    <row r="12" spans="1:24" x14ac:dyDescent="0.25">
      <c r="A12" s="2" t="str">
        <f>'Projected Hours'!A57</f>
        <v>Ana Total</v>
      </c>
      <c r="B12" s="7">
        <f>'Projected Hours'!B57</f>
        <v>0</v>
      </c>
      <c r="C12" s="7">
        <f>'Projected Hours'!C57</f>
        <v>0</v>
      </c>
      <c r="D12" s="7">
        <f>'Projected Hours'!D57</f>
        <v>0</v>
      </c>
      <c r="E12" s="7">
        <f>'Projected Hours'!E57</f>
        <v>0</v>
      </c>
      <c r="F12" s="7">
        <f>'Projected Hours'!F57</f>
        <v>0</v>
      </c>
      <c r="G12" s="7">
        <f>'Projected Hours'!G57</f>
        <v>2.25</v>
      </c>
      <c r="H12" s="7">
        <f>'Projected Hours'!H57</f>
        <v>4.75</v>
      </c>
      <c r="I12" s="7">
        <f>'Projected Hours'!I57</f>
        <v>6</v>
      </c>
      <c r="J12" s="7">
        <f>'Projected Hours'!J57</f>
        <v>4</v>
      </c>
      <c r="K12" s="7">
        <f>'Projected Hours'!K57</f>
        <v>5.5</v>
      </c>
      <c r="L12" s="7">
        <f>'Projected Hours'!L57</f>
        <v>0</v>
      </c>
      <c r="M12" s="7">
        <f>'Projected Hours'!M57</f>
        <v>0</v>
      </c>
      <c r="N12" s="7">
        <f>'Projected Hours'!N57</f>
        <v>0</v>
      </c>
      <c r="O12" s="7">
        <f>'Projected Hours'!O57</f>
        <v>0</v>
      </c>
      <c r="P12" s="7">
        <f>'Projected Hours'!P57</f>
        <v>0</v>
      </c>
      <c r="Q12" s="7">
        <f>'Projected Hours'!Q57</f>
        <v>0</v>
      </c>
      <c r="R12" s="7">
        <f>'Projected Hours'!R57</f>
        <v>5.25</v>
      </c>
      <c r="S12" s="7">
        <f>'Projected Hours'!S57</f>
        <v>2</v>
      </c>
      <c r="T12" s="7">
        <f>'Projected Hours'!T57</f>
        <v>6.75</v>
      </c>
      <c r="U12" s="7">
        <f>'Projected Hours'!U57</f>
        <v>6</v>
      </c>
      <c r="V12" s="7">
        <f>'Projected Hours'!V57</f>
        <v>6</v>
      </c>
      <c r="W12" s="7">
        <f>'Projected Hours'!W57</f>
        <v>6</v>
      </c>
      <c r="X12" s="7">
        <f>'Projected Hours'!X57</f>
        <v>6</v>
      </c>
    </row>
    <row r="13" spans="1:24" x14ac:dyDescent="0.25">
      <c r="A13" s="2" t="str">
        <f>'Projected Hours'!A58</f>
        <v>Tom Total</v>
      </c>
      <c r="B13" s="7">
        <f>'Projected Hours'!B58</f>
        <v>0</v>
      </c>
      <c r="C13" s="7">
        <f>'Projected Hours'!C58</f>
        <v>0</v>
      </c>
      <c r="D13" s="7">
        <f>'Projected Hours'!D58</f>
        <v>0</v>
      </c>
      <c r="E13" s="7">
        <f>'Projected Hours'!E58</f>
        <v>0</v>
      </c>
      <c r="F13" s="7">
        <f>'Projected Hours'!F58</f>
        <v>0</v>
      </c>
      <c r="G13" s="7">
        <f>'Projected Hours'!G58</f>
        <v>0</v>
      </c>
      <c r="H13" s="7">
        <f>'Projected Hours'!H58</f>
        <v>4.75</v>
      </c>
      <c r="I13" s="7">
        <f>'Projected Hours'!I58</f>
        <v>2.75</v>
      </c>
      <c r="J13" s="7">
        <f>'Projected Hours'!J58</f>
        <v>1</v>
      </c>
      <c r="K13" s="7">
        <f>'Projected Hours'!K58</f>
        <v>0.5</v>
      </c>
      <c r="L13" s="7">
        <f>'Projected Hours'!L58</f>
        <v>0</v>
      </c>
      <c r="M13" s="7">
        <f>'Projected Hours'!M58</f>
        <v>0</v>
      </c>
      <c r="N13" s="7">
        <f>'Projected Hours'!N58</f>
        <v>0</v>
      </c>
      <c r="O13" s="7">
        <f>'Projected Hours'!O58</f>
        <v>0</v>
      </c>
      <c r="P13" s="7">
        <f>'Projected Hours'!P58</f>
        <v>0</v>
      </c>
      <c r="Q13" s="7">
        <f>'Projected Hours'!Q58</f>
        <v>0</v>
      </c>
      <c r="R13" s="7">
        <f>'Projected Hours'!R58</f>
        <v>3.5</v>
      </c>
      <c r="S13" s="7">
        <f>'Projected Hours'!S58</f>
        <v>14</v>
      </c>
      <c r="T13" s="7">
        <f>'Projected Hours'!T58</f>
        <v>11.75</v>
      </c>
      <c r="U13" s="7">
        <f>'Projected Hours'!U58</f>
        <v>11</v>
      </c>
      <c r="V13" s="7">
        <f>'Projected Hours'!V58</f>
        <v>7</v>
      </c>
      <c r="W13" s="7">
        <f>'Projected Hours'!W58</f>
        <v>15</v>
      </c>
      <c r="X13" s="7">
        <f>'Projected Hours'!X58</f>
        <v>5</v>
      </c>
    </row>
    <row r="14" spans="1:24" x14ac:dyDescent="0.25">
      <c r="A14" s="2" t="str">
        <f>'Projected Hours'!A59</f>
        <v>Dawid Total</v>
      </c>
      <c r="B14" s="7">
        <f>'Projected Hours'!B59</f>
        <v>0</v>
      </c>
      <c r="C14" s="7">
        <f>'Projected Hours'!C59</f>
        <v>0</v>
      </c>
      <c r="D14" s="7">
        <f>'Projected Hours'!D59</f>
        <v>0</v>
      </c>
      <c r="E14" s="7">
        <f>'Projected Hours'!E59</f>
        <v>0</v>
      </c>
      <c r="F14" s="7">
        <f>'Projected Hours'!F59</f>
        <v>0</v>
      </c>
      <c r="G14" s="7">
        <f>'Projected Hours'!G59</f>
        <v>3</v>
      </c>
      <c r="H14" s="7">
        <f>'Projected Hours'!H59</f>
        <v>2.75</v>
      </c>
      <c r="I14" s="7">
        <f>'Projected Hours'!I59</f>
        <v>3.25</v>
      </c>
      <c r="J14" s="7">
        <f>'Projected Hours'!J59</f>
        <v>3.75</v>
      </c>
      <c r="K14" s="7">
        <f>'Projected Hours'!K59</f>
        <v>0.5</v>
      </c>
      <c r="L14" s="7">
        <f>'Projected Hours'!L59</f>
        <v>0</v>
      </c>
      <c r="M14" s="7">
        <f>'Projected Hours'!M59</f>
        <v>0</v>
      </c>
      <c r="N14" s="7">
        <f>'Projected Hours'!N59</f>
        <v>0</v>
      </c>
      <c r="O14" s="7">
        <f>'Projected Hours'!O59</f>
        <v>0</v>
      </c>
      <c r="P14" s="7">
        <f>'Projected Hours'!P59</f>
        <v>4.25</v>
      </c>
      <c r="Q14" s="7">
        <f>'Projected Hours'!Q59</f>
        <v>4.25</v>
      </c>
      <c r="R14" s="7">
        <f>'Projected Hours'!R59</f>
        <v>1.25</v>
      </c>
      <c r="S14" s="7">
        <f>'Projected Hours'!S59</f>
        <v>5.5</v>
      </c>
      <c r="T14" s="7">
        <f>'Projected Hours'!T59</f>
        <v>1.75</v>
      </c>
      <c r="U14" s="7">
        <f>'Projected Hours'!U59</f>
        <v>4</v>
      </c>
      <c r="V14" s="7">
        <f>'Projected Hours'!V59</f>
        <v>5</v>
      </c>
      <c r="W14" s="7">
        <f>'Projected Hours'!W59</f>
        <v>8</v>
      </c>
      <c r="X14" s="7">
        <f>'Projected Hours'!X59</f>
        <v>3</v>
      </c>
    </row>
    <row r="15" spans="1:24" x14ac:dyDescent="0.25">
      <c r="A15" s="2" t="str">
        <f>'Projected Hours'!A60</f>
        <v>Alan Total</v>
      </c>
      <c r="B15" s="7">
        <f>'Projected Hours'!B60</f>
        <v>0</v>
      </c>
      <c r="C15" s="7">
        <f>'Projected Hours'!C60</f>
        <v>0</v>
      </c>
      <c r="D15" s="7">
        <f>'Projected Hours'!D60</f>
        <v>0</v>
      </c>
      <c r="E15" s="7">
        <f>'Projected Hours'!E60</f>
        <v>0</v>
      </c>
      <c r="F15" s="7">
        <f>'Projected Hours'!F60</f>
        <v>0</v>
      </c>
      <c r="G15" s="7">
        <f>'Projected Hours'!G60</f>
        <v>0</v>
      </c>
      <c r="H15" s="7">
        <f>'Projected Hours'!H60</f>
        <v>0</v>
      </c>
      <c r="I15" s="7">
        <f>'Projected Hours'!I60</f>
        <v>0</v>
      </c>
      <c r="J15" s="7">
        <f>'Projected Hours'!J60</f>
        <v>0</v>
      </c>
      <c r="K15" s="7">
        <f>'Projected Hours'!K60</f>
        <v>0</v>
      </c>
      <c r="L15" s="7">
        <f>'Projected Hours'!L60</f>
        <v>0</v>
      </c>
      <c r="M15" s="7">
        <f>'Projected Hours'!M60</f>
        <v>0</v>
      </c>
      <c r="N15" s="7">
        <f>'Projected Hours'!N60</f>
        <v>0</v>
      </c>
      <c r="O15" s="7">
        <f>'Projected Hours'!O60</f>
        <v>0</v>
      </c>
      <c r="P15" s="7">
        <f>'Projected Hours'!P60</f>
        <v>0</v>
      </c>
      <c r="Q15" s="7">
        <f>'Projected Hours'!Q60</f>
        <v>0</v>
      </c>
      <c r="R15" s="7">
        <f>'Projected Hours'!R60</f>
        <v>0</v>
      </c>
      <c r="S15" s="7">
        <f>'Projected Hours'!S60</f>
        <v>3</v>
      </c>
      <c r="T15" s="7">
        <f>'Projected Hours'!T60</f>
        <v>0</v>
      </c>
      <c r="U15" s="7">
        <f>'Projected Hours'!U60</f>
        <v>4</v>
      </c>
      <c r="V15" s="7">
        <f>'Projected Hours'!V60</f>
        <v>5</v>
      </c>
      <c r="W15" s="7">
        <f>'Projected Hours'!W60</f>
        <v>5</v>
      </c>
      <c r="X15" s="7">
        <f>'Projected Hours'!X60</f>
        <v>5</v>
      </c>
    </row>
    <row r="16" spans="1:24" x14ac:dyDescent="0.25">
      <c r="A16" s="2" t="s">
        <v>118</v>
      </c>
      <c r="B16" s="7">
        <f t="shared" ref="B16:X16" si="0">SUM(B5:B15)</f>
        <v>0</v>
      </c>
      <c r="C16" s="7">
        <f t="shared" si="0"/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9.75</v>
      </c>
      <c r="H16" s="7">
        <f t="shared" si="0"/>
        <v>47.25</v>
      </c>
      <c r="I16" s="7">
        <f t="shared" si="0"/>
        <v>37</v>
      </c>
      <c r="J16" s="7">
        <f t="shared" si="0"/>
        <v>47.25</v>
      </c>
      <c r="K16" s="7">
        <f t="shared" si="0"/>
        <v>37.5</v>
      </c>
      <c r="L16" s="7">
        <f t="shared" si="0"/>
        <v>8.75</v>
      </c>
      <c r="M16" s="7">
        <f t="shared" si="0"/>
        <v>10.75</v>
      </c>
      <c r="N16" s="7">
        <f t="shared" si="0"/>
        <v>0</v>
      </c>
      <c r="O16" s="7">
        <f t="shared" si="0"/>
        <v>6.5</v>
      </c>
      <c r="P16" s="7">
        <f t="shared" si="0"/>
        <v>6.5</v>
      </c>
      <c r="Q16" s="7">
        <f t="shared" si="0"/>
        <v>46.75</v>
      </c>
      <c r="R16" s="7">
        <f t="shared" si="0"/>
        <v>33</v>
      </c>
      <c r="S16" s="7">
        <f t="shared" si="0"/>
        <v>67.75</v>
      </c>
      <c r="T16" s="7">
        <f t="shared" si="0"/>
        <v>51.25</v>
      </c>
      <c r="U16" s="7">
        <f t="shared" si="0"/>
        <v>65</v>
      </c>
      <c r="V16" s="7">
        <f t="shared" si="0"/>
        <v>69.5</v>
      </c>
      <c r="W16" s="7">
        <f t="shared" si="0"/>
        <v>87.5</v>
      </c>
      <c r="X16" s="7">
        <f t="shared" si="0"/>
        <v>59</v>
      </c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82" t="s">
        <v>119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1"/>
    </row>
    <row r="19" spans="1:24" x14ac:dyDescent="0.25">
      <c r="A19" s="50">
        <f>'Projected Hours'!A1</f>
        <v>0</v>
      </c>
      <c r="B19" s="79" t="s">
        <v>120</v>
      </c>
      <c r="C19" s="70"/>
      <c r="D19" s="70"/>
      <c r="E19" s="70"/>
      <c r="F19" s="70"/>
      <c r="G19" s="70"/>
      <c r="H19" s="70"/>
      <c r="I19" s="70"/>
      <c r="J19" s="70"/>
      <c r="K19" s="71"/>
      <c r="L19" s="79" t="s">
        <v>121</v>
      </c>
      <c r="M19" s="70"/>
      <c r="N19" s="70"/>
      <c r="O19" s="70"/>
      <c r="P19" s="71"/>
      <c r="Q19" s="79" t="s">
        <v>122</v>
      </c>
      <c r="R19" s="70"/>
      <c r="S19" s="70"/>
      <c r="T19" s="70"/>
      <c r="U19" s="70"/>
      <c r="V19" s="70"/>
      <c r="W19" s="70"/>
      <c r="X19" s="71"/>
    </row>
    <row r="20" spans="1:24" x14ac:dyDescent="0.25">
      <c r="A20" s="52" t="str">
        <f>'Projected Hours'!A2</f>
        <v>Relative Week</v>
      </c>
      <c r="B20" s="52" t="str">
        <f>'Projected Hours'!B2</f>
        <v>Week 1</v>
      </c>
      <c r="C20" s="52" t="str">
        <f>'Projected Hours'!C2</f>
        <v>Week 2</v>
      </c>
      <c r="D20" s="52" t="str">
        <f>'Projected Hours'!D2</f>
        <v>Week 3</v>
      </c>
      <c r="E20" s="52" t="str">
        <f>'Projected Hours'!E2</f>
        <v>Week 4</v>
      </c>
      <c r="F20" s="52" t="str">
        <f>'Projected Hours'!F2</f>
        <v>Week 5</v>
      </c>
      <c r="G20" s="52" t="str">
        <f>'Projected Hours'!G2</f>
        <v>Week 6</v>
      </c>
      <c r="H20" s="52" t="str">
        <f>'Projected Hours'!H2</f>
        <v>Week 7</v>
      </c>
      <c r="I20" s="52" t="str">
        <f>'Projected Hours'!I2</f>
        <v>Week 8</v>
      </c>
      <c r="J20" s="52" t="str">
        <f>'Projected Hours'!J2</f>
        <v>Week 9</v>
      </c>
      <c r="K20" s="52" t="str">
        <f>'Projected Hours'!K2</f>
        <v>Week 10</v>
      </c>
      <c r="L20" s="52" t="str">
        <f>'Projected Hours'!L2</f>
        <v>Week 1</v>
      </c>
      <c r="M20" s="52" t="str">
        <f>'Projected Hours'!M2</f>
        <v>Week 2</v>
      </c>
      <c r="N20" s="52" t="str">
        <f>'Projected Hours'!N2</f>
        <v>Week 3</v>
      </c>
      <c r="O20" s="52" t="str">
        <f>'Projected Hours'!O2</f>
        <v>Week 4</v>
      </c>
      <c r="P20" s="52" t="str">
        <f>'Projected Hours'!P2</f>
        <v>Week 5</v>
      </c>
      <c r="Q20" s="52" t="str">
        <f>'Projected Hours'!Q2</f>
        <v>Week 1</v>
      </c>
      <c r="R20" s="52" t="str">
        <f>'Projected Hours'!R2</f>
        <v>Week 2</v>
      </c>
      <c r="S20" s="52" t="str">
        <f>'Projected Hours'!S2</f>
        <v>Week 3</v>
      </c>
      <c r="T20" s="52" t="str">
        <f>'Projected Hours'!T2</f>
        <v>Week 4</v>
      </c>
      <c r="U20" s="52" t="str">
        <f>'Projected Hours'!U2</f>
        <v>Week 5</v>
      </c>
      <c r="V20" s="52" t="str">
        <f>'Projected Hours'!V2</f>
        <v>Week 6</v>
      </c>
      <c r="W20" s="52" t="str">
        <f>'Projected Hours'!W2</f>
        <v>Week 7</v>
      </c>
      <c r="X20" s="52" t="str">
        <f>'Projected Hours'!X2</f>
        <v>Week 8</v>
      </c>
    </row>
    <row r="21" spans="1:24" x14ac:dyDescent="0.25">
      <c r="A21" s="64" t="str">
        <f>'Projected Hours'!A3</f>
        <v>Total Weeks</v>
      </c>
      <c r="B21" s="64">
        <f>'Projected Hours'!B3</f>
        <v>1</v>
      </c>
      <c r="C21" s="64">
        <f>'Projected Hours'!C3</f>
        <v>2</v>
      </c>
      <c r="D21" s="64">
        <f>'Projected Hours'!D3</f>
        <v>3</v>
      </c>
      <c r="E21" s="64">
        <f>'Projected Hours'!E3</f>
        <v>4</v>
      </c>
      <c r="F21" s="64">
        <f>'Projected Hours'!F3</f>
        <v>5</v>
      </c>
      <c r="G21" s="64">
        <f>'Projected Hours'!G3</f>
        <v>6</v>
      </c>
      <c r="H21" s="64">
        <f>'Projected Hours'!H3</f>
        <v>7</v>
      </c>
      <c r="I21" s="64">
        <f>'Projected Hours'!I3</f>
        <v>8</v>
      </c>
      <c r="J21" s="64">
        <f>'Projected Hours'!J3</f>
        <v>9</v>
      </c>
      <c r="K21" s="64">
        <f>'Projected Hours'!K3</f>
        <v>10</v>
      </c>
      <c r="L21" s="64">
        <f>'Projected Hours'!L3</f>
        <v>11</v>
      </c>
      <c r="M21" s="64">
        <f>'Projected Hours'!M3</f>
        <v>12</v>
      </c>
      <c r="N21" s="64">
        <f>'Projected Hours'!N3</f>
        <v>13</v>
      </c>
      <c r="O21" s="64">
        <f>'Projected Hours'!O3</f>
        <v>14</v>
      </c>
      <c r="P21" s="64">
        <f>'Projected Hours'!P3</f>
        <v>15</v>
      </c>
      <c r="Q21" s="64">
        <f>'Projected Hours'!Q3</f>
        <v>16</v>
      </c>
      <c r="R21" s="64">
        <f>'Projected Hours'!R3</f>
        <v>17</v>
      </c>
      <c r="S21" s="64">
        <f>'Projected Hours'!S3</f>
        <v>18</v>
      </c>
      <c r="T21" s="64">
        <f>'Projected Hours'!T3</f>
        <v>19</v>
      </c>
      <c r="U21" s="64">
        <f>'Projected Hours'!U3</f>
        <v>20</v>
      </c>
      <c r="V21" s="64">
        <f>'Projected Hours'!V3</f>
        <v>21</v>
      </c>
      <c r="W21" s="64">
        <f>'Projected Hours'!W3</f>
        <v>22</v>
      </c>
      <c r="X21" s="64">
        <f>'Projected Hours'!X3</f>
        <v>23</v>
      </c>
    </row>
    <row r="22" spans="1:24" x14ac:dyDescent="0.25">
      <c r="A22" s="2" t="s">
        <v>106</v>
      </c>
      <c r="B22" s="7"/>
      <c r="C22" s="7">
        <v>0</v>
      </c>
      <c r="D22" s="7">
        <v>0</v>
      </c>
      <c r="E22" s="7">
        <v>0</v>
      </c>
      <c r="F22" s="7">
        <v>0</v>
      </c>
      <c r="G22" s="7">
        <v>1.5</v>
      </c>
      <c r="H22" s="7">
        <v>12</v>
      </c>
      <c r="I22" s="7">
        <v>2</v>
      </c>
      <c r="J22" s="7">
        <v>4.5</v>
      </c>
      <c r="K22" s="7">
        <v>6.75</v>
      </c>
      <c r="L22" s="7">
        <v>0</v>
      </c>
      <c r="M22" s="7">
        <v>6</v>
      </c>
      <c r="N22" s="7">
        <v>0</v>
      </c>
      <c r="O22" s="7">
        <v>0</v>
      </c>
      <c r="P22" s="7">
        <v>0</v>
      </c>
      <c r="Q22" s="7">
        <v>7</v>
      </c>
      <c r="R22" s="7">
        <v>10.75</v>
      </c>
      <c r="S22" s="7">
        <v>14.75</v>
      </c>
      <c r="T22" s="7">
        <v>5.25</v>
      </c>
      <c r="U22" s="7">
        <v>4.5</v>
      </c>
      <c r="V22" s="7">
        <v>9.5</v>
      </c>
      <c r="W22" s="7">
        <v>7.25</v>
      </c>
      <c r="X22" s="7">
        <v>4.5</v>
      </c>
    </row>
    <row r="23" spans="1:24" x14ac:dyDescent="0.25">
      <c r="A23" s="2" t="s">
        <v>107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5.25</v>
      </c>
      <c r="I23" s="7">
        <v>9.75</v>
      </c>
      <c r="J23" s="7">
        <v>11.25</v>
      </c>
      <c r="K23" s="7">
        <v>9</v>
      </c>
      <c r="L23" s="7">
        <v>8.75</v>
      </c>
      <c r="M23" s="7">
        <v>4.75</v>
      </c>
      <c r="N23" s="7">
        <v>0</v>
      </c>
      <c r="O23" s="7">
        <v>6.5</v>
      </c>
      <c r="P23" s="7">
        <v>1.5</v>
      </c>
      <c r="Q23" s="7">
        <v>35.5</v>
      </c>
      <c r="R23" s="7">
        <v>7</v>
      </c>
      <c r="S23" s="7">
        <v>7.5</v>
      </c>
      <c r="T23" s="7">
        <v>6.25</v>
      </c>
      <c r="U23" s="7">
        <v>15.25</v>
      </c>
      <c r="V23" s="7">
        <v>8.5</v>
      </c>
      <c r="W23" s="7">
        <v>11.5</v>
      </c>
      <c r="X23" s="7">
        <v>12.25</v>
      </c>
    </row>
    <row r="24" spans="1:24" x14ac:dyDescent="0.25">
      <c r="A24" s="2" t="s">
        <v>108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1.75</v>
      </c>
      <c r="I24" s="7">
        <v>2.25</v>
      </c>
      <c r="J24" s="7">
        <v>6</v>
      </c>
      <c r="K24" s="7">
        <v>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1.5</v>
      </c>
      <c r="S24" s="7">
        <v>0</v>
      </c>
      <c r="T24" s="7">
        <v>0</v>
      </c>
      <c r="U24" s="7">
        <v>1</v>
      </c>
      <c r="V24" s="7">
        <v>3</v>
      </c>
      <c r="W24" s="7">
        <v>2.5</v>
      </c>
      <c r="X24" s="7">
        <v>2.75</v>
      </c>
    </row>
    <row r="25" spans="1:24" x14ac:dyDescent="0.25">
      <c r="A25" s="2" t="s">
        <v>123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2</v>
      </c>
      <c r="I25" s="7">
        <v>6.5</v>
      </c>
      <c r="J25" s="7">
        <v>5.25</v>
      </c>
      <c r="K25" s="7">
        <v>0.5</v>
      </c>
      <c r="L25" s="7">
        <v>0</v>
      </c>
      <c r="M25" s="7">
        <v>0</v>
      </c>
      <c r="N25" s="7">
        <v>0</v>
      </c>
      <c r="O25" s="7">
        <v>0</v>
      </c>
      <c r="P25" s="7">
        <v>0.75</v>
      </c>
      <c r="Q25" s="7">
        <v>0</v>
      </c>
      <c r="R25" s="7">
        <v>0.5</v>
      </c>
      <c r="S25" s="7">
        <v>7.75</v>
      </c>
      <c r="T25" s="7">
        <v>4.25</v>
      </c>
      <c r="U25" s="7">
        <v>3</v>
      </c>
      <c r="V25" s="7">
        <v>5.5</v>
      </c>
      <c r="W25" s="7">
        <v>4.75</v>
      </c>
      <c r="X25" s="7">
        <v>0</v>
      </c>
    </row>
    <row r="26" spans="1:24" x14ac:dyDescent="0.25">
      <c r="A26" s="2" t="s">
        <v>110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1.75</v>
      </c>
      <c r="I26" s="7">
        <v>0</v>
      </c>
      <c r="J26" s="7">
        <v>0</v>
      </c>
      <c r="K26" s="7">
        <v>1.5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0.5</v>
      </c>
      <c r="S26" s="7">
        <v>3</v>
      </c>
      <c r="T26" s="7">
        <v>5.5</v>
      </c>
      <c r="U26" s="7">
        <v>6</v>
      </c>
      <c r="V26" s="7">
        <v>5</v>
      </c>
      <c r="W26" s="7">
        <v>6</v>
      </c>
      <c r="X26" s="7">
        <v>6</v>
      </c>
    </row>
    <row r="27" spans="1:24" x14ac:dyDescent="0.25">
      <c r="A27" s="2" t="s">
        <v>111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2</v>
      </c>
      <c r="H27" s="7">
        <v>8.5</v>
      </c>
      <c r="I27" s="7">
        <v>2.5</v>
      </c>
      <c r="J27" s="7">
        <v>4.5</v>
      </c>
      <c r="K27" s="7">
        <v>4.25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2.25</v>
      </c>
      <c r="S27" s="7">
        <v>7.25</v>
      </c>
      <c r="T27" s="7">
        <v>8</v>
      </c>
      <c r="U27" s="7">
        <v>5.75</v>
      </c>
      <c r="V27" s="7">
        <v>8.25</v>
      </c>
      <c r="W27" s="7">
        <v>9.25</v>
      </c>
      <c r="X27" s="7">
        <v>2.5</v>
      </c>
    </row>
    <row r="28" spans="1:24" x14ac:dyDescent="0.25">
      <c r="A28" s="2" t="s">
        <v>112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3.75</v>
      </c>
      <c r="I28" s="7">
        <v>2</v>
      </c>
      <c r="J28" s="7">
        <v>7</v>
      </c>
      <c r="K28" s="7">
        <v>6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0.5</v>
      </c>
      <c r="S28" s="7">
        <v>3</v>
      </c>
      <c r="T28" s="7">
        <v>5.5</v>
      </c>
      <c r="U28" s="7">
        <v>5.75</v>
      </c>
      <c r="V28" s="7">
        <v>7.5</v>
      </c>
      <c r="W28" s="7">
        <v>11</v>
      </c>
      <c r="X28" s="7">
        <v>14.75</v>
      </c>
    </row>
    <row r="29" spans="1:24" x14ac:dyDescent="0.25">
      <c r="A29" s="2" t="s">
        <v>113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2.25</v>
      </c>
      <c r="H29" s="7">
        <v>4.75</v>
      </c>
      <c r="I29" s="7">
        <v>6</v>
      </c>
      <c r="J29" s="7">
        <v>4</v>
      </c>
      <c r="K29" s="7">
        <v>5.5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5.25</v>
      </c>
      <c r="S29" s="7">
        <v>2</v>
      </c>
      <c r="T29" s="7">
        <v>5.75</v>
      </c>
      <c r="U29" s="7">
        <v>3</v>
      </c>
      <c r="V29" s="7">
        <v>5.25</v>
      </c>
      <c r="W29" s="7">
        <v>8.25</v>
      </c>
      <c r="X29" s="7">
        <v>13.5</v>
      </c>
    </row>
    <row r="30" spans="1:24" x14ac:dyDescent="0.25">
      <c r="A30" s="2" t="s">
        <v>114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4.75</v>
      </c>
      <c r="I30" s="7">
        <v>2.75</v>
      </c>
      <c r="J30" s="7">
        <v>1</v>
      </c>
      <c r="K30" s="7">
        <v>0.5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3.5</v>
      </c>
      <c r="S30" s="7">
        <v>14</v>
      </c>
      <c r="T30" s="7">
        <v>10.75</v>
      </c>
      <c r="U30" s="7">
        <v>10</v>
      </c>
      <c r="V30" s="7">
        <v>10</v>
      </c>
      <c r="W30" s="7">
        <v>12.25</v>
      </c>
      <c r="X30" s="7">
        <v>2.5</v>
      </c>
    </row>
    <row r="31" spans="1:24" x14ac:dyDescent="0.25">
      <c r="A31" s="2" t="s">
        <v>115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3</v>
      </c>
      <c r="H31" s="7">
        <v>2.75</v>
      </c>
      <c r="I31" s="7">
        <v>3.25</v>
      </c>
      <c r="J31" s="7">
        <v>3.75</v>
      </c>
      <c r="K31" s="7">
        <v>0.5</v>
      </c>
      <c r="L31" s="7">
        <v>0</v>
      </c>
      <c r="M31" s="7">
        <v>0</v>
      </c>
      <c r="N31" s="7">
        <v>0</v>
      </c>
      <c r="O31" s="7">
        <v>0</v>
      </c>
      <c r="P31" s="7">
        <v>4.25</v>
      </c>
      <c r="Q31" s="7">
        <v>4.25</v>
      </c>
      <c r="R31" s="7">
        <v>1.25</v>
      </c>
      <c r="S31" s="7">
        <v>5.5</v>
      </c>
      <c r="T31" s="7">
        <v>0.75</v>
      </c>
      <c r="U31" s="7">
        <v>1</v>
      </c>
      <c r="V31" s="7">
        <v>3</v>
      </c>
      <c r="W31" s="7">
        <v>15.75</v>
      </c>
      <c r="X31" s="7">
        <v>10</v>
      </c>
    </row>
    <row r="32" spans="1:24" x14ac:dyDescent="0.25">
      <c r="A32" s="2" t="s">
        <v>116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1</v>
      </c>
      <c r="W32" s="65">
        <v>0</v>
      </c>
      <c r="X32" s="65">
        <v>0</v>
      </c>
    </row>
    <row r="33" spans="1:24" x14ac:dyDescent="0.25">
      <c r="A33" s="2" t="s">
        <v>124</v>
      </c>
      <c r="B33" s="7">
        <f t="shared" ref="B33:X33" si="1">SUM(B22:B32)</f>
        <v>0</v>
      </c>
      <c r="C33" s="7">
        <f t="shared" si="1"/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9.75</v>
      </c>
      <c r="H33" s="7">
        <f t="shared" si="1"/>
        <v>47.25</v>
      </c>
      <c r="I33" s="7">
        <f t="shared" si="1"/>
        <v>37</v>
      </c>
      <c r="J33" s="7">
        <f t="shared" si="1"/>
        <v>47.25</v>
      </c>
      <c r="K33" s="7">
        <f t="shared" si="1"/>
        <v>37.5</v>
      </c>
      <c r="L33" s="7">
        <f t="shared" si="1"/>
        <v>8.75</v>
      </c>
      <c r="M33" s="7">
        <f t="shared" si="1"/>
        <v>10.75</v>
      </c>
      <c r="N33" s="7">
        <f t="shared" si="1"/>
        <v>0</v>
      </c>
      <c r="O33" s="7">
        <f t="shared" si="1"/>
        <v>6.5</v>
      </c>
      <c r="P33" s="7">
        <f t="shared" si="1"/>
        <v>6.5</v>
      </c>
      <c r="Q33" s="7">
        <f t="shared" si="1"/>
        <v>46.75</v>
      </c>
      <c r="R33" s="7">
        <f t="shared" si="1"/>
        <v>33</v>
      </c>
      <c r="S33" s="7">
        <f t="shared" si="1"/>
        <v>67.75</v>
      </c>
      <c r="T33" s="7">
        <f t="shared" si="1"/>
        <v>52</v>
      </c>
      <c r="U33" s="7">
        <f t="shared" si="1"/>
        <v>55.25</v>
      </c>
      <c r="V33" s="7">
        <f t="shared" si="1"/>
        <v>66.5</v>
      </c>
      <c r="W33" s="7">
        <f t="shared" si="1"/>
        <v>88.5</v>
      </c>
      <c r="X33" s="7">
        <f t="shared" si="1"/>
        <v>68.75</v>
      </c>
    </row>
    <row r="34" spans="1:24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5">
      <c r="A35" s="80" t="s">
        <v>125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1"/>
    </row>
    <row r="36" spans="1:24" x14ac:dyDescent="0.25">
      <c r="A36" s="66"/>
      <c r="B36" s="81" t="s">
        <v>126</v>
      </c>
      <c r="C36" s="70"/>
      <c r="D36" s="70"/>
      <c r="E36" s="70"/>
      <c r="F36" s="70"/>
      <c r="G36" s="70"/>
      <c r="H36" s="70"/>
      <c r="I36" s="70"/>
      <c r="J36" s="70"/>
      <c r="K36" s="71"/>
      <c r="L36" s="81" t="s">
        <v>127</v>
      </c>
      <c r="M36" s="70"/>
      <c r="N36" s="70"/>
      <c r="O36" s="70"/>
      <c r="P36" s="71"/>
      <c r="Q36" s="81" t="s">
        <v>127</v>
      </c>
      <c r="R36" s="70"/>
      <c r="S36" s="70"/>
      <c r="T36" s="70"/>
      <c r="U36" s="70"/>
      <c r="V36" s="70"/>
      <c r="W36" s="70"/>
      <c r="X36" s="71"/>
    </row>
    <row r="37" spans="1:24" x14ac:dyDescent="0.25">
      <c r="A37" s="67" t="s">
        <v>78</v>
      </c>
      <c r="B37" s="67" t="s">
        <v>6</v>
      </c>
      <c r="C37" s="67" t="s">
        <v>7</v>
      </c>
      <c r="D37" s="67" t="s">
        <v>8</v>
      </c>
      <c r="E37" s="67" t="s">
        <v>9</v>
      </c>
      <c r="F37" s="67" t="s">
        <v>10</v>
      </c>
      <c r="G37" s="67" t="s">
        <v>11</v>
      </c>
      <c r="H37" s="67" t="s">
        <v>12</v>
      </c>
      <c r="I37" s="67" t="s">
        <v>13</v>
      </c>
      <c r="J37" s="67" t="s">
        <v>14</v>
      </c>
      <c r="K37" s="67" t="s">
        <v>15</v>
      </c>
      <c r="L37" s="67" t="s">
        <v>6</v>
      </c>
      <c r="M37" s="67" t="s">
        <v>7</v>
      </c>
      <c r="N37" s="67" t="s">
        <v>8</v>
      </c>
      <c r="O37" s="67" t="s">
        <v>9</v>
      </c>
      <c r="P37" s="67" t="s">
        <v>10</v>
      </c>
      <c r="Q37" s="67" t="s">
        <v>6</v>
      </c>
      <c r="R37" s="67" t="s">
        <v>7</v>
      </c>
      <c r="S37" s="67" t="s">
        <v>8</v>
      </c>
      <c r="T37" s="67" t="s">
        <v>9</v>
      </c>
      <c r="U37" s="67" t="s">
        <v>10</v>
      </c>
      <c r="V37" s="67" t="s">
        <v>11</v>
      </c>
      <c r="W37" s="67" t="s">
        <v>12</v>
      </c>
      <c r="X37" s="67" t="s">
        <v>13</v>
      </c>
    </row>
    <row r="38" spans="1:24" x14ac:dyDescent="0.25">
      <c r="A38" s="68" t="s">
        <v>79</v>
      </c>
      <c r="B38" s="68">
        <v>1</v>
      </c>
      <c r="C38" s="68">
        <v>2</v>
      </c>
      <c r="D38" s="68">
        <v>3</v>
      </c>
      <c r="E38" s="68">
        <v>4</v>
      </c>
      <c r="F38" s="68">
        <v>5</v>
      </c>
      <c r="G38" s="68">
        <v>6</v>
      </c>
      <c r="H38" s="68">
        <v>7</v>
      </c>
      <c r="I38" s="68">
        <v>8</v>
      </c>
      <c r="J38" s="68">
        <v>9</v>
      </c>
      <c r="K38" s="68">
        <v>10</v>
      </c>
      <c r="L38" s="68">
        <v>11</v>
      </c>
      <c r="M38" s="68">
        <v>12</v>
      </c>
      <c r="N38" s="68">
        <v>13</v>
      </c>
      <c r="O38" s="68">
        <v>14</v>
      </c>
      <c r="P38" s="68">
        <v>15</v>
      </c>
      <c r="Q38" s="68">
        <v>16</v>
      </c>
      <c r="R38" s="68">
        <v>17</v>
      </c>
      <c r="S38" s="68">
        <v>18</v>
      </c>
      <c r="T38" s="68">
        <v>19</v>
      </c>
      <c r="U38" s="68">
        <v>20</v>
      </c>
      <c r="V38" s="68">
        <v>21</v>
      </c>
      <c r="W38" s="68">
        <v>21</v>
      </c>
      <c r="X38" s="68">
        <v>21</v>
      </c>
    </row>
    <row r="39" spans="1:24" x14ac:dyDescent="0.25">
      <c r="A39" s="2" t="s">
        <v>106</v>
      </c>
      <c r="B39" s="7">
        <f t="shared" ref="B39:X39" si="2">B5-B22</f>
        <v>0</v>
      </c>
      <c r="C39" s="7">
        <f t="shared" si="2"/>
        <v>0</v>
      </c>
      <c r="D39" s="7">
        <f t="shared" si="2"/>
        <v>0</v>
      </c>
      <c r="E39" s="7">
        <f t="shared" si="2"/>
        <v>0</v>
      </c>
      <c r="F39" s="7">
        <f t="shared" si="2"/>
        <v>0</v>
      </c>
      <c r="G39" s="7">
        <f t="shared" si="2"/>
        <v>0</v>
      </c>
      <c r="H39" s="7">
        <f t="shared" si="2"/>
        <v>0</v>
      </c>
      <c r="I39" s="7">
        <f t="shared" si="2"/>
        <v>0</v>
      </c>
      <c r="J39" s="7">
        <f t="shared" si="2"/>
        <v>0</v>
      </c>
      <c r="K39" s="7">
        <f t="shared" si="2"/>
        <v>0</v>
      </c>
      <c r="L39" s="7">
        <f t="shared" si="2"/>
        <v>0</v>
      </c>
      <c r="M39" s="7">
        <f t="shared" si="2"/>
        <v>0</v>
      </c>
      <c r="N39" s="7">
        <f t="shared" si="2"/>
        <v>0</v>
      </c>
      <c r="O39" s="7">
        <f t="shared" si="2"/>
        <v>0</v>
      </c>
      <c r="P39" s="7">
        <f t="shared" si="2"/>
        <v>0</v>
      </c>
      <c r="Q39" s="7">
        <f t="shared" si="2"/>
        <v>0</v>
      </c>
      <c r="R39" s="7">
        <f t="shared" si="2"/>
        <v>0</v>
      </c>
      <c r="S39" s="7">
        <f t="shared" si="2"/>
        <v>0</v>
      </c>
      <c r="T39" s="7">
        <f t="shared" si="2"/>
        <v>0.5</v>
      </c>
      <c r="U39" s="7">
        <f t="shared" si="2"/>
        <v>2.5</v>
      </c>
      <c r="V39" s="7">
        <f t="shared" si="2"/>
        <v>-2</v>
      </c>
      <c r="W39" s="7">
        <f t="shared" si="2"/>
        <v>1.75</v>
      </c>
      <c r="X39" s="7">
        <f t="shared" si="2"/>
        <v>4</v>
      </c>
    </row>
    <row r="40" spans="1:24" x14ac:dyDescent="0.25">
      <c r="A40" s="2" t="s">
        <v>107</v>
      </c>
      <c r="B40" s="7">
        <f t="shared" ref="B40:X40" si="3">B6-B23</f>
        <v>0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7">
        <f t="shared" si="3"/>
        <v>0</v>
      </c>
      <c r="R40" s="7">
        <f t="shared" si="3"/>
        <v>0</v>
      </c>
      <c r="S40" s="7">
        <f t="shared" si="3"/>
        <v>0</v>
      </c>
      <c r="T40" s="7">
        <f t="shared" si="3"/>
        <v>1.75</v>
      </c>
      <c r="U40" s="7">
        <f t="shared" si="3"/>
        <v>-8.25</v>
      </c>
      <c r="V40" s="7">
        <f t="shared" si="3"/>
        <v>-0.5</v>
      </c>
      <c r="W40" s="7">
        <f t="shared" si="3"/>
        <v>-4</v>
      </c>
      <c r="X40" s="7">
        <f t="shared" si="3"/>
        <v>-4.75</v>
      </c>
    </row>
    <row r="41" spans="1:24" x14ac:dyDescent="0.25">
      <c r="A41" s="2" t="s">
        <v>108</v>
      </c>
      <c r="B41" s="7">
        <f t="shared" ref="B41:X41" si="4">B7-B24</f>
        <v>0</v>
      </c>
      <c r="C41" s="7">
        <f t="shared" si="4"/>
        <v>0</v>
      </c>
      <c r="D41" s="7">
        <f t="shared" si="4"/>
        <v>0</v>
      </c>
      <c r="E41" s="7">
        <f t="shared" si="4"/>
        <v>0</v>
      </c>
      <c r="F41" s="7">
        <f t="shared" si="4"/>
        <v>0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  <c r="N41" s="7">
        <f t="shared" si="4"/>
        <v>0</v>
      </c>
      <c r="O41" s="7">
        <f t="shared" si="4"/>
        <v>0</v>
      </c>
      <c r="P41" s="7">
        <f t="shared" si="4"/>
        <v>0</v>
      </c>
      <c r="Q41" s="7">
        <f t="shared" si="4"/>
        <v>0</v>
      </c>
      <c r="R41" s="7">
        <f t="shared" si="4"/>
        <v>0</v>
      </c>
      <c r="S41" s="7">
        <f t="shared" si="4"/>
        <v>0</v>
      </c>
      <c r="T41" s="7">
        <f t="shared" si="4"/>
        <v>1</v>
      </c>
      <c r="U41" s="7">
        <f t="shared" si="4"/>
        <v>2</v>
      </c>
      <c r="V41" s="7">
        <f t="shared" si="4"/>
        <v>1</v>
      </c>
      <c r="W41" s="7">
        <f t="shared" si="4"/>
        <v>2.5</v>
      </c>
      <c r="X41" s="7">
        <f t="shared" si="4"/>
        <v>1.25</v>
      </c>
    </row>
    <row r="42" spans="1:24" x14ac:dyDescent="0.25">
      <c r="A42" s="2" t="s">
        <v>123</v>
      </c>
      <c r="B42" s="7">
        <f t="shared" ref="B42:X42" si="5">B8-B25</f>
        <v>0</v>
      </c>
      <c r="C42" s="7">
        <f t="shared" si="5"/>
        <v>0</v>
      </c>
      <c r="D42" s="7">
        <f t="shared" si="5"/>
        <v>0</v>
      </c>
      <c r="E42" s="7">
        <f t="shared" si="5"/>
        <v>0</v>
      </c>
      <c r="F42" s="7">
        <f t="shared" si="5"/>
        <v>0</v>
      </c>
      <c r="G42" s="7">
        <f t="shared" si="5"/>
        <v>0</v>
      </c>
      <c r="H42" s="7">
        <f t="shared" si="5"/>
        <v>0</v>
      </c>
      <c r="I42" s="7">
        <f t="shared" si="5"/>
        <v>0</v>
      </c>
      <c r="J42" s="7">
        <f t="shared" si="5"/>
        <v>0</v>
      </c>
      <c r="K42" s="7">
        <f t="shared" si="5"/>
        <v>0</v>
      </c>
      <c r="L42" s="7">
        <f t="shared" si="5"/>
        <v>0</v>
      </c>
      <c r="M42" s="7">
        <f t="shared" si="5"/>
        <v>0</v>
      </c>
      <c r="N42" s="7">
        <f t="shared" si="5"/>
        <v>0</v>
      </c>
      <c r="O42" s="7">
        <f t="shared" si="5"/>
        <v>0</v>
      </c>
      <c r="P42" s="7">
        <f t="shared" si="5"/>
        <v>0</v>
      </c>
      <c r="Q42" s="7">
        <f t="shared" si="5"/>
        <v>0</v>
      </c>
      <c r="R42" s="7">
        <f t="shared" si="5"/>
        <v>0</v>
      </c>
      <c r="S42" s="7">
        <f t="shared" si="5"/>
        <v>0</v>
      </c>
      <c r="T42" s="7">
        <f t="shared" si="5"/>
        <v>1</v>
      </c>
      <c r="U42" s="7">
        <f t="shared" si="5"/>
        <v>3</v>
      </c>
      <c r="V42" s="7">
        <f t="shared" si="5"/>
        <v>3.5</v>
      </c>
      <c r="W42" s="7">
        <f t="shared" si="5"/>
        <v>4.25</v>
      </c>
      <c r="X42" s="7">
        <f t="shared" si="5"/>
        <v>3</v>
      </c>
    </row>
    <row r="43" spans="1:24" x14ac:dyDescent="0.25">
      <c r="A43" s="2" t="s">
        <v>110</v>
      </c>
      <c r="B43" s="7">
        <f t="shared" ref="B43:X43" si="6">B9-B26</f>
        <v>0</v>
      </c>
      <c r="C43" s="7">
        <f t="shared" si="6"/>
        <v>0</v>
      </c>
      <c r="D43" s="7">
        <f t="shared" si="6"/>
        <v>0</v>
      </c>
      <c r="E43" s="7">
        <f t="shared" si="6"/>
        <v>0</v>
      </c>
      <c r="F43" s="7">
        <f t="shared" si="6"/>
        <v>0</v>
      </c>
      <c r="G43" s="7">
        <f t="shared" si="6"/>
        <v>0</v>
      </c>
      <c r="H43" s="7">
        <f t="shared" si="6"/>
        <v>0</v>
      </c>
      <c r="I43" s="7">
        <f t="shared" si="6"/>
        <v>0</v>
      </c>
      <c r="J43" s="7">
        <f t="shared" si="6"/>
        <v>0</v>
      </c>
      <c r="K43" s="7">
        <f t="shared" si="6"/>
        <v>0</v>
      </c>
      <c r="L43" s="7">
        <f t="shared" si="6"/>
        <v>0</v>
      </c>
      <c r="M43" s="7">
        <f t="shared" si="6"/>
        <v>0</v>
      </c>
      <c r="N43" s="7">
        <f t="shared" si="6"/>
        <v>0</v>
      </c>
      <c r="O43" s="7">
        <f t="shared" si="6"/>
        <v>0</v>
      </c>
      <c r="P43" s="7">
        <f t="shared" si="6"/>
        <v>0</v>
      </c>
      <c r="Q43" s="7">
        <f t="shared" si="6"/>
        <v>0</v>
      </c>
      <c r="R43" s="7">
        <f t="shared" si="6"/>
        <v>0</v>
      </c>
      <c r="S43" s="7">
        <f t="shared" si="6"/>
        <v>0</v>
      </c>
      <c r="T43" s="7">
        <f t="shared" si="6"/>
        <v>-4.5</v>
      </c>
      <c r="U43" s="7">
        <f t="shared" si="6"/>
        <v>-1</v>
      </c>
      <c r="V43" s="7">
        <f t="shared" si="6"/>
        <v>1</v>
      </c>
      <c r="W43" s="7">
        <f t="shared" si="6"/>
        <v>0</v>
      </c>
      <c r="X43" s="7">
        <f t="shared" si="6"/>
        <v>0</v>
      </c>
    </row>
    <row r="44" spans="1:24" x14ac:dyDescent="0.25">
      <c r="A44" s="2" t="s">
        <v>111</v>
      </c>
      <c r="B44" s="7">
        <f t="shared" ref="B44:X44" si="7">B10-B27</f>
        <v>0</v>
      </c>
      <c r="C44" s="7">
        <f t="shared" si="7"/>
        <v>0</v>
      </c>
      <c r="D44" s="7">
        <f t="shared" si="7"/>
        <v>0</v>
      </c>
      <c r="E44" s="7">
        <f t="shared" si="7"/>
        <v>0</v>
      </c>
      <c r="F44" s="7">
        <f t="shared" si="7"/>
        <v>0</v>
      </c>
      <c r="G44" s="7">
        <f t="shared" si="7"/>
        <v>0</v>
      </c>
      <c r="H44" s="7">
        <f t="shared" si="7"/>
        <v>0</v>
      </c>
      <c r="I44" s="7">
        <f t="shared" si="7"/>
        <v>0</v>
      </c>
      <c r="J44" s="7">
        <f t="shared" si="7"/>
        <v>0</v>
      </c>
      <c r="K44" s="7">
        <f t="shared" si="7"/>
        <v>0</v>
      </c>
      <c r="L44" s="7">
        <f t="shared" si="7"/>
        <v>0</v>
      </c>
      <c r="M44" s="7">
        <f t="shared" si="7"/>
        <v>0</v>
      </c>
      <c r="N44" s="7">
        <f t="shared" si="7"/>
        <v>0</v>
      </c>
      <c r="O44" s="7">
        <f t="shared" si="7"/>
        <v>0</v>
      </c>
      <c r="P44" s="7">
        <f t="shared" si="7"/>
        <v>0</v>
      </c>
      <c r="Q44" s="7">
        <f t="shared" si="7"/>
        <v>0</v>
      </c>
      <c r="R44" s="7">
        <f t="shared" si="7"/>
        <v>0</v>
      </c>
      <c r="S44" s="7">
        <f t="shared" si="7"/>
        <v>0</v>
      </c>
      <c r="T44" s="7">
        <f t="shared" si="7"/>
        <v>1</v>
      </c>
      <c r="U44" s="7">
        <f t="shared" si="7"/>
        <v>3.25</v>
      </c>
      <c r="V44" s="7">
        <f t="shared" si="7"/>
        <v>-0.25</v>
      </c>
      <c r="W44" s="7">
        <f t="shared" si="7"/>
        <v>2.75</v>
      </c>
      <c r="X44" s="7">
        <f t="shared" si="7"/>
        <v>4.5</v>
      </c>
    </row>
    <row r="45" spans="1:24" x14ac:dyDescent="0.25">
      <c r="A45" s="2" t="s">
        <v>112</v>
      </c>
      <c r="B45" s="7">
        <f t="shared" ref="B45:X45" si="8">B11-B28</f>
        <v>0</v>
      </c>
      <c r="C45" s="7">
        <f t="shared" si="8"/>
        <v>0</v>
      </c>
      <c r="D45" s="7">
        <f t="shared" si="8"/>
        <v>0</v>
      </c>
      <c r="E45" s="7">
        <f t="shared" si="8"/>
        <v>0</v>
      </c>
      <c r="F45" s="7">
        <f t="shared" si="8"/>
        <v>0</v>
      </c>
      <c r="G45" s="7">
        <f t="shared" si="8"/>
        <v>0</v>
      </c>
      <c r="H45" s="7">
        <f t="shared" si="8"/>
        <v>0</v>
      </c>
      <c r="I45" s="7">
        <f t="shared" si="8"/>
        <v>0</v>
      </c>
      <c r="J45" s="7">
        <f t="shared" si="8"/>
        <v>0</v>
      </c>
      <c r="K45" s="7">
        <f t="shared" si="8"/>
        <v>0</v>
      </c>
      <c r="L45" s="7">
        <f t="shared" si="8"/>
        <v>0</v>
      </c>
      <c r="M45" s="7">
        <f t="shared" si="8"/>
        <v>0</v>
      </c>
      <c r="N45" s="7">
        <f t="shared" si="8"/>
        <v>0</v>
      </c>
      <c r="O45" s="7">
        <f t="shared" si="8"/>
        <v>0</v>
      </c>
      <c r="P45" s="7">
        <f t="shared" si="8"/>
        <v>0</v>
      </c>
      <c r="Q45" s="7">
        <f t="shared" si="8"/>
        <v>0</v>
      </c>
      <c r="R45" s="7">
        <f t="shared" si="8"/>
        <v>0</v>
      </c>
      <c r="S45" s="7">
        <f t="shared" si="8"/>
        <v>0</v>
      </c>
      <c r="T45" s="7">
        <f t="shared" si="8"/>
        <v>-4.5</v>
      </c>
      <c r="U45" s="7">
        <f t="shared" si="8"/>
        <v>-2.75</v>
      </c>
      <c r="V45" s="7">
        <f t="shared" si="8"/>
        <v>-3.5</v>
      </c>
      <c r="W45" s="7">
        <f t="shared" si="8"/>
        <v>-6</v>
      </c>
      <c r="X45" s="7">
        <f t="shared" si="8"/>
        <v>-10.75</v>
      </c>
    </row>
    <row r="46" spans="1:24" x14ac:dyDescent="0.25">
      <c r="A46" s="2" t="s">
        <v>113</v>
      </c>
      <c r="B46" s="7">
        <f t="shared" ref="B46:X46" si="9">B12-B29</f>
        <v>0</v>
      </c>
      <c r="C46" s="7">
        <f t="shared" si="9"/>
        <v>0</v>
      </c>
      <c r="D46" s="7">
        <f t="shared" si="9"/>
        <v>0</v>
      </c>
      <c r="E46" s="7">
        <f t="shared" si="9"/>
        <v>0</v>
      </c>
      <c r="F46" s="7">
        <f t="shared" si="9"/>
        <v>0</v>
      </c>
      <c r="G46" s="7">
        <f t="shared" si="9"/>
        <v>0</v>
      </c>
      <c r="H46" s="7">
        <f t="shared" si="9"/>
        <v>0</v>
      </c>
      <c r="I46" s="7">
        <f t="shared" si="9"/>
        <v>0</v>
      </c>
      <c r="J46" s="7">
        <f t="shared" si="9"/>
        <v>0</v>
      </c>
      <c r="K46" s="7">
        <f t="shared" si="9"/>
        <v>0</v>
      </c>
      <c r="L46" s="7">
        <f t="shared" si="9"/>
        <v>0</v>
      </c>
      <c r="M46" s="7">
        <f t="shared" si="9"/>
        <v>0</v>
      </c>
      <c r="N46" s="7">
        <f t="shared" si="9"/>
        <v>0</v>
      </c>
      <c r="O46" s="7">
        <f t="shared" si="9"/>
        <v>0</v>
      </c>
      <c r="P46" s="7">
        <f t="shared" si="9"/>
        <v>0</v>
      </c>
      <c r="Q46" s="7">
        <f t="shared" si="9"/>
        <v>0</v>
      </c>
      <c r="R46" s="7">
        <f t="shared" si="9"/>
        <v>0</v>
      </c>
      <c r="S46" s="7">
        <f t="shared" si="9"/>
        <v>0</v>
      </c>
      <c r="T46" s="7">
        <f t="shared" si="9"/>
        <v>1</v>
      </c>
      <c r="U46" s="7">
        <f t="shared" si="9"/>
        <v>3</v>
      </c>
      <c r="V46" s="7">
        <f t="shared" si="9"/>
        <v>0.75</v>
      </c>
      <c r="W46" s="7">
        <f t="shared" si="9"/>
        <v>-2.25</v>
      </c>
      <c r="X46" s="7">
        <f t="shared" si="9"/>
        <v>-7.5</v>
      </c>
    </row>
    <row r="47" spans="1:24" x14ac:dyDescent="0.25">
      <c r="A47" s="2" t="s">
        <v>114</v>
      </c>
      <c r="B47" s="7">
        <f t="shared" ref="B47:X47" si="10">B13-B30</f>
        <v>0</v>
      </c>
      <c r="C47" s="7">
        <f t="shared" si="10"/>
        <v>0</v>
      </c>
      <c r="D47" s="7">
        <f t="shared" si="10"/>
        <v>0</v>
      </c>
      <c r="E47" s="7">
        <f t="shared" si="10"/>
        <v>0</v>
      </c>
      <c r="F47" s="7">
        <f t="shared" si="10"/>
        <v>0</v>
      </c>
      <c r="G47" s="7">
        <f t="shared" si="10"/>
        <v>0</v>
      </c>
      <c r="H47" s="7">
        <f t="shared" si="10"/>
        <v>0</v>
      </c>
      <c r="I47" s="7">
        <f t="shared" si="10"/>
        <v>0</v>
      </c>
      <c r="J47" s="7">
        <f t="shared" si="10"/>
        <v>0</v>
      </c>
      <c r="K47" s="7">
        <f t="shared" si="10"/>
        <v>0</v>
      </c>
      <c r="L47" s="7">
        <f t="shared" si="10"/>
        <v>0</v>
      </c>
      <c r="M47" s="7">
        <f t="shared" si="10"/>
        <v>0</v>
      </c>
      <c r="N47" s="7">
        <f t="shared" si="10"/>
        <v>0</v>
      </c>
      <c r="O47" s="7">
        <f t="shared" si="10"/>
        <v>0</v>
      </c>
      <c r="P47" s="7">
        <f t="shared" si="10"/>
        <v>0</v>
      </c>
      <c r="Q47" s="7">
        <f t="shared" si="10"/>
        <v>0</v>
      </c>
      <c r="R47" s="7">
        <f t="shared" si="10"/>
        <v>0</v>
      </c>
      <c r="S47" s="7">
        <f t="shared" si="10"/>
        <v>0</v>
      </c>
      <c r="T47" s="7">
        <f t="shared" si="10"/>
        <v>1</v>
      </c>
      <c r="U47" s="7">
        <f t="shared" si="10"/>
        <v>1</v>
      </c>
      <c r="V47" s="7">
        <f t="shared" si="10"/>
        <v>-3</v>
      </c>
      <c r="W47" s="7">
        <f t="shared" si="10"/>
        <v>2.75</v>
      </c>
      <c r="X47" s="7">
        <f t="shared" si="10"/>
        <v>2.5</v>
      </c>
    </row>
    <row r="48" spans="1:24" x14ac:dyDescent="0.25">
      <c r="A48" s="2" t="s">
        <v>115</v>
      </c>
      <c r="B48" s="7">
        <f t="shared" ref="B48:X48" si="11">B14-B31</f>
        <v>0</v>
      </c>
      <c r="C48" s="7">
        <f t="shared" si="11"/>
        <v>0</v>
      </c>
      <c r="D48" s="7">
        <f t="shared" si="11"/>
        <v>0</v>
      </c>
      <c r="E48" s="7">
        <f t="shared" si="11"/>
        <v>0</v>
      </c>
      <c r="F48" s="7">
        <f t="shared" si="11"/>
        <v>0</v>
      </c>
      <c r="G48" s="7">
        <f t="shared" si="11"/>
        <v>0</v>
      </c>
      <c r="H48" s="7">
        <f t="shared" si="11"/>
        <v>0</v>
      </c>
      <c r="I48" s="7">
        <f t="shared" si="11"/>
        <v>0</v>
      </c>
      <c r="J48" s="7">
        <f t="shared" si="11"/>
        <v>0</v>
      </c>
      <c r="K48" s="7">
        <f t="shared" si="11"/>
        <v>0</v>
      </c>
      <c r="L48" s="7">
        <f t="shared" si="11"/>
        <v>0</v>
      </c>
      <c r="M48" s="7">
        <f t="shared" si="11"/>
        <v>0</v>
      </c>
      <c r="N48" s="7">
        <f t="shared" si="11"/>
        <v>0</v>
      </c>
      <c r="O48" s="7">
        <f t="shared" si="11"/>
        <v>0</v>
      </c>
      <c r="P48" s="7">
        <f t="shared" si="11"/>
        <v>0</v>
      </c>
      <c r="Q48" s="7">
        <f t="shared" si="11"/>
        <v>0</v>
      </c>
      <c r="R48" s="7">
        <f t="shared" si="11"/>
        <v>0</v>
      </c>
      <c r="S48" s="7">
        <f t="shared" si="11"/>
        <v>0</v>
      </c>
      <c r="T48" s="7">
        <f t="shared" si="11"/>
        <v>1</v>
      </c>
      <c r="U48" s="7">
        <f t="shared" si="11"/>
        <v>3</v>
      </c>
      <c r="V48" s="7">
        <f t="shared" si="11"/>
        <v>2</v>
      </c>
      <c r="W48" s="7">
        <f t="shared" si="11"/>
        <v>-7.75</v>
      </c>
      <c r="X48" s="7">
        <f t="shared" si="11"/>
        <v>-7</v>
      </c>
    </row>
    <row r="49" spans="1:24" x14ac:dyDescent="0.25">
      <c r="A49" s="2" t="s">
        <v>116</v>
      </c>
      <c r="B49" s="7">
        <f t="shared" ref="B49:X49" si="12">B15-B32</f>
        <v>0</v>
      </c>
      <c r="C49" s="7">
        <f t="shared" si="12"/>
        <v>0</v>
      </c>
      <c r="D49" s="7">
        <f t="shared" si="12"/>
        <v>0</v>
      </c>
      <c r="E49" s="7">
        <f t="shared" si="12"/>
        <v>0</v>
      </c>
      <c r="F49" s="7">
        <f t="shared" si="12"/>
        <v>0</v>
      </c>
      <c r="G49" s="7">
        <f t="shared" si="12"/>
        <v>0</v>
      </c>
      <c r="H49" s="7">
        <f t="shared" si="12"/>
        <v>0</v>
      </c>
      <c r="I49" s="7">
        <f t="shared" si="12"/>
        <v>0</v>
      </c>
      <c r="J49" s="7">
        <f t="shared" si="12"/>
        <v>0</v>
      </c>
      <c r="K49" s="7">
        <f t="shared" si="12"/>
        <v>0</v>
      </c>
      <c r="L49" s="7">
        <f t="shared" si="12"/>
        <v>0</v>
      </c>
      <c r="M49" s="7">
        <f t="shared" si="12"/>
        <v>0</v>
      </c>
      <c r="N49" s="7">
        <f t="shared" si="12"/>
        <v>0</v>
      </c>
      <c r="O49" s="7">
        <f t="shared" si="12"/>
        <v>0</v>
      </c>
      <c r="P49" s="7">
        <f t="shared" si="12"/>
        <v>0</v>
      </c>
      <c r="Q49" s="7">
        <f t="shared" si="12"/>
        <v>0</v>
      </c>
      <c r="R49" s="7">
        <f t="shared" si="12"/>
        <v>0</v>
      </c>
      <c r="S49" s="7">
        <f t="shared" si="12"/>
        <v>0</v>
      </c>
      <c r="T49" s="7">
        <f t="shared" si="12"/>
        <v>0</v>
      </c>
      <c r="U49" s="7">
        <f t="shared" si="12"/>
        <v>4</v>
      </c>
      <c r="V49" s="7">
        <f t="shared" si="12"/>
        <v>4</v>
      </c>
      <c r="W49" s="7">
        <f t="shared" si="12"/>
        <v>5</v>
      </c>
      <c r="X49" s="7">
        <f t="shared" si="12"/>
        <v>5</v>
      </c>
    </row>
    <row r="50" spans="1:24" x14ac:dyDescent="0.25">
      <c r="A50" s="2" t="s">
        <v>128</v>
      </c>
      <c r="B50" s="7">
        <f t="shared" ref="B50:X50" si="13">SUM(B39:B49)</f>
        <v>0</v>
      </c>
      <c r="C50" s="7">
        <f t="shared" si="13"/>
        <v>0</v>
      </c>
      <c r="D50" s="7">
        <f t="shared" si="13"/>
        <v>0</v>
      </c>
      <c r="E50" s="7">
        <f t="shared" si="13"/>
        <v>0</v>
      </c>
      <c r="F50" s="7">
        <f t="shared" si="13"/>
        <v>0</v>
      </c>
      <c r="G50" s="7">
        <f t="shared" si="13"/>
        <v>0</v>
      </c>
      <c r="H50" s="7">
        <f t="shared" si="13"/>
        <v>0</v>
      </c>
      <c r="I50" s="7">
        <f t="shared" si="13"/>
        <v>0</v>
      </c>
      <c r="J50" s="7">
        <f t="shared" si="13"/>
        <v>0</v>
      </c>
      <c r="K50" s="7">
        <f t="shared" si="13"/>
        <v>0</v>
      </c>
      <c r="L50" s="7">
        <f t="shared" si="13"/>
        <v>0</v>
      </c>
      <c r="M50" s="7">
        <f t="shared" si="13"/>
        <v>0</v>
      </c>
      <c r="N50" s="7">
        <f t="shared" si="13"/>
        <v>0</v>
      </c>
      <c r="O50" s="7">
        <f t="shared" si="13"/>
        <v>0</v>
      </c>
      <c r="P50" s="7">
        <f t="shared" si="13"/>
        <v>0</v>
      </c>
      <c r="Q50" s="7">
        <f t="shared" si="13"/>
        <v>0</v>
      </c>
      <c r="R50" s="7">
        <f t="shared" si="13"/>
        <v>0</v>
      </c>
      <c r="S50" s="7">
        <f t="shared" si="13"/>
        <v>0</v>
      </c>
      <c r="T50" s="7">
        <f t="shared" si="13"/>
        <v>-0.75</v>
      </c>
      <c r="U50" s="7">
        <f t="shared" si="13"/>
        <v>9.75</v>
      </c>
      <c r="V50" s="7">
        <f t="shared" si="13"/>
        <v>3</v>
      </c>
      <c r="W50" s="7">
        <f t="shared" si="13"/>
        <v>-1</v>
      </c>
      <c r="X50" s="7">
        <f t="shared" si="13"/>
        <v>-9.75</v>
      </c>
    </row>
    <row r="51" spans="1:24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spans="1:24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 spans="1:24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 spans="1:24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</sheetData>
  <mergeCells count="12">
    <mergeCell ref="A1:X1"/>
    <mergeCell ref="B2:K2"/>
    <mergeCell ref="L2:P2"/>
    <mergeCell ref="Q2:X2"/>
    <mergeCell ref="A18:X18"/>
    <mergeCell ref="B19:K19"/>
    <mergeCell ref="A35:X35"/>
    <mergeCell ref="B36:K36"/>
    <mergeCell ref="L36:P36"/>
    <mergeCell ref="Q36:X36"/>
    <mergeCell ref="L19:P19"/>
    <mergeCell ref="Q19:X19"/>
  </mergeCells>
  <conditionalFormatting sqref="B39:X50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1015"/>
  <sheetViews>
    <sheetView workbookViewId="0"/>
  </sheetViews>
  <sheetFormatPr defaultColWidth="12.6640625" defaultRowHeight="15.75" customHeight="1" x14ac:dyDescent="0.25"/>
  <cols>
    <col min="1" max="1" width="26.109375" customWidth="1"/>
    <col min="22" max="22" width="15.6640625" customWidth="1"/>
    <col min="23" max="23" width="14.109375" customWidth="1"/>
    <col min="24" max="24" width="13.21875" customWidth="1"/>
  </cols>
  <sheetData>
    <row r="1" spans="1:24" x14ac:dyDescent="0.25">
      <c r="A1" s="74" t="s">
        <v>129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24" x14ac:dyDescent="0.25">
      <c r="A2" s="48"/>
      <c r="B2" s="72" t="str">
        <f>'Projected Hours'!B1</f>
        <v>Projected Hours
Autumn Term</v>
      </c>
      <c r="C2" s="70"/>
      <c r="D2" s="70"/>
      <c r="E2" s="70"/>
      <c r="F2" s="70"/>
      <c r="G2" s="70"/>
      <c r="H2" s="70"/>
      <c r="I2" s="70"/>
      <c r="J2" s="70"/>
      <c r="K2" s="71"/>
      <c r="L2" s="72" t="str">
        <f>'Projected Hours'!L1</f>
        <v>Projected Hours
Winter Break</v>
      </c>
      <c r="M2" s="70"/>
      <c r="N2" s="70"/>
      <c r="O2" s="70"/>
      <c r="P2" s="71"/>
      <c r="Q2" s="72" t="str">
        <f>'Projected Hours'!Q1</f>
        <v>Projected Hours
Spring Term</v>
      </c>
      <c r="R2" s="70"/>
      <c r="S2" s="70"/>
      <c r="T2" s="70"/>
      <c r="U2" s="70"/>
      <c r="V2" s="70"/>
      <c r="W2" s="70"/>
      <c r="X2" s="71"/>
    </row>
    <row r="3" spans="1:24" x14ac:dyDescent="0.25">
      <c r="A3" s="49" t="s">
        <v>78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  <c r="W3" s="49" t="str">
        <f>'Projected Hours'!W2</f>
        <v>Week 7</v>
      </c>
      <c r="X3" s="49" t="str">
        <f>'Projected Hours'!X2</f>
        <v>Week 8</v>
      </c>
    </row>
    <row r="4" spans="1:24" x14ac:dyDescent="0.25">
      <c r="A4" s="63" t="s">
        <v>79</v>
      </c>
      <c r="B4" s="63">
        <f>'Projected Hours'!B3</f>
        <v>1</v>
      </c>
      <c r="C4" s="63">
        <f>'Projected Hours'!C3</f>
        <v>2</v>
      </c>
      <c r="D4" s="63">
        <f>'Projected Hours'!D3</f>
        <v>3</v>
      </c>
      <c r="E4" s="63">
        <f>'Projected Hours'!E3</f>
        <v>4</v>
      </c>
      <c r="F4" s="63">
        <f>'Projected Hours'!F3</f>
        <v>5</v>
      </c>
      <c r="G4" s="63">
        <f>'Projected Hours'!G3</f>
        <v>6</v>
      </c>
      <c r="H4" s="63">
        <f>'Projected Hours'!H3</f>
        <v>7</v>
      </c>
      <c r="I4" s="63">
        <f>'Projected Hours'!I3</f>
        <v>8</v>
      </c>
      <c r="J4" s="63">
        <f>'Projected Hours'!J3</f>
        <v>9</v>
      </c>
      <c r="K4" s="63">
        <f>'Projected Hours'!K3</f>
        <v>10</v>
      </c>
      <c r="L4" s="63">
        <f>'Projected Hours'!L3</f>
        <v>11</v>
      </c>
      <c r="M4" s="63">
        <f>'Projected Hours'!M3</f>
        <v>12</v>
      </c>
      <c r="N4" s="63">
        <f>'Projected Hours'!N3</f>
        <v>13</v>
      </c>
      <c r="O4" s="63">
        <f>'Projected Hours'!O3</f>
        <v>14</v>
      </c>
      <c r="P4" s="63">
        <f>'Projected Hours'!P3</f>
        <v>15</v>
      </c>
      <c r="Q4" s="63">
        <f>'Projected Hours'!Q3</f>
        <v>16</v>
      </c>
      <c r="R4" s="63">
        <f>'Projected Hours'!R3</f>
        <v>17</v>
      </c>
      <c r="S4" s="63">
        <f>'Projected Hours'!S3</f>
        <v>18</v>
      </c>
      <c r="T4" s="63">
        <f>'Projected Hours'!T3</f>
        <v>19</v>
      </c>
      <c r="U4" s="63">
        <f>'Projected Hours'!U3</f>
        <v>20</v>
      </c>
      <c r="V4" s="63">
        <f>'Projected Hours'!V3</f>
        <v>21</v>
      </c>
      <c r="W4" s="63">
        <f>'Projected Hours'!W3</f>
        <v>22</v>
      </c>
      <c r="X4" s="63">
        <f>'Projected Hours'!X3</f>
        <v>23</v>
      </c>
    </row>
    <row r="5" spans="1:24" x14ac:dyDescent="0.25">
      <c r="A5" s="2" t="str">
        <f>'Projected Hours'!A7</f>
        <v>Project Manager Total</v>
      </c>
      <c r="B5" s="7">
        <f>'Projected Hours'!B7</f>
        <v>0</v>
      </c>
      <c r="C5" s="7">
        <f>'Projected Hours'!C7</f>
        <v>0</v>
      </c>
      <c r="D5" s="7">
        <f>'Projected Hours'!D7</f>
        <v>0</v>
      </c>
      <c r="E5" s="7">
        <f>'Projected Hours'!E7</f>
        <v>0</v>
      </c>
      <c r="F5" s="7">
        <f>'Projected Hours'!F7</f>
        <v>0</v>
      </c>
      <c r="G5" s="7">
        <f>'Projected Hours'!G7</f>
        <v>1.5</v>
      </c>
      <c r="H5" s="7">
        <f>'Projected Hours'!H7</f>
        <v>12</v>
      </c>
      <c r="I5" s="7">
        <f>'Projected Hours'!I7</f>
        <v>2</v>
      </c>
      <c r="J5" s="7">
        <f>'Projected Hours'!J7</f>
        <v>4.5</v>
      </c>
      <c r="K5" s="7">
        <f>'Projected Hours'!K7</f>
        <v>6.75</v>
      </c>
      <c r="L5" s="7">
        <f>'Projected Hours'!L7</f>
        <v>0</v>
      </c>
      <c r="M5" s="7">
        <f>'Projected Hours'!M7</f>
        <v>6</v>
      </c>
      <c r="N5" s="7">
        <f>'Projected Hours'!N7</f>
        <v>0</v>
      </c>
      <c r="O5" s="7">
        <f>'Projected Hours'!O7</f>
        <v>0</v>
      </c>
      <c r="P5" s="7">
        <f>'Projected Hours'!P7</f>
        <v>0</v>
      </c>
      <c r="Q5" s="7">
        <f>'Projected Hours'!Q7</f>
        <v>0</v>
      </c>
      <c r="R5" s="7">
        <f>'Projected Hours'!R7</f>
        <v>2.75</v>
      </c>
      <c r="S5" s="7">
        <f>'Projected Hours'!S7</f>
        <v>7.75</v>
      </c>
      <c r="T5" s="7">
        <f>'Projected Hours'!T7</f>
        <v>2.75</v>
      </c>
      <c r="U5" s="7">
        <f>'Projected Hours'!U7</f>
        <v>2</v>
      </c>
      <c r="V5" s="7">
        <f>'Projected Hours'!V7</f>
        <v>2.5</v>
      </c>
      <c r="W5" s="7">
        <f>'Projected Hours'!W7</f>
        <v>3</v>
      </c>
      <c r="X5" s="7">
        <f>'Projected Hours'!X7</f>
        <v>2.5</v>
      </c>
    </row>
    <row r="6" spans="1:24" x14ac:dyDescent="0.25">
      <c r="A6" s="2" t="str">
        <f>'Projected Hours'!A17</f>
        <v>Documentation Total</v>
      </c>
      <c r="B6" s="7">
        <f>'Projected Hours'!B17</f>
        <v>0</v>
      </c>
      <c r="C6" s="7">
        <f>'Projected Hours'!C17</f>
        <v>0</v>
      </c>
      <c r="D6" s="7">
        <f>'Projected Hours'!D17</f>
        <v>0</v>
      </c>
      <c r="E6" s="7">
        <f>'Projected Hours'!E17</f>
        <v>0</v>
      </c>
      <c r="F6" s="7">
        <f>'Projected Hours'!F17</f>
        <v>0</v>
      </c>
      <c r="G6" s="7">
        <f>'Projected Hours'!G17</f>
        <v>4.25</v>
      </c>
      <c r="H6" s="7">
        <f>'Projected Hours'!H17</f>
        <v>10.5</v>
      </c>
      <c r="I6" s="7">
        <f>'Projected Hours'!I17</f>
        <v>8.5</v>
      </c>
      <c r="J6" s="7">
        <f>'Projected Hours'!J17</f>
        <v>8.5</v>
      </c>
      <c r="K6" s="7">
        <f>'Projected Hours'!K17</f>
        <v>9.75</v>
      </c>
      <c r="L6" s="7">
        <f>'Projected Hours'!L17</f>
        <v>0</v>
      </c>
      <c r="M6" s="7">
        <f>'Projected Hours'!M17</f>
        <v>0</v>
      </c>
      <c r="N6" s="7">
        <f>'Projected Hours'!N17</f>
        <v>0</v>
      </c>
      <c r="O6" s="7">
        <f>'Projected Hours'!O17</f>
        <v>0</v>
      </c>
      <c r="P6" s="7">
        <f>'Projected Hours'!P17</f>
        <v>0</v>
      </c>
      <c r="Q6" s="7">
        <f>'Projected Hours'!Q17</f>
        <v>0</v>
      </c>
      <c r="R6" s="7">
        <f>'Projected Hours'!R17</f>
        <v>7.5</v>
      </c>
      <c r="S6" s="7">
        <f>'Projected Hours'!S17</f>
        <v>0</v>
      </c>
      <c r="T6" s="7">
        <f>'Projected Hours'!T17</f>
        <v>4.75</v>
      </c>
      <c r="U6" s="7">
        <f>'Projected Hours'!U17</f>
        <v>4</v>
      </c>
      <c r="V6" s="7">
        <f>'Projected Hours'!V17</f>
        <v>5</v>
      </c>
      <c r="W6" s="7">
        <f>'Projected Hours'!W17</f>
        <v>5</v>
      </c>
      <c r="X6" s="7">
        <f>'Projected Hours'!X17</f>
        <v>5</v>
      </c>
    </row>
    <row r="7" spans="1:24" x14ac:dyDescent="0.25">
      <c r="A7" s="2" t="str">
        <f>'Projected Hours'!A44</f>
        <v>Media Total</v>
      </c>
      <c r="B7" s="7">
        <f>'Projected Hours'!B44</f>
        <v>0</v>
      </c>
      <c r="C7" s="7">
        <f>'Projected Hours'!C44</f>
        <v>0</v>
      </c>
      <c r="D7" s="7">
        <f>'Projected Hours'!D44</f>
        <v>0</v>
      </c>
      <c r="E7" s="7">
        <f>'Projected Hours'!E44</f>
        <v>0</v>
      </c>
      <c r="F7" s="7">
        <f>'Projected Hours'!F44</f>
        <v>0</v>
      </c>
      <c r="G7" s="7">
        <f>'Projected Hours'!G44</f>
        <v>3</v>
      </c>
      <c r="H7" s="7">
        <f>'Projected Hours'!H44</f>
        <v>2.75</v>
      </c>
      <c r="I7" s="7">
        <f>'Projected Hours'!I44</f>
        <v>4.75</v>
      </c>
      <c r="J7" s="7">
        <f>'Projected Hours'!J44</f>
        <v>3.75</v>
      </c>
      <c r="K7" s="7">
        <f>'Projected Hours'!K44</f>
        <v>0.5</v>
      </c>
      <c r="L7" s="7">
        <f>'Projected Hours'!L44</f>
        <v>0</v>
      </c>
      <c r="M7" s="7">
        <f>'Projected Hours'!M44</f>
        <v>0</v>
      </c>
      <c r="N7" s="7">
        <f>'Projected Hours'!N44</f>
        <v>0</v>
      </c>
      <c r="O7" s="7">
        <f>'Projected Hours'!O44</f>
        <v>0</v>
      </c>
      <c r="P7" s="7">
        <f>'Projected Hours'!P44</f>
        <v>4.25</v>
      </c>
      <c r="Q7" s="7">
        <f>'Projected Hours'!Q44</f>
        <v>4.25</v>
      </c>
      <c r="R7" s="7">
        <f>'Projected Hours'!R44</f>
        <v>1.25</v>
      </c>
      <c r="S7" s="7">
        <f>'Projected Hours'!S44</f>
        <v>0.75</v>
      </c>
      <c r="T7" s="7">
        <f>'Projected Hours'!T44</f>
        <v>1.75</v>
      </c>
      <c r="U7" s="7">
        <f>'Projected Hours'!U44</f>
        <v>2</v>
      </c>
      <c r="V7" s="7">
        <f>'Projected Hours'!V44</f>
        <v>4</v>
      </c>
      <c r="W7" s="7">
        <f>'Projected Hours'!W44</f>
        <v>6</v>
      </c>
      <c r="X7" s="7">
        <f>'Projected Hours'!X44</f>
        <v>0</v>
      </c>
    </row>
    <row r="8" spans="1:24" x14ac:dyDescent="0.25">
      <c r="A8" s="2" t="str">
        <f>'Projected Hours'!A39</f>
        <v>Marketing Total</v>
      </c>
      <c r="B8" s="7">
        <f>'Projected Hours'!B39</f>
        <v>0</v>
      </c>
      <c r="C8" s="7">
        <f>'Projected Hours'!C39</f>
        <v>0</v>
      </c>
      <c r="D8" s="7">
        <f>'Projected Hours'!D39</f>
        <v>0</v>
      </c>
      <c r="E8" s="7">
        <f>'Projected Hours'!E39</f>
        <v>0</v>
      </c>
      <c r="F8" s="7">
        <f>'Projected Hours'!F39</f>
        <v>0</v>
      </c>
      <c r="G8" s="7">
        <f>'Projected Hours'!G39</f>
        <v>0</v>
      </c>
      <c r="H8" s="7">
        <f>'Projected Hours'!H39</f>
        <v>3.25</v>
      </c>
      <c r="I8" s="7">
        <f>'Projected Hours'!I39</f>
        <v>6.25</v>
      </c>
      <c r="J8" s="7">
        <f>'Projected Hours'!J39</f>
        <v>5.25</v>
      </c>
      <c r="K8" s="7">
        <f>'Projected Hours'!K39</f>
        <v>0.5</v>
      </c>
      <c r="L8" s="7">
        <f>'Projected Hours'!L39</f>
        <v>0</v>
      </c>
      <c r="M8" s="7">
        <f>'Projected Hours'!M39</f>
        <v>0</v>
      </c>
      <c r="N8" s="7">
        <f>'Projected Hours'!N39</f>
        <v>0</v>
      </c>
      <c r="O8" s="7">
        <f>'Projected Hours'!O39</f>
        <v>0</v>
      </c>
      <c r="P8" s="7">
        <f>'Projected Hours'!P39</f>
        <v>0.75</v>
      </c>
      <c r="Q8" s="7">
        <f>'Projected Hours'!Q39</f>
        <v>0</v>
      </c>
      <c r="R8" s="7">
        <f>'Projected Hours'!R39</f>
        <v>0.5</v>
      </c>
      <c r="S8" s="7">
        <f>'Projected Hours'!S39</f>
        <v>4.75</v>
      </c>
      <c r="T8" s="7">
        <f>'Projected Hours'!T39</f>
        <v>5.25</v>
      </c>
      <c r="U8" s="7">
        <f>'Projected Hours'!U39</f>
        <v>3</v>
      </c>
      <c r="V8" s="7">
        <f>'Projected Hours'!V39</f>
        <v>5</v>
      </c>
      <c r="W8" s="7">
        <f>'Projected Hours'!W39</f>
        <v>7</v>
      </c>
      <c r="X8" s="7">
        <f>'Projected Hours'!X39</f>
        <v>0</v>
      </c>
    </row>
    <row r="9" spans="1:24" x14ac:dyDescent="0.25">
      <c r="A9" s="2" t="str">
        <f>'Projected Hours'!A12</f>
        <v>Finance Total</v>
      </c>
      <c r="B9" s="7">
        <f>'Projected Hours'!B12</f>
        <v>0</v>
      </c>
      <c r="C9" s="7">
        <f>'Projected Hours'!C12</f>
        <v>0</v>
      </c>
      <c r="D9" s="7">
        <f>'Projected Hours'!D12</f>
        <v>0</v>
      </c>
      <c r="E9" s="7">
        <f>'Projected Hours'!E12</f>
        <v>0</v>
      </c>
      <c r="F9" s="7">
        <f>'Projected Hours'!F12</f>
        <v>0</v>
      </c>
      <c r="G9" s="7">
        <f>'Projected Hours'!G12</f>
        <v>0</v>
      </c>
      <c r="H9" s="7">
        <f>'Projected Hours'!H12</f>
        <v>6.25</v>
      </c>
      <c r="I9" s="7">
        <f>'Projected Hours'!I12</f>
        <v>1.5</v>
      </c>
      <c r="J9" s="7">
        <f>'Projected Hours'!J12</f>
        <v>1</v>
      </c>
      <c r="K9" s="7">
        <f>'Projected Hours'!K12</f>
        <v>0.5</v>
      </c>
      <c r="L9" s="7">
        <f>'Projected Hours'!L12</f>
        <v>0</v>
      </c>
      <c r="M9" s="7">
        <f>'Projected Hours'!M12</f>
        <v>0</v>
      </c>
      <c r="N9" s="7">
        <f>'Projected Hours'!N12</f>
        <v>0</v>
      </c>
      <c r="O9" s="7">
        <f>'Projected Hours'!O12</f>
        <v>0</v>
      </c>
      <c r="P9" s="7">
        <f>'Projected Hours'!P12</f>
        <v>0</v>
      </c>
      <c r="Q9" s="7">
        <f>'Projected Hours'!Q12</f>
        <v>0</v>
      </c>
      <c r="R9" s="7">
        <f>'Projected Hours'!R12</f>
        <v>3.5</v>
      </c>
      <c r="S9" s="7">
        <f>'Projected Hours'!S12</f>
        <v>8.5</v>
      </c>
      <c r="T9" s="7">
        <f>'Projected Hours'!T12</f>
        <v>10</v>
      </c>
      <c r="U9" s="7">
        <f>'Projected Hours'!U12</f>
        <v>10</v>
      </c>
      <c r="V9" s="7">
        <f>'Projected Hours'!V12</f>
        <v>4</v>
      </c>
      <c r="W9" s="7">
        <f>'Projected Hours'!W12</f>
        <v>16</v>
      </c>
      <c r="X9" s="7">
        <f>'Projected Hours'!X12</f>
        <v>4</v>
      </c>
    </row>
    <row r="10" spans="1:24" x14ac:dyDescent="0.25">
      <c r="A10" s="2" t="str">
        <f>'Projected Hours'!A22</f>
        <v>QA Total</v>
      </c>
      <c r="B10" s="7">
        <f>'Projected Hours'!B22</f>
        <v>0</v>
      </c>
      <c r="C10" s="7">
        <f>'Projected Hours'!C22</f>
        <v>0</v>
      </c>
      <c r="D10" s="7">
        <f>'Projected Hours'!D22</f>
        <v>0</v>
      </c>
      <c r="E10" s="7">
        <f>'Projected Hours'!E22</f>
        <v>0</v>
      </c>
      <c r="F10" s="7">
        <f>'Projected Hours'!F22</f>
        <v>0</v>
      </c>
      <c r="G10" s="7">
        <f>'Projected Hours'!G22</f>
        <v>0</v>
      </c>
      <c r="H10" s="7">
        <f>'Projected Hours'!H22</f>
        <v>5.5</v>
      </c>
      <c r="I10" s="7">
        <f>'Projected Hours'!I22</f>
        <v>4.25</v>
      </c>
      <c r="J10" s="7">
        <f>'Projected Hours'!J22</f>
        <v>13</v>
      </c>
      <c r="K10" s="7">
        <f>'Projected Hours'!K22</f>
        <v>9</v>
      </c>
      <c r="L10" s="7">
        <f>'Projected Hours'!L22</f>
        <v>0</v>
      </c>
      <c r="M10" s="7">
        <f>'Projected Hours'!M22</f>
        <v>0</v>
      </c>
      <c r="N10" s="7">
        <f>'Projected Hours'!N22</f>
        <v>0</v>
      </c>
      <c r="O10" s="7">
        <f>'Projected Hours'!O22</f>
        <v>0</v>
      </c>
      <c r="P10" s="7">
        <f>'Projected Hours'!P22</f>
        <v>0</v>
      </c>
      <c r="Q10" s="7">
        <f>'Projected Hours'!Q22</f>
        <v>0</v>
      </c>
      <c r="R10" s="7">
        <f>'Projected Hours'!R22</f>
        <v>2</v>
      </c>
      <c r="S10" s="7">
        <f>'Projected Hours'!S22</f>
        <v>3</v>
      </c>
      <c r="T10" s="7">
        <f>'Projected Hours'!T22</f>
        <v>2</v>
      </c>
      <c r="U10" s="7">
        <f>'Projected Hours'!U22</f>
        <v>6</v>
      </c>
      <c r="V10" s="7">
        <f>'Projected Hours'!V22</f>
        <v>8</v>
      </c>
      <c r="W10" s="7">
        <f>'Projected Hours'!W22</f>
        <v>10</v>
      </c>
      <c r="X10" s="7">
        <f>'Projected Hours'!X22</f>
        <v>8</v>
      </c>
    </row>
    <row r="11" spans="1:24" x14ac:dyDescent="0.25">
      <c r="A11" s="2" t="str">
        <f>'Projected Hours'!A34</f>
        <v>Software Total</v>
      </c>
      <c r="B11" s="7">
        <f>'Projected Hours'!B34</f>
        <v>0</v>
      </c>
      <c r="C11" s="7">
        <f>'Projected Hours'!C34</f>
        <v>0</v>
      </c>
      <c r="D11" s="7">
        <f>'Projected Hours'!D34</f>
        <v>0</v>
      </c>
      <c r="E11" s="7">
        <f>'Projected Hours'!E34</f>
        <v>0</v>
      </c>
      <c r="F11" s="7">
        <f>'Projected Hours'!F34</f>
        <v>0</v>
      </c>
      <c r="G11" s="7">
        <f>'Projected Hours'!G34</f>
        <v>1</v>
      </c>
      <c r="H11" s="7">
        <f>'Projected Hours'!H34</f>
        <v>7</v>
      </c>
      <c r="I11" s="7">
        <f>'Projected Hours'!I34</f>
        <v>9.75</v>
      </c>
      <c r="J11" s="7">
        <f>'Projected Hours'!J34</f>
        <v>11.25</v>
      </c>
      <c r="K11" s="7">
        <f>'Projected Hours'!K34</f>
        <v>10.5</v>
      </c>
      <c r="L11" s="7">
        <f>'Projected Hours'!L34</f>
        <v>8.75</v>
      </c>
      <c r="M11" s="7">
        <f>'Projected Hours'!M34</f>
        <v>4.75</v>
      </c>
      <c r="N11" s="7">
        <f>'Projected Hours'!N34</f>
        <v>0</v>
      </c>
      <c r="O11" s="7">
        <f>'Projected Hours'!O34</f>
        <v>6.5</v>
      </c>
      <c r="P11" s="7">
        <f>'Projected Hours'!P34</f>
        <v>1.5</v>
      </c>
      <c r="Q11" s="7">
        <f>'Projected Hours'!Q34</f>
        <v>42.5</v>
      </c>
      <c r="R11" s="7">
        <f>'Projected Hours'!R34</f>
        <v>15.5</v>
      </c>
      <c r="S11" s="7">
        <f>'Projected Hours'!S34</f>
        <v>43</v>
      </c>
      <c r="T11" s="7">
        <f>'Projected Hours'!T34</f>
        <v>24.75</v>
      </c>
      <c r="U11" s="7">
        <f>'Projected Hours'!U34</f>
        <v>38</v>
      </c>
      <c r="V11" s="7">
        <f>'Projected Hours'!V34</f>
        <v>41</v>
      </c>
      <c r="W11" s="7">
        <f>'Projected Hours'!W34</f>
        <v>40.5</v>
      </c>
      <c r="X11" s="7">
        <f>'Projected Hours'!X34</f>
        <v>39.5</v>
      </c>
    </row>
    <row r="12" spans="1:24" x14ac:dyDescent="0.25">
      <c r="A12" s="2" t="s">
        <v>118</v>
      </c>
      <c r="B12" s="7">
        <f t="shared" ref="B12:X12" si="0">SUM(B5:B11)</f>
        <v>0</v>
      </c>
      <c r="C12" s="7">
        <f t="shared" si="0"/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9.75</v>
      </c>
      <c r="H12" s="7">
        <f t="shared" si="0"/>
        <v>47.25</v>
      </c>
      <c r="I12" s="7">
        <f t="shared" si="0"/>
        <v>37</v>
      </c>
      <c r="J12" s="7">
        <f t="shared" si="0"/>
        <v>47.25</v>
      </c>
      <c r="K12" s="7">
        <f t="shared" si="0"/>
        <v>37.5</v>
      </c>
      <c r="L12" s="7">
        <f t="shared" si="0"/>
        <v>8.75</v>
      </c>
      <c r="M12" s="7">
        <f t="shared" si="0"/>
        <v>10.75</v>
      </c>
      <c r="N12" s="7">
        <f t="shared" si="0"/>
        <v>0</v>
      </c>
      <c r="O12" s="7">
        <f t="shared" si="0"/>
        <v>6.5</v>
      </c>
      <c r="P12" s="7">
        <f t="shared" si="0"/>
        <v>6.5</v>
      </c>
      <c r="Q12" s="7">
        <f t="shared" si="0"/>
        <v>46.75</v>
      </c>
      <c r="R12" s="7">
        <f t="shared" si="0"/>
        <v>33</v>
      </c>
      <c r="S12" s="7">
        <f t="shared" si="0"/>
        <v>67.75</v>
      </c>
      <c r="T12" s="7">
        <f t="shared" si="0"/>
        <v>51.25</v>
      </c>
      <c r="U12" s="7">
        <f t="shared" si="0"/>
        <v>65</v>
      </c>
      <c r="V12" s="7">
        <f t="shared" si="0"/>
        <v>69.5</v>
      </c>
      <c r="W12" s="7">
        <f t="shared" si="0"/>
        <v>87.5</v>
      </c>
      <c r="X12" s="7">
        <f t="shared" si="0"/>
        <v>59</v>
      </c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82" t="s">
        <v>130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1"/>
    </row>
    <row r="15" spans="1:24" x14ac:dyDescent="0.25">
      <c r="A15" s="50"/>
      <c r="B15" s="79" t="s">
        <v>120</v>
      </c>
      <c r="C15" s="70"/>
      <c r="D15" s="70"/>
      <c r="E15" s="70"/>
      <c r="F15" s="70"/>
      <c r="G15" s="70"/>
      <c r="H15" s="70"/>
      <c r="I15" s="70"/>
      <c r="J15" s="70"/>
      <c r="K15" s="71"/>
      <c r="L15" s="79" t="s">
        <v>121</v>
      </c>
      <c r="M15" s="70"/>
      <c r="N15" s="70"/>
      <c r="O15" s="70"/>
      <c r="P15" s="71"/>
      <c r="Q15" s="79" t="s">
        <v>122</v>
      </c>
      <c r="R15" s="70"/>
      <c r="S15" s="70"/>
      <c r="T15" s="70"/>
      <c r="U15" s="70"/>
      <c r="V15" s="70"/>
      <c r="W15" s="70"/>
      <c r="X15" s="71"/>
    </row>
    <row r="16" spans="1:24" x14ac:dyDescent="0.25">
      <c r="A16" s="52" t="s">
        <v>78</v>
      </c>
      <c r="B16" s="52" t="str">
        <f>'Projected Hours'!B2</f>
        <v>Week 1</v>
      </c>
      <c r="C16" s="52" t="str">
        <f>'Projected Hours'!C2</f>
        <v>Week 2</v>
      </c>
      <c r="D16" s="52" t="str">
        <f>'Projected Hours'!D2</f>
        <v>Week 3</v>
      </c>
      <c r="E16" s="52" t="str">
        <f>'Projected Hours'!E2</f>
        <v>Week 4</v>
      </c>
      <c r="F16" s="52" t="str">
        <f>'Projected Hours'!F2</f>
        <v>Week 5</v>
      </c>
      <c r="G16" s="52" t="str">
        <f>'Projected Hours'!G2</f>
        <v>Week 6</v>
      </c>
      <c r="H16" s="52" t="str">
        <f>'Projected Hours'!H2</f>
        <v>Week 7</v>
      </c>
      <c r="I16" s="52" t="str">
        <f>'Projected Hours'!I2</f>
        <v>Week 8</v>
      </c>
      <c r="J16" s="52" t="str">
        <f>'Projected Hours'!J2</f>
        <v>Week 9</v>
      </c>
      <c r="K16" s="52" t="str">
        <f>'Projected Hours'!K2</f>
        <v>Week 10</v>
      </c>
      <c r="L16" s="52" t="str">
        <f>'Projected Hours'!L2</f>
        <v>Week 1</v>
      </c>
      <c r="M16" s="52" t="str">
        <f>'Projected Hours'!M2</f>
        <v>Week 2</v>
      </c>
      <c r="N16" s="52" t="str">
        <f>'Projected Hours'!N2</f>
        <v>Week 3</v>
      </c>
      <c r="O16" s="52" t="str">
        <f>'Projected Hours'!O2</f>
        <v>Week 4</v>
      </c>
      <c r="P16" s="52" t="str">
        <f>'Projected Hours'!P2</f>
        <v>Week 5</v>
      </c>
      <c r="Q16" s="52" t="str">
        <f>'Projected Hours'!Q2</f>
        <v>Week 1</v>
      </c>
      <c r="R16" s="52" t="str">
        <f>'Projected Hours'!R2</f>
        <v>Week 2</v>
      </c>
      <c r="S16" s="52" t="str">
        <f>'Projected Hours'!S2</f>
        <v>Week 3</v>
      </c>
      <c r="T16" s="52" t="str">
        <f>'Projected Hours'!T2</f>
        <v>Week 4</v>
      </c>
      <c r="U16" s="52" t="str">
        <f>'Projected Hours'!U2</f>
        <v>Week 5</v>
      </c>
      <c r="V16" s="52" t="str">
        <f>'Projected Hours'!V2</f>
        <v>Week 6</v>
      </c>
      <c r="W16" s="52" t="str">
        <f>'Projected Hours'!W2</f>
        <v>Week 7</v>
      </c>
      <c r="X16" s="52" t="str">
        <f>'Projected Hours'!X2</f>
        <v>Week 8</v>
      </c>
    </row>
    <row r="17" spans="1:24" x14ac:dyDescent="0.25">
      <c r="A17" s="64" t="s">
        <v>79</v>
      </c>
      <c r="B17" s="64">
        <f>'Projected Hours'!B3</f>
        <v>1</v>
      </c>
      <c r="C17" s="64">
        <f>'Projected Hours'!C3</f>
        <v>2</v>
      </c>
      <c r="D17" s="64">
        <f>'Projected Hours'!D3</f>
        <v>3</v>
      </c>
      <c r="E17" s="64">
        <f>'Projected Hours'!E3</f>
        <v>4</v>
      </c>
      <c r="F17" s="64">
        <f>'Projected Hours'!F3</f>
        <v>5</v>
      </c>
      <c r="G17" s="64">
        <f>'Projected Hours'!G3</f>
        <v>6</v>
      </c>
      <c r="H17" s="64">
        <f>'Projected Hours'!H3</f>
        <v>7</v>
      </c>
      <c r="I17" s="64">
        <f>'Projected Hours'!I3</f>
        <v>8</v>
      </c>
      <c r="J17" s="64">
        <f>'Projected Hours'!J3</f>
        <v>9</v>
      </c>
      <c r="K17" s="64">
        <f>'Projected Hours'!K3</f>
        <v>10</v>
      </c>
      <c r="L17" s="64">
        <f>'Projected Hours'!L3</f>
        <v>11</v>
      </c>
      <c r="M17" s="64">
        <f>'Projected Hours'!M3</f>
        <v>12</v>
      </c>
      <c r="N17" s="64">
        <f>'Projected Hours'!N3</f>
        <v>13</v>
      </c>
      <c r="O17" s="64">
        <f>'Projected Hours'!O3</f>
        <v>14</v>
      </c>
      <c r="P17" s="64">
        <f>'Projected Hours'!P3</f>
        <v>15</v>
      </c>
      <c r="Q17" s="64">
        <f>'Projected Hours'!Q3</f>
        <v>16</v>
      </c>
      <c r="R17" s="64">
        <f>'Projected Hours'!R3</f>
        <v>17</v>
      </c>
      <c r="S17" s="64">
        <f>'Projected Hours'!S3</f>
        <v>18</v>
      </c>
      <c r="T17" s="64">
        <f>'Projected Hours'!T3</f>
        <v>19</v>
      </c>
      <c r="U17" s="64">
        <f>'Projected Hours'!U3</f>
        <v>20</v>
      </c>
      <c r="V17" s="64">
        <f>'Projected Hours'!V3</f>
        <v>21</v>
      </c>
      <c r="W17" s="64">
        <f>'Projected Hours'!W3</f>
        <v>22</v>
      </c>
      <c r="X17" s="64">
        <f>'Projected Hours'!X3</f>
        <v>23</v>
      </c>
    </row>
    <row r="18" spans="1:24" x14ac:dyDescent="0.25">
      <c r="A18" s="2" t="s">
        <v>82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1.5</v>
      </c>
      <c r="H18" s="7">
        <v>12</v>
      </c>
      <c r="I18" s="7">
        <v>2</v>
      </c>
      <c r="J18" s="7">
        <v>4.5</v>
      </c>
      <c r="K18" s="7">
        <v>6.75</v>
      </c>
      <c r="L18" s="7">
        <v>0</v>
      </c>
      <c r="M18" s="7">
        <v>6</v>
      </c>
      <c r="N18" s="7">
        <v>0</v>
      </c>
      <c r="O18" s="7">
        <v>0</v>
      </c>
      <c r="P18" s="7">
        <v>0</v>
      </c>
      <c r="Q18" s="7">
        <v>0</v>
      </c>
      <c r="R18" s="7">
        <v>2.75</v>
      </c>
      <c r="S18" s="7">
        <v>7.75</v>
      </c>
      <c r="T18" s="7">
        <v>4.25</v>
      </c>
      <c r="U18" s="7">
        <v>4.5</v>
      </c>
      <c r="V18" s="7">
        <v>7.5</v>
      </c>
      <c r="W18" s="7">
        <v>6.25</v>
      </c>
      <c r="X18" s="7">
        <v>0.5</v>
      </c>
    </row>
    <row r="19" spans="1:24" x14ac:dyDescent="0.25">
      <c r="A19" s="2" t="s">
        <v>89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4.25</v>
      </c>
      <c r="H19" s="7">
        <v>10.5</v>
      </c>
      <c r="I19" s="7">
        <v>8.5</v>
      </c>
      <c r="J19" s="7">
        <v>8.5</v>
      </c>
      <c r="K19" s="7">
        <v>9.75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7.5</v>
      </c>
      <c r="S19" s="7">
        <v>0</v>
      </c>
      <c r="T19" s="7">
        <v>7.25</v>
      </c>
      <c r="U19" s="7">
        <v>1</v>
      </c>
      <c r="V19" s="7">
        <v>5.75</v>
      </c>
      <c r="W19" s="7">
        <v>3.25</v>
      </c>
      <c r="X19" s="7">
        <v>0.5</v>
      </c>
    </row>
    <row r="20" spans="1:24" x14ac:dyDescent="0.25">
      <c r="A20" s="2" t="s">
        <v>104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</v>
      </c>
      <c r="H20" s="7">
        <v>2.75</v>
      </c>
      <c r="I20" s="7">
        <v>4.75</v>
      </c>
      <c r="J20" s="7">
        <v>3.75</v>
      </c>
      <c r="K20" s="7">
        <v>0.5</v>
      </c>
      <c r="L20" s="7">
        <v>0</v>
      </c>
      <c r="M20" s="7">
        <v>0</v>
      </c>
      <c r="N20" s="7">
        <v>0</v>
      </c>
      <c r="O20" s="7">
        <v>0</v>
      </c>
      <c r="P20" s="7">
        <v>4.25</v>
      </c>
      <c r="Q20" s="7">
        <v>4.25</v>
      </c>
      <c r="R20" s="7">
        <v>1.25</v>
      </c>
      <c r="S20" s="7">
        <v>0.75</v>
      </c>
      <c r="T20" s="7">
        <v>0.75</v>
      </c>
      <c r="U20" s="7">
        <v>1</v>
      </c>
      <c r="V20" s="7">
        <v>3</v>
      </c>
      <c r="W20" s="7">
        <v>18.5</v>
      </c>
      <c r="X20" s="7">
        <v>11.75</v>
      </c>
    </row>
    <row r="21" spans="1:24" x14ac:dyDescent="0.25">
      <c r="A21" s="2" t="s">
        <v>102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3.25</v>
      </c>
      <c r="I21" s="7">
        <v>6.25</v>
      </c>
      <c r="J21" s="7">
        <v>5.25</v>
      </c>
      <c r="K21" s="7">
        <v>0.5</v>
      </c>
      <c r="L21" s="7">
        <v>0</v>
      </c>
      <c r="M21" s="7">
        <v>0</v>
      </c>
      <c r="N21" s="7">
        <v>0</v>
      </c>
      <c r="O21" s="7">
        <v>0</v>
      </c>
      <c r="P21" s="7">
        <v>0.75</v>
      </c>
      <c r="Q21" s="7">
        <v>0</v>
      </c>
      <c r="R21" s="7">
        <v>0.5</v>
      </c>
      <c r="S21" s="7">
        <v>4.75</v>
      </c>
      <c r="T21" s="7">
        <v>3</v>
      </c>
      <c r="U21" s="7">
        <v>2</v>
      </c>
      <c r="V21" s="7">
        <v>5.5</v>
      </c>
      <c r="W21" s="7">
        <v>2</v>
      </c>
      <c r="X21" s="7">
        <v>0</v>
      </c>
    </row>
    <row r="22" spans="1:24" x14ac:dyDescent="0.25">
      <c r="A22" s="2" t="s">
        <v>86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6.25</v>
      </c>
      <c r="I22" s="7">
        <v>1.5</v>
      </c>
      <c r="J22" s="7">
        <v>1</v>
      </c>
      <c r="K22" s="7">
        <v>0.5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3.5</v>
      </c>
      <c r="S22" s="7">
        <v>8.5</v>
      </c>
      <c r="T22" s="7">
        <v>14.5</v>
      </c>
      <c r="U22" s="7">
        <v>10</v>
      </c>
      <c r="V22" s="7">
        <v>7.75</v>
      </c>
      <c r="W22" s="7">
        <v>16.5</v>
      </c>
      <c r="X22" s="7">
        <v>1</v>
      </c>
    </row>
    <row r="23" spans="1:24" x14ac:dyDescent="0.25">
      <c r="A23" s="2" t="s">
        <v>93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5.5</v>
      </c>
      <c r="I23" s="7">
        <v>4.25</v>
      </c>
      <c r="J23" s="7">
        <v>13</v>
      </c>
      <c r="K23" s="7">
        <v>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</v>
      </c>
      <c r="S23" s="7">
        <v>3</v>
      </c>
      <c r="T23" s="7">
        <v>5.5</v>
      </c>
      <c r="U23" s="7">
        <v>6.75</v>
      </c>
      <c r="V23" s="7">
        <v>10.5</v>
      </c>
      <c r="W23" s="7">
        <v>13.5</v>
      </c>
      <c r="X23" s="7">
        <v>6.25</v>
      </c>
    </row>
    <row r="24" spans="1:24" x14ac:dyDescent="0.25">
      <c r="A24" s="2" t="s">
        <v>100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7</v>
      </c>
      <c r="I24" s="7">
        <v>9.75</v>
      </c>
      <c r="J24" s="7">
        <v>11.25</v>
      </c>
      <c r="K24" s="7">
        <v>10.5</v>
      </c>
      <c r="L24" s="7">
        <v>8.75</v>
      </c>
      <c r="M24" s="7">
        <v>4.75</v>
      </c>
      <c r="N24" s="7">
        <v>0</v>
      </c>
      <c r="O24" s="7">
        <v>6.5</v>
      </c>
      <c r="P24" s="7">
        <v>1.5</v>
      </c>
      <c r="Q24" s="7">
        <v>42.5</v>
      </c>
      <c r="R24" s="7">
        <v>15.5</v>
      </c>
      <c r="S24" s="7">
        <v>43</v>
      </c>
      <c r="T24" s="7">
        <v>16.75</v>
      </c>
      <c r="U24" s="7">
        <v>30</v>
      </c>
      <c r="V24" s="7">
        <v>26.5</v>
      </c>
      <c r="W24" s="7">
        <v>28.5</v>
      </c>
      <c r="X24" s="7">
        <v>48.75</v>
      </c>
    </row>
    <row r="25" spans="1:24" x14ac:dyDescent="0.25">
      <c r="A25" s="2" t="s">
        <v>124</v>
      </c>
      <c r="B25" s="7">
        <f t="shared" ref="B25:X25" si="1">SUM(B18:B24)</f>
        <v>0</v>
      </c>
      <c r="C25" s="7">
        <f t="shared" si="1"/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9.75</v>
      </c>
      <c r="H25" s="7">
        <f t="shared" si="1"/>
        <v>47.25</v>
      </c>
      <c r="I25" s="7">
        <f t="shared" si="1"/>
        <v>37</v>
      </c>
      <c r="J25" s="7">
        <f t="shared" si="1"/>
        <v>47.25</v>
      </c>
      <c r="K25" s="7">
        <f t="shared" si="1"/>
        <v>37.5</v>
      </c>
      <c r="L25" s="7">
        <f t="shared" si="1"/>
        <v>8.75</v>
      </c>
      <c r="M25" s="7">
        <f t="shared" si="1"/>
        <v>10.75</v>
      </c>
      <c r="N25" s="7">
        <f t="shared" si="1"/>
        <v>0</v>
      </c>
      <c r="O25" s="7">
        <f t="shared" si="1"/>
        <v>6.5</v>
      </c>
      <c r="P25" s="7">
        <f t="shared" si="1"/>
        <v>6.5</v>
      </c>
      <c r="Q25" s="7">
        <f t="shared" si="1"/>
        <v>46.75</v>
      </c>
      <c r="R25" s="7">
        <f t="shared" si="1"/>
        <v>33</v>
      </c>
      <c r="S25" s="7">
        <f t="shared" si="1"/>
        <v>67.75</v>
      </c>
      <c r="T25" s="7">
        <f t="shared" si="1"/>
        <v>52</v>
      </c>
      <c r="U25" s="7">
        <f t="shared" si="1"/>
        <v>55.25</v>
      </c>
      <c r="V25" s="7">
        <f t="shared" si="1"/>
        <v>66.5</v>
      </c>
      <c r="W25" s="7">
        <f t="shared" si="1"/>
        <v>88.5</v>
      </c>
      <c r="X25" s="7">
        <f t="shared" si="1"/>
        <v>68.75</v>
      </c>
    </row>
    <row r="26" spans="1:2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80" t="s">
        <v>125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1"/>
    </row>
    <row r="28" spans="1:24" x14ac:dyDescent="0.25">
      <c r="A28" s="66"/>
      <c r="B28" s="81" t="s">
        <v>126</v>
      </c>
      <c r="C28" s="70"/>
      <c r="D28" s="70"/>
      <c r="E28" s="70"/>
      <c r="F28" s="70"/>
      <c r="G28" s="70"/>
      <c r="H28" s="70"/>
      <c r="I28" s="70"/>
      <c r="J28" s="70"/>
      <c r="K28" s="71"/>
      <c r="L28" s="81" t="s">
        <v>127</v>
      </c>
      <c r="M28" s="70"/>
      <c r="N28" s="70"/>
      <c r="O28" s="70"/>
      <c r="P28" s="71"/>
      <c r="Q28" s="81" t="s">
        <v>131</v>
      </c>
      <c r="R28" s="70"/>
      <c r="S28" s="70"/>
      <c r="T28" s="70"/>
      <c r="U28" s="70"/>
      <c r="V28" s="70"/>
      <c r="W28" s="70"/>
      <c r="X28" s="71"/>
    </row>
    <row r="29" spans="1:24" x14ac:dyDescent="0.25">
      <c r="A29" s="67" t="s">
        <v>78</v>
      </c>
      <c r="B29" s="67" t="str">
        <f>'Projected Hours'!B2</f>
        <v>Week 1</v>
      </c>
      <c r="C29" s="67" t="str">
        <f>'Projected Hours'!C2</f>
        <v>Week 2</v>
      </c>
      <c r="D29" s="67" t="str">
        <f>'Projected Hours'!D2</f>
        <v>Week 3</v>
      </c>
      <c r="E29" s="67" t="str">
        <f>'Projected Hours'!E2</f>
        <v>Week 4</v>
      </c>
      <c r="F29" s="67" t="str">
        <f>'Projected Hours'!F2</f>
        <v>Week 5</v>
      </c>
      <c r="G29" s="67" t="str">
        <f>'Projected Hours'!G2</f>
        <v>Week 6</v>
      </c>
      <c r="H29" s="67" t="str">
        <f>'Projected Hours'!H2</f>
        <v>Week 7</v>
      </c>
      <c r="I29" s="67" t="str">
        <f>'Projected Hours'!I2</f>
        <v>Week 8</v>
      </c>
      <c r="J29" s="67" t="str">
        <f>'Projected Hours'!J2</f>
        <v>Week 9</v>
      </c>
      <c r="K29" s="67" t="str">
        <f>'Projected Hours'!K2</f>
        <v>Week 10</v>
      </c>
      <c r="L29" s="67" t="str">
        <f>'Projected Hours'!L2</f>
        <v>Week 1</v>
      </c>
      <c r="M29" s="67" t="str">
        <f>'Projected Hours'!M2</f>
        <v>Week 2</v>
      </c>
      <c r="N29" s="67" t="str">
        <f>'Projected Hours'!N2</f>
        <v>Week 3</v>
      </c>
      <c r="O29" s="67" t="str">
        <f>'Projected Hours'!O2</f>
        <v>Week 4</v>
      </c>
      <c r="P29" s="67" t="str">
        <f>'Projected Hours'!P2</f>
        <v>Week 5</v>
      </c>
      <c r="Q29" s="67" t="str">
        <f>'Projected Hours'!Q2</f>
        <v>Week 1</v>
      </c>
      <c r="R29" s="67" t="str">
        <f>'Projected Hours'!R2</f>
        <v>Week 2</v>
      </c>
      <c r="S29" s="67" t="str">
        <f>'Projected Hours'!S2</f>
        <v>Week 3</v>
      </c>
      <c r="T29" s="67" t="str">
        <f>'Projected Hours'!T2</f>
        <v>Week 4</v>
      </c>
      <c r="U29" s="67" t="str">
        <f>'Projected Hours'!U2</f>
        <v>Week 5</v>
      </c>
      <c r="V29" s="67" t="str">
        <f>'Projected Hours'!V2</f>
        <v>Week 6</v>
      </c>
      <c r="W29" s="67" t="str">
        <f>'Projected Hours'!W2</f>
        <v>Week 7</v>
      </c>
      <c r="X29" s="67" t="str">
        <f>'Projected Hours'!X2</f>
        <v>Week 8</v>
      </c>
    </row>
    <row r="30" spans="1:24" x14ac:dyDescent="0.25">
      <c r="A30" s="68" t="s">
        <v>79</v>
      </c>
      <c r="B30" s="68">
        <f>'Projected Hours'!B3</f>
        <v>1</v>
      </c>
      <c r="C30" s="68">
        <f>'Projected Hours'!C3</f>
        <v>2</v>
      </c>
      <c r="D30" s="68">
        <f>'Projected Hours'!D3</f>
        <v>3</v>
      </c>
      <c r="E30" s="68">
        <f>'Projected Hours'!E3</f>
        <v>4</v>
      </c>
      <c r="F30" s="68">
        <f>'Projected Hours'!F3</f>
        <v>5</v>
      </c>
      <c r="G30" s="68">
        <f>'Projected Hours'!G3</f>
        <v>6</v>
      </c>
      <c r="H30" s="68">
        <f>'Projected Hours'!H3</f>
        <v>7</v>
      </c>
      <c r="I30" s="68">
        <f>'Projected Hours'!I3</f>
        <v>8</v>
      </c>
      <c r="J30" s="68">
        <f>'Projected Hours'!J3</f>
        <v>9</v>
      </c>
      <c r="K30" s="68">
        <f>'Projected Hours'!K3</f>
        <v>10</v>
      </c>
      <c r="L30" s="68">
        <f>'Projected Hours'!L3</f>
        <v>11</v>
      </c>
      <c r="M30" s="68">
        <f>'Projected Hours'!M3</f>
        <v>12</v>
      </c>
      <c r="N30" s="68">
        <f>'Projected Hours'!N3</f>
        <v>13</v>
      </c>
      <c r="O30" s="68">
        <f>'Projected Hours'!O3</f>
        <v>14</v>
      </c>
      <c r="P30" s="68">
        <f>'Projected Hours'!P3</f>
        <v>15</v>
      </c>
      <c r="Q30" s="68">
        <f>'Projected Hours'!Q3</f>
        <v>16</v>
      </c>
      <c r="R30" s="68">
        <f>'Projected Hours'!R3</f>
        <v>17</v>
      </c>
      <c r="S30" s="68">
        <f>'Projected Hours'!S3</f>
        <v>18</v>
      </c>
      <c r="T30" s="68">
        <f>'Projected Hours'!T3</f>
        <v>19</v>
      </c>
      <c r="U30" s="68">
        <f>'Projected Hours'!U3</f>
        <v>20</v>
      </c>
      <c r="V30" s="68">
        <f>'Projected Hours'!V3</f>
        <v>21</v>
      </c>
      <c r="W30" s="68">
        <f>'Projected Hours'!W3</f>
        <v>22</v>
      </c>
      <c r="X30" s="68">
        <f>'Projected Hours'!X3</f>
        <v>23</v>
      </c>
    </row>
    <row r="31" spans="1:24" x14ac:dyDescent="0.25">
      <c r="A31" s="2" t="s">
        <v>132</v>
      </c>
      <c r="B31" s="7">
        <f t="shared" ref="B31:X31" si="2">B5-B18</f>
        <v>0</v>
      </c>
      <c r="C31" s="7">
        <f t="shared" si="2"/>
        <v>0</v>
      </c>
      <c r="D31" s="7">
        <f t="shared" si="2"/>
        <v>0</v>
      </c>
      <c r="E31" s="7">
        <f t="shared" si="2"/>
        <v>0</v>
      </c>
      <c r="F31" s="7">
        <f t="shared" si="2"/>
        <v>0</v>
      </c>
      <c r="G31" s="7">
        <f t="shared" si="2"/>
        <v>0</v>
      </c>
      <c r="H31" s="7">
        <f t="shared" si="2"/>
        <v>0</v>
      </c>
      <c r="I31" s="7">
        <f t="shared" si="2"/>
        <v>0</v>
      </c>
      <c r="J31" s="7">
        <f t="shared" si="2"/>
        <v>0</v>
      </c>
      <c r="K31" s="7">
        <f t="shared" si="2"/>
        <v>0</v>
      </c>
      <c r="L31" s="7">
        <f t="shared" si="2"/>
        <v>0</v>
      </c>
      <c r="M31" s="7">
        <f t="shared" si="2"/>
        <v>0</v>
      </c>
      <c r="N31" s="7">
        <f t="shared" si="2"/>
        <v>0</v>
      </c>
      <c r="O31" s="7">
        <f t="shared" si="2"/>
        <v>0</v>
      </c>
      <c r="P31" s="7">
        <f t="shared" si="2"/>
        <v>0</v>
      </c>
      <c r="Q31" s="7">
        <f t="shared" si="2"/>
        <v>0</v>
      </c>
      <c r="R31" s="7">
        <f t="shared" si="2"/>
        <v>0</v>
      </c>
      <c r="S31" s="7">
        <f t="shared" si="2"/>
        <v>0</v>
      </c>
      <c r="T31" s="7">
        <f t="shared" si="2"/>
        <v>-1.5</v>
      </c>
      <c r="U31" s="7">
        <f t="shared" si="2"/>
        <v>-2.5</v>
      </c>
      <c r="V31" s="7">
        <f t="shared" si="2"/>
        <v>-5</v>
      </c>
      <c r="W31" s="7">
        <f t="shared" si="2"/>
        <v>-3.25</v>
      </c>
      <c r="X31" s="7">
        <f t="shared" si="2"/>
        <v>2</v>
      </c>
    </row>
    <row r="32" spans="1:24" x14ac:dyDescent="0.25">
      <c r="A32" s="2" t="s">
        <v>133</v>
      </c>
      <c r="B32" s="7">
        <f t="shared" ref="B32:X32" si="3">B6-B19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O32" s="7">
        <f t="shared" si="3"/>
        <v>0</v>
      </c>
      <c r="P32" s="7">
        <f t="shared" si="3"/>
        <v>0</v>
      </c>
      <c r="Q32" s="7">
        <f t="shared" si="3"/>
        <v>0</v>
      </c>
      <c r="R32" s="7">
        <f t="shared" si="3"/>
        <v>0</v>
      </c>
      <c r="S32" s="7">
        <f t="shared" si="3"/>
        <v>0</v>
      </c>
      <c r="T32" s="7">
        <f t="shared" si="3"/>
        <v>-2.5</v>
      </c>
      <c r="U32" s="7">
        <f t="shared" si="3"/>
        <v>3</v>
      </c>
      <c r="V32" s="7">
        <f t="shared" si="3"/>
        <v>-0.75</v>
      </c>
      <c r="W32" s="7">
        <f t="shared" si="3"/>
        <v>1.75</v>
      </c>
      <c r="X32" s="7">
        <f t="shared" si="3"/>
        <v>4.5</v>
      </c>
    </row>
    <row r="33" spans="1:24" x14ac:dyDescent="0.25">
      <c r="A33" s="2" t="s">
        <v>134</v>
      </c>
      <c r="B33" s="7">
        <f t="shared" ref="B33:X33" si="4">B7-B20</f>
        <v>0</v>
      </c>
      <c r="C33" s="7">
        <f t="shared" si="4"/>
        <v>0</v>
      </c>
      <c r="D33" s="7">
        <f t="shared" si="4"/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4"/>
        <v>0</v>
      </c>
      <c r="R33" s="7">
        <f t="shared" si="4"/>
        <v>0</v>
      </c>
      <c r="S33" s="7">
        <f t="shared" si="4"/>
        <v>0</v>
      </c>
      <c r="T33" s="7">
        <f t="shared" si="4"/>
        <v>1</v>
      </c>
      <c r="U33" s="7">
        <f t="shared" si="4"/>
        <v>1</v>
      </c>
      <c r="V33" s="7">
        <f t="shared" si="4"/>
        <v>1</v>
      </c>
      <c r="W33" s="7">
        <f t="shared" si="4"/>
        <v>-12.5</v>
      </c>
      <c r="X33" s="7">
        <f t="shared" si="4"/>
        <v>-11.75</v>
      </c>
    </row>
    <row r="34" spans="1:24" x14ac:dyDescent="0.25">
      <c r="A34" s="2" t="s">
        <v>135</v>
      </c>
      <c r="B34" s="7">
        <f t="shared" ref="B34:X34" si="5">B8-B21</f>
        <v>0</v>
      </c>
      <c r="C34" s="7">
        <f t="shared" si="5"/>
        <v>0</v>
      </c>
      <c r="D34" s="7">
        <f t="shared" si="5"/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 t="shared" si="5"/>
        <v>0</v>
      </c>
      <c r="L34" s="7">
        <f t="shared" si="5"/>
        <v>0</v>
      </c>
      <c r="M34" s="7">
        <f t="shared" si="5"/>
        <v>0</v>
      </c>
      <c r="N34" s="7">
        <f t="shared" si="5"/>
        <v>0</v>
      </c>
      <c r="O34" s="7">
        <f t="shared" si="5"/>
        <v>0</v>
      </c>
      <c r="P34" s="7">
        <f t="shared" si="5"/>
        <v>0</v>
      </c>
      <c r="Q34" s="7">
        <f t="shared" si="5"/>
        <v>0</v>
      </c>
      <c r="R34" s="7">
        <f t="shared" si="5"/>
        <v>0</v>
      </c>
      <c r="S34" s="7">
        <f t="shared" si="5"/>
        <v>0</v>
      </c>
      <c r="T34" s="7">
        <f t="shared" si="5"/>
        <v>2.25</v>
      </c>
      <c r="U34" s="7">
        <f t="shared" si="5"/>
        <v>1</v>
      </c>
      <c r="V34" s="7">
        <f t="shared" si="5"/>
        <v>-0.5</v>
      </c>
      <c r="W34" s="7">
        <f t="shared" si="5"/>
        <v>5</v>
      </c>
      <c r="X34" s="7">
        <f t="shared" si="5"/>
        <v>0</v>
      </c>
    </row>
    <row r="35" spans="1:24" x14ac:dyDescent="0.25">
      <c r="A35" s="2" t="s">
        <v>136</v>
      </c>
      <c r="B35" s="7">
        <f t="shared" ref="B35:X35" si="6">B9-B22</f>
        <v>0</v>
      </c>
      <c r="C35" s="7">
        <f t="shared" si="6"/>
        <v>0</v>
      </c>
      <c r="D35" s="7">
        <f t="shared" si="6"/>
        <v>0</v>
      </c>
      <c r="E35" s="7">
        <f t="shared" si="6"/>
        <v>0</v>
      </c>
      <c r="F35" s="7">
        <f t="shared" si="6"/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  <c r="K35" s="7">
        <f t="shared" si="6"/>
        <v>0</v>
      </c>
      <c r="L35" s="7">
        <f t="shared" si="6"/>
        <v>0</v>
      </c>
      <c r="M35" s="7">
        <f t="shared" si="6"/>
        <v>0</v>
      </c>
      <c r="N35" s="7">
        <f t="shared" si="6"/>
        <v>0</v>
      </c>
      <c r="O35" s="7">
        <f t="shared" si="6"/>
        <v>0</v>
      </c>
      <c r="P35" s="7">
        <f t="shared" si="6"/>
        <v>0</v>
      </c>
      <c r="Q35" s="7">
        <f t="shared" si="6"/>
        <v>0</v>
      </c>
      <c r="R35" s="7">
        <f t="shared" si="6"/>
        <v>0</v>
      </c>
      <c r="S35" s="7">
        <f t="shared" si="6"/>
        <v>0</v>
      </c>
      <c r="T35" s="7">
        <f t="shared" si="6"/>
        <v>-4.5</v>
      </c>
      <c r="U35" s="7">
        <f t="shared" si="6"/>
        <v>0</v>
      </c>
      <c r="V35" s="7">
        <f t="shared" si="6"/>
        <v>-3.75</v>
      </c>
      <c r="W35" s="7">
        <f t="shared" si="6"/>
        <v>-0.5</v>
      </c>
      <c r="X35" s="7">
        <f t="shared" si="6"/>
        <v>3</v>
      </c>
    </row>
    <row r="36" spans="1:24" x14ac:dyDescent="0.25">
      <c r="A36" s="2" t="s">
        <v>137</v>
      </c>
      <c r="B36" s="7">
        <f t="shared" ref="B36:X36" si="7">B10-B23</f>
        <v>0</v>
      </c>
      <c r="C36" s="7">
        <f t="shared" si="7"/>
        <v>0</v>
      </c>
      <c r="D36" s="7">
        <f t="shared" si="7"/>
        <v>0</v>
      </c>
      <c r="E36" s="7">
        <f t="shared" si="7"/>
        <v>0</v>
      </c>
      <c r="F36" s="7">
        <f t="shared" si="7"/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7">
        <f t="shared" si="7"/>
        <v>0</v>
      </c>
      <c r="L36" s="7">
        <f t="shared" si="7"/>
        <v>0</v>
      </c>
      <c r="M36" s="7">
        <f t="shared" si="7"/>
        <v>0</v>
      </c>
      <c r="N36" s="7">
        <f t="shared" si="7"/>
        <v>0</v>
      </c>
      <c r="O36" s="7">
        <f t="shared" si="7"/>
        <v>0</v>
      </c>
      <c r="P36" s="7">
        <f t="shared" si="7"/>
        <v>0</v>
      </c>
      <c r="Q36" s="7">
        <f t="shared" si="7"/>
        <v>0</v>
      </c>
      <c r="R36" s="7">
        <f t="shared" si="7"/>
        <v>0</v>
      </c>
      <c r="S36" s="7">
        <f t="shared" si="7"/>
        <v>0</v>
      </c>
      <c r="T36" s="7">
        <f t="shared" si="7"/>
        <v>-3.5</v>
      </c>
      <c r="U36" s="7">
        <f t="shared" si="7"/>
        <v>-0.75</v>
      </c>
      <c r="V36" s="7">
        <f t="shared" si="7"/>
        <v>-2.5</v>
      </c>
      <c r="W36" s="7">
        <f t="shared" si="7"/>
        <v>-3.5</v>
      </c>
      <c r="X36" s="7">
        <f t="shared" si="7"/>
        <v>1.75</v>
      </c>
    </row>
    <row r="37" spans="1:24" x14ac:dyDescent="0.25">
      <c r="A37" s="2" t="s">
        <v>138</v>
      </c>
      <c r="B37" s="7">
        <f t="shared" ref="B37:X37" si="8">B11-B24</f>
        <v>0</v>
      </c>
      <c r="C37" s="7">
        <f t="shared" si="8"/>
        <v>0</v>
      </c>
      <c r="D37" s="7">
        <f t="shared" si="8"/>
        <v>0</v>
      </c>
      <c r="E37" s="7">
        <f t="shared" si="8"/>
        <v>0</v>
      </c>
      <c r="F37" s="7">
        <f t="shared" si="8"/>
        <v>0</v>
      </c>
      <c r="G37" s="7">
        <f t="shared" si="8"/>
        <v>0</v>
      </c>
      <c r="H37" s="7">
        <f t="shared" si="8"/>
        <v>0</v>
      </c>
      <c r="I37" s="7">
        <f t="shared" si="8"/>
        <v>0</v>
      </c>
      <c r="J37" s="7">
        <f t="shared" si="8"/>
        <v>0</v>
      </c>
      <c r="K37" s="7">
        <f t="shared" si="8"/>
        <v>0</v>
      </c>
      <c r="L37" s="7">
        <f t="shared" si="8"/>
        <v>0</v>
      </c>
      <c r="M37" s="7">
        <f t="shared" si="8"/>
        <v>0</v>
      </c>
      <c r="N37" s="7">
        <f t="shared" si="8"/>
        <v>0</v>
      </c>
      <c r="O37" s="7">
        <f t="shared" si="8"/>
        <v>0</v>
      </c>
      <c r="P37" s="7">
        <f t="shared" si="8"/>
        <v>0</v>
      </c>
      <c r="Q37" s="7">
        <f t="shared" si="8"/>
        <v>0</v>
      </c>
      <c r="R37" s="7">
        <f t="shared" si="8"/>
        <v>0</v>
      </c>
      <c r="S37" s="7">
        <f t="shared" si="8"/>
        <v>0</v>
      </c>
      <c r="T37" s="7">
        <f t="shared" si="8"/>
        <v>8</v>
      </c>
      <c r="U37" s="7">
        <f t="shared" si="8"/>
        <v>8</v>
      </c>
      <c r="V37" s="7">
        <f t="shared" si="8"/>
        <v>14.5</v>
      </c>
      <c r="W37" s="7">
        <f t="shared" si="8"/>
        <v>12</v>
      </c>
      <c r="X37" s="7">
        <f t="shared" si="8"/>
        <v>-9.25</v>
      </c>
    </row>
    <row r="38" spans="1:24" x14ac:dyDescent="0.25">
      <c r="A38" s="2" t="s">
        <v>128</v>
      </c>
      <c r="B38" s="7">
        <f t="shared" ref="B38:X38" si="9">SUM(B31:B37)</f>
        <v>0</v>
      </c>
      <c r="C38" s="7">
        <f t="shared" si="9"/>
        <v>0</v>
      </c>
      <c r="D38" s="7">
        <f t="shared" si="9"/>
        <v>0</v>
      </c>
      <c r="E38" s="7">
        <f t="shared" si="9"/>
        <v>0</v>
      </c>
      <c r="F38" s="7">
        <f t="shared" si="9"/>
        <v>0</v>
      </c>
      <c r="G38" s="7">
        <f t="shared" si="9"/>
        <v>0</v>
      </c>
      <c r="H38" s="7">
        <f t="shared" si="9"/>
        <v>0</v>
      </c>
      <c r="I38" s="7">
        <f t="shared" si="9"/>
        <v>0</v>
      </c>
      <c r="J38" s="7">
        <f t="shared" si="9"/>
        <v>0</v>
      </c>
      <c r="K38" s="7">
        <f t="shared" si="9"/>
        <v>0</v>
      </c>
      <c r="L38" s="7">
        <f t="shared" si="9"/>
        <v>0</v>
      </c>
      <c r="M38" s="7">
        <f t="shared" si="9"/>
        <v>0</v>
      </c>
      <c r="N38" s="7">
        <f t="shared" si="9"/>
        <v>0</v>
      </c>
      <c r="O38" s="7">
        <f t="shared" si="9"/>
        <v>0</v>
      </c>
      <c r="P38" s="7">
        <f t="shared" si="9"/>
        <v>0</v>
      </c>
      <c r="Q38" s="7">
        <f t="shared" si="9"/>
        <v>0</v>
      </c>
      <c r="R38" s="7">
        <f t="shared" si="9"/>
        <v>0</v>
      </c>
      <c r="S38" s="7">
        <f t="shared" si="9"/>
        <v>0</v>
      </c>
      <c r="T38" s="7">
        <f t="shared" si="9"/>
        <v>-0.75</v>
      </c>
      <c r="U38" s="7">
        <f t="shared" si="9"/>
        <v>9.75</v>
      </c>
      <c r="V38" s="7">
        <f t="shared" si="9"/>
        <v>3</v>
      </c>
      <c r="W38" s="7">
        <f t="shared" si="9"/>
        <v>-1</v>
      </c>
      <c r="X38" s="7">
        <f t="shared" si="9"/>
        <v>-9.75</v>
      </c>
    </row>
    <row r="39" spans="1:24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spans="1:24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 spans="1:24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 spans="1:24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 spans="1:24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 spans="1:24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 spans="1:24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 spans="1:24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 spans="1:24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 spans="1:24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 spans="1:24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 spans="1:24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 spans="1:24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 spans="1:24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 spans="1:24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 spans="1:24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</sheetData>
  <mergeCells count="12">
    <mergeCell ref="A1:X1"/>
    <mergeCell ref="B2:K2"/>
    <mergeCell ref="L2:P2"/>
    <mergeCell ref="Q2:X2"/>
    <mergeCell ref="A14:X14"/>
    <mergeCell ref="B15:K15"/>
    <mergeCell ref="A27:X27"/>
    <mergeCell ref="B28:K28"/>
    <mergeCell ref="L28:P28"/>
    <mergeCell ref="Q28:X28"/>
    <mergeCell ref="L15:P15"/>
    <mergeCell ref="Q15:X15"/>
  </mergeCells>
  <conditionalFormatting sqref="B31:X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Cash Flow Forecast</vt:lpstr>
      <vt:lpstr>Cost Breakdown</vt:lpstr>
      <vt:lpstr>Overhead Recovery</vt:lpstr>
      <vt:lpstr>Projected Hours</vt:lpstr>
      <vt:lpstr>Actual Cash Flow</vt:lpstr>
      <vt:lpstr>Variance (Individuals)</vt:lpstr>
      <vt:lpstr>Variance (Department)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Richardson</dc:creator>
  <cp:lastModifiedBy>Thomas Edward Lea Richardson</cp:lastModifiedBy>
  <dcterms:created xsi:type="dcterms:W3CDTF">2023-06-06T17:59:09Z</dcterms:created>
  <dcterms:modified xsi:type="dcterms:W3CDTF">2023-06-06T17:59:10Z</dcterms:modified>
</cp:coreProperties>
</file>