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lri\Documents\Electronic Engineering\Year 3\Spring Term\ELE00056H Software Engineering Project\FinanceVersions\"/>
    </mc:Choice>
  </mc:AlternateContent>
  <xr:revisionPtr revIDLastSave="0" documentId="8_{77C5E9AB-38B2-4CEA-9D26-D176162791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 Forecast" sheetId="1" r:id="rId1"/>
    <sheet name="Projected Hou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0" i="2" l="1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S59" i="2"/>
  <c r="O59" i="2"/>
  <c r="N59" i="2"/>
  <c r="M59" i="2"/>
  <c r="L59" i="2"/>
  <c r="K59" i="2"/>
  <c r="I59" i="2"/>
  <c r="G59" i="2"/>
  <c r="F59" i="2"/>
  <c r="E59" i="2"/>
  <c r="D59" i="2"/>
  <c r="C59" i="2"/>
  <c r="B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Q58" i="2"/>
  <c r="P58" i="2"/>
  <c r="O58" i="2"/>
  <c r="N58" i="2"/>
  <c r="M58" i="2"/>
  <c r="L58" i="2"/>
  <c r="J58" i="2"/>
  <c r="G58" i="2"/>
  <c r="F58" i="2"/>
  <c r="E58" i="2"/>
  <c r="D58" i="2"/>
  <c r="C58" i="2"/>
  <c r="B58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S57" i="2"/>
  <c r="Q57" i="2"/>
  <c r="P57" i="2"/>
  <c r="O57" i="2"/>
  <c r="N57" i="2"/>
  <c r="M57" i="2"/>
  <c r="L57" i="2"/>
  <c r="K57" i="2"/>
  <c r="G57" i="2"/>
  <c r="F57" i="2"/>
  <c r="E57" i="2"/>
  <c r="D57" i="2"/>
  <c r="C57" i="2"/>
  <c r="B57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H56" i="2"/>
  <c r="G56" i="2"/>
  <c r="F56" i="2"/>
  <c r="E56" i="2"/>
  <c r="D56" i="2"/>
  <c r="C56" i="2"/>
  <c r="B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Q55" i="2"/>
  <c r="P55" i="2"/>
  <c r="O55" i="2"/>
  <c r="N55" i="2"/>
  <c r="M55" i="2"/>
  <c r="L55" i="2"/>
  <c r="G55" i="2"/>
  <c r="F55" i="2"/>
  <c r="E55" i="2"/>
  <c r="D55" i="2"/>
  <c r="C55" i="2"/>
  <c r="B55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R54" i="2"/>
  <c r="Q54" i="2"/>
  <c r="P54" i="2"/>
  <c r="O54" i="2"/>
  <c r="N54" i="2"/>
  <c r="M54" i="2"/>
  <c r="L54" i="2"/>
  <c r="J54" i="2"/>
  <c r="I54" i="2"/>
  <c r="H54" i="2"/>
  <c r="G54" i="2"/>
  <c r="F54" i="2"/>
  <c r="E54" i="2"/>
  <c r="D54" i="2"/>
  <c r="C54" i="2"/>
  <c r="B54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O53" i="2"/>
  <c r="N53" i="2"/>
  <c r="M53" i="2"/>
  <c r="L53" i="2"/>
  <c r="K53" i="2"/>
  <c r="I53" i="2"/>
  <c r="G53" i="2"/>
  <c r="F53" i="2"/>
  <c r="E53" i="2"/>
  <c r="D53" i="2"/>
  <c r="C53" i="2"/>
  <c r="B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H52" i="2"/>
  <c r="G52" i="2"/>
  <c r="F52" i="2"/>
  <c r="E52" i="2"/>
  <c r="D52" i="2"/>
  <c r="C52" i="2"/>
  <c r="B52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N51" i="2"/>
  <c r="M51" i="2"/>
  <c r="K51" i="2"/>
  <c r="J51" i="2"/>
  <c r="F51" i="2"/>
  <c r="E51" i="2"/>
  <c r="D51" i="2"/>
  <c r="C51" i="2"/>
  <c r="B51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R50" i="2"/>
  <c r="P50" i="2"/>
  <c r="O50" i="2"/>
  <c r="N50" i="2"/>
  <c r="L50" i="2"/>
  <c r="I50" i="2"/>
  <c r="F50" i="2"/>
  <c r="E50" i="2"/>
  <c r="D50" i="2"/>
  <c r="C50" i="2"/>
  <c r="B50" i="2"/>
  <c r="AN46" i="2"/>
  <c r="AN10" i="1" s="1"/>
  <c r="AF46" i="2"/>
  <c r="AF10" i="1" s="1"/>
  <c r="AD46" i="2"/>
  <c r="AD10" i="1" s="1"/>
  <c r="AD11" i="1" s="1"/>
  <c r="AD30" i="1" s="1"/>
  <c r="AD32" i="1" s="1"/>
  <c r="B46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S44" i="2"/>
  <c r="P44" i="2"/>
  <c r="O44" i="2"/>
  <c r="N44" i="2"/>
  <c r="M44" i="2"/>
  <c r="L44" i="2"/>
  <c r="K44" i="2"/>
  <c r="I44" i="2"/>
  <c r="G44" i="2"/>
  <c r="F44" i="2"/>
  <c r="E44" i="2"/>
  <c r="D44" i="2"/>
  <c r="C44" i="2"/>
  <c r="B44" i="2"/>
  <c r="T42" i="2"/>
  <c r="R42" i="2"/>
  <c r="R59" i="2" s="1"/>
  <c r="Q42" i="2"/>
  <c r="Q59" i="2" s="1"/>
  <c r="P42" i="2"/>
  <c r="P59" i="2" s="1"/>
  <c r="J42" i="2"/>
  <c r="I42" i="2"/>
  <c r="H42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S39" i="2"/>
  <c r="R39" i="2"/>
  <c r="Q39" i="2"/>
  <c r="O39" i="2"/>
  <c r="N39" i="2"/>
  <c r="M39" i="2"/>
  <c r="L39" i="2"/>
  <c r="K39" i="2"/>
  <c r="I39" i="2"/>
  <c r="G39" i="2"/>
  <c r="F39" i="2"/>
  <c r="E39" i="2"/>
  <c r="D39" i="2"/>
  <c r="C39" i="2"/>
  <c r="B39" i="2"/>
  <c r="T38" i="2"/>
  <c r="I38" i="2"/>
  <c r="H38" i="2"/>
  <c r="H58" i="2" s="1"/>
  <c r="P37" i="2"/>
  <c r="P53" i="2" s="1"/>
  <c r="J37" i="2"/>
  <c r="I37" i="2"/>
  <c r="H37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P34" i="2"/>
  <c r="O34" i="2"/>
  <c r="N34" i="2"/>
  <c r="L34" i="2"/>
  <c r="L46" i="2" s="1"/>
  <c r="L10" i="1" s="1"/>
  <c r="I34" i="2"/>
  <c r="F34" i="2"/>
  <c r="E34" i="2"/>
  <c r="D34" i="2"/>
  <c r="C34" i="2"/>
  <c r="B34" i="2"/>
  <c r="S32" i="2"/>
  <c r="S31" i="2"/>
  <c r="S55" i="2" s="1"/>
  <c r="S28" i="2"/>
  <c r="R28" i="2"/>
  <c r="Q28" i="2"/>
  <c r="Q50" i="2" s="1"/>
  <c r="S26" i="2"/>
  <c r="S54" i="2" s="1"/>
  <c r="K26" i="2"/>
  <c r="H26" i="2"/>
  <c r="S25" i="2"/>
  <c r="R25" i="2"/>
  <c r="Q25" i="2"/>
  <c r="Q34" i="2" s="1"/>
  <c r="P25" i="2"/>
  <c r="P51" i="2" s="1"/>
  <c r="O25" i="2"/>
  <c r="O51" i="2" s="1"/>
  <c r="M25" i="2"/>
  <c r="M34" i="2" s="1"/>
  <c r="L25" i="2"/>
  <c r="L51" i="2" s="1"/>
  <c r="J25" i="2"/>
  <c r="J34" i="2" s="1"/>
  <c r="I25" i="2"/>
  <c r="I51" i="2" s="1"/>
  <c r="H25" i="2"/>
  <c r="H51" i="2" s="1"/>
  <c r="G25" i="2"/>
  <c r="G51" i="2" s="1"/>
  <c r="T24" i="2"/>
  <c r="R24" i="2"/>
  <c r="Q24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G22" i="2"/>
  <c r="F22" i="2"/>
  <c r="F46" i="2" s="1"/>
  <c r="E22" i="2"/>
  <c r="D22" i="2"/>
  <c r="C22" i="2"/>
  <c r="B22" i="2"/>
  <c r="K21" i="2"/>
  <c r="K56" i="2" s="1"/>
  <c r="J21" i="2"/>
  <c r="I21" i="2"/>
  <c r="I56" i="2" s="1"/>
  <c r="H21" i="2"/>
  <c r="K20" i="2"/>
  <c r="K52" i="2" s="1"/>
  <c r="J20" i="2"/>
  <c r="I20" i="2"/>
  <c r="I52" i="2" s="1"/>
  <c r="H20" i="2"/>
  <c r="H22" i="2" s="1"/>
  <c r="AN17" i="2"/>
  <c r="AM17" i="2"/>
  <c r="AL17" i="2"/>
  <c r="AL46" i="2" s="1"/>
  <c r="AK17" i="2"/>
  <c r="AJ17" i="2"/>
  <c r="AI17" i="2"/>
  <c r="AH17" i="2"/>
  <c r="AH46" i="2" s="1"/>
  <c r="AG17" i="2"/>
  <c r="AF17" i="2"/>
  <c r="AE17" i="2"/>
  <c r="AD17" i="2"/>
  <c r="AC17" i="2"/>
  <c r="AB17" i="2"/>
  <c r="AA17" i="2"/>
  <c r="Z17" i="2"/>
  <c r="Z46" i="2" s="1"/>
  <c r="Y17" i="2"/>
  <c r="X17" i="2"/>
  <c r="W17" i="2"/>
  <c r="V17" i="2"/>
  <c r="V46" i="2" s="1"/>
  <c r="V10" i="1" s="1"/>
  <c r="V11" i="1" s="1"/>
  <c r="V30" i="1" s="1"/>
  <c r="V32" i="1" s="1"/>
  <c r="U17" i="2"/>
  <c r="S17" i="2"/>
  <c r="R17" i="2"/>
  <c r="Q17" i="2"/>
  <c r="P17" i="2"/>
  <c r="O17" i="2"/>
  <c r="N17" i="2"/>
  <c r="N46" i="2" s="1"/>
  <c r="N10" i="1" s="1"/>
  <c r="N11" i="1" s="1"/>
  <c r="N30" i="1" s="1"/>
  <c r="N32" i="1" s="1"/>
  <c r="M17" i="2"/>
  <c r="L17" i="2"/>
  <c r="H17" i="2"/>
  <c r="F17" i="2"/>
  <c r="E17" i="2"/>
  <c r="D17" i="2"/>
  <c r="C17" i="2"/>
  <c r="B17" i="2"/>
  <c r="R16" i="2"/>
  <c r="R55" i="2" s="1"/>
  <c r="K16" i="2"/>
  <c r="K55" i="2" s="1"/>
  <c r="J16" i="2"/>
  <c r="J55" i="2" s="1"/>
  <c r="I16" i="2"/>
  <c r="I55" i="2" s="1"/>
  <c r="H16" i="2"/>
  <c r="H55" i="2" s="1"/>
  <c r="T15" i="2"/>
  <c r="R15" i="2"/>
  <c r="R57" i="2" s="1"/>
  <c r="K15" i="2"/>
  <c r="J15" i="2"/>
  <c r="J57" i="2" s="1"/>
  <c r="I15" i="2"/>
  <c r="I57" i="2" s="1"/>
  <c r="H15" i="2"/>
  <c r="H57" i="2" s="1"/>
  <c r="G15" i="2"/>
  <c r="G17" i="2" s="1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X46" i="2" s="1"/>
  <c r="X10" i="1" s="1"/>
  <c r="W12" i="2"/>
  <c r="V12" i="2"/>
  <c r="U12" i="2"/>
  <c r="S12" i="2"/>
  <c r="Q12" i="2"/>
  <c r="P12" i="2"/>
  <c r="O12" i="2"/>
  <c r="N12" i="2"/>
  <c r="M12" i="2"/>
  <c r="L12" i="2"/>
  <c r="J12" i="2"/>
  <c r="I12" i="2"/>
  <c r="G12" i="2"/>
  <c r="F12" i="2"/>
  <c r="E12" i="2"/>
  <c r="D12" i="2"/>
  <c r="C12" i="2"/>
  <c r="B12" i="2"/>
  <c r="T11" i="2"/>
  <c r="T10" i="2"/>
  <c r="S10" i="2"/>
  <c r="S58" i="2" s="1"/>
  <c r="R10" i="2"/>
  <c r="R58" i="2" s="1"/>
  <c r="K10" i="2"/>
  <c r="I10" i="2"/>
  <c r="H10" i="2"/>
  <c r="H12" i="2" s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S7" i="2"/>
  <c r="R7" i="2"/>
  <c r="Q7" i="2"/>
  <c r="P7" i="2"/>
  <c r="O7" i="2"/>
  <c r="N7" i="2"/>
  <c r="L7" i="2"/>
  <c r="I7" i="2"/>
  <c r="G7" i="2"/>
  <c r="F7" i="2"/>
  <c r="E7" i="2"/>
  <c r="D7" i="2"/>
  <c r="C7" i="2"/>
  <c r="B7" i="2"/>
  <c r="T6" i="2"/>
  <c r="R6" i="2"/>
  <c r="M6" i="2"/>
  <c r="K6" i="2"/>
  <c r="K50" i="2" s="1"/>
  <c r="J6" i="2"/>
  <c r="J50" i="2" s="1"/>
  <c r="I6" i="2"/>
  <c r="H6" i="2"/>
  <c r="G6" i="2"/>
  <c r="G50" i="2" s="1"/>
  <c r="B63" i="1"/>
  <c r="B62" i="1"/>
  <c r="B52" i="1"/>
  <c r="B53" i="1" s="1"/>
  <c r="B48" i="1"/>
  <c r="B4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34" i="1"/>
  <c r="AK31" i="1"/>
  <c r="AJ31" i="1"/>
  <c r="AC31" i="1"/>
  <c r="Y31" i="1"/>
  <c r="X31" i="1"/>
  <c r="U31" i="1"/>
  <c r="P31" i="1"/>
  <c r="O31" i="1"/>
  <c r="I31" i="1"/>
  <c r="H31" i="1"/>
  <c r="AD24" i="1"/>
  <c r="N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22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J20" i="1" s="1"/>
  <c r="Z19" i="1"/>
  <c r="Y19" i="1"/>
  <c r="X19" i="1"/>
  <c r="W19" i="1"/>
  <c r="Z20" i="1" s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20" i="1" s="1"/>
  <c r="B19" i="1"/>
  <c r="Z18" i="1"/>
  <c r="AN17" i="1"/>
  <c r="AM17" i="1"/>
  <c r="AL17" i="1"/>
  <c r="AK17" i="1"/>
  <c r="AN18" i="1" s="1"/>
  <c r="AJ17" i="1"/>
  <c r="AI17" i="1"/>
  <c r="AH17" i="1"/>
  <c r="AG17" i="1"/>
  <c r="AF17" i="1"/>
  <c r="AE17" i="1"/>
  <c r="AD17" i="1"/>
  <c r="AC17" i="1"/>
  <c r="AB17" i="1"/>
  <c r="AJ18" i="1" s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V18" i="1" s="1"/>
  <c r="K17" i="1"/>
  <c r="J17" i="1"/>
  <c r="I17" i="1"/>
  <c r="H17" i="1"/>
  <c r="K18" i="1" s="1"/>
  <c r="G17" i="1"/>
  <c r="F17" i="1"/>
  <c r="E17" i="1"/>
  <c r="D17" i="1"/>
  <c r="G18" i="1" s="1"/>
  <c r="C17" i="1"/>
  <c r="B17" i="1"/>
  <c r="AD15" i="1"/>
  <c r="I15" i="1"/>
  <c r="AN12" i="1"/>
  <c r="AN31" i="1" s="1"/>
  <c r="AM12" i="1"/>
  <c r="AM31" i="1" s="1"/>
  <c r="AL12" i="1"/>
  <c r="AL31" i="1" s="1"/>
  <c r="AK12" i="1"/>
  <c r="AJ12" i="1"/>
  <c r="AI12" i="1"/>
  <c r="AI31" i="1" s="1"/>
  <c r="AH12" i="1"/>
  <c r="AH31" i="1" s="1"/>
  <c r="AG12" i="1"/>
  <c r="AG31" i="1" s="1"/>
  <c r="AF12" i="1"/>
  <c r="AF31" i="1" s="1"/>
  <c r="AE12" i="1"/>
  <c r="AE31" i="1" s="1"/>
  <c r="AD12" i="1"/>
  <c r="AD31" i="1" s="1"/>
  <c r="AC12" i="1"/>
  <c r="AB12" i="1"/>
  <c r="AB31" i="1" s="1"/>
  <c r="AA12" i="1"/>
  <c r="AA31" i="1" s="1"/>
  <c r="Z12" i="1"/>
  <c r="Z31" i="1" s="1"/>
  <c r="Z32" i="1" s="1"/>
  <c r="Y12" i="1"/>
  <c r="X12" i="1"/>
  <c r="W12" i="1"/>
  <c r="W31" i="1" s="1"/>
  <c r="V12" i="1"/>
  <c r="V31" i="1" s="1"/>
  <c r="U12" i="1"/>
  <c r="T12" i="1"/>
  <c r="T31" i="1" s="1"/>
  <c r="S12" i="1"/>
  <c r="S31" i="1" s="1"/>
  <c r="R12" i="1"/>
  <c r="R31" i="1" s="1"/>
  <c r="Q12" i="1"/>
  <c r="Q31" i="1" s="1"/>
  <c r="P12" i="1"/>
  <c r="O12" i="1"/>
  <c r="N12" i="1"/>
  <c r="N31" i="1" s="1"/>
  <c r="M12" i="1"/>
  <c r="M31" i="1" s="1"/>
  <c r="L12" i="1"/>
  <c r="L31" i="1" s="1"/>
  <c r="K12" i="1"/>
  <c r="K31" i="1" s="1"/>
  <c r="J12" i="1"/>
  <c r="J31" i="1" s="1"/>
  <c r="I12" i="1"/>
  <c r="H12" i="1"/>
  <c r="G12" i="1"/>
  <c r="G31" i="1" s="1"/>
  <c r="F12" i="1"/>
  <c r="F31" i="1" s="1"/>
  <c r="E12" i="1"/>
  <c r="E31" i="1" s="1"/>
  <c r="D12" i="1"/>
  <c r="D31" i="1" s="1"/>
  <c r="C12" i="1"/>
  <c r="C31" i="1" s="1"/>
  <c r="B12" i="1"/>
  <c r="Z11" i="1"/>
  <c r="Z30" i="1" s="1"/>
  <c r="AL10" i="1"/>
  <c r="AL11" i="1" s="1"/>
  <c r="AH10" i="1"/>
  <c r="AH11" i="1" s="1"/>
  <c r="AH30" i="1" s="1"/>
  <c r="AH32" i="1" s="1"/>
  <c r="Z10" i="1"/>
  <c r="F10" i="1"/>
  <c r="F11" i="1" s="1"/>
  <c r="B10" i="1"/>
  <c r="B11" i="1" s="1"/>
  <c r="AN9" i="1"/>
  <c r="AM9" i="1"/>
  <c r="AL9" i="1"/>
  <c r="AK9" i="1"/>
  <c r="AJ9" i="1"/>
  <c r="AI9" i="1"/>
  <c r="AH9" i="1"/>
  <c r="AG9" i="1"/>
  <c r="AF9" i="1"/>
  <c r="AF11" i="1" s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24" i="1" l="1"/>
  <c r="F30" i="1"/>
  <c r="F32" i="1" s="1"/>
  <c r="AL30" i="1"/>
  <c r="AL32" i="1" s="1"/>
  <c r="AL24" i="1"/>
  <c r="AD36" i="1"/>
  <c r="AD25" i="1"/>
  <c r="AJ32" i="1"/>
  <c r="AM15" i="1"/>
  <c r="AI15" i="1"/>
  <c r="AE15" i="1"/>
  <c r="AA15" i="1"/>
  <c r="W15" i="1"/>
  <c r="S15" i="1"/>
  <c r="O15" i="1"/>
  <c r="K15" i="1"/>
  <c r="K16" i="1" s="1"/>
  <c r="G15" i="1"/>
  <c r="C15" i="1"/>
  <c r="AN15" i="1"/>
  <c r="AH15" i="1"/>
  <c r="AC15" i="1"/>
  <c r="X15" i="1"/>
  <c r="R15" i="1"/>
  <c r="M15" i="1"/>
  <c r="H15" i="1"/>
  <c r="B15" i="1"/>
  <c r="AL15" i="1"/>
  <c r="AN16" i="1" s="1"/>
  <c r="AN24" i="1" s="1"/>
  <c r="AN36" i="1" s="1"/>
  <c r="AG15" i="1"/>
  <c r="AB15" i="1"/>
  <c r="V15" i="1"/>
  <c r="Q15" i="1"/>
  <c r="L15" i="1"/>
  <c r="F15" i="1"/>
  <c r="H16" i="1" s="1"/>
  <c r="AK15" i="1"/>
  <c r="AF15" i="1"/>
  <c r="Z15" i="1"/>
  <c r="U15" i="1"/>
  <c r="P15" i="1"/>
  <c r="J15" i="1"/>
  <c r="E15" i="1"/>
  <c r="N15" i="1"/>
  <c r="AJ15" i="1"/>
  <c r="N36" i="1"/>
  <c r="N25" i="1"/>
  <c r="AF24" i="1"/>
  <c r="AF36" i="1" s="1"/>
  <c r="AF30" i="1"/>
  <c r="AF32" i="1" s="1"/>
  <c r="AN32" i="1"/>
  <c r="T15" i="1"/>
  <c r="B65" i="1"/>
  <c r="V20" i="1"/>
  <c r="V24" i="1" s="1"/>
  <c r="X11" i="1"/>
  <c r="B30" i="1"/>
  <c r="B24" i="1"/>
  <c r="D15" i="1"/>
  <c r="Y15" i="1"/>
  <c r="L11" i="1"/>
  <c r="AN11" i="1"/>
  <c r="AN30" i="1" s="1"/>
  <c r="H7" i="2"/>
  <c r="H50" i="2"/>
  <c r="M50" i="2"/>
  <c r="M7" i="2"/>
  <c r="M46" i="2" s="1"/>
  <c r="M10" i="1" s="1"/>
  <c r="M11" i="1" s="1"/>
  <c r="K20" i="1"/>
  <c r="B66" i="1" s="1"/>
  <c r="N37" i="1"/>
  <c r="AD37" i="1"/>
  <c r="T57" i="2"/>
  <c r="T17" i="2"/>
  <c r="I17" i="2"/>
  <c r="J39" i="2"/>
  <c r="J53" i="2"/>
  <c r="T39" i="2"/>
  <c r="T58" i="2"/>
  <c r="H44" i="2"/>
  <c r="H59" i="2"/>
  <c r="C46" i="2"/>
  <c r="C10" i="1" s="1"/>
  <c r="C11" i="1" s="1"/>
  <c r="Q44" i="2"/>
  <c r="Q46" i="2" s="1"/>
  <c r="Q10" i="1" s="1"/>
  <c r="Q11" i="1" s="1"/>
  <c r="W46" i="2"/>
  <c r="W10" i="1" s="1"/>
  <c r="W11" i="1" s="1"/>
  <c r="W30" i="1" s="1"/>
  <c r="W32" i="1" s="1"/>
  <c r="AA46" i="2"/>
  <c r="AA10" i="1" s="1"/>
  <c r="AA11" i="1" s="1"/>
  <c r="AE46" i="2"/>
  <c r="AE10" i="1" s="1"/>
  <c r="AE11" i="1" s="1"/>
  <c r="AI46" i="2"/>
  <c r="AI10" i="1" s="1"/>
  <c r="AI11" i="1" s="1"/>
  <c r="AM46" i="2"/>
  <c r="AM10" i="1" s="1"/>
  <c r="AM11" i="1" s="1"/>
  <c r="AN20" i="1"/>
  <c r="AN25" i="1"/>
  <c r="I46" i="2"/>
  <c r="I10" i="1" s="1"/>
  <c r="I11" i="1" s="1"/>
  <c r="S46" i="2"/>
  <c r="S10" i="1" s="1"/>
  <c r="S11" i="1" s="1"/>
  <c r="AF37" i="1"/>
  <c r="AN37" i="1"/>
  <c r="K58" i="2"/>
  <c r="K12" i="2"/>
  <c r="T55" i="2"/>
  <c r="T12" i="2"/>
  <c r="K54" i="2"/>
  <c r="K34" i="2"/>
  <c r="S50" i="2"/>
  <c r="S24" i="2"/>
  <c r="G34" i="2"/>
  <c r="G46" i="2" s="1"/>
  <c r="G10" i="1" s="1"/>
  <c r="G11" i="1" s="1"/>
  <c r="Q51" i="2"/>
  <c r="T7" i="2"/>
  <c r="T50" i="2"/>
  <c r="J7" i="2"/>
  <c r="J17" i="2"/>
  <c r="AB46" i="2"/>
  <c r="AB10" i="1" s="1"/>
  <c r="AB11" i="1" s="1"/>
  <c r="AJ46" i="2"/>
  <c r="AJ10" i="1" s="1"/>
  <c r="AJ11" i="1" s="1"/>
  <c r="AJ30" i="1" s="1"/>
  <c r="D46" i="2"/>
  <c r="D10" i="1" s="1"/>
  <c r="D11" i="1" s="1"/>
  <c r="H53" i="2"/>
  <c r="H39" i="2"/>
  <c r="J59" i="2"/>
  <c r="J44" i="2"/>
  <c r="J46" i="2" s="1"/>
  <c r="J10" i="1" s="1"/>
  <c r="J11" i="1" s="1"/>
  <c r="T44" i="2"/>
  <c r="T59" i="2"/>
  <c r="E46" i="2"/>
  <c r="E10" i="1" s="1"/>
  <c r="E11" i="1" s="1"/>
  <c r="E30" i="1" s="1"/>
  <c r="E32" i="1" s="1"/>
  <c r="O46" i="2"/>
  <c r="O10" i="1" s="1"/>
  <c r="O11" i="1" s="1"/>
  <c r="U46" i="2"/>
  <c r="U10" i="1" s="1"/>
  <c r="U11" i="1" s="1"/>
  <c r="Y46" i="2"/>
  <c r="Y10" i="1" s="1"/>
  <c r="Y11" i="1" s="1"/>
  <c r="AC46" i="2"/>
  <c r="AC10" i="1" s="1"/>
  <c r="AC11" i="1" s="1"/>
  <c r="AG46" i="2"/>
  <c r="AG10" i="1" s="1"/>
  <c r="AG11" i="1" s="1"/>
  <c r="AK46" i="2"/>
  <c r="AK10" i="1" s="1"/>
  <c r="AK11" i="1" s="1"/>
  <c r="AK30" i="1" s="1"/>
  <c r="AK32" i="1" s="1"/>
  <c r="B61" i="1"/>
  <c r="B31" i="1"/>
  <c r="K7" i="2"/>
  <c r="K17" i="2"/>
  <c r="K46" i="2" s="1"/>
  <c r="K10" i="1" s="1"/>
  <c r="K11" i="1" s="1"/>
  <c r="K30" i="1" s="1"/>
  <c r="K32" i="1" s="1"/>
  <c r="R51" i="2"/>
  <c r="R34" i="2"/>
  <c r="H34" i="2"/>
  <c r="I58" i="2"/>
  <c r="R12" i="2"/>
  <c r="P39" i="2"/>
  <c r="P46" i="2" s="1"/>
  <c r="P10" i="1" s="1"/>
  <c r="P11" i="1" s="1"/>
  <c r="R44" i="2"/>
  <c r="R46" i="2" s="1"/>
  <c r="R10" i="1" s="1"/>
  <c r="R11" i="1" s="1"/>
  <c r="M30" i="1" l="1"/>
  <c r="M32" i="1" s="1"/>
  <c r="M24" i="1"/>
  <c r="K24" i="1"/>
  <c r="G30" i="1"/>
  <c r="G32" i="1" s="1"/>
  <c r="G24" i="1"/>
  <c r="V25" i="1"/>
  <c r="V36" i="1"/>
  <c r="V37" i="1" s="1"/>
  <c r="AC30" i="1"/>
  <c r="AC32" i="1" s="1"/>
  <c r="AC24" i="1"/>
  <c r="J30" i="1"/>
  <c r="J32" i="1" s="1"/>
  <c r="J24" i="1"/>
  <c r="D30" i="1"/>
  <c r="D32" i="1" s="1"/>
  <c r="D24" i="1"/>
  <c r="I30" i="1"/>
  <c r="I32" i="1" s="1"/>
  <c r="I24" i="1"/>
  <c r="AM24" i="1"/>
  <c r="AM30" i="1"/>
  <c r="AM32" i="1" s="1"/>
  <c r="C30" i="1"/>
  <c r="C32" i="1" s="1"/>
  <c r="C24" i="1"/>
  <c r="L24" i="1"/>
  <c r="L30" i="1"/>
  <c r="L32" i="1" s="1"/>
  <c r="B36" i="1"/>
  <c r="B37" i="1" s="1"/>
  <c r="B38" i="1" s="1"/>
  <c r="C34" i="1" s="1"/>
  <c r="B25" i="1"/>
  <c r="B26" i="1" s="1"/>
  <c r="C22" i="1" s="1"/>
  <c r="T16" i="1"/>
  <c r="AH16" i="1"/>
  <c r="AH24" i="1" s="1"/>
  <c r="R24" i="1"/>
  <c r="R30" i="1"/>
  <c r="R32" i="1" s="1"/>
  <c r="Y30" i="1"/>
  <c r="Y32" i="1" s="1"/>
  <c r="Y24" i="1"/>
  <c r="AI30" i="1"/>
  <c r="AI32" i="1" s="1"/>
  <c r="AI24" i="1"/>
  <c r="Q30" i="1"/>
  <c r="Q32" i="1" s="1"/>
  <c r="Q24" i="1"/>
  <c r="P30" i="1"/>
  <c r="P32" i="1" s="1"/>
  <c r="P24" i="1"/>
  <c r="U30" i="1"/>
  <c r="U32" i="1" s="1"/>
  <c r="U24" i="1"/>
  <c r="AB30" i="1"/>
  <c r="AB32" i="1" s="1"/>
  <c r="AB24" i="1"/>
  <c r="AE24" i="1"/>
  <c r="AE30" i="1"/>
  <c r="AE32" i="1" s="1"/>
  <c r="H46" i="2"/>
  <c r="H10" i="1" s="1"/>
  <c r="H11" i="1" s="1"/>
  <c r="H30" i="1" s="1"/>
  <c r="H32" i="1" s="1"/>
  <c r="E16" i="1"/>
  <c r="Z16" i="1"/>
  <c r="Z24" i="1" s="1"/>
  <c r="AK16" i="1"/>
  <c r="AK24" i="1" s="1"/>
  <c r="F25" i="1"/>
  <c r="F36" i="1"/>
  <c r="F37" i="1" s="1"/>
  <c r="B32" i="1"/>
  <c r="AG30" i="1"/>
  <c r="AG32" i="1" s="1"/>
  <c r="AG24" i="1"/>
  <c r="O24" i="1"/>
  <c r="O30" i="1"/>
  <c r="O32" i="1" s="1"/>
  <c r="T46" i="2"/>
  <c r="T10" i="1" s="1"/>
  <c r="T11" i="1" s="1"/>
  <c r="T30" i="1" s="1"/>
  <c r="T32" i="1" s="1"/>
  <c r="S30" i="1"/>
  <c r="S32" i="1" s="1"/>
  <c r="S24" i="1"/>
  <c r="AF25" i="1"/>
  <c r="AA24" i="1"/>
  <c r="AA30" i="1"/>
  <c r="AA32" i="1" s="1"/>
  <c r="X30" i="1"/>
  <c r="X32" i="1" s="1"/>
  <c r="X24" i="1"/>
  <c r="W16" i="1"/>
  <c r="W24" i="1" s="1"/>
  <c r="H24" i="1"/>
  <c r="AL36" i="1"/>
  <c r="AL37" i="1" s="1"/>
  <c r="AL25" i="1"/>
  <c r="AJ24" i="1"/>
  <c r="H36" i="1" l="1"/>
  <c r="H37" i="1" s="1"/>
  <c r="H25" i="1"/>
  <c r="AG36" i="1"/>
  <c r="AG37" i="1" s="1"/>
  <c r="AG25" i="1"/>
  <c r="AE36" i="1"/>
  <c r="AE37" i="1" s="1"/>
  <c r="AE25" i="1"/>
  <c r="AH36" i="1"/>
  <c r="AH37" i="1" s="1"/>
  <c r="AH25" i="1"/>
  <c r="AJ36" i="1"/>
  <c r="AJ37" i="1" s="1"/>
  <c r="AJ25" i="1"/>
  <c r="W36" i="1"/>
  <c r="W37" i="1" s="1"/>
  <c r="W25" i="1"/>
  <c r="AA36" i="1"/>
  <c r="AA37" i="1" s="1"/>
  <c r="AA25" i="1"/>
  <c r="AK36" i="1"/>
  <c r="AK37" i="1" s="1"/>
  <c r="AK25" i="1"/>
  <c r="B60" i="1"/>
  <c r="AB36" i="1"/>
  <c r="AB37" i="1" s="1"/>
  <c r="AB25" i="1"/>
  <c r="P36" i="1"/>
  <c r="P37" i="1" s="1"/>
  <c r="P25" i="1"/>
  <c r="AI36" i="1"/>
  <c r="AI37" i="1" s="1"/>
  <c r="AI25" i="1"/>
  <c r="B48" i="2"/>
  <c r="T24" i="1"/>
  <c r="D36" i="1"/>
  <c r="D37" i="1" s="1"/>
  <c r="D25" i="1"/>
  <c r="AC36" i="1"/>
  <c r="AC37" i="1" s="1"/>
  <c r="AC25" i="1"/>
  <c r="K36" i="1"/>
  <c r="K37" i="1" s="1"/>
  <c r="K25" i="1"/>
  <c r="X36" i="1"/>
  <c r="X37" i="1" s="1"/>
  <c r="X25" i="1"/>
  <c r="Z36" i="1"/>
  <c r="Z37" i="1" s="1"/>
  <c r="Z25" i="1"/>
  <c r="L36" i="1"/>
  <c r="L37" i="1" s="1"/>
  <c r="L25" i="1"/>
  <c r="AM36" i="1"/>
  <c r="AM37" i="1" s="1"/>
  <c r="AM25" i="1"/>
  <c r="M36" i="1"/>
  <c r="M37" i="1" s="1"/>
  <c r="M25" i="1"/>
  <c r="S36" i="1"/>
  <c r="S37" i="1" s="1"/>
  <c r="S25" i="1"/>
  <c r="O36" i="1"/>
  <c r="O37" i="1" s="1"/>
  <c r="O25" i="1"/>
  <c r="B64" i="1"/>
  <c r="C64" i="1" s="1"/>
  <c r="E24" i="1"/>
  <c r="U36" i="1"/>
  <c r="U37" i="1" s="1"/>
  <c r="U25" i="1"/>
  <c r="Q36" i="1"/>
  <c r="Q37" i="1" s="1"/>
  <c r="Q25" i="1"/>
  <c r="Y36" i="1"/>
  <c r="Y37" i="1" s="1"/>
  <c r="Y25" i="1"/>
  <c r="R36" i="1"/>
  <c r="R37" i="1" s="1"/>
  <c r="R25" i="1"/>
  <c r="B42" i="1"/>
  <c r="C36" i="1"/>
  <c r="C37" i="1" s="1"/>
  <c r="C38" i="1" s="1"/>
  <c r="D34" i="1" s="1"/>
  <c r="D38" i="1" s="1"/>
  <c r="E34" i="1" s="1"/>
  <c r="C25" i="1"/>
  <c r="C26" i="1" s="1"/>
  <c r="D22" i="1" s="1"/>
  <c r="D26" i="1" s="1"/>
  <c r="E22" i="1" s="1"/>
  <c r="I36" i="1"/>
  <c r="I37" i="1" s="1"/>
  <c r="I25" i="1"/>
  <c r="J36" i="1"/>
  <c r="J37" i="1" s="1"/>
  <c r="J25" i="1"/>
  <c r="G36" i="1"/>
  <c r="G37" i="1" s="1"/>
  <c r="G25" i="1"/>
  <c r="T36" i="1" l="1"/>
  <c r="T37" i="1" s="1"/>
  <c r="T25" i="1"/>
  <c r="C63" i="1"/>
  <c r="C60" i="1"/>
  <c r="C62" i="1"/>
  <c r="C61" i="1"/>
  <c r="C66" i="1"/>
  <c r="C65" i="1"/>
  <c r="E36" i="1"/>
  <c r="E37" i="1" s="1"/>
  <c r="E38" i="1" s="1"/>
  <c r="F34" i="1" s="1"/>
  <c r="F38" i="1" s="1"/>
  <c r="G34" i="1" s="1"/>
  <c r="G38" i="1" s="1"/>
  <c r="H34" i="1" s="1"/>
  <c r="H38" i="1" s="1"/>
  <c r="I34" i="1" s="1"/>
  <c r="I38" i="1" s="1"/>
  <c r="J34" i="1" s="1"/>
  <c r="J38" i="1" s="1"/>
  <c r="K34" i="1" s="1"/>
  <c r="K38" i="1" s="1"/>
  <c r="L34" i="1" s="1"/>
  <c r="L38" i="1" s="1"/>
  <c r="M34" i="1" s="1"/>
  <c r="M38" i="1" s="1"/>
  <c r="N34" i="1" s="1"/>
  <c r="N38" i="1" s="1"/>
  <c r="O34" i="1" s="1"/>
  <c r="O38" i="1" s="1"/>
  <c r="P34" i="1" s="1"/>
  <c r="P38" i="1" s="1"/>
  <c r="Q34" i="1" s="1"/>
  <c r="Q38" i="1" s="1"/>
  <c r="R34" i="1" s="1"/>
  <c r="R38" i="1" s="1"/>
  <c r="S34" i="1" s="1"/>
  <c r="S38" i="1" s="1"/>
  <c r="T34" i="1" s="1"/>
  <c r="T38" i="1" s="1"/>
  <c r="U34" i="1" s="1"/>
  <c r="U38" i="1" s="1"/>
  <c r="V34" i="1" s="1"/>
  <c r="V38" i="1" s="1"/>
  <c r="W34" i="1" s="1"/>
  <c r="W38" i="1" s="1"/>
  <c r="X34" i="1" s="1"/>
  <c r="X38" i="1" s="1"/>
  <c r="Y34" i="1" s="1"/>
  <c r="Y38" i="1" s="1"/>
  <c r="Z34" i="1" s="1"/>
  <c r="Z38" i="1" s="1"/>
  <c r="AA34" i="1" s="1"/>
  <c r="AA38" i="1" s="1"/>
  <c r="AB34" i="1" s="1"/>
  <c r="AB38" i="1" s="1"/>
  <c r="AC34" i="1" s="1"/>
  <c r="AC38" i="1" s="1"/>
  <c r="AD34" i="1" s="1"/>
  <c r="AD38" i="1" s="1"/>
  <c r="AE34" i="1" s="1"/>
  <c r="AE38" i="1" s="1"/>
  <c r="AF34" i="1" s="1"/>
  <c r="AF38" i="1" s="1"/>
  <c r="AG34" i="1" s="1"/>
  <c r="AG38" i="1" s="1"/>
  <c r="AH34" i="1" s="1"/>
  <c r="AH38" i="1" s="1"/>
  <c r="AI34" i="1" s="1"/>
  <c r="AI38" i="1" s="1"/>
  <c r="AJ34" i="1" s="1"/>
  <c r="AJ38" i="1" s="1"/>
  <c r="AK34" i="1" s="1"/>
  <c r="AK38" i="1" s="1"/>
  <c r="AL34" i="1" s="1"/>
  <c r="AL38" i="1" s="1"/>
  <c r="AM34" i="1" s="1"/>
  <c r="AM38" i="1" s="1"/>
  <c r="AN34" i="1" s="1"/>
  <c r="AN38" i="1" s="1"/>
  <c r="E25" i="1"/>
  <c r="E26" i="1" s="1"/>
  <c r="F22" i="1" s="1"/>
  <c r="F26" i="1" s="1"/>
  <c r="G22" i="1" s="1"/>
  <c r="G26" i="1" s="1"/>
  <c r="H22" i="1" s="1"/>
  <c r="H26" i="1" s="1"/>
  <c r="I22" i="1" s="1"/>
  <c r="I26" i="1" s="1"/>
  <c r="J22" i="1" s="1"/>
  <c r="J26" i="1" s="1"/>
  <c r="K22" i="1" s="1"/>
  <c r="K26" i="1" s="1"/>
  <c r="L22" i="1" s="1"/>
  <c r="L26" i="1" s="1"/>
  <c r="M22" i="1" s="1"/>
  <c r="M26" i="1" s="1"/>
  <c r="N22" i="1" s="1"/>
  <c r="N26" i="1" s="1"/>
  <c r="O22" i="1" s="1"/>
  <c r="O26" i="1" s="1"/>
  <c r="P22" i="1" s="1"/>
  <c r="P26" i="1" s="1"/>
  <c r="Q22" i="1" s="1"/>
  <c r="Q26" i="1" s="1"/>
  <c r="R22" i="1" s="1"/>
  <c r="R26" i="1" s="1"/>
  <c r="S22" i="1" s="1"/>
  <c r="S26" i="1" s="1"/>
  <c r="T22" i="1" s="1"/>
  <c r="T26" i="1" s="1"/>
  <c r="U22" i="1" s="1"/>
  <c r="U26" i="1" s="1"/>
  <c r="V22" i="1" s="1"/>
  <c r="V26" i="1" s="1"/>
  <c r="W22" i="1" s="1"/>
  <c r="W26" i="1" s="1"/>
  <c r="X22" i="1" s="1"/>
  <c r="X26" i="1" s="1"/>
  <c r="Y22" i="1" s="1"/>
  <c r="Y26" i="1" s="1"/>
  <c r="Z22" i="1" s="1"/>
  <c r="Z26" i="1" s="1"/>
  <c r="AA22" i="1" s="1"/>
  <c r="AA26" i="1" s="1"/>
  <c r="AB22" i="1" s="1"/>
  <c r="AB26" i="1" s="1"/>
  <c r="AC22" i="1" s="1"/>
  <c r="AC26" i="1" s="1"/>
  <c r="AD22" i="1" s="1"/>
  <c r="AD26" i="1" s="1"/>
  <c r="AE22" i="1" s="1"/>
  <c r="AE26" i="1" s="1"/>
  <c r="AF22" i="1" s="1"/>
  <c r="AF26" i="1" s="1"/>
  <c r="AG22" i="1" s="1"/>
  <c r="AG26" i="1" s="1"/>
  <c r="AH22" i="1" s="1"/>
  <c r="AH26" i="1" s="1"/>
  <c r="AI22" i="1" s="1"/>
  <c r="AI26" i="1" s="1"/>
  <c r="AJ22" i="1" s="1"/>
  <c r="AJ26" i="1" s="1"/>
  <c r="AK22" i="1" s="1"/>
  <c r="AK26" i="1" s="1"/>
  <c r="AL22" i="1" s="1"/>
  <c r="AL26" i="1" s="1"/>
  <c r="AM22" i="1" s="1"/>
  <c r="AM26" i="1" s="1"/>
  <c r="AN22" i="1" s="1"/>
  <c r="AN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0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- Software engineers and QA
- Contracts </t>
        </r>
      </text>
    </comment>
    <comment ref="A31" authorId="0" shapeId="0" xr:uid="{00000000-0006-0000-0000-000002000000}">
      <text>
        <r>
          <rPr>
            <sz val="10"/>
            <color rgb="FF000000"/>
            <rFont val="Arial"/>
            <scheme val="minor"/>
          </rPr>
          <t>Costs relating to buildings, etc. 
It's everything that cannot be linked to a product.
In our case: 
- Rent
- Salaries of non software
- marketing
- Utilities
- IT infrastructure</t>
        </r>
      </text>
    </comment>
    <comment ref="A32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Dividing the overhead by the cost of goods will yield the percentage (overhead recovery rate) needed to apply to direct costs in order to cover fixed expenses or overhead. 
</t>
        </r>
      </text>
    </comment>
  </commentList>
</comments>
</file>

<file path=xl/sharedStrings.xml><?xml version="1.0" encoding="utf-8"?>
<sst xmlns="http://schemas.openxmlformats.org/spreadsheetml/2006/main" count="187" uniqueCount="101">
  <si>
    <t>Cash Flow Forecast
Autumn Term</t>
  </si>
  <si>
    <t>Cash Flow Forecast
Winter Break</t>
  </si>
  <si>
    <t>Cash Flow Forecast
Spring Term</t>
  </si>
  <si>
    <t>Cash Flow Forecast
Spring Break</t>
  </si>
  <si>
    <t>Cash Flow Forecast
Summer Term</t>
  </si>
  <si>
    <t>Relative Week Number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</si>
  <si>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</si>
  <si>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</si>
  <si>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</si>
  <si>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</si>
  <si>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</si>
  <si>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</si>
  <si>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</si>
  <si>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</si>
  <si>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</si>
  <si>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</si>
  <si>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Week Number</t>
  </si>
  <si>
    <t>Cash In</t>
  </si>
  <si>
    <t>Bank Loan</t>
  </si>
  <si>
    <t>Contracts In</t>
  </si>
  <si>
    <t>Cash Out</t>
  </si>
  <si>
    <t>Hourly Wage</t>
  </si>
  <si>
    <t>Total Hours</t>
  </si>
  <si>
    <t>Total Wages</t>
  </si>
  <si>
    <t>Loan Interest</t>
  </si>
  <si>
    <t>Marketing Campaign</t>
  </si>
  <si>
    <t>Contracts Out</t>
  </si>
  <si>
    <t>Rent</t>
  </si>
  <si>
    <t>Rent Out</t>
  </si>
  <si>
    <t>Utilities</t>
  </si>
  <si>
    <t>Utilities Out</t>
  </si>
  <si>
    <t>IT Infrastructure</t>
  </si>
  <si>
    <t>IT Infrastructure Out</t>
  </si>
  <si>
    <t>Opening Balance</t>
  </si>
  <si>
    <t>Net Flow</t>
  </si>
  <si>
    <t>Closing Balance</t>
  </si>
  <si>
    <t>Goods Costs</t>
  </si>
  <si>
    <t>Overhead Costs</t>
  </si>
  <si>
    <t>Overhead Recovery Rate</t>
  </si>
  <si>
    <t>Cash In (without Bank Loan)</t>
  </si>
  <si>
    <t>Net Flow (without Bank Loan)</t>
  </si>
  <si>
    <t>Closing Balance (without Bank Loan)</t>
  </si>
  <si>
    <t>Total Expendature</t>
  </si>
  <si>
    <t>Desired Bank Loan</t>
  </si>
  <si>
    <t>Interest (APR)</t>
  </si>
  <si>
    <t>Weekly Interest</t>
  </si>
  <si>
    <t>Square Footage</t>
  </si>
  <si>
    <t>Annual charge</t>
  </si>
  <si>
    <t>Weekly Charge</t>
  </si>
  <si>
    <t>Total Wages Out</t>
  </si>
  <si>
    <t>Total Loan Interest</t>
  </si>
  <si>
    <t>Total Marketing Campaign</t>
  </si>
  <si>
    <t>Total Contracts Out</t>
  </si>
  <si>
    <t>Total Rent Out</t>
  </si>
  <si>
    <t>Total Utilities Out</t>
  </si>
  <si>
    <t>Total IT Infrastructure Out</t>
  </si>
  <si>
    <t>Projected Hours
Autumn Term</t>
  </si>
  <si>
    <t>Projected Hours
Winter Break</t>
  </si>
  <si>
    <t>Projected Hours
Spring Term</t>
  </si>
  <si>
    <t>Projected Hours
Spring Break</t>
  </si>
  <si>
    <t>Projected Hours
Summer Term</t>
  </si>
  <si>
    <t>Relative Week</t>
  </si>
  <si>
    <t>Total Weeks</t>
  </si>
  <si>
    <t>Project Manager</t>
  </si>
  <si>
    <t>Connall</t>
  </si>
  <si>
    <t>Project Manager Total</t>
  </si>
  <si>
    <t>Finance</t>
  </si>
  <si>
    <t>Tom</t>
  </si>
  <si>
    <t>Ophelia</t>
  </si>
  <si>
    <t>Finance Total</t>
  </si>
  <si>
    <t>Documentation</t>
  </si>
  <si>
    <t>Ana</t>
  </si>
  <si>
    <t>Documentation Total</t>
  </si>
  <si>
    <t>QA</t>
  </si>
  <si>
    <t>Ethan</t>
  </si>
  <si>
    <t>Roman</t>
  </si>
  <si>
    <t>QA Total</t>
  </si>
  <si>
    <t>Software</t>
  </si>
  <si>
    <t>Giuseppe</t>
  </si>
  <si>
    <t>Harry</t>
  </si>
  <si>
    <t>Alan</t>
  </si>
  <si>
    <t>Oscar</t>
  </si>
  <si>
    <t>Dawid</t>
  </si>
  <si>
    <t>Software Total</t>
  </si>
  <si>
    <t>Marketing</t>
  </si>
  <si>
    <t>Marketing Total</t>
  </si>
  <si>
    <t>Media</t>
  </si>
  <si>
    <t>Media Total</t>
  </si>
  <si>
    <t>Total</t>
  </si>
  <si>
    <t>Total Time</t>
  </si>
  <si>
    <t>Connall Total</t>
  </si>
  <si>
    <t>Giuseppe Total</t>
  </si>
  <si>
    <t>Ethan Total</t>
  </si>
  <si>
    <t>Oscar Total</t>
  </si>
  <si>
    <t>Harry Total</t>
  </si>
  <si>
    <t>Ophelia Total</t>
  </si>
  <si>
    <t>Roman Total</t>
  </si>
  <si>
    <t>Ana Total</t>
  </si>
  <si>
    <t>Tom Total</t>
  </si>
  <si>
    <t>Dawid Total</t>
  </si>
  <si>
    <t>Alan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</si>
</sst>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9" x14ac:knownFonts="1"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GB" b="0">
                <a:solidFill>
                  <a:srgbClr val="000000"/>
                </a:solidFill>
                <a:latin typeface="+mn-lt"/>
              </a:rPr>
              <a:t>Chart Showing the Weekly Closing Balance Both With and Without the Desired Loan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With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Forecast'!$B$26:$AN$26</c:f>
              <c:numCache>
                <c:formatCode>[$£-809]#,##0.00</c:formatCode>
                <c:ptCount val="39"/>
                <c:pt idx="0">
                  <c:v>34894.973006817629</c:v>
                </c:pt>
                <c:pt idx="1">
                  <c:v>34789.946013635257</c:v>
                </c:pt>
                <c:pt idx="2">
                  <c:v>34684.919020452886</c:v>
                </c:pt>
                <c:pt idx="3">
                  <c:v>32049.122796501284</c:v>
                </c:pt>
                <c:pt idx="4">
                  <c:v>31944.095803318913</c:v>
                </c:pt>
                <c:pt idx="5">
                  <c:v>30817.193810136541</c:v>
                </c:pt>
                <c:pt idx="6">
                  <c:v>28260.964893877244</c:v>
                </c:pt>
                <c:pt idx="7">
                  <c:v>27693.437900694873</c:v>
                </c:pt>
                <c:pt idx="8">
                  <c:v>26997.785907512502</c:v>
                </c:pt>
                <c:pt idx="9">
                  <c:v>23925.931991253205</c:v>
                </c:pt>
                <c:pt idx="10">
                  <c:v>23711.529998070833</c:v>
                </c:pt>
                <c:pt idx="11">
                  <c:v>23472.128004888462</c:v>
                </c:pt>
                <c:pt idx="12">
                  <c:v>23367.101011706091</c:v>
                </c:pt>
                <c:pt idx="13">
                  <c:v>23180.824018523719</c:v>
                </c:pt>
                <c:pt idx="14">
                  <c:v>22994.547025341348</c:v>
                </c:pt>
                <c:pt idx="15">
                  <c:v>22305.145032158976</c:v>
                </c:pt>
                <c:pt idx="16">
                  <c:v>21787.618038976605</c:v>
                </c:pt>
                <c:pt idx="17">
                  <c:v>20923.216045794234</c:v>
                </c:pt>
                <c:pt idx="18">
                  <c:v>14483.333283381093</c:v>
                </c:pt>
                <c:pt idx="19">
                  <c:v>13565.806290198721</c:v>
                </c:pt>
                <c:pt idx="20">
                  <c:v>10942.02929701635</c:v>
                </c:pt>
                <c:pt idx="21">
                  <c:v>7845.1753807570549</c:v>
                </c:pt>
                <c:pt idx="22">
                  <c:v>7002.6483875746826</c:v>
                </c:pt>
                <c:pt idx="23">
                  <c:v>6010.1213943923103</c:v>
                </c:pt>
                <c:pt idx="24">
                  <c:v>2613.2674781330147</c:v>
                </c:pt>
                <c:pt idx="25">
                  <c:v>2508.2404849506424</c:v>
                </c:pt>
                <c:pt idx="26">
                  <c:v>2403.2134917682702</c:v>
                </c:pt>
                <c:pt idx="27">
                  <c:v>2298.1864985858979</c:v>
                </c:pt>
                <c:pt idx="28">
                  <c:v>2193.1595054035256</c:v>
                </c:pt>
                <c:pt idx="29">
                  <c:v>17554.619401246859</c:v>
                </c:pt>
                <c:pt idx="30">
                  <c:v>17073.579297090193</c:v>
                </c:pt>
                <c:pt idx="31">
                  <c:v>16405.039192933527</c:v>
                </c:pt>
                <c:pt idx="32">
                  <c:v>10874.960627238397</c:v>
                </c:pt>
                <c:pt idx="33">
                  <c:v>10356.42052308173</c:v>
                </c:pt>
                <c:pt idx="34">
                  <c:v>8112.8804189250623</c:v>
                </c:pt>
                <c:pt idx="35">
                  <c:v>5558.763391691472</c:v>
                </c:pt>
                <c:pt idx="36">
                  <c:v>4427.7232875348045</c:v>
                </c:pt>
                <c:pt idx="37">
                  <c:v>4271.6831833781371</c:v>
                </c:pt>
                <c:pt idx="38">
                  <c:v>1617.5661561445463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CE-40C7-A6F6-49B450DE1A6E}"/>
            </c:ext>
          </c:extLst>
        </c:ser>
        <c:ser>
          <c:idx val="1"/>
          <c:order val="1"/>
          <c:tx>
            <c:v>Without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Forecast'!$B$38:$AN$38</c:f>
              <c:numCache>
                <c:formatCode>[$£-809]#,##0.00</c:formatCode>
                <c:ptCount val="39"/>
                <c:pt idx="0">
                  <c:v>-105.02699318237218</c:v>
                </c:pt>
                <c:pt idx="1">
                  <c:v>-210.05398636474436</c:v>
                </c:pt>
                <c:pt idx="2">
                  <c:v>-315.08097954711656</c:v>
                </c:pt>
                <c:pt idx="3">
                  <c:v>-2950.8772034987196</c:v>
                </c:pt>
                <c:pt idx="4">
                  <c:v>-3055.9041966810919</c:v>
                </c:pt>
                <c:pt idx="5">
                  <c:v>-4182.8061898634642</c:v>
                </c:pt>
                <c:pt idx="6">
                  <c:v>-6739.0351061227593</c:v>
                </c:pt>
                <c:pt idx="7">
                  <c:v>-7306.5620993051316</c:v>
                </c:pt>
                <c:pt idx="8">
                  <c:v>-8002.2140924875039</c:v>
                </c:pt>
                <c:pt idx="9">
                  <c:v>-11074.068008746799</c:v>
                </c:pt>
                <c:pt idx="10">
                  <c:v>-11288.47000192917</c:v>
                </c:pt>
                <c:pt idx="11">
                  <c:v>-11527.871995111542</c:v>
                </c:pt>
                <c:pt idx="12">
                  <c:v>-11632.898988293913</c:v>
                </c:pt>
                <c:pt idx="13">
                  <c:v>-11819.175981476285</c:v>
                </c:pt>
                <c:pt idx="14">
                  <c:v>-12005.452974658656</c:v>
                </c:pt>
                <c:pt idx="15">
                  <c:v>-12694.854967841027</c:v>
                </c:pt>
                <c:pt idx="16">
                  <c:v>-13212.381961023399</c:v>
                </c:pt>
                <c:pt idx="17">
                  <c:v>-14076.78395420577</c:v>
                </c:pt>
                <c:pt idx="18">
                  <c:v>-20516.666716618911</c:v>
                </c:pt>
                <c:pt idx="19">
                  <c:v>-21184.193709801282</c:v>
                </c:pt>
                <c:pt idx="20">
                  <c:v>-24057.970702983654</c:v>
                </c:pt>
                <c:pt idx="21">
                  <c:v>-27154.824619242951</c:v>
                </c:pt>
                <c:pt idx="22">
                  <c:v>-27997.351612425322</c:v>
                </c:pt>
                <c:pt idx="23">
                  <c:v>-28489.878605607693</c:v>
                </c:pt>
                <c:pt idx="24">
                  <c:v>-32386.73252186699</c:v>
                </c:pt>
                <c:pt idx="25">
                  <c:v>-32491.759515049362</c:v>
                </c:pt>
                <c:pt idx="26">
                  <c:v>-32596.786508231733</c:v>
                </c:pt>
                <c:pt idx="27">
                  <c:v>-32701.813501414104</c:v>
                </c:pt>
                <c:pt idx="28">
                  <c:v>-32556.840494596476</c:v>
                </c:pt>
                <c:pt idx="29">
                  <c:v>-34445.380598753145</c:v>
                </c:pt>
                <c:pt idx="30">
                  <c:v>-34926.420702909811</c:v>
                </c:pt>
                <c:pt idx="31">
                  <c:v>-35594.960807066476</c:v>
                </c:pt>
                <c:pt idx="32">
                  <c:v>-41125.039372761603</c:v>
                </c:pt>
                <c:pt idx="33">
                  <c:v>-41643.579476918268</c:v>
                </c:pt>
                <c:pt idx="34">
                  <c:v>-43887.119581074934</c:v>
                </c:pt>
                <c:pt idx="35">
                  <c:v>-46441.236608308522</c:v>
                </c:pt>
                <c:pt idx="36">
                  <c:v>-47572.276712465187</c:v>
                </c:pt>
                <c:pt idx="37">
                  <c:v>-47728.316816621853</c:v>
                </c:pt>
                <c:pt idx="38">
                  <c:v>-50382.433843855441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CE-40C7-A6F6-49B450DE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582457"/>
        <c:axId val="1018409282"/>
      </c:barChart>
      <c:catAx>
        <c:axId val="419582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Week Number (From Week 1 April)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409282"/>
        <c:crosses val="autoZero"/>
        <c:auto val="1"/>
        <c:lblAlgn val="ctr"/>
        <c:lblOffset val="100"/>
        <c:noMultiLvlLbl val="1"/>
      </c:catAx>
      <c:valAx>
        <c:axId val="1018409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Closing Balance (£)</a:t>
                </a:r>
              </a:p>
            </c:rich>
          </c:tx>
          <c:overlay val="0"/>
        </c:title>
        <c:numFmt formatCode="[$£-809]#,##0.00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5824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GB" b="0">
                <a:solidFill>
                  <a:srgbClr val="000000"/>
                </a:solidFill>
                <a:latin typeface="+mn-lt"/>
              </a:rPr>
              <a:t>Chart Showing the Predicted Breakdown of Costs During Development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BC0-4A40-A46F-E327A4BD439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BC0-4A40-A46F-E327A4BD439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BC0-4A40-A46F-E327A4BD439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BC0-4A40-A46F-E327A4BD439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BC0-4A40-A46F-E327A4BD439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BC0-4A40-A46F-E327A4BD439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BC0-4A40-A46F-E327A4BD4399}"/>
              </c:ext>
            </c:extLst>
          </c:dPt>
          <c:val>
            <c:numRef>
              <c:f>'Cash Flow Forecast'!$B$60:$B$66</c:f>
              <c:numCache>
                <c:formatCode>[$£-809]#,##0.00</c:formatCode>
                <c:ptCount val="7"/>
                <c:pt idx="0">
                  <c:v>14031.25</c:v>
                </c:pt>
                <c:pt idx="1">
                  <c:v>4606.1838438554696</c:v>
                </c:pt>
                <c:pt idx="2">
                  <c:v>1120</c:v>
                </c:pt>
                <c:pt idx="3">
                  <c:v>1100</c:v>
                </c:pt>
                <c:pt idx="4">
                  <c:v>24675</c:v>
                </c:pt>
                <c:pt idx="5">
                  <c:v>1950</c:v>
                </c:pt>
                <c:pt idx="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C0-4A40-A46F-E327A4BD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704850</xdr:colOff>
      <xdr:row>41</xdr:row>
      <xdr:rowOff>47625</xdr:rowOff>
    </xdr:from>
    <xdr:ext cx="8534400" cy="4048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800100</xdr:colOff>
      <xdr:row>41</xdr:row>
      <xdr:rowOff>47625</xdr:rowOff>
    </xdr:from>
    <xdr:ext cx="6962775" cy="4114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60"/>
      <c r="L1" s="58" t="s">
        <v>1</v>
      </c>
      <c r="M1" s="59"/>
      <c r="N1" s="59"/>
      <c r="O1" s="59"/>
      <c r="P1" s="60"/>
      <c r="Q1" s="58" t="s">
        <v>2</v>
      </c>
      <c r="R1" s="59"/>
      <c r="S1" s="59"/>
      <c r="T1" s="59"/>
      <c r="U1" s="59"/>
      <c r="V1" s="59"/>
      <c r="W1" s="59"/>
      <c r="X1" s="59"/>
      <c r="Y1" s="59"/>
      <c r="Z1" s="60"/>
      <c r="AA1" s="58" t="s">
        <v>3</v>
      </c>
      <c r="AB1" s="59"/>
      <c r="AC1" s="59"/>
      <c r="AD1" s="60"/>
      <c r="AE1" s="58" t="s">
        <v>4</v>
      </c>
      <c r="AF1" s="59"/>
      <c r="AG1" s="59"/>
      <c r="AH1" s="59"/>
      <c r="AI1" s="59"/>
      <c r="AJ1" s="59"/>
      <c r="AK1" s="59"/>
      <c r="AL1" s="59"/>
      <c r="AM1" s="59"/>
      <c r="AN1" s="60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>
        <v>250</v>
      </c>
      <c r="W6" s="5"/>
      <c r="X6" s="5"/>
      <c r="Y6" s="5"/>
      <c r="Z6" s="5">
        <v>500</v>
      </c>
      <c r="AA6" s="5"/>
      <c r="AB6" s="5"/>
      <c r="AC6" s="5"/>
      <c r="AD6" s="5"/>
      <c r="AE6" s="5">
        <v>250</v>
      </c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$B$44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'Projected Hours'!B46</f>
        <v>0</v>
      </c>
      <c r="C10" s="7">
        <f>'Projected Hours'!C46</f>
        <v>0</v>
      </c>
      <c r="D10" s="7">
        <f>'Projected Hours'!D46</f>
        <v>0</v>
      </c>
      <c r="E10" s="7">
        <f>'Projected Hours'!E46</f>
        <v>0</v>
      </c>
      <c r="F10" s="7">
        <f>'Projected Hours'!F46</f>
        <v>0</v>
      </c>
      <c r="G10" s="7">
        <f>'Projected Hours'!G46</f>
        <v>9.75</v>
      </c>
      <c r="H10" s="7">
        <f>'Projected Hours'!H46</f>
        <v>44.25</v>
      </c>
      <c r="I10" s="7">
        <f>'Projected Hours'!I46</f>
        <v>37</v>
      </c>
      <c r="J10" s="7">
        <f>'Projected Hours'!J46</f>
        <v>47.25</v>
      </c>
      <c r="K10" s="7">
        <f>'Projected Hours'!K46</f>
        <v>37.5</v>
      </c>
      <c r="L10" s="7">
        <f>'Projected Hours'!L46</f>
        <v>8.75</v>
      </c>
      <c r="M10" s="7">
        <f>'Projected Hours'!M46</f>
        <v>10.75</v>
      </c>
      <c r="N10" s="7">
        <f>'Projected Hours'!N46</f>
        <v>0</v>
      </c>
      <c r="O10" s="7">
        <f>'Projected Hours'!O46</f>
        <v>6.5</v>
      </c>
      <c r="P10" s="7">
        <f>'Projected Hours'!P46</f>
        <v>6.5</v>
      </c>
      <c r="Q10" s="7">
        <f>'Projected Hours'!Q46</f>
        <v>46.75</v>
      </c>
      <c r="R10" s="7">
        <f>'Projected Hours'!R46</f>
        <v>33</v>
      </c>
      <c r="S10" s="7">
        <f>'Projected Hours'!S46</f>
        <v>60.75</v>
      </c>
      <c r="T10" s="7">
        <f>'Projected Hours'!T46</f>
        <v>51.25</v>
      </c>
      <c r="U10" s="7">
        <f>'Projected Hours'!U46</f>
        <v>65</v>
      </c>
      <c r="V10" s="7">
        <f>'Projected Hours'!V46</f>
        <v>69.5</v>
      </c>
      <c r="W10" s="7">
        <f>'Projected Hours'!W46</f>
        <v>87.5</v>
      </c>
      <c r="X10" s="7">
        <f>'Projected Hours'!X46</f>
        <v>59</v>
      </c>
      <c r="Y10" s="7">
        <f>'Projected Hours'!Y46</f>
        <v>71</v>
      </c>
      <c r="Z10" s="7">
        <f>'Projected Hours'!Z46</f>
        <v>63.5</v>
      </c>
      <c r="AA10" s="7">
        <f>'Projected Hours'!AA46</f>
        <v>0</v>
      </c>
      <c r="AB10" s="7">
        <f>'Projected Hours'!AB46</f>
        <v>0</v>
      </c>
      <c r="AC10" s="7">
        <f>'Projected Hours'!AC46</f>
        <v>0</v>
      </c>
      <c r="AD10" s="7">
        <f>'Projected Hours'!AD46</f>
        <v>0</v>
      </c>
      <c r="AE10" s="7">
        <f>'Projected Hours'!AE46</f>
        <v>21</v>
      </c>
      <c r="AF10" s="7">
        <f>'Projected Hours'!AF46</f>
        <v>26</v>
      </c>
      <c r="AG10" s="7">
        <f>'Projected Hours'!AG46</f>
        <v>41</v>
      </c>
      <c r="AH10" s="7">
        <f>'Projected Hours'!AH46</f>
        <v>25</v>
      </c>
      <c r="AI10" s="7">
        <f>'Projected Hours'!AI46</f>
        <v>29</v>
      </c>
      <c r="AJ10" s="7">
        <f>'Projected Hours'!AJ46</f>
        <v>47</v>
      </c>
      <c r="AK10" s="7">
        <f>'Projected Hours'!AK46</f>
        <v>40</v>
      </c>
      <c r="AL10" s="7">
        <f>'Projected Hours'!AL46</f>
        <v>78</v>
      </c>
      <c r="AM10" s="7">
        <f>'Projected Hours'!AM46</f>
        <v>0</v>
      </c>
      <c r="AN10" s="7">
        <f>'Projected Hours'!AN46</f>
        <v>0</v>
      </c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553.125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759.375</v>
      </c>
      <c r="T11" s="5">
        <f t="shared" si="1"/>
        <v>640.625</v>
      </c>
      <c r="U11" s="5">
        <f t="shared" si="1"/>
        <v>812.5</v>
      </c>
      <c r="V11" s="5">
        <f t="shared" si="1"/>
        <v>868.75</v>
      </c>
      <c r="W11" s="5">
        <f t="shared" si="1"/>
        <v>1093.75</v>
      </c>
      <c r="X11" s="5">
        <f t="shared" si="1"/>
        <v>737.5</v>
      </c>
      <c r="Y11" s="5">
        <f t="shared" si="1"/>
        <v>887.5</v>
      </c>
      <c r="Z11" s="5">
        <f t="shared" si="1"/>
        <v>793.75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262.5</v>
      </c>
      <c r="AF11" s="5">
        <f t="shared" si="1"/>
        <v>325</v>
      </c>
      <c r="AG11" s="5">
        <f t="shared" si="1"/>
        <v>512.5</v>
      </c>
      <c r="AH11" s="5">
        <f t="shared" si="1"/>
        <v>312.5</v>
      </c>
      <c r="AI11" s="5">
        <f t="shared" si="1"/>
        <v>362.5</v>
      </c>
      <c r="AJ11" s="5">
        <f t="shared" si="1"/>
        <v>587.5</v>
      </c>
      <c r="AK11" s="5">
        <f t="shared" si="1"/>
        <v>500</v>
      </c>
      <c r="AL11" s="5">
        <f t="shared" si="1"/>
        <v>975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$B$48*$B5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$B$48*($B5+$AE$5)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250</v>
      </c>
      <c r="W14" s="5"/>
      <c r="X14" s="5"/>
      <c r="Y14" s="5"/>
      <c r="Z14" s="5">
        <v>500</v>
      </c>
      <c r="AA14" s="5"/>
      <c r="AB14" s="5"/>
      <c r="AC14" s="5"/>
      <c r="AD14" s="5"/>
      <c r="AE14" s="5">
        <v>350</v>
      </c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$B$53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$B$55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$B$56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B58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28260.964893877244</v>
      </c>
      <c r="J22" s="5">
        <f t="shared" si="7"/>
        <v>27693.437900694873</v>
      </c>
      <c r="K22" s="5">
        <f t="shared" si="7"/>
        <v>26997.785907512502</v>
      </c>
      <c r="L22" s="5">
        <f t="shared" si="7"/>
        <v>23925.931991253205</v>
      </c>
      <c r="M22" s="5">
        <f t="shared" si="7"/>
        <v>23711.529998070833</v>
      </c>
      <c r="N22" s="5">
        <f t="shared" si="7"/>
        <v>23472.128004888462</v>
      </c>
      <c r="O22" s="5">
        <f t="shared" si="7"/>
        <v>23367.101011706091</v>
      </c>
      <c r="P22" s="5">
        <f t="shared" si="7"/>
        <v>23180.824018523719</v>
      </c>
      <c r="Q22" s="5">
        <f t="shared" si="7"/>
        <v>22994.547025341348</v>
      </c>
      <c r="R22" s="5">
        <f t="shared" si="7"/>
        <v>22305.145032158976</v>
      </c>
      <c r="S22" s="5">
        <f t="shared" si="7"/>
        <v>21787.618038976605</v>
      </c>
      <c r="T22" s="5">
        <f t="shared" si="7"/>
        <v>20923.216045794234</v>
      </c>
      <c r="U22" s="5">
        <f t="shared" si="7"/>
        <v>14483.333283381093</v>
      </c>
      <c r="V22" s="5">
        <f t="shared" si="7"/>
        <v>13565.806290198721</v>
      </c>
      <c r="W22" s="5">
        <f t="shared" si="7"/>
        <v>10942.02929701635</v>
      </c>
      <c r="X22" s="5">
        <f t="shared" si="7"/>
        <v>7845.1753807570549</v>
      </c>
      <c r="Y22" s="5">
        <f t="shared" si="7"/>
        <v>7002.6483875746826</v>
      </c>
      <c r="Z22" s="5">
        <f t="shared" si="7"/>
        <v>6010.1213943923103</v>
      </c>
      <c r="AA22" s="5">
        <f t="shared" si="7"/>
        <v>2613.2674781330147</v>
      </c>
      <c r="AB22" s="5">
        <f t="shared" si="7"/>
        <v>2508.2404849506424</v>
      </c>
      <c r="AC22" s="5">
        <f t="shared" si="7"/>
        <v>2403.2134917682702</v>
      </c>
      <c r="AD22" s="5">
        <f t="shared" si="7"/>
        <v>2298.1864985858979</v>
      </c>
      <c r="AE22" s="5">
        <f t="shared" si="7"/>
        <v>2193.1595054035256</v>
      </c>
      <c r="AF22" s="5">
        <f t="shared" si="7"/>
        <v>17554.619401246859</v>
      </c>
      <c r="AG22" s="5">
        <f t="shared" si="7"/>
        <v>17073.579297090193</v>
      </c>
      <c r="AH22" s="5">
        <f t="shared" si="7"/>
        <v>16405.039192933527</v>
      </c>
      <c r="AI22" s="5">
        <f t="shared" si="7"/>
        <v>10874.960627238397</v>
      </c>
      <c r="AJ22" s="5">
        <f t="shared" si="7"/>
        <v>10356.42052308173</v>
      </c>
      <c r="AK22" s="5">
        <f t="shared" si="7"/>
        <v>8112.8804189250623</v>
      </c>
      <c r="AL22" s="5">
        <f t="shared" si="7"/>
        <v>5558.763391691472</v>
      </c>
      <c r="AM22" s="5">
        <f t="shared" si="7"/>
        <v>4427.7232875348045</v>
      </c>
      <c r="AN22" s="5">
        <f t="shared" si="7"/>
        <v>4271.6831833781371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250</v>
      </c>
      <c r="W23" s="5">
        <f t="shared" si="8"/>
        <v>0</v>
      </c>
      <c r="X23" s="5">
        <f t="shared" si="8"/>
        <v>0</v>
      </c>
      <c r="Y23" s="5">
        <f t="shared" si="8"/>
        <v>0</v>
      </c>
      <c r="Z23" s="5">
        <f t="shared" si="8"/>
        <v>500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17250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2556.2289162592956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864.40199318237217</v>
      </c>
      <c r="T24" s="13">
        <f t="shared" si="9"/>
        <v>6439.8827624131418</v>
      </c>
      <c r="U24" s="13">
        <f t="shared" si="9"/>
        <v>917.52699318237217</v>
      </c>
      <c r="V24" s="13">
        <f t="shared" si="9"/>
        <v>2873.7769931823723</v>
      </c>
      <c r="W24" s="13">
        <f t="shared" si="9"/>
        <v>3096.8539162592956</v>
      </c>
      <c r="X24" s="13">
        <f t="shared" si="9"/>
        <v>842.52699318237217</v>
      </c>
      <c r="Y24" s="13">
        <f t="shared" si="9"/>
        <v>992.52699318237217</v>
      </c>
      <c r="Z24" s="13">
        <f t="shared" si="9"/>
        <v>3896.8539162592956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1888.5401041566672</v>
      </c>
      <c r="AF24" s="13">
        <f t="shared" si="9"/>
        <v>481.04010415666721</v>
      </c>
      <c r="AG24" s="13">
        <f t="shared" si="9"/>
        <v>668.54010415666721</v>
      </c>
      <c r="AH24" s="13">
        <f t="shared" si="9"/>
        <v>5530.0785656951293</v>
      </c>
      <c r="AI24" s="13">
        <f t="shared" si="9"/>
        <v>518.54010415666721</v>
      </c>
      <c r="AJ24" s="13">
        <f t="shared" si="9"/>
        <v>2243.5401041566674</v>
      </c>
      <c r="AK24" s="13">
        <f t="shared" si="9"/>
        <v>2554.1170272335903</v>
      </c>
      <c r="AL24" s="13">
        <f t="shared" si="9"/>
        <v>1131.0401041566672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-2556.2289162592956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-864.40199318237217</v>
      </c>
      <c r="T25" s="5">
        <f t="shared" si="10"/>
        <v>-6439.8827624131418</v>
      </c>
      <c r="U25" s="5">
        <f t="shared" si="10"/>
        <v>-917.52699318237217</v>
      </c>
      <c r="V25" s="5">
        <f t="shared" si="10"/>
        <v>-2623.7769931823723</v>
      </c>
      <c r="W25" s="5">
        <f t="shared" si="10"/>
        <v>-3096.8539162592956</v>
      </c>
      <c r="X25" s="5">
        <f t="shared" si="10"/>
        <v>-842.52699318237217</v>
      </c>
      <c r="Y25" s="5">
        <f t="shared" si="10"/>
        <v>-992.52699318237217</v>
      </c>
      <c r="Z25" s="5">
        <f t="shared" si="10"/>
        <v>-3396.8539162592956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15361.459895843333</v>
      </c>
      <c r="AF25" s="5">
        <f t="shared" si="10"/>
        <v>-481.04010415666721</v>
      </c>
      <c r="AG25" s="5">
        <f t="shared" si="10"/>
        <v>-668.54010415666721</v>
      </c>
      <c r="AH25" s="5">
        <f t="shared" si="10"/>
        <v>-5530.0785656951293</v>
      </c>
      <c r="AI25" s="5">
        <f t="shared" si="10"/>
        <v>-518.54010415666721</v>
      </c>
      <c r="AJ25" s="5">
        <f t="shared" si="10"/>
        <v>-2243.5401041566674</v>
      </c>
      <c r="AK25" s="5">
        <f t="shared" si="10"/>
        <v>-2554.1170272335903</v>
      </c>
      <c r="AL25" s="5">
        <f t="shared" si="10"/>
        <v>-1131.0401041566672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28260.964893877244</v>
      </c>
      <c r="I26" s="5">
        <f t="shared" si="11"/>
        <v>27693.437900694873</v>
      </c>
      <c r="J26" s="5">
        <f t="shared" si="11"/>
        <v>26997.785907512502</v>
      </c>
      <c r="K26" s="5">
        <f t="shared" si="11"/>
        <v>23925.931991253205</v>
      </c>
      <c r="L26" s="5">
        <f t="shared" si="11"/>
        <v>23711.529998070833</v>
      </c>
      <c r="M26" s="5">
        <f t="shared" si="11"/>
        <v>23472.128004888462</v>
      </c>
      <c r="N26" s="5">
        <f t="shared" si="11"/>
        <v>23367.101011706091</v>
      </c>
      <c r="O26" s="5">
        <f t="shared" si="11"/>
        <v>23180.824018523719</v>
      </c>
      <c r="P26" s="5">
        <f t="shared" si="11"/>
        <v>22994.547025341348</v>
      </c>
      <c r="Q26" s="5">
        <f t="shared" si="11"/>
        <v>22305.145032158976</v>
      </c>
      <c r="R26" s="5">
        <f t="shared" si="11"/>
        <v>21787.618038976605</v>
      </c>
      <c r="S26" s="5">
        <f t="shared" si="11"/>
        <v>20923.216045794234</v>
      </c>
      <c r="T26" s="5">
        <f t="shared" si="11"/>
        <v>14483.333283381093</v>
      </c>
      <c r="U26" s="5">
        <f t="shared" si="11"/>
        <v>13565.806290198721</v>
      </c>
      <c r="V26" s="5">
        <f t="shared" si="11"/>
        <v>10942.02929701635</v>
      </c>
      <c r="W26" s="5">
        <f t="shared" si="11"/>
        <v>7845.1753807570549</v>
      </c>
      <c r="X26" s="5">
        <f t="shared" si="11"/>
        <v>7002.6483875746826</v>
      </c>
      <c r="Y26" s="5">
        <f t="shared" si="11"/>
        <v>6010.1213943923103</v>
      </c>
      <c r="Z26" s="5">
        <f t="shared" si="11"/>
        <v>2613.2674781330147</v>
      </c>
      <c r="AA26" s="5">
        <f t="shared" si="11"/>
        <v>2508.2404849506424</v>
      </c>
      <c r="AB26" s="5">
        <f t="shared" si="11"/>
        <v>2403.2134917682702</v>
      </c>
      <c r="AC26" s="5">
        <f t="shared" si="11"/>
        <v>2298.1864985858979</v>
      </c>
      <c r="AD26" s="5">
        <f t="shared" si="11"/>
        <v>2193.1595054035256</v>
      </c>
      <c r="AE26" s="5">
        <f t="shared" si="11"/>
        <v>17554.619401246859</v>
      </c>
      <c r="AF26" s="5">
        <f t="shared" si="11"/>
        <v>17073.579297090193</v>
      </c>
      <c r="AG26" s="5">
        <f t="shared" si="11"/>
        <v>16405.039192933527</v>
      </c>
      <c r="AH26" s="5">
        <f t="shared" si="11"/>
        <v>10874.960627238397</v>
      </c>
      <c r="AI26" s="5">
        <f t="shared" si="11"/>
        <v>10356.42052308173</v>
      </c>
      <c r="AJ26" s="5">
        <f t="shared" si="11"/>
        <v>8112.8804189250623</v>
      </c>
      <c r="AK26" s="5">
        <f t="shared" si="11"/>
        <v>5558.763391691472</v>
      </c>
      <c r="AL26" s="5">
        <f t="shared" si="11"/>
        <v>4427.7232875348045</v>
      </c>
      <c r="AM26" s="5">
        <f t="shared" si="11"/>
        <v>4271.6831833781371</v>
      </c>
      <c r="AN26" s="5">
        <f t="shared" si="11"/>
        <v>1617.5661561445463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x14ac:dyDescent="0.25">
      <c r="A30" s="19" t="s">
        <v>36</v>
      </c>
      <c r="B30" s="20">
        <f t="shared" ref="B30:AN30" si="12">B11</f>
        <v>0</v>
      </c>
      <c r="C30" s="20">
        <f t="shared" si="12"/>
        <v>0</v>
      </c>
      <c r="D30" s="20">
        <f t="shared" si="12"/>
        <v>0</v>
      </c>
      <c r="E30" s="20">
        <f t="shared" si="12"/>
        <v>0</v>
      </c>
      <c r="F30" s="20">
        <f t="shared" si="12"/>
        <v>0</v>
      </c>
      <c r="G30" s="20">
        <f t="shared" si="12"/>
        <v>121.875</v>
      </c>
      <c r="H30" s="20">
        <f t="shared" si="12"/>
        <v>553.125</v>
      </c>
      <c r="I30" s="20">
        <f t="shared" si="12"/>
        <v>462.5</v>
      </c>
      <c r="J30" s="20">
        <f t="shared" si="12"/>
        <v>590.625</v>
      </c>
      <c r="K30" s="20">
        <f t="shared" si="12"/>
        <v>468.75</v>
      </c>
      <c r="L30" s="20">
        <f t="shared" si="12"/>
        <v>109.375</v>
      </c>
      <c r="M30" s="20">
        <f t="shared" si="12"/>
        <v>134.375</v>
      </c>
      <c r="N30" s="20">
        <f t="shared" si="12"/>
        <v>0</v>
      </c>
      <c r="O30" s="20">
        <f t="shared" si="12"/>
        <v>81.25</v>
      </c>
      <c r="P30" s="20">
        <f t="shared" si="12"/>
        <v>81.25</v>
      </c>
      <c r="Q30" s="20">
        <f t="shared" si="12"/>
        <v>584.375</v>
      </c>
      <c r="R30" s="20">
        <f t="shared" si="12"/>
        <v>412.5</v>
      </c>
      <c r="S30" s="20">
        <f t="shared" si="12"/>
        <v>759.375</v>
      </c>
      <c r="T30" s="20">
        <f t="shared" si="12"/>
        <v>640.625</v>
      </c>
      <c r="U30" s="20">
        <f t="shared" si="12"/>
        <v>812.5</v>
      </c>
      <c r="V30" s="20">
        <f t="shared" si="12"/>
        <v>868.75</v>
      </c>
      <c r="W30" s="20">
        <f t="shared" si="12"/>
        <v>1093.75</v>
      </c>
      <c r="X30" s="20">
        <f t="shared" si="12"/>
        <v>737.5</v>
      </c>
      <c r="Y30" s="20">
        <f t="shared" si="12"/>
        <v>887.5</v>
      </c>
      <c r="Z30" s="20">
        <f t="shared" si="12"/>
        <v>793.75</v>
      </c>
      <c r="AA30" s="20">
        <f t="shared" si="12"/>
        <v>0</v>
      </c>
      <c r="AB30" s="20">
        <f t="shared" si="12"/>
        <v>0</v>
      </c>
      <c r="AC30" s="20">
        <f t="shared" si="12"/>
        <v>0</v>
      </c>
      <c r="AD30" s="20">
        <f t="shared" si="12"/>
        <v>0</v>
      </c>
      <c r="AE30" s="20">
        <f t="shared" si="12"/>
        <v>262.5</v>
      </c>
      <c r="AF30" s="20">
        <f t="shared" si="12"/>
        <v>325</v>
      </c>
      <c r="AG30" s="20">
        <f t="shared" si="12"/>
        <v>512.5</v>
      </c>
      <c r="AH30" s="20">
        <f t="shared" si="12"/>
        <v>312.5</v>
      </c>
      <c r="AI30" s="20">
        <f t="shared" si="12"/>
        <v>362.5</v>
      </c>
      <c r="AJ30" s="20">
        <f t="shared" si="12"/>
        <v>587.5</v>
      </c>
      <c r="AK30" s="20">
        <f t="shared" si="12"/>
        <v>500</v>
      </c>
      <c r="AL30" s="20">
        <f t="shared" si="12"/>
        <v>975</v>
      </c>
      <c r="AM30" s="20">
        <f t="shared" si="12"/>
        <v>0</v>
      </c>
      <c r="AN30" s="20">
        <f t="shared" si="12"/>
        <v>0</v>
      </c>
    </row>
    <row r="31" spans="1:40" x14ac:dyDescent="0.25">
      <c r="A31" s="21" t="s">
        <v>37</v>
      </c>
      <c r="B31" s="5">
        <f t="shared" ref="B31:AN31" si="13">B12</f>
        <v>105.02699318237218</v>
      </c>
      <c r="C31" s="5">
        <f t="shared" si="13"/>
        <v>105.02699318237218</v>
      </c>
      <c r="D31" s="5">
        <f t="shared" si="13"/>
        <v>105.02699318237218</v>
      </c>
      <c r="E31" s="5">
        <f t="shared" si="13"/>
        <v>105.02699318237218</v>
      </c>
      <c r="F31" s="5">
        <f t="shared" si="13"/>
        <v>105.02699318237218</v>
      </c>
      <c r="G31" s="5">
        <f t="shared" si="13"/>
        <v>105.02699318237218</v>
      </c>
      <c r="H31" s="5">
        <f t="shared" si="13"/>
        <v>105.02699318237218</v>
      </c>
      <c r="I31" s="5">
        <f t="shared" si="13"/>
        <v>105.02699318237218</v>
      </c>
      <c r="J31" s="5">
        <f t="shared" si="13"/>
        <v>105.02699318237218</v>
      </c>
      <c r="K31" s="5">
        <f t="shared" si="13"/>
        <v>105.02699318237218</v>
      </c>
      <c r="L31" s="5">
        <f t="shared" si="13"/>
        <v>105.02699318237218</v>
      </c>
      <c r="M31" s="5">
        <f t="shared" si="13"/>
        <v>105.02699318237218</v>
      </c>
      <c r="N31" s="5">
        <f t="shared" si="13"/>
        <v>105.02699318237218</v>
      </c>
      <c r="O31" s="5">
        <f t="shared" si="13"/>
        <v>105.02699318237218</v>
      </c>
      <c r="P31" s="5">
        <f t="shared" si="13"/>
        <v>105.02699318237218</v>
      </c>
      <c r="Q31" s="5">
        <f t="shared" si="13"/>
        <v>105.02699318237218</v>
      </c>
      <c r="R31" s="5">
        <f t="shared" si="13"/>
        <v>105.02699318237218</v>
      </c>
      <c r="S31" s="5">
        <f t="shared" si="13"/>
        <v>105.02699318237218</v>
      </c>
      <c r="T31" s="5">
        <f t="shared" si="13"/>
        <v>105.02699318237218</v>
      </c>
      <c r="U31" s="5">
        <f t="shared" si="13"/>
        <v>105.02699318237218</v>
      </c>
      <c r="V31" s="5">
        <f t="shared" si="13"/>
        <v>105.02699318237218</v>
      </c>
      <c r="W31" s="5">
        <f t="shared" si="13"/>
        <v>105.02699318237218</v>
      </c>
      <c r="X31" s="5">
        <f t="shared" si="13"/>
        <v>105.02699318237218</v>
      </c>
      <c r="Y31" s="5">
        <f t="shared" si="13"/>
        <v>105.02699318237218</v>
      </c>
      <c r="Z31" s="5">
        <f t="shared" si="13"/>
        <v>105.02699318237218</v>
      </c>
      <c r="AA31" s="5">
        <f t="shared" si="13"/>
        <v>105.02699318237218</v>
      </c>
      <c r="AB31" s="5">
        <f t="shared" si="13"/>
        <v>105.02699318237218</v>
      </c>
      <c r="AC31" s="5">
        <f t="shared" si="13"/>
        <v>105.02699318237218</v>
      </c>
      <c r="AD31" s="5">
        <f t="shared" si="13"/>
        <v>105.02699318237218</v>
      </c>
      <c r="AE31" s="5">
        <f t="shared" si="13"/>
        <v>156.04010415666724</v>
      </c>
      <c r="AF31" s="5">
        <f t="shared" si="13"/>
        <v>156.04010415666724</v>
      </c>
      <c r="AG31" s="5">
        <f t="shared" si="13"/>
        <v>156.04010415666724</v>
      </c>
      <c r="AH31" s="5">
        <f t="shared" si="13"/>
        <v>156.04010415666724</v>
      </c>
      <c r="AI31" s="5">
        <f t="shared" si="13"/>
        <v>156.04010415666724</v>
      </c>
      <c r="AJ31" s="5">
        <f t="shared" si="13"/>
        <v>156.04010415666724</v>
      </c>
      <c r="AK31" s="5">
        <f t="shared" si="13"/>
        <v>156.04010415666724</v>
      </c>
      <c r="AL31" s="5">
        <f t="shared" si="13"/>
        <v>156.04010415666724</v>
      </c>
      <c r="AM31" s="5">
        <f t="shared" si="13"/>
        <v>156.04010415666724</v>
      </c>
      <c r="AN31" s="5">
        <f t="shared" si="13"/>
        <v>156.04010415666724</v>
      </c>
    </row>
    <row r="32" spans="1:40" x14ac:dyDescent="0.25">
      <c r="A32" s="22" t="s">
        <v>38</v>
      </c>
      <c r="B32" s="23" t="e">
        <f t="shared" ref="B32:AN32" si="14">B31/B30</f>
        <v>#DIV/0!</v>
      </c>
      <c r="C32" s="23" t="e">
        <f t="shared" si="14"/>
        <v>#DIV/0!</v>
      </c>
      <c r="D32" s="23" t="e">
        <f t="shared" si="14"/>
        <v>#DIV/0!</v>
      </c>
      <c r="E32" s="23" t="e">
        <f t="shared" si="14"/>
        <v>#DIV/0!</v>
      </c>
      <c r="F32" s="23" t="e">
        <f t="shared" si="14"/>
        <v>#DIV/0!</v>
      </c>
      <c r="G32" s="23">
        <f t="shared" si="14"/>
        <v>0.86175994406048972</v>
      </c>
      <c r="H32" s="23">
        <f t="shared" si="14"/>
        <v>0.18987930970824349</v>
      </c>
      <c r="I32" s="23">
        <f t="shared" si="14"/>
        <v>0.22708539066458849</v>
      </c>
      <c r="J32" s="23">
        <f t="shared" si="14"/>
        <v>0.17782348052041852</v>
      </c>
      <c r="K32" s="23">
        <f t="shared" si="14"/>
        <v>0.22405758545572732</v>
      </c>
      <c r="L32" s="23">
        <f t="shared" si="14"/>
        <v>0.96024679481025998</v>
      </c>
      <c r="M32" s="23">
        <f t="shared" si="14"/>
        <v>0.7815962283339325</v>
      </c>
      <c r="N32" s="23" t="e">
        <f t="shared" si="14"/>
        <v>#DIV/0!</v>
      </c>
      <c r="O32" s="23">
        <f t="shared" si="14"/>
        <v>1.2926399160907345</v>
      </c>
      <c r="P32" s="23">
        <f t="shared" si="14"/>
        <v>1.2926399160907345</v>
      </c>
      <c r="Q32" s="23">
        <f t="shared" si="14"/>
        <v>0.179725335927054</v>
      </c>
      <c r="R32" s="23">
        <f t="shared" si="14"/>
        <v>0.25461089256332647</v>
      </c>
      <c r="S32" s="23">
        <f t="shared" si="14"/>
        <v>0.13830715151588105</v>
      </c>
      <c r="T32" s="23">
        <f t="shared" si="14"/>
        <v>0.16394457472370291</v>
      </c>
      <c r="U32" s="23">
        <f t="shared" si="14"/>
        <v>0.12926399160907345</v>
      </c>
      <c r="V32" s="23">
        <f t="shared" si="14"/>
        <v>0.12089438064157949</v>
      </c>
      <c r="W32" s="23">
        <f t="shared" si="14"/>
        <v>9.6024679481025998E-2</v>
      </c>
      <c r="X32" s="23">
        <f t="shared" si="14"/>
        <v>0.14240948228118261</v>
      </c>
      <c r="Y32" s="23">
        <f t="shared" si="14"/>
        <v>0.11834027400830668</v>
      </c>
      <c r="Z32" s="23">
        <f t="shared" si="14"/>
        <v>0.13231747172582323</v>
      </c>
      <c r="AA32" s="23" t="e">
        <f t="shared" si="14"/>
        <v>#DIV/0!</v>
      </c>
      <c r="AB32" s="23" t="e">
        <f t="shared" si="14"/>
        <v>#DIV/0!</v>
      </c>
      <c r="AC32" s="23" t="e">
        <f t="shared" si="14"/>
        <v>#DIV/0!</v>
      </c>
      <c r="AD32" s="23" t="e">
        <f t="shared" si="14"/>
        <v>#DIV/0!</v>
      </c>
      <c r="AE32" s="23">
        <f t="shared" si="14"/>
        <v>0.594438492025399</v>
      </c>
      <c r="AF32" s="23">
        <f t="shared" si="14"/>
        <v>0.48012339740512999</v>
      </c>
      <c r="AG32" s="23">
        <f t="shared" si="14"/>
        <v>0.30446849591544828</v>
      </c>
      <c r="AH32" s="23">
        <f t="shared" si="14"/>
        <v>0.49932833330133519</v>
      </c>
      <c r="AI32" s="23">
        <f t="shared" si="14"/>
        <v>0.4304554597425303</v>
      </c>
      <c r="AJ32" s="23">
        <f t="shared" si="14"/>
        <v>0.26560017728794422</v>
      </c>
      <c r="AK32" s="23">
        <f t="shared" si="14"/>
        <v>0.3120802083133345</v>
      </c>
      <c r="AL32" s="23">
        <f t="shared" si="14"/>
        <v>0.16004113246837665</v>
      </c>
      <c r="AM32" s="23" t="e">
        <f t="shared" si="14"/>
        <v>#DIV/0!</v>
      </c>
      <c r="AN32" s="23" t="e">
        <f t="shared" si="14"/>
        <v>#DIV/0!</v>
      </c>
    </row>
    <row r="33" spans="1:40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x14ac:dyDescent="0.25">
      <c r="A34" s="21" t="s">
        <v>33</v>
      </c>
      <c r="B34" s="5">
        <f>B58</f>
        <v>0</v>
      </c>
      <c r="C34" s="5">
        <f t="shared" ref="C34:AN34" si="15">B38</f>
        <v>-105.02699318237218</v>
      </c>
      <c r="D34" s="5">
        <f t="shared" si="15"/>
        <v>-210.05398636474436</v>
      </c>
      <c r="E34" s="5">
        <f t="shared" si="15"/>
        <v>-315.08097954711656</v>
      </c>
      <c r="F34" s="5">
        <f t="shared" si="15"/>
        <v>-2950.8772034987196</v>
      </c>
      <c r="G34" s="5">
        <f t="shared" si="15"/>
        <v>-3055.9041966810919</v>
      </c>
      <c r="H34" s="5">
        <f t="shared" si="15"/>
        <v>-4182.8061898634642</v>
      </c>
      <c r="I34" s="5">
        <f t="shared" si="15"/>
        <v>-6739.0351061227593</v>
      </c>
      <c r="J34" s="5">
        <f t="shared" si="15"/>
        <v>-7306.5620993051316</v>
      </c>
      <c r="K34" s="5">
        <f t="shared" si="15"/>
        <v>-8002.2140924875039</v>
      </c>
      <c r="L34" s="5">
        <f t="shared" si="15"/>
        <v>-11074.068008746799</v>
      </c>
      <c r="M34" s="5">
        <f t="shared" si="15"/>
        <v>-11288.47000192917</v>
      </c>
      <c r="N34" s="5">
        <f t="shared" si="15"/>
        <v>-11527.871995111542</v>
      </c>
      <c r="O34" s="5">
        <f t="shared" si="15"/>
        <v>-11632.898988293913</v>
      </c>
      <c r="P34" s="5">
        <f t="shared" si="15"/>
        <v>-11819.175981476285</v>
      </c>
      <c r="Q34" s="5">
        <f t="shared" si="15"/>
        <v>-12005.452974658656</v>
      </c>
      <c r="R34" s="5">
        <f t="shared" si="15"/>
        <v>-12694.854967841027</v>
      </c>
      <c r="S34" s="5">
        <f t="shared" si="15"/>
        <v>-13212.381961023399</v>
      </c>
      <c r="T34" s="5">
        <f t="shared" si="15"/>
        <v>-14076.78395420577</v>
      </c>
      <c r="U34" s="5">
        <f t="shared" si="15"/>
        <v>-20516.666716618911</v>
      </c>
      <c r="V34" s="5">
        <f t="shared" si="15"/>
        <v>-21184.193709801282</v>
      </c>
      <c r="W34" s="5">
        <f t="shared" si="15"/>
        <v>-24057.970702983654</v>
      </c>
      <c r="X34" s="5">
        <f t="shared" si="15"/>
        <v>-27154.824619242951</v>
      </c>
      <c r="Y34" s="5">
        <f t="shared" si="15"/>
        <v>-27997.351612425322</v>
      </c>
      <c r="Z34" s="5">
        <f t="shared" si="15"/>
        <v>-28489.878605607693</v>
      </c>
      <c r="AA34" s="5">
        <f t="shared" si="15"/>
        <v>-32386.73252186699</v>
      </c>
      <c r="AB34" s="5">
        <f t="shared" si="15"/>
        <v>-32491.759515049362</v>
      </c>
      <c r="AC34" s="5">
        <f t="shared" si="15"/>
        <v>-32596.786508231733</v>
      </c>
      <c r="AD34" s="5">
        <f t="shared" si="15"/>
        <v>-32701.813501414104</v>
      </c>
      <c r="AE34" s="5">
        <f t="shared" si="15"/>
        <v>-32556.840494596476</v>
      </c>
      <c r="AF34" s="5">
        <f t="shared" si="15"/>
        <v>-34445.380598753145</v>
      </c>
      <c r="AG34" s="5">
        <f t="shared" si="15"/>
        <v>-34926.420702909811</v>
      </c>
      <c r="AH34" s="5">
        <f t="shared" si="15"/>
        <v>-35594.960807066476</v>
      </c>
      <c r="AI34" s="5">
        <f t="shared" si="15"/>
        <v>-41125.039372761603</v>
      </c>
      <c r="AJ34" s="5">
        <f t="shared" si="15"/>
        <v>-41643.579476918268</v>
      </c>
      <c r="AK34" s="5">
        <f t="shared" si="15"/>
        <v>-43887.119581074934</v>
      </c>
      <c r="AL34" s="5">
        <f t="shared" si="15"/>
        <v>-46441.236608308522</v>
      </c>
      <c r="AM34" s="5">
        <f t="shared" si="15"/>
        <v>-47572.276712465187</v>
      </c>
      <c r="AN34" s="5">
        <f t="shared" si="15"/>
        <v>-47728.316816621853</v>
      </c>
    </row>
    <row r="35" spans="1:40" x14ac:dyDescent="0.25">
      <c r="A35" s="22" t="s">
        <v>39</v>
      </c>
      <c r="B35" s="5">
        <f t="shared" ref="B35:T35" si="16">B6</f>
        <v>0</v>
      </c>
      <c r="C35" s="5">
        <f t="shared" si="16"/>
        <v>0</v>
      </c>
      <c r="D35" s="5">
        <f t="shared" si="16"/>
        <v>0</v>
      </c>
      <c r="E35" s="5">
        <f t="shared" si="16"/>
        <v>0</v>
      </c>
      <c r="F35" s="5">
        <f t="shared" si="16"/>
        <v>0</v>
      </c>
      <c r="G35" s="5">
        <f t="shared" si="16"/>
        <v>0</v>
      </c>
      <c r="H35" s="5">
        <f t="shared" si="16"/>
        <v>0</v>
      </c>
      <c r="I35" s="5">
        <f t="shared" si="16"/>
        <v>0</v>
      </c>
      <c r="J35" s="5">
        <f t="shared" si="16"/>
        <v>0</v>
      </c>
      <c r="K35" s="5">
        <f t="shared" si="16"/>
        <v>0</v>
      </c>
      <c r="L35" s="5">
        <f t="shared" si="16"/>
        <v>0</v>
      </c>
      <c r="M35" s="5">
        <f t="shared" si="16"/>
        <v>0</v>
      </c>
      <c r="N35" s="5">
        <f t="shared" si="16"/>
        <v>0</v>
      </c>
      <c r="O35" s="5">
        <f t="shared" si="16"/>
        <v>0</v>
      </c>
      <c r="P35" s="5">
        <f t="shared" si="16"/>
        <v>0</v>
      </c>
      <c r="Q35" s="5">
        <f t="shared" si="16"/>
        <v>0</v>
      </c>
      <c r="R35" s="5">
        <f t="shared" si="16"/>
        <v>0</v>
      </c>
      <c r="S35" s="5">
        <f t="shared" si="16"/>
        <v>0</v>
      </c>
      <c r="T35" s="5">
        <f t="shared" si="16"/>
        <v>0</v>
      </c>
      <c r="U35" s="5">
        <f t="shared" ref="U35:AN35" si="17">V6</f>
        <v>250</v>
      </c>
      <c r="V35" s="5">
        <f t="shared" si="17"/>
        <v>0</v>
      </c>
      <c r="W35" s="5">
        <f t="shared" si="17"/>
        <v>0</v>
      </c>
      <c r="X35" s="5">
        <f t="shared" si="17"/>
        <v>0</v>
      </c>
      <c r="Y35" s="5">
        <f t="shared" si="17"/>
        <v>500</v>
      </c>
      <c r="Z35" s="5">
        <f t="shared" si="17"/>
        <v>0</v>
      </c>
      <c r="AA35" s="5">
        <f t="shared" si="17"/>
        <v>0</v>
      </c>
      <c r="AB35" s="5">
        <f t="shared" si="17"/>
        <v>0</v>
      </c>
      <c r="AC35" s="5">
        <f t="shared" si="17"/>
        <v>0</v>
      </c>
      <c r="AD35" s="5">
        <f t="shared" si="17"/>
        <v>250</v>
      </c>
      <c r="AE35" s="5">
        <f t="shared" si="17"/>
        <v>0</v>
      </c>
      <c r="AF35" s="5">
        <f t="shared" si="17"/>
        <v>0</v>
      </c>
      <c r="AG35" s="5">
        <f t="shared" si="17"/>
        <v>0</v>
      </c>
      <c r="AH35" s="5">
        <f t="shared" si="17"/>
        <v>0</v>
      </c>
      <c r="AI35" s="5">
        <f t="shared" si="17"/>
        <v>0</v>
      </c>
      <c r="AJ35" s="5">
        <f t="shared" si="17"/>
        <v>0</v>
      </c>
      <c r="AK35" s="5">
        <f t="shared" si="17"/>
        <v>0</v>
      </c>
      <c r="AL35" s="5">
        <f t="shared" si="17"/>
        <v>0</v>
      </c>
      <c r="AM35" s="5">
        <f t="shared" si="17"/>
        <v>0</v>
      </c>
      <c r="AN35" s="5">
        <f t="shared" si="17"/>
        <v>0</v>
      </c>
    </row>
    <row r="36" spans="1:40" x14ac:dyDescent="0.25">
      <c r="A36" s="22" t="s">
        <v>20</v>
      </c>
      <c r="B36" s="5">
        <f t="shared" ref="B36:AN36" si="18">B24</f>
        <v>105.02699318237218</v>
      </c>
      <c r="C36" s="5">
        <f t="shared" si="18"/>
        <v>105.02699318237218</v>
      </c>
      <c r="D36" s="5">
        <f t="shared" si="18"/>
        <v>105.02699318237218</v>
      </c>
      <c r="E36" s="5">
        <f t="shared" si="18"/>
        <v>2635.7962239516032</v>
      </c>
      <c r="F36" s="5">
        <f t="shared" si="18"/>
        <v>105.02699318237218</v>
      </c>
      <c r="G36" s="5">
        <f t="shared" si="18"/>
        <v>1126.9019931823723</v>
      </c>
      <c r="H36" s="5">
        <f t="shared" si="18"/>
        <v>2556.2289162592956</v>
      </c>
      <c r="I36" s="5">
        <f t="shared" si="18"/>
        <v>567.52699318237217</v>
      </c>
      <c r="J36" s="5">
        <f t="shared" si="18"/>
        <v>695.65199318237217</v>
      </c>
      <c r="K36" s="5">
        <f t="shared" si="18"/>
        <v>3071.8539162592956</v>
      </c>
      <c r="L36" s="5">
        <f t="shared" si="18"/>
        <v>214.40199318237217</v>
      </c>
      <c r="M36" s="5">
        <f t="shared" si="18"/>
        <v>239.40199318237217</v>
      </c>
      <c r="N36" s="5">
        <f t="shared" si="18"/>
        <v>105.02699318237218</v>
      </c>
      <c r="O36" s="5">
        <f t="shared" si="18"/>
        <v>186.27699318237217</v>
      </c>
      <c r="P36" s="5">
        <f t="shared" si="18"/>
        <v>186.27699318237217</v>
      </c>
      <c r="Q36" s="5">
        <f t="shared" si="18"/>
        <v>689.40199318237217</v>
      </c>
      <c r="R36" s="5">
        <f t="shared" si="18"/>
        <v>517.52699318237217</v>
      </c>
      <c r="S36" s="5">
        <f t="shared" si="18"/>
        <v>864.40199318237217</v>
      </c>
      <c r="T36" s="5">
        <f t="shared" si="18"/>
        <v>6439.8827624131418</v>
      </c>
      <c r="U36" s="5">
        <f t="shared" si="18"/>
        <v>917.52699318237217</v>
      </c>
      <c r="V36" s="5">
        <f t="shared" si="18"/>
        <v>2873.7769931823723</v>
      </c>
      <c r="W36" s="5">
        <f t="shared" si="18"/>
        <v>3096.8539162592956</v>
      </c>
      <c r="X36" s="5">
        <f t="shared" si="18"/>
        <v>842.52699318237217</v>
      </c>
      <c r="Y36" s="5">
        <f t="shared" si="18"/>
        <v>992.52699318237217</v>
      </c>
      <c r="Z36" s="5">
        <f t="shared" si="18"/>
        <v>3896.8539162592956</v>
      </c>
      <c r="AA36" s="5">
        <f t="shared" si="18"/>
        <v>105.02699318237218</v>
      </c>
      <c r="AB36" s="5">
        <f t="shared" si="18"/>
        <v>105.02699318237218</v>
      </c>
      <c r="AC36" s="5">
        <f t="shared" si="18"/>
        <v>105.02699318237218</v>
      </c>
      <c r="AD36" s="5">
        <f t="shared" si="18"/>
        <v>105.02699318237218</v>
      </c>
      <c r="AE36" s="5">
        <f t="shared" si="18"/>
        <v>1888.5401041566672</v>
      </c>
      <c r="AF36" s="5">
        <f t="shared" si="18"/>
        <v>481.04010415666721</v>
      </c>
      <c r="AG36" s="5">
        <f t="shared" si="18"/>
        <v>668.54010415666721</v>
      </c>
      <c r="AH36" s="5">
        <f t="shared" si="18"/>
        <v>5530.0785656951293</v>
      </c>
      <c r="AI36" s="5">
        <f t="shared" si="18"/>
        <v>518.54010415666721</v>
      </c>
      <c r="AJ36" s="5">
        <f t="shared" si="18"/>
        <v>2243.5401041566674</v>
      </c>
      <c r="AK36" s="5">
        <f t="shared" si="18"/>
        <v>2554.1170272335903</v>
      </c>
      <c r="AL36" s="5">
        <f t="shared" si="18"/>
        <v>1131.0401041566672</v>
      </c>
      <c r="AM36" s="5">
        <f t="shared" si="18"/>
        <v>156.04010415666724</v>
      </c>
      <c r="AN36" s="5">
        <f t="shared" si="18"/>
        <v>2654.1170272335908</v>
      </c>
    </row>
    <row r="37" spans="1:40" x14ac:dyDescent="0.25">
      <c r="A37" s="21" t="s">
        <v>40</v>
      </c>
      <c r="B37" s="5">
        <f t="shared" ref="B37:AN37" si="19">B35-B36</f>
        <v>-105.02699318237218</v>
      </c>
      <c r="C37" s="5">
        <f t="shared" si="19"/>
        <v>-105.02699318237218</v>
      </c>
      <c r="D37" s="5">
        <f t="shared" si="19"/>
        <v>-105.02699318237218</v>
      </c>
      <c r="E37" s="5">
        <f t="shared" si="19"/>
        <v>-2635.7962239516032</v>
      </c>
      <c r="F37" s="5">
        <f t="shared" si="19"/>
        <v>-105.02699318237218</v>
      </c>
      <c r="G37" s="5">
        <f t="shared" si="19"/>
        <v>-1126.9019931823723</v>
      </c>
      <c r="H37" s="5">
        <f t="shared" si="19"/>
        <v>-2556.2289162592956</v>
      </c>
      <c r="I37" s="5">
        <f t="shared" si="19"/>
        <v>-567.52699318237217</v>
      </c>
      <c r="J37" s="5">
        <f t="shared" si="19"/>
        <v>-695.65199318237217</v>
      </c>
      <c r="K37" s="5">
        <f t="shared" si="19"/>
        <v>-3071.8539162592956</v>
      </c>
      <c r="L37" s="5">
        <f t="shared" si="19"/>
        <v>-214.40199318237217</v>
      </c>
      <c r="M37" s="5">
        <f t="shared" si="19"/>
        <v>-239.40199318237217</v>
      </c>
      <c r="N37" s="5">
        <f t="shared" si="19"/>
        <v>-105.02699318237218</v>
      </c>
      <c r="O37" s="5">
        <f t="shared" si="19"/>
        <v>-186.27699318237217</v>
      </c>
      <c r="P37" s="5">
        <f t="shared" si="19"/>
        <v>-186.27699318237217</v>
      </c>
      <c r="Q37" s="5">
        <f t="shared" si="19"/>
        <v>-689.40199318237217</v>
      </c>
      <c r="R37" s="5">
        <f t="shared" si="19"/>
        <v>-517.52699318237217</v>
      </c>
      <c r="S37" s="5">
        <f t="shared" si="19"/>
        <v>-864.40199318237217</v>
      </c>
      <c r="T37" s="5">
        <f t="shared" si="19"/>
        <v>-6439.8827624131418</v>
      </c>
      <c r="U37" s="5">
        <f t="shared" si="19"/>
        <v>-667.52699318237217</v>
      </c>
      <c r="V37" s="5">
        <f t="shared" si="19"/>
        <v>-2873.7769931823723</v>
      </c>
      <c r="W37" s="5">
        <f t="shared" si="19"/>
        <v>-3096.8539162592956</v>
      </c>
      <c r="X37" s="5">
        <f t="shared" si="19"/>
        <v>-842.52699318237217</v>
      </c>
      <c r="Y37" s="5">
        <f t="shared" si="19"/>
        <v>-492.52699318237217</v>
      </c>
      <c r="Z37" s="5">
        <f t="shared" si="19"/>
        <v>-3896.8539162592956</v>
      </c>
      <c r="AA37" s="5">
        <f t="shared" si="19"/>
        <v>-105.02699318237218</v>
      </c>
      <c r="AB37" s="5">
        <f t="shared" si="19"/>
        <v>-105.02699318237218</v>
      </c>
      <c r="AC37" s="5">
        <f t="shared" si="19"/>
        <v>-105.02699318237218</v>
      </c>
      <c r="AD37" s="5">
        <f t="shared" si="19"/>
        <v>144.97300681762783</v>
      </c>
      <c r="AE37" s="5">
        <f t="shared" si="19"/>
        <v>-1888.5401041566672</v>
      </c>
      <c r="AF37" s="5">
        <f t="shared" si="19"/>
        <v>-481.04010415666721</v>
      </c>
      <c r="AG37" s="5">
        <f t="shared" si="19"/>
        <v>-668.54010415666721</v>
      </c>
      <c r="AH37" s="5">
        <f t="shared" si="19"/>
        <v>-5530.0785656951293</v>
      </c>
      <c r="AI37" s="5">
        <f t="shared" si="19"/>
        <v>-518.54010415666721</v>
      </c>
      <c r="AJ37" s="5">
        <f t="shared" si="19"/>
        <v>-2243.5401041566674</v>
      </c>
      <c r="AK37" s="5">
        <f t="shared" si="19"/>
        <v>-2554.1170272335903</v>
      </c>
      <c r="AL37" s="5">
        <f t="shared" si="19"/>
        <v>-1131.0401041566672</v>
      </c>
      <c r="AM37" s="5">
        <f t="shared" si="19"/>
        <v>-156.04010415666724</v>
      </c>
      <c r="AN37" s="5">
        <f t="shared" si="19"/>
        <v>-2654.1170272335908</v>
      </c>
    </row>
    <row r="38" spans="1:40" x14ac:dyDescent="0.25">
      <c r="A38" s="22" t="s">
        <v>41</v>
      </c>
      <c r="B38" s="5">
        <f t="shared" ref="B38:AN38" si="20">B34+B37</f>
        <v>-105.02699318237218</v>
      </c>
      <c r="C38" s="5">
        <f t="shared" si="20"/>
        <v>-210.05398636474436</v>
      </c>
      <c r="D38" s="5">
        <f t="shared" si="20"/>
        <v>-315.08097954711656</v>
      </c>
      <c r="E38" s="5">
        <f t="shared" si="20"/>
        <v>-2950.8772034987196</v>
      </c>
      <c r="F38" s="5">
        <f t="shared" si="20"/>
        <v>-3055.9041966810919</v>
      </c>
      <c r="G38" s="5">
        <f t="shared" si="20"/>
        <v>-4182.8061898634642</v>
      </c>
      <c r="H38" s="5">
        <f t="shared" si="20"/>
        <v>-6739.0351061227593</v>
      </c>
      <c r="I38" s="5">
        <f t="shared" si="20"/>
        <v>-7306.5620993051316</v>
      </c>
      <c r="J38" s="5">
        <f t="shared" si="20"/>
        <v>-8002.2140924875039</v>
      </c>
      <c r="K38" s="5">
        <f t="shared" si="20"/>
        <v>-11074.068008746799</v>
      </c>
      <c r="L38" s="5">
        <f t="shared" si="20"/>
        <v>-11288.47000192917</v>
      </c>
      <c r="M38" s="5">
        <f t="shared" si="20"/>
        <v>-11527.871995111542</v>
      </c>
      <c r="N38" s="5">
        <f t="shared" si="20"/>
        <v>-11632.898988293913</v>
      </c>
      <c r="O38" s="5">
        <f t="shared" si="20"/>
        <v>-11819.175981476285</v>
      </c>
      <c r="P38" s="5">
        <f t="shared" si="20"/>
        <v>-12005.452974658656</v>
      </c>
      <c r="Q38" s="5">
        <f t="shared" si="20"/>
        <v>-12694.854967841027</v>
      </c>
      <c r="R38" s="5">
        <f t="shared" si="20"/>
        <v>-13212.381961023399</v>
      </c>
      <c r="S38" s="5">
        <f t="shared" si="20"/>
        <v>-14076.78395420577</v>
      </c>
      <c r="T38" s="5">
        <f t="shared" si="20"/>
        <v>-20516.666716618911</v>
      </c>
      <c r="U38" s="5">
        <f t="shared" si="20"/>
        <v>-21184.193709801282</v>
      </c>
      <c r="V38" s="5">
        <f t="shared" si="20"/>
        <v>-24057.970702983654</v>
      </c>
      <c r="W38" s="5">
        <f t="shared" si="20"/>
        <v>-27154.824619242951</v>
      </c>
      <c r="X38" s="5">
        <f t="shared" si="20"/>
        <v>-27997.351612425322</v>
      </c>
      <c r="Y38" s="5">
        <f t="shared" si="20"/>
        <v>-28489.878605607693</v>
      </c>
      <c r="Z38" s="5">
        <f t="shared" si="20"/>
        <v>-32386.73252186699</v>
      </c>
      <c r="AA38" s="5">
        <f t="shared" si="20"/>
        <v>-32491.759515049362</v>
      </c>
      <c r="AB38" s="5">
        <f t="shared" si="20"/>
        <v>-32596.786508231733</v>
      </c>
      <c r="AC38" s="5">
        <f t="shared" si="20"/>
        <v>-32701.813501414104</v>
      </c>
      <c r="AD38" s="5">
        <f t="shared" si="20"/>
        <v>-32556.840494596476</v>
      </c>
      <c r="AE38" s="5">
        <f t="shared" si="20"/>
        <v>-34445.380598753145</v>
      </c>
      <c r="AF38" s="5">
        <f t="shared" si="20"/>
        <v>-34926.420702909811</v>
      </c>
      <c r="AG38" s="5">
        <f t="shared" si="20"/>
        <v>-35594.960807066476</v>
      </c>
      <c r="AH38" s="5">
        <f t="shared" si="20"/>
        <v>-41125.039372761603</v>
      </c>
      <c r="AI38" s="5">
        <f t="shared" si="20"/>
        <v>-41643.579476918268</v>
      </c>
      <c r="AJ38" s="5">
        <f t="shared" si="20"/>
        <v>-43887.119581074934</v>
      </c>
      <c r="AK38" s="5">
        <f t="shared" si="20"/>
        <v>-46441.236608308522</v>
      </c>
      <c r="AL38" s="5">
        <f t="shared" si="20"/>
        <v>-47572.276712465187</v>
      </c>
      <c r="AM38" s="5">
        <f t="shared" si="20"/>
        <v>-47728.316816621853</v>
      </c>
      <c r="AN38" s="5">
        <f t="shared" si="20"/>
        <v>-50382.433843855441</v>
      </c>
    </row>
    <row r="39" spans="1:40" x14ac:dyDescent="0.25">
      <c r="A39" s="2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2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42</v>
      </c>
      <c r="B42" s="5">
        <f>SUM(B24:AN24)</f>
        <v>51382.433843855433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2" t="s">
        <v>21</v>
      </c>
      <c r="B44" s="5">
        <v>12.5</v>
      </c>
      <c r="C44" s="16"/>
      <c r="D44" s="16"/>
      <c r="E44" s="16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24"/>
      <c r="B45" s="16"/>
      <c r="C45" s="16"/>
      <c r="D45" s="16"/>
      <c r="E45" s="16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2" t="s">
        <v>43</v>
      </c>
      <c r="B46" s="5">
        <f>B5+AE5</f>
        <v>52000</v>
      </c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x14ac:dyDescent="0.25">
      <c r="A47" s="2" t="s">
        <v>44</v>
      </c>
      <c r="B47" s="23">
        <v>0.1686</v>
      </c>
      <c r="C47" s="25"/>
      <c r="D47" s="25"/>
      <c r="E47" s="25"/>
      <c r="F47" s="25"/>
      <c r="G47" s="2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2" t="s">
        <v>45</v>
      </c>
      <c r="B48" s="23">
        <f>(B47+1)^(1/52)-1</f>
        <v>3.0007712337820625E-3</v>
      </c>
      <c r="C48" s="25"/>
      <c r="D48" s="25"/>
      <c r="E48" s="25"/>
      <c r="F48" s="25"/>
      <c r="G48" s="2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2" t="s">
        <v>46</v>
      </c>
      <c r="B50" s="7">
        <v>1400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x14ac:dyDescent="0.25">
      <c r="A51" s="2" t="s">
        <v>27</v>
      </c>
      <c r="B51" s="5">
        <v>23.5</v>
      </c>
      <c r="C51" s="16"/>
      <c r="D51" s="16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x14ac:dyDescent="0.25">
      <c r="A52" s="2" t="s">
        <v>47</v>
      </c>
      <c r="B52" s="5">
        <f>B50*B51</f>
        <v>32900</v>
      </c>
      <c r="C52" s="16"/>
      <c r="D52" s="16"/>
      <c r="E52" s="16"/>
      <c r="F52" s="16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x14ac:dyDescent="0.25">
      <c r="A53" s="2" t="s">
        <v>48</v>
      </c>
      <c r="B53" s="5">
        <f>B52/52</f>
        <v>632.69230769230774</v>
      </c>
      <c r="C53" s="16"/>
      <c r="D53" s="16"/>
      <c r="E53" s="16"/>
      <c r="F53" s="16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x14ac:dyDescent="0.25">
      <c r="A55" s="2" t="s">
        <v>29</v>
      </c>
      <c r="B55" s="5">
        <v>50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x14ac:dyDescent="0.25">
      <c r="A56" s="2" t="s">
        <v>31</v>
      </c>
      <c r="B56" s="5">
        <v>100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x14ac:dyDescent="0.25">
      <c r="A57" s="14"/>
      <c r="B57" s="1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x14ac:dyDescent="0.25">
      <c r="A58" s="2" t="s">
        <v>33</v>
      </c>
      <c r="B58" s="5">
        <v>0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x14ac:dyDescent="0.25">
      <c r="A60" s="10" t="s">
        <v>49</v>
      </c>
      <c r="B60" s="26">
        <f t="shared" ref="B60:B63" si="21">SUM(B11:AN11)</f>
        <v>14031.25</v>
      </c>
      <c r="C60" s="23">
        <f t="shared" ref="C60:C66" si="22">B60/SUM($B$60:$B$66)</f>
        <v>0.27307484193215026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x14ac:dyDescent="0.25">
      <c r="A61" s="27" t="s">
        <v>50</v>
      </c>
      <c r="B61" s="26">
        <f t="shared" si="21"/>
        <v>4606.1838438554696</v>
      </c>
      <c r="C61" s="23">
        <f t="shared" si="22"/>
        <v>8.9645108245612948E-2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28" t="s">
        <v>51</v>
      </c>
      <c r="B62" s="26">
        <f t="shared" si="21"/>
        <v>1120</v>
      </c>
      <c r="C62" s="23">
        <f t="shared" si="22"/>
        <v>2.1797332594316848E-2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28" t="s">
        <v>52</v>
      </c>
      <c r="B63" s="26">
        <f t="shared" si="21"/>
        <v>1100</v>
      </c>
      <c r="C63" s="23">
        <f t="shared" si="22"/>
        <v>2.1408094512275478E-2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28" t="s">
        <v>53</v>
      </c>
      <c r="B64" s="26">
        <f>SUM(B16:AN16)</f>
        <v>24675</v>
      </c>
      <c r="C64" s="23">
        <f t="shared" si="22"/>
        <v>0.48022248371854309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28" t="s">
        <v>54</v>
      </c>
      <c r="B65" s="26">
        <f>SUM(B18:AN18)</f>
        <v>1950</v>
      </c>
      <c r="C65" s="23">
        <f t="shared" si="22"/>
        <v>3.7950712999033798E-2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28" t="s">
        <v>55</v>
      </c>
      <c r="B66" s="26">
        <f>SUM(B20:AN20)</f>
        <v>3900</v>
      </c>
      <c r="C66" s="23">
        <f t="shared" si="22"/>
        <v>7.5901425998067595E-2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  <row r="1003" spans="1:40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</row>
    <row r="1004" spans="1:40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</row>
    <row r="1005" spans="1:40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</row>
    <row r="1006" spans="1:40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</row>
    <row r="1007" spans="1:40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</row>
    <row r="1008" spans="1:40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</row>
    <row r="1009" spans="1:40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</row>
    <row r="1010" spans="1:40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</row>
    <row r="1011" spans="1:40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</row>
    <row r="1012" spans="1:40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</row>
    <row r="1013" spans="1:40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</row>
    <row r="1014" spans="1:40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</row>
    <row r="1015" spans="1:40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</row>
    <row r="1016" spans="1:40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</row>
    <row r="1017" spans="1:40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</row>
    <row r="1018" spans="1:40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</row>
    <row r="1019" spans="1:40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</row>
    <row r="1020" spans="1:40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</row>
    <row r="1021" spans="1:40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</row>
    <row r="1022" spans="1:40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</row>
    <row r="1023" spans="1:40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</row>
    <row r="1024" spans="1:40" x14ac:dyDescent="0.25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</row>
    <row r="1025" spans="1:40" x14ac:dyDescent="0.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</row>
    <row r="1026" spans="1:40" x14ac:dyDescent="0.25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</row>
    <row r="1027" spans="1:40" x14ac:dyDescent="0.25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</row>
    <row r="1028" spans="1:40" x14ac:dyDescent="0.25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</row>
  </sheetData>
  <mergeCells count="5">
    <mergeCell ref="B1:K1"/>
    <mergeCell ref="L1:P1"/>
    <mergeCell ref="Q1:Z1"/>
    <mergeCell ref="AA1:AD1"/>
    <mergeCell ref="AE1:AN1"/>
  </mergeCells>
  <conditionalFormatting sqref="B21:AN26 B30:AN32">
    <cfRule type="cellIs" dxfId="1" priority="1" operator="lessThan">
      <formula>0</formula>
    </cfRule>
  </conditionalFormatting>
  <conditionalFormatting sqref="B28:AN28 B33:AN38">
    <cfRule type="cellIs" dxfId="0" priority="2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18.21875" customWidth="1"/>
  </cols>
  <sheetData>
    <row r="1" spans="1:40" x14ac:dyDescent="0.25">
      <c r="A1" s="7"/>
      <c r="B1" s="61" t="s">
        <v>56</v>
      </c>
      <c r="C1" s="59"/>
      <c r="D1" s="59"/>
      <c r="E1" s="59"/>
      <c r="F1" s="59"/>
      <c r="G1" s="59"/>
      <c r="H1" s="59"/>
      <c r="I1" s="59"/>
      <c r="J1" s="59"/>
      <c r="K1" s="60"/>
      <c r="L1" s="61" t="s">
        <v>57</v>
      </c>
      <c r="M1" s="59"/>
      <c r="N1" s="59"/>
      <c r="O1" s="59"/>
      <c r="P1" s="60"/>
      <c r="Q1" s="61" t="s">
        <v>58</v>
      </c>
      <c r="R1" s="59"/>
      <c r="S1" s="59"/>
      <c r="T1" s="59"/>
      <c r="U1" s="59"/>
      <c r="V1" s="59"/>
      <c r="W1" s="59"/>
      <c r="X1" s="59"/>
      <c r="Y1" s="59"/>
      <c r="Z1" s="60"/>
      <c r="AA1" s="61" t="s">
        <v>59</v>
      </c>
      <c r="AB1" s="59"/>
      <c r="AC1" s="59"/>
      <c r="AD1" s="60"/>
      <c r="AE1" s="61" t="s">
        <v>60</v>
      </c>
      <c r="AF1" s="59"/>
      <c r="AG1" s="59"/>
      <c r="AH1" s="59"/>
      <c r="AI1" s="59"/>
      <c r="AJ1" s="59"/>
      <c r="AK1" s="59"/>
      <c r="AL1" s="59"/>
      <c r="AM1" s="59"/>
      <c r="AN1" s="60"/>
    </row>
    <row r="2" spans="1:40" x14ac:dyDescent="0.25">
      <c r="A2" s="2" t="s">
        <v>61</v>
      </c>
      <c r="B2" s="29" t="s">
        <v>6</v>
      </c>
      <c r="C2" s="29" t="s">
        <v>7</v>
      </c>
      <c r="D2" s="29" t="s">
        <v>8</v>
      </c>
      <c r="E2" s="29" t="s">
        <v>9</v>
      </c>
      <c r="F2" s="29" t="s">
        <v>10</v>
      </c>
      <c r="G2" s="29" t="s">
        <v>11</v>
      </c>
      <c r="H2" s="29" t="s">
        <v>12</v>
      </c>
      <c r="I2" s="29" t="s">
        <v>13</v>
      </c>
      <c r="J2" s="29" t="s">
        <v>14</v>
      </c>
      <c r="K2" s="29" t="s">
        <v>15</v>
      </c>
      <c r="L2" s="29" t="s">
        <v>6</v>
      </c>
      <c r="M2" s="29" t="s">
        <v>7</v>
      </c>
      <c r="N2" s="29" t="s">
        <v>8</v>
      </c>
      <c r="O2" s="29" t="s">
        <v>9</v>
      </c>
      <c r="P2" s="29" t="s">
        <v>10</v>
      </c>
      <c r="Q2" s="29" t="s">
        <v>6</v>
      </c>
      <c r="R2" s="29" t="s">
        <v>7</v>
      </c>
      <c r="S2" s="29" t="s">
        <v>8</v>
      </c>
      <c r="T2" s="29" t="s">
        <v>9</v>
      </c>
      <c r="U2" s="29" t="s">
        <v>10</v>
      </c>
      <c r="V2" s="29" t="s">
        <v>11</v>
      </c>
      <c r="W2" s="29" t="s">
        <v>12</v>
      </c>
      <c r="X2" s="29" t="s">
        <v>13</v>
      </c>
      <c r="Y2" s="29" t="s">
        <v>14</v>
      </c>
      <c r="Z2" s="29" t="s">
        <v>15</v>
      </c>
      <c r="AA2" s="29" t="s">
        <v>6</v>
      </c>
      <c r="AB2" s="29" t="s">
        <v>7</v>
      </c>
      <c r="AC2" s="29" t="s">
        <v>8</v>
      </c>
      <c r="AD2" s="29" t="s">
        <v>9</v>
      </c>
      <c r="AE2" s="29" t="s">
        <v>6</v>
      </c>
      <c r="AF2" s="29" t="s">
        <v>7</v>
      </c>
      <c r="AG2" s="29" t="s">
        <v>8</v>
      </c>
      <c r="AH2" s="29" t="s">
        <v>9</v>
      </c>
      <c r="AI2" s="29" t="s">
        <v>10</v>
      </c>
      <c r="AJ2" s="29" t="s">
        <v>11</v>
      </c>
      <c r="AK2" s="29" t="s">
        <v>12</v>
      </c>
      <c r="AL2" s="29" t="s">
        <v>13</v>
      </c>
      <c r="AM2" s="29" t="s">
        <v>14</v>
      </c>
      <c r="AN2" s="29" t="s">
        <v>15</v>
      </c>
    </row>
    <row r="3" spans="1:40" x14ac:dyDescent="0.25">
      <c r="A3" s="3" t="s">
        <v>62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3"/>
      <c r="B4" s="7"/>
      <c r="C4" s="7"/>
      <c r="D4" s="7"/>
      <c r="E4" s="7"/>
      <c r="F4" s="7"/>
      <c r="G4" s="3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0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5">
      <c r="A5" s="31" t="s">
        <v>63</v>
      </c>
      <c r="B5" s="7"/>
      <c r="C5" s="7"/>
      <c r="D5" s="7"/>
      <c r="E5" s="7"/>
      <c r="F5" s="7"/>
      <c r="G5" s="3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0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5">
      <c r="A6" s="32" t="s">
        <v>64</v>
      </c>
      <c r="B6" s="7"/>
      <c r="C6" s="7"/>
      <c r="D6" s="7"/>
      <c r="E6" s="7"/>
      <c r="F6" s="7"/>
      <c r="G6" s="30">
        <f>0.5+1</f>
        <v>1.5</v>
      </c>
      <c r="H6" s="7">
        <f>7+1+1+1+1+1</f>
        <v>12</v>
      </c>
      <c r="I6" s="7">
        <f>1+1</f>
        <v>2</v>
      </c>
      <c r="J6" s="7">
        <f>0.5+2+1+1</f>
        <v>4.5</v>
      </c>
      <c r="K6" s="7">
        <f>0.5+1.5+0.25+3+0.5+1</f>
        <v>6.75</v>
      </c>
      <c r="L6" s="7"/>
      <c r="M6" s="7">
        <f>2+2+2</f>
        <v>6</v>
      </c>
      <c r="N6" s="7"/>
      <c r="O6" s="7"/>
      <c r="P6" s="7"/>
      <c r="Q6" s="7"/>
      <c r="R6" s="7">
        <f>2.25+0.5</f>
        <v>2.75</v>
      </c>
      <c r="S6" s="7">
        <v>0.75</v>
      </c>
      <c r="T6" s="7">
        <f>1.5+0.25+1</f>
        <v>2.75</v>
      </c>
      <c r="U6" s="30">
        <v>2</v>
      </c>
      <c r="V6" s="7">
        <v>2.5</v>
      </c>
      <c r="W6" s="7">
        <v>3</v>
      </c>
      <c r="X6" s="7">
        <v>2.5</v>
      </c>
      <c r="Y6" s="7">
        <v>3</v>
      </c>
      <c r="Z6" s="7">
        <v>2.5</v>
      </c>
      <c r="AA6" s="7">
        <v>0</v>
      </c>
      <c r="AB6" s="7">
        <v>0</v>
      </c>
      <c r="AC6" s="7">
        <v>0</v>
      </c>
      <c r="AD6" s="7">
        <v>0</v>
      </c>
      <c r="AE6" s="7">
        <v>2</v>
      </c>
      <c r="AF6" s="7">
        <v>2</v>
      </c>
      <c r="AG6" s="7">
        <v>3</v>
      </c>
      <c r="AH6" s="7">
        <v>2</v>
      </c>
      <c r="AI6" s="7">
        <v>2</v>
      </c>
      <c r="AJ6" s="7">
        <v>3</v>
      </c>
      <c r="AK6" s="7">
        <v>5</v>
      </c>
      <c r="AL6" s="7">
        <v>7</v>
      </c>
      <c r="AM6" s="7">
        <v>0</v>
      </c>
      <c r="AN6" s="7">
        <v>0</v>
      </c>
    </row>
    <row r="7" spans="1:40" x14ac:dyDescent="0.25">
      <c r="A7" s="33" t="s">
        <v>65</v>
      </c>
      <c r="B7" s="2">
        <f t="shared" ref="B7:AN7" si="0">SUM(B6)</f>
        <v>0</v>
      </c>
      <c r="C7" s="2">
        <f t="shared" si="0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34">
        <f t="shared" si="0"/>
        <v>1.5</v>
      </c>
      <c r="H7" s="2">
        <f t="shared" si="0"/>
        <v>12</v>
      </c>
      <c r="I7" s="2">
        <f t="shared" si="0"/>
        <v>2</v>
      </c>
      <c r="J7" s="2">
        <f t="shared" si="0"/>
        <v>4.5</v>
      </c>
      <c r="K7" s="2">
        <f t="shared" si="0"/>
        <v>6.75</v>
      </c>
      <c r="L7" s="2">
        <f t="shared" si="0"/>
        <v>0</v>
      </c>
      <c r="M7" s="2">
        <f t="shared" si="0"/>
        <v>6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2.75</v>
      </c>
      <c r="S7" s="2">
        <f t="shared" si="0"/>
        <v>0.75</v>
      </c>
      <c r="T7" s="2">
        <f t="shared" si="0"/>
        <v>2.75</v>
      </c>
      <c r="U7" s="34">
        <f t="shared" si="0"/>
        <v>2</v>
      </c>
      <c r="V7" s="2">
        <f t="shared" si="0"/>
        <v>2.5</v>
      </c>
      <c r="W7" s="2">
        <f t="shared" si="0"/>
        <v>3</v>
      </c>
      <c r="X7" s="2">
        <f t="shared" si="0"/>
        <v>2.5</v>
      </c>
      <c r="Y7" s="2">
        <f t="shared" si="0"/>
        <v>3</v>
      </c>
      <c r="Z7" s="2">
        <f t="shared" si="0"/>
        <v>2.5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2</v>
      </c>
      <c r="AF7" s="2">
        <f t="shared" si="0"/>
        <v>2</v>
      </c>
      <c r="AG7" s="2">
        <f t="shared" si="0"/>
        <v>3</v>
      </c>
      <c r="AH7" s="2">
        <f t="shared" si="0"/>
        <v>2</v>
      </c>
      <c r="AI7" s="2">
        <f t="shared" si="0"/>
        <v>2</v>
      </c>
      <c r="AJ7" s="2">
        <f t="shared" si="0"/>
        <v>3</v>
      </c>
      <c r="AK7" s="7">
        <f t="shared" si="0"/>
        <v>5</v>
      </c>
      <c r="AL7" s="7">
        <f t="shared" si="0"/>
        <v>7</v>
      </c>
      <c r="AM7" s="7">
        <f t="shared" si="0"/>
        <v>0</v>
      </c>
      <c r="AN7" s="7">
        <f t="shared" si="0"/>
        <v>0</v>
      </c>
    </row>
    <row r="8" spans="1:40" x14ac:dyDescent="0.25">
      <c r="A8" s="3"/>
      <c r="B8" s="7"/>
      <c r="C8" s="7"/>
      <c r="D8" s="7"/>
      <c r="E8" s="7"/>
      <c r="F8" s="7"/>
      <c r="G8" s="3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0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35" t="s">
        <v>66</v>
      </c>
      <c r="B9" s="7"/>
      <c r="C9" s="7"/>
      <c r="D9" s="7"/>
      <c r="E9" s="7"/>
      <c r="F9" s="7"/>
      <c r="G9" s="3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A10" s="36" t="s">
        <v>67</v>
      </c>
      <c r="B10" s="7"/>
      <c r="C10" s="7"/>
      <c r="D10" s="7"/>
      <c r="E10" s="7"/>
      <c r="F10" s="7"/>
      <c r="G10" s="30"/>
      <c r="H10" s="7">
        <f>1+0.75+0.75</f>
        <v>2.5</v>
      </c>
      <c r="I10" s="7">
        <f>1+0.5</f>
        <v>1.5</v>
      </c>
      <c r="J10" s="7">
        <v>1</v>
      </c>
      <c r="K10" s="7">
        <f>0.5</f>
        <v>0.5</v>
      </c>
      <c r="L10" s="7"/>
      <c r="M10" s="7"/>
      <c r="N10" s="7"/>
      <c r="O10" s="7"/>
      <c r="P10" s="7"/>
      <c r="Q10" s="7"/>
      <c r="R10" s="7">
        <f>2+1+0.5</f>
        <v>3.5</v>
      </c>
      <c r="S10" s="7">
        <f>2.5+1+2.75</f>
        <v>6.25</v>
      </c>
      <c r="T10" s="7">
        <f>0.5+1+0.75+1.5+1</f>
        <v>4.75</v>
      </c>
      <c r="U10" s="30">
        <v>6</v>
      </c>
      <c r="V10" s="7">
        <v>2</v>
      </c>
      <c r="W10" s="7">
        <v>9</v>
      </c>
      <c r="X10" s="7">
        <v>2</v>
      </c>
      <c r="Y10" s="7">
        <v>6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4</v>
      </c>
      <c r="AF10" s="7">
        <v>5</v>
      </c>
      <c r="AG10" s="7">
        <v>8</v>
      </c>
      <c r="AH10" s="7">
        <v>4</v>
      </c>
      <c r="AI10" s="7">
        <v>5</v>
      </c>
      <c r="AJ10" s="7">
        <v>8</v>
      </c>
      <c r="AK10" s="7">
        <v>6</v>
      </c>
      <c r="AL10" s="7">
        <v>10</v>
      </c>
      <c r="AM10" s="7">
        <v>0</v>
      </c>
      <c r="AN10" s="7">
        <v>0</v>
      </c>
    </row>
    <row r="11" spans="1:40" x14ac:dyDescent="0.25">
      <c r="A11" s="36" t="s">
        <v>68</v>
      </c>
      <c r="B11" s="7"/>
      <c r="C11" s="7"/>
      <c r="D11" s="7"/>
      <c r="E11" s="7"/>
      <c r="F11" s="7"/>
      <c r="G11" s="30"/>
      <c r="H11" s="7">
        <v>0.75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2.25</v>
      </c>
      <c r="T11" s="7">
        <f>1+1.75+2.5</f>
        <v>5.25</v>
      </c>
      <c r="U11" s="30">
        <v>4</v>
      </c>
      <c r="V11" s="7">
        <v>2</v>
      </c>
      <c r="W11" s="7">
        <v>7</v>
      </c>
      <c r="X11" s="7">
        <v>2</v>
      </c>
      <c r="Y11" s="7">
        <v>6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4</v>
      </c>
      <c r="AG11" s="7">
        <v>7</v>
      </c>
      <c r="AH11" s="7">
        <v>2</v>
      </c>
      <c r="AI11" s="7">
        <v>5</v>
      </c>
      <c r="AJ11" s="7">
        <v>7</v>
      </c>
      <c r="AK11" s="7">
        <v>5</v>
      </c>
      <c r="AL11" s="7">
        <v>10</v>
      </c>
      <c r="AM11" s="7">
        <v>0</v>
      </c>
      <c r="AN11" s="7">
        <v>0</v>
      </c>
    </row>
    <row r="12" spans="1:40" x14ac:dyDescent="0.25">
      <c r="A12" s="37" t="s">
        <v>69</v>
      </c>
      <c r="B12" s="2">
        <f t="shared" ref="B12:AN12" si="1">SUM(B10:B11)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34">
        <f t="shared" si="1"/>
        <v>0</v>
      </c>
      <c r="H12" s="2">
        <f t="shared" si="1"/>
        <v>3.25</v>
      </c>
      <c r="I12" s="2">
        <f t="shared" si="1"/>
        <v>1.5</v>
      </c>
      <c r="J12" s="2">
        <f t="shared" si="1"/>
        <v>1</v>
      </c>
      <c r="K12" s="2">
        <f t="shared" si="1"/>
        <v>0.5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3.5</v>
      </c>
      <c r="S12" s="2">
        <f t="shared" si="1"/>
        <v>8.5</v>
      </c>
      <c r="T12" s="2">
        <f t="shared" si="1"/>
        <v>10</v>
      </c>
      <c r="U12" s="34">
        <f t="shared" si="1"/>
        <v>10</v>
      </c>
      <c r="V12" s="2">
        <f t="shared" si="1"/>
        <v>4</v>
      </c>
      <c r="W12" s="2">
        <f t="shared" si="1"/>
        <v>16</v>
      </c>
      <c r="X12" s="2">
        <f t="shared" si="1"/>
        <v>4</v>
      </c>
      <c r="Y12" s="2">
        <f t="shared" si="1"/>
        <v>12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6</v>
      </c>
      <c r="AF12" s="2">
        <f t="shared" si="1"/>
        <v>9</v>
      </c>
      <c r="AG12" s="2">
        <f t="shared" si="1"/>
        <v>15</v>
      </c>
      <c r="AH12" s="2">
        <f t="shared" si="1"/>
        <v>6</v>
      </c>
      <c r="AI12" s="2">
        <f t="shared" si="1"/>
        <v>10</v>
      </c>
      <c r="AJ12" s="2">
        <f t="shared" si="1"/>
        <v>15</v>
      </c>
      <c r="AK12" s="2">
        <f t="shared" si="1"/>
        <v>11</v>
      </c>
      <c r="AL12" s="2">
        <f t="shared" si="1"/>
        <v>20</v>
      </c>
      <c r="AM12" s="2">
        <f t="shared" si="1"/>
        <v>0</v>
      </c>
      <c r="AN12" s="2">
        <f t="shared" si="1"/>
        <v>0</v>
      </c>
    </row>
    <row r="13" spans="1:40" x14ac:dyDescent="0.25">
      <c r="A13" s="3"/>
      <c r="B13" s="7"/>
      <c r="C13" s="7"/>
      <c r="D13" s="7"/>
      <c r="E13" s="7"/>
      <c r="F13" s="7"/>
      <c r="G13" s="3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0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 s="38" t="s">
        <v>70</v>
      </c>
      <c r="B14" s="7"/>
      <c r="C14" s="7"/>
      <c r="D14" s="7"/>
      <c r="E14" s="7"/>
      <c r="F14" s="7"/>
      <c r="G14" s="3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0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 s="39" t="s">
        <v>71</v>
      </c>
      <c r="B15" s="7"/>
      <c r="C15" s="7"/>
      <c r="D15" s="7"/>
      <c r="E15" s="7"/>
      <c r="F15" s="7"/>
      <c r="G15" s="30">
        <f>1.25+1</f>
        <v>2.25</v>
      </c>
      <c r="H15" s="7">
        <f>3+1+0.75</f>
        <v>4.75</v>
      </c>
      <c r="I15" s="7">
        <f>1.5+0.5+1+0.5+0.5+2</f>
        <v>6</v>
      </c>
      <c r="J15" s="7">
        <f>2+1+1</f>
        <v>4</v>
      </c>
      <c r="K15" s="7">
        <f>0.5+0.25+2+0.5+1.75+0.5</f>
        <v>5.5</v>
      </c>
      <c r="L15" s="7"/>
      <c r="M15" s="7"/>
      <c r="N15" s="7"/>
      <c r="O15" s="7"/>
      <c r="P15" s="7"/>
      <c r="Q15" s="7"/>
      <c r="R15" s="7">
        <f>1.75+2.25+0.75+0.5</f>
        <v>5.25</v>
      </c>
      <c r="S15" s="7"/>
      <c r="T15" s="7">
        <f>1.5+0.5+1</f>
        <v>3</v>
      </c>
      <c r="U15" s="30">
        <v>2</v>
      </c>
      <c r="V15" s="7">
        <v>3</v>
      </c>
      <c r="W15" s="7">
        <v>3</v>
      </c>
      <c r="X15" s="7">
        <v>3</v>
      </c>
      <c r="Y15" s="7">
        <v>2</v>
      </c>
      <c r="Z15" s="7">
        <v>2</v>
      </c>
      <c r="AA15" s="7">
        <v>0</v>
      </c>
      <c r="AB15" s="7">
        <v>0</v>
      </c>
      <c r="AC15" s="7">
        <v>0</v>
      </c>
      <c r="AD15" s="7">
        <v>0</v>
      </c>
      <c r="AE15" s="7">
        <v>2</v>
      </c>
      <c r="AF15" s="7">
        <v>2</v>
      </c>
      <c r="AG15" s="7">
        <v>4</v>
      </c>
      <c r="AH15" s="7">
        <v>2</v>
      </c>
      <c r="AI15" s="7">
        <v>2</v>
      </c>
      <c r="AJ15" s="7">
        <v>6</v>
      </c>
      <c r="AK15" s="7">
        <v>2</v>
      </c>
      <c r="AL15" s="7">
        <v>8</v>
      </c>
      <c r="AM15" s="7">
        <v>0</v>
      </c>
      <c r="AN15" s="7">
        <v>0</v>
      </c>
    </row>
    <row r="16" spans="1:40" x14ac:dyDescent="0.25">
      <c r="A16" s="39" t="s">
        <v>68</v>
      </c>
      <c r="B16" s="7"/>
      <c r="C16" s="7"/>
      <c r="D16" s="7"/>
      <c r="E16" s="7"/>
      <c r="F16" s="7"/>
      <c r="G16" s="30">
        <v>2</v>
      </c>
      <c r="H16" s="7">
        <f>1+2+1+1+0.75</f>
        <v>5.75</v>
      </c>
      <c r="I16" s="7">
        <f>0.5+0.25+0.75+1</f>
        <v>2.5</v>
      </c>
      <c r="J16" s="7">
        <f>2.5+1+1</f>
        <v>4.5</v>
      </c>
      <c r="K16" s="7">
        <f>0.75+2+0.5+1</f>
        <v>4.25</v>
      </c>
      <c r="L16" s="7"/>
      <c r="M16" s="7"/>
      <c r="N16" s="7"/>
      <c r="O16" s="7"/>
      <c r="P16" s="7"/>
      <c r="Q16" s="7"/>
      <c r="R16" s="7">
        <f>2.25</f>
        <v>2.25</v>
      </c>
      <c r="S16" s="7"/>
      <c r="T16" s="7">
        <v>1.75</v>
      </c>
      <c r="U16" s="30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0</v>
      </c>
      <c r="AB16" s="7">
        <v>0</v>
      </c>
      <c r="AC16" s="7">
        <v>0</v>
      </c>
      <c r="AD16" s="7">
        <v>0</v>
      </c>
      <c r="AE16" s="7">
        <v>2</v>
      </c>
      <c r="AF16" s="7">
        <v>2</v>
      </c>
      <c r="AG16" s="7">
        <v>4</v>
      </c>
      <c r="AH16" s="7">
        <v>2</v>
      </c>
      <c r="AI16" s="7">
        <v>2</v>
      </c>
      <c r="AJ16" s="7">
        <v>6</v>
      </c>
      <c r="AK16" s="7">
        <v>2</v>
      </c>
      <c r="AL16" s="7">
        <v>8</v>
      </c>
      <c r="AM16" s="7">
        <v>0</v>
      </c>
      <c r="AN16" s="7">
        <v>0</v>
      </c>
    </row>
    <row r="17" spans="1:40" x14ac:dyDescent="0.25">
      <c r="A17" s="40" t="s">
        <v>72</v>
      </c>
      <c r="B17" s="2">
        <f t="shared" ref="B17:AN17" si="2">SUM(B15:B16)</f>
        <v>0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34">
        <f t="shared" si="2"/>
        <v>4.25</v>
      </c>
      <c r="H17" s="2">
        <f t="shared" si="2"/>
        <v>10.5</v>
      </c>
      <c r="I17" s="2">
        <f t="shared" si="2"/>
        <v>8.5</v>
      </c>
      <c r="J17" s="2">
        <f t="shared" si="2"/>
        <v>8.5</v>
      </c>
      <c r="K17" s="2">
        <f t="shared" si="2"/>
        <v>9.75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7.5</v>
      </c>
      <c r="S17" s="2">
        <f t="shared" si="2"/>
        <v>0</v>
      </c>
      <c r="T17" s="2">
        <f t="shared" si="2"/>
        <v>4.75</v>
      </c>
      <c r="U17" s="34">
        <f t="shared" si="2"/>
        <v>4</v>
      </c>
      <c r="V17" s="2">
        <f t="shared" si="2"/>
        <v>5</v>
      </c>
      <c r="W17" s="2">
        <f t="shared" si="2"/>
        <v>5</v>
      </c>
      <c r="X17" s="2">
        <f t="shared" si="2"/>
        <v>5</v>
      </c>
      <c r="Y17" s="2">
        <f t="shared" si="2"/>
        <v>4</v>
      </c>
      <c r="Z17" s="2">
        <f t="shared" si="2"/>
        <v>4</v>
      </c>
      <c r="AA17" s="2">
        <f t="shared" si="2"/>
        <v>0</v>
      </c>
      <c r="AB17" s="2">
        <f t="shared" si="2"/>
        <v>0</v>
      </c>
      <c r="AC17" s="2">
        <f t="shared" si="2"/>
        <v>0</v>
      </c>
      <c r="AD17" s="2">
        <f t="shared" si="2"/>
        <v>0</v>
      </c>
      <c r="AE17" s="2">
        <f t="shared" si="2"/>
        <v>4</v>
      </c>
      <c r="AF17" s="2">
        <f t="shared" si="2"/>
        <v>4</v>
      </c>
      <c r="AG17" s="2">
        <f t="shared" si="2"/>
        <v>8</v>
      </c>
      <c r="AH17" s="2">
        <f t="shared" si="2"/>
        <v>4</v>
      </c>
      <c r="AI17" s="2">
        <f t="shared" si="2"/>
        <v>4</v>
      </c>
      <c r="AJ17" s="2">
        <f t="shared" si="2"/>
        <v>12</v>
      </c>
      <c r="AK17" s="2">
        <f t="shared" si="2"/>
        <v>4</v>
      </c>
      <c r="AL17" s="2">
        <f t="shared" si="2"/>
        <v>16</v>
      </c>
      <c r="AM17" s="2">
        <f t="shared" si="2"/>
        <v>0</v>
      </c>
      <c r="AN17" s="2">
        <f t="shared" si="2"/>
        <v>0</v>
      </c>
    </row>
    <row r="18" spans="1:40" x14ac:dyDescent="0.25">
      <c r="A18" s="3"/>
      <c r="B18" s="7"/>
      <c r="C18" s="7"/>
      <c r="D18" s="7"/>
      <c r="E18" s="7"/>
      <c r="F18" s="7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0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 s="41" t="s">
        <v>73</v>
      </c>
      <c r="B19" s="7"/>
      <c r="C19" s="7"/>
      <c r="D19" s="7"/>
      <c r="E19" s="7"/>
      <c r="F19" s="7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0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 s="42" t="s">
        <v>74</v>
      </c>
      <c r="B20" s="7"/>
      <c r="C20" s="7"/>
      <c r="D20" s="7"/>
      <c r="E20" s="7"/>
      <c r="F20" s="7"/>
      <c r="G20" s="30"/>
      <c r="H20" s="7">
        <f>1+0.75</f>
        <v>1.75</v>
      </c>
      <c r="I20" s="7">
        <f>1.25+1</f>
        <v>2.25</v>
      </c>
      <c r="J20" s="7">
        <f>3.5+1.5+1</f>
        <v>6</v>
      </c>
      <c r="K20" s="7">
        <f>3</f>
        <v>3</v>
      </c>
      <c r="L20" s="7"/>
      <c r="M20" s="7"/>
      <c r="N20" s="7"/>
      <c r="O20" s="7"/>
      <c r="P20" s="7"/>
      <c r="Q20" s="7"/>
      <c r="R20" s="7">
        <v>1.5</v>
      </c>
      <c r="S20" s="7"/>
      <c r="T20" s="7">
        <v>1</v>
      </c>
      <c r="U20" s="30">
        <v>3</v>
      </c>
      <c r="V20" s="7">
        <v>4</v>
      </c>
      <c r="W20" s="7">
        <v>5</v>
      </c>
      <c r="X20" s="7">
        <v>4</v>
      </c>
      <c r="Y20" s="7">
        <v>3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1</v>
      </c>
      <c r="AF20" s="7">
        <v>2</v>
      </c>
      <c r="AG20" s="7">
        <v>4</v>
      </c>
      <c r="AH20" s="7">
        <v>3</v>
      </c>
      <c r="AI20" s="7">
        <v>3</v>
      </c>
      <c r="AJ20" s="7">
        <v>4</v>
      </c>
      <c r="AK20" s="7">
        <v>4</v>
      </c>
      <c r="AL20" s="7">
        <v>5</v>
      </c>
      <c r="AM20" s="7">
        <v>0</v>
      </c>
      <c r="AN20" s="7">
        <v>0</v>
      </c>
    </row>
    <row r="21" spans="1:40" x14ac:dyDescent="0.25">
      <c r="A21" s="42" t="s">
        <v>75</v>
      </c>
      <c r="B21" s="7"/>
      <c r="C21" s="7"/>
      <c r="D21" s="7"/>
      <c r="E21" s="7"/>
      <c r="F21" s="7"/>
      <c r="G21" s="30"/>
      <c r="H21" s="7">
        <f>2+1+0.75</f>
        <v>3.75</v>
      </c>
      <c r="I21" s="7">
        <f>1+1</f>
        <v>2</v>
      </c>
      <c r="J21" s="7">
        <f>3+2+1+1</f>
        <v>7</v>
      </c>
      <c r="K21" s="7">
        <f>2+2+0.5+0.5+1</f>
        <v>6</v>
      </c>
      <c r="L21" s="7"/>
      <c r="M21" s="7"/>
      <c r="N21" s="7"/>
      <c r="O21" s="7"/>
      <c r="P21" s="7"/>
      <c r="Q21" s="7"/>
      <c r="R21" s="7">
        <v>0.5</v>
      </c>
      <c r="S21" s="7">
        <v>3</v>
      </c>
      <c r="T21" s="7">
        <v>1</v>
      </c>
      <c r="U21" s="30">
        <v>3</v>
      </c>
      <c r="V21" s="7">
        <v>4</v>
      </c>
      <c r="W21" s="7">
        <v>5</v>
      </c>
      <c r="X21" s="7">
        <v>4</v>
      </c>
      <c r="Y21" s="7">
        <v>3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1</v>
      </c>
      <c r="AF21" s="7">
        <v>2</v>
      </c>
      <c r="AG21" s="7">
        <v>4</v>
      </c>
      <c r="AH21" s="7">
        <v>3</v>
      </c>
      <c r="AI21" s="7">
        <v>3</v>
      </c>
      <c r="AJ21" s="7">
        <v>4</v>
      </c>
      <c r="AK21" s="7">
        <v>4</v>
      </c>
      <c r="AL21" s="7">
        <v>5</v>
      </c>
      <c r="AM21" s="7">
        <v>0</v>
      </c>
      <c r="AN21" s="7">
        <v>0</v>
      </c>
    </row>
    <row r="22" spans="1:40" x14ac:dyDescent="0.25">
      <c r="A22" s="43" t="s">
        <v>76</v>
      </c>
      <c r="B22" s="2">
        <f t="shared" ref="B22:AN22" si="3">SUM(B20:B21)</f>
        <v>0</v>
      </c>
      <c r="C22" s="2">
        <f t="shared" si="3"/>
        <v>0</v>
      </c>
      <c r="D22" s="2">
        <f t="shared" si="3"/>
        <v>0</v>
      </c>
      <c r="E22" s="2">
        <f t="shared" si="3"/>
        <v>0</v>
      </c>
      <c r="F22" s="2">
        <f t="shared" si="3"/>
        <v>0</v>
      </c>
      <c r="G22" s="34">
        <f t="shared" si="3"/>
        <v>0</v>
      </c>
      <c r="H22" s="2">
        <f t="shared" si="3"/>
        <v>5.5</v>
      </c>
      <c r="I22" s="2">
        <f t="shared" si="3"/>
        <v>4.25</v>
      </c>
      <c r="J22" s="2">
        <f t="shared" si="3"/>
        <v>13</v>
      </c>
      <c r="K22" s="2">
        <f t="shared" si="3"/>
        <v>9</v>
      </c>
      <c r="L22" s="2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2</v>
      </c>
      <c r="S22" s="2">
        <f t="shared" si="3"/>
        <v>3</v>
      </c>
      <c r="T22" s="2">
        <f t="shared" si="3"/>
        <v>2</v>
      </c>
      <c r="U22" s="34">
        <f t="shared" si="3"/>
        <v>6</v>
      </c>
      <c r="V22" s="2">
        <f t="shared" si="3"/>
        <v>8</v>
      </c>
      <c r="W22" s="2">
        <f t="shared" si="3"/>
        <v>10</v>
      </c>
      <c r="X22" s="2">
        <f t="shared" si="3"/>
        <v>8</v>
      </c>
      <c r="Y22" s="2">
        <f t="shared" si="3"/>
        <v>6</v>
      </c>
      <c r="Z22" s="2">
        <f t="shared" si="3"/>
        <v>4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2</v>
      </c>
      <c r="AF22" s="2">
        <f t="shared" si="3"/>
        <v>4</v>
      </c>
      <c r="AG22" s="2">
        <f t="shared" si="3"/>
        <v>8</v>
      </c>
      <c r="AH22" s="2">
        <f t="shared" si="3"/>
        <v>6</v>
      </c>
      <c r="AI22" s="2">
        <f t="shared" si="3"/>
        <v>6</v>
      </c>
      <c r="AJ22" s="2">
        <f t="shared" si="3"/>
        <v>8</v>
      </c>
      <c r="AK22" s="2">
        <f t="shared" si="3"/>
        <v>8</v>
      </c>
      <c r="AL22" s="2">
        <f t="shared" si="3"/>
        <v>10</v>
      </c>
      <c r="AM22" s="2">
        <f t="shared" si="3"/>
        <v>0</v>
      </c>
      <c r="AN22" s="2">
        <f t="shared" si="3"/>
        <v>0</v>
      </c>
    </row>
    <row r="23" spans="1:40" x14ac:dyDescent="0.25">
      <c r="A23" s="3"/>
      <c r="B23" s="7"/>
      <c r="C23" s="7"/>
      <c r="D23" s="7"/>
      <c r="E23" s="7"/>
      <c r="F23" s="7"/>
      <c r="G23" s="3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30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5">
      <c r="A24" s="44" t="s">
        <v>77</v>
      </c>
      <c r="B24" s="7"/>
      <c r="C24" s="7"/>
      <c r="D24" s="7"/>
      <c r="E24" s="7"/>
      <c r="F24" s="7"/>
      <c r="G24" s="30"/>
      <c r="H24" s="7"/>
      <c r="I24" s="7"/>
      <c r="J24" s="7"/>
      <c r="K24" s="7"/>
      <c r="L24" s="7"/>
      <c r="M24" s="7"/>
      <c r="N24" s="7"/>
      <c r="O24" s="7"/>
      <c r="P24" s="7"/>
      <c r="Q24" s="7">
        <f t="shared" ref="Q24:T24" si="4">SUM(Q25:Q33)</f>
        <v>42.5</v>
      </c>
      <c r="R24" s="7">
        <f t="shared" si="4"/>
        <v>15.5</v>
      </c>
      <c r="S24" s="7">
        <f t="shared" si="4"/>
        <v>43</v>
      </c>
      <c r="T24" s="7">
        <f t="shared" si="4"/>
        <v>24.75</v>
      </c>
      <c r="U24" s="30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 s="45" t="s">
        <v>78</v>
      </c>
      <c r="B25" s="7"/>
      <c r="C25" s="7"/>
      <c r="D25" s="7"/>
      <c r="E25" s="7"/>
      <c r="F25" s="7"/>
      <c r="G25" s="30">
        <f>1</f>
        <v>1</v>
      </c>
      <c r="H25" s="7">
        <f>2+0.75+0.75+1+0.75</f>
        <v>5.25</v>
      </c>
      <c r="I25" s="7">
        <f>3+4+0.75+2</f>
        <v>9.75</v>
      </c>
      <c r="J25" s="7">
        <f>1.25+0.5+2.25+0.5+0.25+1.5+3+1+1</f>
        <v>11.25</v>
      </c>
      <c r="K25" s="7">
        <v>9</v>
      </c>
      <c r="L25" s="7">
        <f>0.5+1.5+0.75+2+1.25+0.75+1+1</f>
        <v>8.75</v>
      </c>
      <c r="M25" s="7">
        <f>0.5+1.25+3</f>
        <v>4.75</v>
      </c>
      <c r="N25" s="7"/>
      <c r="O25" s="7">
        <f>5.75+0.75</f>
        <v>6.5</v>
      </c>
      <c r="P25" s="7">
        <f>1.5</f>
        <v>1.5</v>
      </c>
      <c r="Q25" s="7">
        <f>4+2.75+5.25+4+2.75+1+2+7+1.75+0.75+4.25</f>
        <v>35.5</v>
      </c>
      <c r="R25" s="7">
        <f>2.5+1+1.25+1.75+0.5</f>
        <v>7</v>
      </c>
      <c r="S25" s="7">
        <f>3+2+1.75+0.75</f>
        <v>7.5</v>
      </c>
      <c r="T25" s="7">
        <v>8</v>
      </c>
      <c r="U25" s="30">
        <v>7</v>
      </c>
      <c r="V25" s="7">
        <v>8</v>
      </c>
      <c r="W25" s="7">
        <v>7.5</v>
      </c>
      <c r="X25" s="7">
        <v>7.5</v>
      </c>
      <c r="Y25" s="7">
        <v>7</v>
      </c>
      <c r="Z25" s="7">
        <v>8</v>
      </c>
      <c r="AA25" s="7">
        <v>0</v>
      </c>
      <c r="AB25" s="7">
        <v>0</v>
      </c>
      <c r="AC25" s="7">
        <v>0</v>
      </c>
      <c r="AD25" s="7">
        <v>0</v>
      </c>
      <c r="AE25" s="7">
        <v>3</v>
      </c>
      <c r="AF25" s="7">
        <v>3</v>
      </c>
      <c r="AG25" s="7">
        <v>3</v>
      </c>
      <c r="AH25" s="7">
        <v>3</v>
      </c>
      <c r="AI25" s="7">
        <v>3</v>
      </c>
      <c r="AJ25" s="7">
        <v>4</v>
      </c>
      <c r="AK25" s="7">
        <v>5</v>
      </c>
      <c r="AL25" s="7">
        <v>6</v>
      </c>
      <c r="AM25" s="7">
        <v>0</v>
      </c>
      <c r="AN25" s="7">
        <v>0</v>
      </c>
    </row>
    <row r="26" spans="1:40" x14ac:dyDescent="0.25">
      <c r="A26" s="45" t="s">
        <v>79</v>
      </c>
      <c r="B26" s="7"/>
      <c r="C26" s="7"/>
      <c r="D26" s="7"/>
      <c r="E26" s="7"/>
      <c r="F26" s="7"/>
      <c r="G26" s="30"/>
      <c r="H26" s="7">
        <f>1+0.75</f>
        <v>1.75</v>
      </c>
      <c r="I26" s="7"/>
      <c r="J26" s="7"/>
      <c r="K26" s="7">
        <f>0.5+1</f>
        <v>1.5</v>
      </c>
      <c r="L26" s="7"/>
      <c r="M26" s="7"/>
      <c r="N26" s="7"/>
      <c r="O26" s="7"/>
      <c r="P26" s="7"/>
      <c r="Q26" s="7"/>
      <c r="R26" s="7">
        <v>0.5</v>
      </c>
      <c r="S26" s="7">
        <f>3</f>
        <v>3</v>
      </c>
      <c r="T26" s="7">
        <v>1</v>
      </c>
      <c r="U26" s="30">
        <v>5</v>
      </c>
      <c r="V26" s="7">
        <v>6</v>
      </c>
      <c r="W26" s="7">
        <v>6</v>
      </c>
      <c r="X26" s="7">
        <v>6</v>
      </c>
      <c r="Y26" s="7">
        <v>7</v>
      </c>
      <c r="Z26" s="7">
        <v>7</v>
      </c>
      <c r="AA26" s="7">
        <v>0</v>
      </c>
      <c r="AB26" s="7">
        <v>0</v>
      </c>
      <c r="AC26" s="7">
        <v>0</v>
      </c>
      <c r="AD26" s="7">
        <v>0</v>
      </c>
      <c r="AE26" s="7">
        <v>2</v>
      </c>
      <c r="AF26" s="7">
        <v>2</v>
      </c>
      <c r="AG26" s="7">
        <v>2</v>
      </c>
      <c r="AH26" s="7">
        <v>2</v>
      </c>
      <c r="AI26" s="7">
        <v>2</v>
      </c>
      <c r="AJ26" s="7">
        <v>3</v>
      </c>
      <c r="AK26" s="7">
        <v>4</v>
      </c>
      <c r="AL26" s="7">
        <v>5</v>
      </c>
      <c r="AM26" s="7">
        <v>0</v>
      </c>
      <c r="AN26" s="7">
        <v>0</v>
      </c>
    </row>
    <row r="27" spans="1:40" x14ac:dyDescent="0.25">
      <c r="A27" s="45" t="s">
        <v>80</v>
      </c>
      <c r="B27" s="7"/>
      <c r="C27" s="7"/>
      <c r="D27" s="7"/>
      <c r="E27" s="7"/>
      <c r="F27" s="7"/>
      <c r="G27" s="3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3</v>
      </c>
      <c r="T27" s="7">
        <v>0</v>
      </c>
      <c r="U27" s="30">
        <v>4</v>
      </c>
      <c r="V27" s="7">
        <v>5</v>
      </c>
      <c r="W27" s="7">
        <v>5</v>
      </c>
      <c r="X27" s="7">
        <v>5</v>
      </c>
      <c r="Y27" s="7">
        <v>5</v>
      </c>
      <c r="Z27" s="7">
        <v>6</v>
      </c>
      <c r="AA27" s="7">
        <v>0</v>
      </c>
      <c r="AB27" s="7">
        <v>0</v>
      </c>
      <c r="AC27" s="7">
        <v>0</v>
      </c>
      <c r="AD27" s="7">
        <v>0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3</v>
      </c>
      <c r="AL27" s="7">
        <v>4</v>
      </c>
      <c r="AM27" s="7">
        <v>0</v>
      </c>
      <c r="AN27" s="7">
        <v>0</v>
      </c>
    </row>
    <row r="28" spans="1:40" x14ac:dyDescent="0.25">
      <c r="A28" s="45" t="s">
        <v>64</v>
      </c>
      <c r="B28" s="7"/>
      <c r="C28" s="7"/>
      <c r="D28" s="7"/>
      <c r="E28" s="7"/>
      <c r="F28" s="7"/>
      <c r="G28" s="30"/>
      <c r="H28" s="7"/>
      <c r="I28" s="7"/>
      <c r="J28" s="7"/>
      <c r="K28" s="7"/>
      <c r="L28" s="7"/>
      <c r="M28" s="7"/>
      <c r="N28" s="7"/>
      <c r="O28" s="7"/>
      <c r="P28" s="7"/>
      <c r="Q28" s="7">
        <f>2+5</f>
        <v>7</v>
      </c>
      <c r="R28" s="7">
        <f>5+3</f>
        <v>8</v>
      </c>
      <c r="S28" s="7">
        <f>3+2+1+1</f>
        <v>7</v>
      </c>
      <c r="T28" s="7">
        <v>3</v>
      </c>
      <c r="U28" s="30">
        <v>5</v>
      </c>
      <c r="V28" s="7">
        <v>5</v>
      </c>
      <c r="W28" s="7">
        <v>6</v>
      </c>
      <c r="X28" s="7">
        <v>6</v>
      </c>
      <c r="Y28" s="7">
        <v>7</v>
      </c>
      <c r="Z28" s="7">
        <v>7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s="45" t="s">
        <v>71</v>
      </c>
      <c r="B29" s="7"/>
      <c r="C29" s="7"/>
      <c r="D29" s="7"/>
      <c r="E29" s="7"/>
      <c r="F29" s="7"/>
      <c r="G29" s="3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2</v>
      </c>
      <c r="T29" s="7">
        <v>3.75</v>
      </c>
      <c r="U29" s="30">
        <v>4</v>
      </c>
      <c r="V29" s="30">
        <v>3</v>
      </c>
      <c r="W29" s="30">
        <v>3</v>
      </c>
      <c r="X29" s="30">
        <v>3</v>
      </c>
      <c r="Y29" s="7">
        <v>4</v>
      </c>
      <c r="Z29" s="7">
        <v>5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s="45" t="s">
        <v>67</v>
      </c>
      <c r="B30" s="7"/>
      <c r="C30" s="7"/>
      <c r="D30" s="7"/>
      <c r="E30" s="7"/>
      <c r="F30" s="7"/>
      <c r="G30" s="3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7.75</v>
      </c>
      <c r="T30" s="7">
        <v>4</v>
      </c>
      <c r="U30" s="30">
        <v>4</v>
      </c>
      <c r="V30" s="30">
        <v>3</v>
      </c>
      <c r="W30" s="30">
        <v>3</v>
      </c>
      <c r="X30" s="30">
        <v>3</v>
      </c>
      <c r="Y30" s="7">
        <v>4</v>
      </c>
      <c r="Z30" s="7">
        <v>5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25">
      <c r="A31" s="45" t="s">
        <v>68</v>
      </c>
      <c r="B31" s="7"/>
      <c r="C31" s="7"/>
      <c r="D31" s="7"/>
      <c r="E31" s="7"/>
      <c r="F31" s="7"/>
      <c r="G31" s="3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f>3+2</f>
        <v>5</v>
      </c>
      <c r="T31" s="7">
        <v>2</v>
      </c>
      <c r="U31" s="30">
        <v>3</v>
      </c>
      <c r="V31" s="30">
        <v>4</v>
      </c>
      <c r="W31" s="30">
        <v>3</v>
      </c>
      <c r="X31" s="30">
        <v>3</v>
      </c>
      <c r="Y31" s="7">
        <v>4</v>
      </c>
      <c r="Z31" s="7">
        <v>5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25">
      <c r="A32" s="45" t="s">
        <v>81</v>
      </c>
      <c r="B32" s="7"/>
      <c r="C32" s="7"/>
      <c r="D32" s="7"/>
      <c r="E32" s="7"/>
      <c r="F32" s="7"/>
      <c r="G32" s="3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f>3</f>
        <v>3</v>
      </c>
      <c r="T32" s="7">
        <v>3</v>
      </c>
      <c r="U32" s="30">
        <v>3</v>
      </c>
      <c r="V32" s="30">
        <v>4</v>
      </c>
      <c r="W32" s="30">
        <v>3</v>
      </c>
      <c r="X32" s="30">
        <v>3</v>
      </c>
      <c r="Y32" s="7">
        <v>4</v>
      </c>
      <c r="Z32" s="7">
        <v>5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25">
      <c r="A33" s="45" t="s">
        <v>82</v>
      </c>
      <c r="B33" s="7"/>
      <c r="C33" s="7"/>
      <c r="D33" s="7"/>
      <c r="E33" s="7"/>
      <c r="F33" s="7"/>
      <c r="G33" s="3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4.75</v>
      </c>
      <c r="T33" s="7">
        <v>0</v>
      </c>
      <c r="U33" s="30">
        <v>3</v>
      </c>
      <c r="V33" s="30">
        <v>3</v>
      </c>
      <c r="W33" s="30">
        <v>4</v>
      </c>
      <c r="X33" s="30">
        <v>3</v>
      </c>
      <c r="Y33" s="7">
        <v>4</v>
      </c>
      <c r="Z33" s="7">
        <v>5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</row>
    <row r="34" spans="1:40" x14ac:dyDescent="0.25">
      <c r="A34" s="46" t="s">
        <v>83</v>
      </c>
      <c r="B34" s="2">
        <f t="shared" ref="B34:AN34" si="5">SUM(B25:B33)</f>
        <v>0</v>
      </c>
      <c r="C34" s="2">
        <f t="shared" si="5"/>
        <v>0</v>
      </c>
      <c r="D34" s="2">
        <f t="shared" si="5"/>
        <v>0</v>
      </c>
      <c r="E34" s="2">
        <f t="shared" si="5"/>
        <v>0</v>
      </c>
      <c r="F34" s="2">
        <f t="shared" si="5"/>
        <v>0</v>
      </c>
      <c r="G34" s="34">
        <f t="shared" si="5"/>
        <v>1</v>
      </c>
      <c r="H34" s="2">
        <f t="shared" si="5"/>
        <v>7</v>
      </c>
      <c r="I34" s="2">
        <f t="shared" si="5"/>
        <v>9.75</v>
      </c>
      <c r="J34" s="2">
        <f t="shared" si="5"/>
        <v>11.25</v>
      </c>
      <c r="K34" s="2">
        <f t="shared" si="5"/>
        <v>10.5</v>
      </c>
      <c r="L34" s="2">
        <f t="shared" si="5"/>
        <v>8.75</v>
      </c>
      <c r="M34" s="2">
        <f t="shared" si="5"/>
        <v>4.75</v>
      </c>
      <c r="N34" s="2">
        <f t="shared" si="5"/>
        <v>0</v>
      </c>
      <c r="O34" s="2">
        <f t="shared" si="5"/>
        <v>6.5</v>
      </c>
      <c r="P34" s="2">
        <f t="shared" si="5"/>
        <v>1.5</v>
      </c>
      <c r="Q34" s="2">
        <f t="shared" si="5"/>
        <v>42.5</v>
      </c>
      <c r="R34" s="2">
        <f t="shared" si="5"/>
        <v>15.5</v>
      </c>
      <c r="S34" s="2">
        <f t="shared" si="5"/>
        <v>43</v>
      </c>
      <c r="T34" s="2">
        <f t="shared" si="5"/>
        <v>24.75</v>
      </c>
      <c r="U34" s="34">
        <f t="shared" si="5"/>
        <v>38</v>
      </c>
      <c r="V34" s="2">
        <f t="shared" si="5"/>
        <v>41</v>
      </c>
      <c r="W34" s="2">
        <f t="shared" si="5"/>
        <v>40.5</v>
      </c>
      <c r="X34" s="2">
        <f t="shared" si="5"/>
        <v>39.5</v>
      </c>
      <c r="Y34" s="2">
        <f t="shared" si="5"/>
        <v>46</v>
      </c>
      <c r="Z34" s="2">
        <f t="shared" si="5"/>
        <v>53</v>
      </c>
      <c r="AA34" s="2">
        <f t="shared" si="5"/>
        <v>0</v>
      </c>
      <c r="AB34" s="2">
        <f t="shared" si="5"/>
        <v>0</v>
      </c>
      <c r="AC34" s="2">
        <f t="shared" si="5"/>
        <v>0</v>
      </c>
      <c r="AD34" s="2">
        <f t="shared" si="5"/>
        <v>0</v>
      </c>
      <c r="AE34" s="2">
        <f t="shared" si="5"/>
        <v>7</v>
      </c>
      <c r="AF34" s="2">
        <f t="shared" si="5"/>
        <v>7</v>
      </c>
      <c r="AG34" s="2">
        <f t="shared" si="5"/>
        <v>7</v>
      </c>
      <c r="AH34" s="2">
        <f t="shared" si="5"/>
        <v>7</v>
      </c>
      <c r="AI34" s="2">
        <f t="shared" si="5"/>
        <v>7</v>
      </c>
      <c r="AJ34" s="2">
        <f t="shared" si="5"/>
        <v>9</v>
      </c>
      <c r="AK34" s="2">
        <f t="shared" si="5"/>
        <v>12</v>
      </c>
      <c r="AL34" s="2">
        <f t="shared" si="5"/>
        <v>15</v>
      </c>
      <c r="AM34" s="2">
        <f t="shared" si="5"/>
        <v>0</v>
      </c>
      <c r="AN34" s="2">
        <f t="shared" si="5"/>
        <v>0</v>
      </c>
    </row>
    <row r="35" spans="1:40" x14ac:dyDescent="0.25">
      <c r="A35" s="3"/>
      <c r="B35" s="7"/>
      <c r="C35" s="7"/>
      <c r="D35" s="7"/>
      <c r="E35" s="7"/>
      <c r="F35" s="7"/>
      <c r="G35" s="3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30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47" t="s">
        <v>84</v>
      </c>
      <c r="B36" s="7"/>
      <c r="C36" s="7"/>
      <c r="D36" s="7"/>
      <c r="E36" s="7"/>
      <c r="F36" s="7"/>
      <c r="G36" s="3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30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48" t="s">
        <v>81</v>
      </c>
      <c r="B37" s="7"/>
      <c r="C37" s="7"/>
      <c r="D37" s="7"/>
      <c r="E37" s="7"/>
      <c r="F37" s="7"/>
      <c r="G37" s="30"/>
      <c r="H37" s="7">
        <f>1+1</f>
        <v>2</v>
      </c>
      <c r="I37" s="7">
        <f>1+1.5+0.5+1+1</f>
        <v>5</v>
      </c>
      <c r="J37" s="7">
        <f>2+1+1.25+1</f>
        <v>5.25</v>
      </c>
      <c r="K37" s="7">
        <v>0.5</v>
      </c>
      <c r="L37" s="7"/>
      <c r="M37" s="7"/>
      <c r="N37" s="7"/>
      <c r="O37" s="7"/>
      <c r="P37" s="7">
        <f>0.75</f>
        <v>0.75</v>
      </c>
      <c r="Q37" s="7"/>
      <c r="R37" s="7">
        <v>0.5</v>
      </c>
      <c r="S37" s="7">
        <v>4.75</v>
      </c>
      <c r="T37" s="7">
        <v>2.25</v>
      </c>
      <c r="U37" s="30">
        <v>2</v>
      </c>
      <c r="V37" s="7">
        <v>3</v>
      </c>
      <c r="W37" s="7">
        <v>4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2</v>
      </c>
      <c r="AM37" s="7">
        <v>0</v>
      </c>
      <c r="AN37" s="7">
        <v>0</v>
      </c>
    </row>
    <row r="38" spans="1:40" x14ac:dyDescent="0.25">
      <c r="A38" s="48" t="s">
        <v>67</v>
      </c>
      <c r="B38" s="7"/>
      <c r="C38" s="7"/>
      <c r="D38" s="7"/>
      <c r="E38" s="7"/>
      <c r="F38" s="7"/>
      <c r="G38" s="30"/>
      <c r="H38" s="7">
        <f>0.25+1</f>
        <v>1.25</v>
      </c>
      <c r="I38" s="7">
        <f>0.25+0.75+0.25</f>
        <v>1.25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f>0.5+2+0.5</f>
        <v>3</v>
      </c>
      <c r="U38" s="30">
        <v>1</v>
      </c>
      <c r="V38" s="7">
        <v>2</v>
      </c>
      <c r="W38" s="7">
        <v>3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1</v>
      </c>
      <c r="AM38" s="7">
        <v>0</v>
      </c>
      <c r="AN38" s="7">
        <v>0</v>
      </c>
    </row>
    <row r="39" spans="1:40" x14ac:dyDescent="0.25">
      <c r="A39" s="49" t="s">
        <v>85</v>
      </c>
      <c r="B39" s="2">
        <f t="shared" ref="B39:AN39" si="6">SUM(B37:B38)</f>
        <v>0</v>
      </c>
      <c r="C39" s="2">
        <f t="shared" si="6"/>
        <v>0</v>
      </c>
      <c r="D39" s="2">
        <f t="shared" si="6"/>
        <v>0</v>
      </c>
      <c r="E39" s="2">
        <f t="shared" si="6"/>
        <v>0</v>
      </c>
      <c r="F39" s="2">
        <f t="shared" si="6"/>
        <v>0</v>
      </c>
      <c r="G39" s="34">
        <f t="shared" si="6"/>
        <v>0</v>
      </c>
      <c r="H39" s="2">
        <f t="shared" si="6"/>
        <v>3.25</v>
      </c>
      <c r="I39" s="2">
        <f t="shared" si="6"/>
        <v>6.25</v>
      </c>
      <c r="J39" s="2">
        <f t="shared" si="6"/>
        <v>5.25</v>
      </c>
      <c r="K39" s="2">
        <f t="shared" si="6"/>
        <v>0.5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0.75</v>
      </c>
      <c r="Q39" s="2">
        <f t="shared" si="6"/>
        <v>0</v>
      </c>
      <c r="R39" s="2">
        <f t="shared" si="6"/>
        <v>0.5</v>
      </c>
      <c r="S39" s="2">
        <f t="shared" si="6"/>
        <v>4.75</v>
      </c>
      <c r="T39" s="2">
        <f t="shared" si="6"/>
        <v>5.25</v>
      </c>
      <c r="U39" s="34">
        <f t="shared" si="6"/>
        <v>3</v>
      </c>
      <c r="V39" s="2">
        <f t="shared" si="6"/>
        <v>5</v>
      </c>
      <c r="W39" s="2">
        <f t="shared" si="6"/>
        <v>7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6"/>
        <v>0</v>
      </c>
      <c r="AB39" s="2">
        <f t="shared" si="6"/>
        <v>0</v>
      </c>
      <c r="AC39" s="2">
        <f t="shared" si="6"/>
        <v>0</v>
      </c>
      <c r="AD39" s="2">
        <f t="shared" si="6"/>
        <v>0</v>
      </c>
      <c r="AE39" s="2">
        <f t="shared" si="6"/>
        <v>0</v>
      </c>
      <c r="AF39" s="2">
        <f t="shared" si="6"/>
        <v>0</v>
      </c>
      <c r="AG39" s="2">
        <f t="shared" si="6"/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3</v>
      </c>
      <c r="AM39" s="2">
        <f t="shared" si="6"/>
        <v>0</v>
      </c>
      <c r="AN39" s="2">
        <f t="shared" si="6"/>
        <v>0</v>
      </c>
    </row>
    <row r="40" spans="1:40" x14ac:dyDescent="0.25">
      <c r="A40" s="3"/>
      <c r="B40" s="50"/>
      <c r="C40" s="50"/>
      <c r="D40" s="50"/>
      <c r="E40" s="50"/>
      <c r="F40" s="50"/>
      <c r="G40" s="51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</row>
    <row r="41" spans="1:40" x14ac:dyDescent="0.25">
      <c r="A41" s="52" t="s">
        <v>86</v>
      </c>
      <c r="B41" s="7"/>
      <c r="C41" s="7"/>
      <c r="D41" s="7"/>
      <c r="E41" s="7"/>
      <c r="F41" s="7"/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0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5">
      <c r="A42" s="53" t="s">
        <v>82</v>
      </c>
      <c r="B42" s="7"/>
      <c r="C42" s="7"/>
      <c r="D42" s="7"/>
      <c r="E42" s="7"/>
      <c r="F42" s="7"/>
      <c r="G42" s="30">
        <v>3</v>
      </c>
      <c r="H42" s="7">
        <f>0.75+1+1</f>
        <v>2.75</v>
      </c>
      <c r="I42" s="7">
        <f>2.25+1</f>
        <v>3.25</v>
      </c>
      <c r="J42" s="7">
        <f>2+0.75+1</f>
        <v>3.75</v>
      </c>
      <c r="K42" s="7">
        <v>0.5</v>
      </c>
      <c r="L42" s="7"/>
      <c r="M42" s="7"/>
      <c r="N42" s="7"/>
      <c r="O42" s="7"/>
      <c r="P42" s="7">
        <f>1.5+1.5+1.25</f>
        <v>4.25</v>
      </c>
      <c r="Q42" s="7">
        <f>2.75+1.5</f>
        <v>4.25</v>
      </c>
      <c r="R42" s="7">
        <f>0.75+0.5</f>
        <v>1.25</v>
      </c>
      <c r="S42" s="7">
        <v>0.75</v>
      </c>
      <c r="T42" s="7">
        <f>0.75+1</f>
        <v>1.75</v>
      </c>
      <c r="U42" s="30">
        <v>1</v>
      </c>
      <c r="V42" s="7">
        <v>2</v>
      </c>
      <c r="W42" s="7">
        <v>4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4</v>
      </c>
      <c r="AM42" s="7">
        <v>0</v>
      </c>
      <c r="AN42" s="7">
        <v>0</v>
      </c>
    </row>
    <row r="43" spans="1:40" x14ac:dyDescent="0.25">
      <c r="A43" s="53" t="s">
        <v>81</v>
      </c>
      <c r="B43" s="7"/>
      <c r="C43" s="7"/>
      <c r="D43" s="7"/>
      <c r="E43" s="7"/>
      <c r="F43" s="7"/>
      <c r="G43" s="30"/>
      <c r="H43" s="7"/>
      <c r="I43" s="7">
        <v>1.5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30">
        <v>1</v>
      </c>
      <c r="V43" s="7">
        <v>2</v>
      </c>
      <c r="W43" s="7">
        <v>2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3</v>
      </c>
      <c r="AM43" s="7">
        <v>0</v>
      </c>
      <c r="AN43" s="7">
        <v>0</v>
      </c>
    </row>
    <row r="44" spans="1:40" x14ac:dyDescent="0.25">
      <c r="A44" s="54" t="s">
        <v>87</v>
      </c>
      <c r="B44" s="2">
        <f t="shared" ref="B44:AN44" si="7">SUM(B42:B43)</f>
        <v>0</v>
      </c>
      <c r="C44" s="2">
        <f t="shared" si="7"/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34">
        <f t="shared" si="7"/>
        <v>3</v>
      </c>
      <c r="H44" s="2">
        <f t="shared" si="7"/>
        <v>2.75</v>
      </c>
      <c r="I44" s="2">
        <f t="shared" si="7"/>
        <v>4.75</v>
      </c>
      <c r="J44" s="2">
        <f t="shared" si="7"/>
        <v>3.75</v>
      </c>
      <c r="K44" s="2">
        <f t="shared" si="7"/>
        <v>0.5</v>
      </c>
      <c r="L44" s="2">
        <f t="shared" si="7"/>
        <v>0</v>
      </c>
      <c r="M44" s="2">
        <f t="shared" si="7"/>
        <v>0</v>
      </c>
      <c r="N44" s="2">
        <f t="shared" si="7"/>
        <v>0</v>
      </c>
      <c r="O44" s="2">
        <f t="shared" si="7"/>
        <v>0</v>
      </c>
      <c r="P44" s="2">
        <f t="shared" si="7"/>
        <v>4.25</v>
      </c>
      <c r="Q44" s="2">
        <f t="shared" si="7"/>
        <v>4.25</v>
      </c>
      <c r="R44" s="2">
        <f t="shared" si="7"/>
        <v>1.25</v>
      </c>
      <c r="S44" s="2">
        <f t="shared" si="7"/>
        <v>0.75</v>
      </c>
      <c r="T44" s="2">
        <f t="shared" si="7"/>
        <v>1.75</v>
      </c>
      <c r="U44" s="34">
        <f t="shared" si="7"/>
        <v>2</v>
      </c>
      <c r="V44" s="2">
        <f t="shared" si="7"/>
        <v>4</v>
      </c>
      <c r="W44" s="2">
        <f t="shared" si="7"/>
        <v>6</v>
      </c>
      <c r="X44" s="2">
        <f t="shared" si="7"/>
        <v>0</v>
      </c>
      <c r="Y44" s="2">
        <f t="shared" si="7"/>
        <v>0</v>
      </c>
      <c r="Z44" s="2">
        <f t="shared" si="7"/>
        <v>0</v>
      </c>
      <c r="AA44" s="2">
        <f t="shared" si="7"/>
        <v>0</v>
      </c>
      <c r="AB44" s="2">
        <f t="shared" si="7"/>
        <v>0</v>
      </c>
      <c r="AC44" s="2">
        <f t="shared" si="7"/>
        <v>0</v>
      </c>
      <c r="AD44" s="2">
        <f t="shared" si="7"/>
        <v>0</v>
      </c>
      <c r="AE44" s="2">
        <f t="shared" si="7"/>
        <v>0</v>
      </c>
      <c r="AF44" s="2">
        <f t="shared" si="7"/>
        <v>0</v>
      </c>
      <c r="AG44" s="2">
        <f t="shared" si="7"/>
        <v>0</v>
      </c>
      <c r="AH44" s="2">
        <f t="shared" si="7"/>
        <v>0</v>
      </c>
      <c r="AI44" s="2">
        <f t="shared" si="7"/>
        <v>0</v>
      </c>
      <c r="AJ44" s="2">
        <f t="shared" si="7"/>
        <v>0</v>
      </c>
      <c r="AK44" s="2">
        <f t="shared" si="7"/>
        <v>0</v>
      </c>
      <c r="AL44" s="2">
        <f t="shared" si="7"/>
        <v>7</v>
      </c>
      <c r="AM44" s="2">
        <f t="shared" si="7"/>
        <v>0</v>
      </c>
      <c r="AN44" s="2">
        <f t="shared" si="7"/>
        <v>0</v>
      </c>
    </row>
    <row r="45" spans="1:40" x14ac:dyDescent="0.25">
      <c r="A45" s="7"/>
      <c r="B45" s="7"/>
      <c r="C45" s="7"/>
      <c r="D45" s="7"/>
      <c r="E45" s="7"/>
      <c r="F45" s="7"/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30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22" t="s">
        <v>88</v>
      </c>
      <c r="B46" s="2">
        <f t="shared" ref="B46:AN46" si="8">B44+B39+B34+B22+B17+B12+B7</f>
        <v>0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G46" s="34">
        <f t="shared" si="8"/>
        <v>9.75</v>
      </c>
      <c r="H46" s="2">
        <f t="shared" si="8"/>
        <v>44.25</v>
      </c>
      <c r="I46" s="2">
        <f t="shared" si="8"/>
        <v>37</v>
      </c>
      <c r="J46" s="2">
        <f t="shared" si="8"/>
        <v>47.25</v>
      </c>
      <c r="K46" s="2">
        <f t="shared" si="8"/>
        <v>37.5</v>
      </c>
      <c r="L46" s="2">
        <f t="shared" si="8"/>
        <v>8.75</v>
      </c>
      <c r="M46" s="2">
        <f t="shared" si="8"/>
        <v>10.75</v>
      </c>
      <c r="N46" s="2">
        <f t="shared" si="8"/>
        <v>0</v>
      </c>
      <c r="O46" s="2">
        <f t="shared" si="8"/>
        <v>6.5</v>
      </c>
      <c r="P46" s="2">
        <f t="shared" si="8"/>
        <v>6.5</v>
      </c>
      <c r="Q46" s="2">
        <f t="shared" si="8"/>
        <v>46.75</v>
      </c>
      <c r="R46" s="2">
        <f t="shared" si="8"/>
        <v>33</v>
      </c>
      <c r="S46" s="2">
        <f t="shared" si="8"/>
        <v>60.75</v>
      </c>
      <c r="T46" s="2">
        <f t="shared" si="8"/>
        <v>51.25</v>
      </c>
      <c r="U46" s="34">
        <f t="shared" si="8"/>
        <v>65</v>
      </c>
      <c r="V46" s="2">
        <f t="shared" si="8"/>
        <v>69.5</v>
      </c>
      <c r="W46" s="2">
        <f t="shared" si="8"/>
        <v>87.5</v>
      </c>
      <c r="X46" s="2">
        <f t="shared" si="8"/>
        <v>59</v>
      </c>
      <c r="Y46" s="2">
        <f t="shared" si="8"/>
        <v>71</v>
      </c>
      <c r="Z46" s="2">
        <f t="shared" si="8"/>
        <v>63.5</v>
      </c>
      <c r="AA46" s="2">
        <f t="shared" si="8"/>
        <v>0</v>
      </c>
      <c r="AB46" s="2">
        <f t="shared" si="8"/>
        <v>0</v>
      </c>
      <c r="AC46" s="2">
        <f t="shared" si="8"/>
        <v>0</v>
      </c>
      <c r="AD46" s="2">
        <f t="shared" si="8"/>
        <v>0</v>
      </c>
      <c r="AE46" s="2">
        <f t="shared" si="8"/>
        <v>21</v>
      </c>
      <c r="AF46" s="2">
        <f t="shared" si="8"/>
        <v>26</v>
      </c>
      <c r="AG46" s="2">
        <f t="shared" si="8"/>
        <v>41</v>
      </c>
      <c r="AH46" s="2">
        <f t="shared" si="8"/>
        <v>25</v>
      </c>
      <c r="AI46" s="2">
        <f t="shared" si="8"/>
        <v>29</v>
      </c>
      <c r="AJ46" s="2">
        <f t="shared" si="8"/>
        <v>47</v>
      </c>
      <c r="AK46" s="2">
        <f t="shared" si="8"/>
        <v>40</v>
      </c>
      <c r="AL46" s="2">
        <f t="shared" si="8"/>
        <v>78</v>
      </c>
      <c r="AM46" s="2">
        <f t="shared" si="8"/>
        <v>0</v>
      </c>
      <c r="AN46" s="2">
        <f t="shared" si="8"/>
        <v>0</v>
      </c>
    </row>
    <row r="47" spans="1:4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55" t="s">
        <v>89</v>
      </c>
      <c r="B48" s="2">
        <f>SUM(B46:AN46)</f>
        <v>1122.5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5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57" t="s">
        <v>90</v>
      </c>
      <c r="B50" s="7">
        <f t="shared" ref="B50:AN50" si="9">B6+B28</f>
        <v>0</v>
      </c>
      <c r="C50" s="7">
        <f t="shared" si="9"/>
        <v>0</v>
      </c>
      <c r="D50" s="7">
        <f t="shared" si="9"/>
        <v>0</v>
      </c>
      <c r="E50" s="7">
        <f t="shared" si="9"/>
        <v>0</v>
      </c>
      <c r="F50" s="7">
        <f t="shared" si="9"/>
        <v>0</v>
      </c>
      <c r="G50" s="7">
        <f t="shared" si="9"/>
        <v>1.5</v>
      </c>
      <c r="H50" s="7">
        <f t="shared" si="9"/>
        <v>12</v>
      </c>
      <c r="I50" s="7">
        <f t="shared" si="9"/>
        <v>2</v>
      </c>
      <c r="J50" s="7">
        <f t="shared" si="9"/>
        <v>4.5</v>
      </c>
      <c r="K50" s="7">
        <f t="shared" si="9"/>
        <v>6.75</v>
      </c>
      <c r="L50" s="7">
        <f t="shared" si="9"/>
        <v>0</v>
      </c>
      <c r="M50" s="7">
        <f t="shared" si="9"/>
        <v>6</v>
      </c>
      <c r="N50" s="7">
        <f t="shared" si="9"/>
        <v>0</v>
      </c>
      <c r="O50" s="7">
        <f t="shared" si="9"/>
        <v>0</v>
      </c>
      <c r="P50" s="7">
        <f t="shared" si="9"/>
        <v>0</v>
      </c>
      <c r="Q50" s="7">
        <f t="shared" si="9"/>
        <v>7</v>
      </c>
      <c r="R50" s="7">
        <f t="shared" si="9"/>
        <v>10.75</v>
      </c>
      <c r="S50" s="7">
        <f t="shared" si="9"/>
        <v>7.75</v>
      </c>
      <c r="T50" s="7">
        <f t="shared" si="9"/>
        <v>5.75</v>
      </c>
      <c r="U50" s="7">
        <f t="shared" si="9"/>
        <v>7</v>
      </c>
      <c r="V50" s="7">
        <f t="shared" si="9"/>
        <v>7.5</v>
      </c>
      <c r="W50" s="7">
        <f t="shared" si="9"/>
        <v>9</v>
      </c>
      <c r="X50" s="7">
        <f t="shared" si="9"/>
        <v>8.5</v>
      </c>
      <c r="Y50" s="7">
        <f t="shared" si="9"/>
        <v>10</v>
      </c>
      <c r="Z50" s="7">
        <f t="shared" si="9"/>
        <v>9.5</v>
      </c>
      <c r="AA50" s="7">
        <f t="shared" si="9"/>
        <v>0</v>
      </c>
      <c r="AB50" s="7">
        <f t="shared" si="9"/>
        <v>0</v>
      </c>
      <c r="AC50" s="7">
        <f t="shared" si="9"/>
        <v>0</v>
      </c>
      <c r="AD50" s="7">
        <f t="shared" si="9"/>
        <v>0</v>
      </c>
      <c r="AE50" s="7">
        <f t="shared" si="9"/>
        <v>2</v>
      </c>
      <c r="AF50" s="7">
        <f t="shared" si="9"/>
        <v>2</v>
      </c>
      <c r="AG50" s="7">
        <f t="shared" si="9"/>
        <v>3</v>
      </c>
      <c r="AH50" s="7">
        <f t="shared" si="9"/>
        <v>2</v>
      </c>
      <c r="AI50" s="7">
        <f t="shared" si="9"/>
        <v>2</v>
      </c>
      <c r="AJ50" s="7">
        <f t="shared" si="9"/>
        <v>3</v>
      </c>
      <c r="AK50" s="7">
        <f t="shared" si="9"/>
        <v>5</v>
      </c>
      <c r="AL50" s="7">
        <f t="shared" si="9"/>
        <v>7</v>
      </c>
      <c r="AM50" s="7">
        <f t="shared" si="9"/>
        <v>0</v>
      </c>
      <c r="AN50" s="7">
        <f t="shared" si="9"/>
        <v>0</v>
      </c>
    </row>
    <row r="51" spans="1:40" x14ac:dyDescent="0.25">
      <c r="A51" s="57" t="s">
        <v>91</v>
      </c>
      <c r="B51" s="7">
        <f t="shared" ref="B51:AN51" si="10">B25</f>
        <v>0</v>
      </c>
      <c r="C51" s="7">
        <f t="shared" si="10"/>
        <v>0</v>
      </c>
      <c r="D51" s="7">
        <f t="shared" si="10"/>
        <v>0</v>
      </c>
      <c r="E51" s="7">
        <f t="shared" si="10"/>
        <v>0</v>
      </c>
      <c r="F51" s="7">
        <f t="shared" si="10"/>
        <v>0</v>
      </c>
      <c r="G51" s="7">
        <f t="shared" si="10"/>
        <v>1</v>
      </c>
      <c r="H51" s="7">
        <f t="shared" si="10"/>
        <v>5.25</v>
      </c>
      <c r="I51" s="7">
        <f t="shared" si="10"/>
        <v>9.75</v>
      </c>
      <c r="J51" s="7">
        <f t="shared" si="10"/>
        <v>11.25</v>
      </c>
      <c r="K51" s="7">
        <f t="shared" si="10"/>
        <v>9</v>
      </c>
      <c r="L51" s="7">
        <f t="shared" si="10"/>
        <v>8.75</v>
      </c>
      <c r="M51" s="7">
        <f t="shared" si="10"/>
        <v>4.75</v>
      </c>
      <c r="N51" s="7">
        <f t="shared" si="10"/>
        <v>0</v>
      </c>
      <c r="O51" s="7">
        <f t="shared" si="10"/>
        <v>6.5</v>
      </c>
      <c r="P51" s="7">
        <f t="shared" si="10"/>
        <v>1.5</v>
      </c>
      <c r="Q51" s="7">
        <f t="shared" si="10"/>
        <v>35.5</v>
      </c>
      <c r="R51" s="7">
        <f t="shared" si="10"/>
        <v>7</v>
      </c>
      <c r="S51" s="7">
        <f t="shared" si="10"/>
        <v>7.5</v>
      </c>
      <c r="T51" s="7">
        <f t="shared" si="10"/>
        <v>8</v>
      </c>
      <c r="U51" s="7">
        <f t="shared" si="10"/>
        <v>7</v>
      </c>
      <c r="V51" s="7">
        <f t="shared" si="10"/>
        <v>8</v>
      </c>
      <c r="W51" s="7">
        <f t="shared" si="10"/>
        <v>7.5</v>
      </c>
      <c r="X51" s="7">
        <f t="shared" si="10"/>
        <v>7.5</v>
      </c>
      <c r="Y51" s="7">
        <f t="shared" si="10"/>
        <v>7</v>
      </c>
      <c r="Z51" s="7">
        <f t="shared" si="10"/>
        <v>8</v>
      </c>
      <c r="AA51" s="7">
        <f t="shared" si="10"/>
        <v>0</v>
      </c>
      <c r="AB51" s="7">
        <f t="shared" si="10"/>
        <v>0</v>
      </c>
      <c r="AC51" s="7">
        <f t="shared" si="10"/>
        <v>0</v>
      </c>
      <c r="AD51" s="7">
        <f t="shared" si="10"/>
        <v>0</v>
      </c>
      <c r="AE51" s="7">
        <f t="shared" si="10"/>
        <v>3</v>
      </c>
      <c r="AF51" s="7">
        <f t="shared" si="10"/>
        <v>3</v>
      </c>
      <c r="AG51" s="7">
        <f t="shared" si="10"/>
        <v>3</v>
      </c>
      <c r="AH51" s="7">
        <f t="shared" si="10"/>
        <v>3</v>
      </c>
      <c r="AI51" s="7">
        <f t="shared" si="10"/>
        <v>3</v>
      </c>
      <c r="AJ51" s="7">
        <f t="shared" si="10"/>
        <v>4</v>
      </c>
      <c r="AK51" s="7">
        <f t="shared" si="10"/>
        <v>5</v>
      </c>
      <c r="AL51" s="7">
        <f t="shared" si="10"/>
        <v>6</v>
      </c>
      <c r="AM51" s="7">
        <f t="shared" si="10"/>
        <v>0</v>
      </c>
      <c r="AN51" s="7">
        <f t="shared" si="10"/>
        <v>0</v>
      </c>
    </row>
    <row r="52" spans="1:40" x14ac:dyDescent="0.25">
      <c r="A52" s="57" t="s">
        <v>92</v>
      </c>
      <c r="B52" s="7">
        <f t="shared" ref="B52:AN52" si="11">B20</f>
        <v>0</v>
      </c>
      <c r="C52" s="7">
        <f t="shared" si="11"/>
        <v>0</v>
      </c>
      <c r="D52" s="7">
        <f t="shared" si="11"/>
        <v>0</v>
      </c>
      <c r="E52" s="7">
        <f t="shared" si="11"/>
        <v>0</v>
      </c>
      <c r="F52" s="7">
        <f t="shared" si="11"/>
        <v>0</v>
      </c>
      <c r="G52" s="7">
        <f t="shared" si="11"/>
        <v>0</v>
      </c>
      <c r="H52" s="7">
        <f t="shared" si="11"/>
        <v>1.75</v>
      </c>
      <c r="I52" s="7">
        <f t="shared" si="11"/>
        <v>2.25</v>
      </c>
      <c r="J52" s="7">
        <f t="shared" si="11"/>
        <v>6</v>
      </c>
      <c r="K52" s="7">
        <f t="shared" si="11"/>
        <v>3</v>
      </c>
      <c r="L52" s="7">
        <f t="shared" si="11"/>
        <v>0</v>
      </c>
      <c r="M52" s="7">
        <f t="shared" si="11"/>
        <v>0</v>
      </c>
      <c r="N52" s="7">
        <f t="shared" si="11"/>
        <v>0</v>
      </c>
      <c r="O52" s="7">
        <f t="shared" si="11"/>
        <v>0</v>
      </c>
      <c r="P52" s="7">
        <f t="shared" si="11"/>
        <v>0</v>
      </c>
      <c r="Q52" s="7">
        <f t="shared" si="11"/>
        <v>0</v>
      </c>
      <c r="R52" s="7">
        <f t="shared" si="11"/>
        <v>1.5</v>
      </c>
      <c r="S52" s="7">
        <f t="shared" si="11"/>
        <v>0</v>
      </c>
      <c r="T52" s="7">
        <f t="shared" si="11"/>
        <v>1</v>
      </c>
      <c r="U52" s="7">
        <f t="shared" si="11"/>
        <v>3</v>
      </c>
      <c r="V52" s="7">
        <f t="shared" si="11"/>
        <v>4</v>
      </c>
      <c r="W52" s="7">
        <f t="shared" si="11"/>
        <v>5</v>
      </c>
      <c r="X52" s="7">
        <f t="shared" si="11"/>
        <v>4</v>
      </c>
      <c r="Y52" s="7">
        <f t="shared" si="11"/>
        <v>3</v>
      </c>
      <c r="Z52" s="7">
        <f t="shared" si="11"/>
        <v>2</v>
      </c>
      <c r="AA52" s="7">
        <f t="shared" si="11"/>
        <v>0</v>
      </c>
      <c r="AB52" s="7">
        <f t="shared" si="11"/>
        <v>0</v>
      </c>
      <c r="AC52" s="7">
        <f t="shared" si="11"/>
        <v>0</v>
      </c>
      <c r="AD52" s="7">
        <f t="shared" si="11"/>
        <v>0</v>
      </c>
      <c r="AE52" s="7">
        <f t="shared" si="11"/>
        <v>1</v>
      </c>
      <c r="AF52" s="7">
        <f t="shared" si="11"/>
        <v>2</v>
      </c>
      <c r="AG52" s="7">
        <f t="shared" si="11"/>
        <v>4</v>
      </c>
      <c r="AH52" s="7">
        <f t="shared" si="11"/>
        <v>3</v>
      </c>
      <c r="AI52" s="7">
        <f t="shared" si="11"/>
        <v>3</v>
      </c>
      <c r="AJ52" s="7">
        <f t="shared" si="11"/>
        <v>4</v>
      </c>
      <c r="AK52" s="7">
        <f t="shared" si="11"/>
        <v>4</v>
      </c>
      <c r="AL52" s="7">
        <f t="shared" si="11"/>
        <v>5</v>
      </c>
      <c r="AM52" s="7">
        <f t="shared" si="11"/>
        <v>0</v>
      </c>
      <c r="AN52" s="7">
        <f t="shared" si="11"/>
        <v>0</v>
      </c>
    </row>
    <row r="53" spans="1:40" x14ac:dyDescent="0.25">
      <c r="A53" s="57" t="s">
        <v>93</v>
      </c>
      <c r="B53" s="7">
        <f t="shared" ref="B53:AN53" si="12">B32+B37+B43</f>
        <v>0</v>
      </c>
      <c r="C53" s="7">
        <f t="shared" si="12"/>
        <v>0</v>
      </c>
      <c r="D53" s="7">
        <f t="shared" si="12"/>
        <v>0</v>
      </c>
      <c r="E53" s="7">
        <f t="shared" si="12"/>
        <v>0</v>
      </c>
      <c r="F53" s="7">
        <f t="shared" si="12"/>
        <v>0</v>
      </c>
      <c r="G53" s="7">
        <f t="shared" si="12"/>
        <v>0</v>
      </c>
      <c r="H53" s="7">
        <f t="shared" si="12"/>
        <v>2</v>
      </c>
      <c r="I53" s="7">
        <f t="shared" si="12"/>
        <v>6.5</v>
      </c>
      <c r="J53" s="7">
        <f t="shared" si="12"/>
        <v>5.25</v>
      </c>
      <c r="K53" s="7">
        <f t="shared" si="12"/>
        <v>0.5</v>
      </c>
      <c r="L53" s="7">
        <f t="shared" si="12"/>
        <v>0</v>
      </c>
      <c r="M53" s="7">
        <f t="shared" si="12"/>
        <v>0</v>
      </c>
      <c r="N53" s="7">
        <f t="shared" si="12"/>
        <v>0</v>
      </c>
      <c r="O53" s="7">
        <f t="shared" si="12"/>
        <v>0</v>
      </c>
      <c r="P53" s="7">
        <f t="shared" si="12"/>
        <v>0.75</v>
      </c>
      <c r="Q53" s="7">
        <f t="shared" si="12"/>
        <v>0</v>
      </c>
      <c r="R53" s="7">
        <f t="shared" si="12"/>
        <v>0.5</v>
      </c>
      <c r="S53" s="7">
        <f t="shared" si="12"/>
        <v>7.75</v>
      </c>
      <c r="T53" s="7">
        <f t="shared" si="12"/>
        <v>5.25</v>
      </c>
      <c r="U53" s="7">
        <f t="shared" si="12"/>
        <v>6</v>
      </c>
      <c r="V53" s="7">
        <f t="shared" si="12"/>
        <v>9</v>
      </c>
      <c r="W53" s="7">
        <f t="shared" si="12"/>
        <v>9</v>
      </c>
      <c r="X53" s="7">
        <f t="shared" si="12"/>
        <v>3</v>
      </c>
      <c r="Y53" s="7">
        <f t="shared" si="12"/>
        <v>4</v>
      </c>
      <c r="Z53" s="7">
        <f t="shared" si="12"/>
        <v>5</v>
      </c>
      <c r="AA53" s="7">
        <f t="shared" si="12"/>
        <v>0</v>
      </c>
      <c r="AB53" s="7">
        <f t="shared" si="12"/>
        <v>0</v>
      </c>
      <c r="AC53" s="7">
        <f t="shared" si="12"/>
        <v>0</v>
      </c>
      <c r="AD53" s="7">
        <f t="shared" si="12"/>
        <v>0</v>
      </c>
      <c r="AE53" s="7">
        <f t="shared" si="12"/>
        <v>0</v>
      </c>
      <c r="AF53" s="7">
        <f t="shared" si="12"/>
        <v>0</v>
      </c>
      <c r="AG53" s="7">
        <f t="shared" si="12"/>
        <v>0</v>
      </c>
      <c r="AH53" s="7">
        <f t="shared" si="12"/>
        <v>0</v>
      </c>
      <c r="AI53" s="7">
        <f t="shared" si="12"/>
        <v>0</v>
      </c>
      <c r="AJ53" s="7">
        <f t="shared" si="12"/>
        <v>0</v>
      </c>
      <c r="AK53" s="7">
        <f t="shared" si="12"/>
        <v>0</v>
      </c>
      <c r="AL53" s="7">
        <f t="shared" si="12"/>
        <v>5</v>
      </c>
      <c r="AM53" s="7">
        <f t="shared" si="12"/>
        <v>0</v>
      </c>
      <c r="AN53" s="7">
        <f t="shared" si="12"/>
        <v>0</v>
      </c>
    </row>
    <row r="54" spans="1:40" x14ac:dyDescent="0.25">
      <c r="A54" s="57" t="s">
        <v>94</v>
      </c>
      <c r="B54" s="7">
        <f t="shared" ref="B54:AN54" si="13">B26</f>
        <v>0</v>
      </c>
      <c r="C54" s="7">
        <f t="shared" si="13"/>
        <v>0</v>
      </c>
      <c r="D54" s="7">
        <f t="shared" si="13"/>
        <v>0</v>
      </c>
      <c r="E54" s="7">
        <f t="shared" si="13"/>
        <v>0</v>
      </c>
      <c r="F54" s="7">
        <f t="shared" si="13"/>
        <v>0</v>
      </c>
      <c r="G54" s="7">
        <f t="shared" si="13"/>
        <v>0</v>
      </c>
      <c r="H54" s="7">
        <f t="shared" si="13"/>
        <v>1.75</v>
      </c>
      <c r="I54" s="7">
        <f t="shared" si="13"/>
        <v>0</v>
      </c>
      <c r="J54" s="7">
        <f t="shared" si="13"/>
        <v>0</v>
      </c>
      <c r="K54" s="7">
        <f t="shared" si="13"/>
        <v>1.5</v>
      </c>
      <c r="L54" s="7">
        <f t="shared" si="13"/>
        <v>0</v>
      </c>
      <c r="M54" s="7">
        <f t="shared" si="13"/>
        <v>0</v>
      </c>
      <c r="N54" s="7">
        <f t="shared" si="13"/>
        <v>0</v>
      </c>
      <c r="O54" s="7">
        <f t="shared" si="13"/>
        <v>0</v>
      </c>
      <c r="P54" s="7">
        <f t="shared" si="13"/>
        <v>0</v>
      </c>
      <c r="Q54" s="7">
        <f t="shared" si="13"/>
        <v>0</v>
      </c>
      <c r="R54" s="7">
        <f t="shared" si="13"/>
        <v>0.5</v>
      </c>
      <c r="S54" s="7">
        <f t="shared" si="13"/>
        <v>3</v>
      </c>
      <c r="T54" s="7">
        <f t="shared" si="13"/>
        <v>1</v>
      </c>
      <c r="U54" s="7">
        <f t="shared" si="13"/>
        <v>5</v>
      </c>
      <c r="V54" s="7">
        <f t="shared" si="13"/>
        <v>6</v>
      </c>
      <c r="W54" s="7">
        <f t="shared" si="13"/>
        <v>6</v>
      </c>
      <c r="X54" s="7">
        <f t="shared" si="13"/>
        <v>6</v>
      </c>
      <c r="Y54" s="7">
        <f t="shared" si="13"/>
        <v>7</v>
      </c>
      <c r="Z54" s="7">
        <f t="shared" si="13"/>
        <v>7</v>
      </c>
      <c r="AA54" s="7">
        <f t="shared" si="13"/>
        <v>0</v>
      </c>
      <c r="AB54" s="7">
        <f t="shared" si="13"/>
        <v>0</v>
      </c>
      <c r="AC54" s="7">
        <f t="shared" si="13"/>
        <v>0</v>
      </c>
      <c r="AD54" s="7">
        <f t="shared" si="13"/>
        <v>0</v>
      </c>
      <c r="AE54" s="7">
        <f t="shared" si="13"/>
        <v>2</v>
      </c>
      <c r="AF54" s="7">
        <f t="shared" si="13"/>
        <v>2</v>
      </c>
      <c r="AG54" s="7">
        <f t="shared" si="13"/>
        <v>2</v>
      </c>
      <c r="AH54" s="7">
        <f t="shared" si="13"/>
        <v>2</v>
      </c>
      <c r="AI54" s="7">
        <f t="shared" si="13"/>
        <v>2</v>
      </c>
      <c r="AJ54" s="7">
        <f t="shared" si="13"/>
        <v>3</v>
      </c>
      <c r="AK54" s="7">
        <f t="shared" si="13"/>
        <v>4</v>
      </c>
      <c r="AL54" s="7">
        <f t="shared" si="13"/>
        <v>5</v>
      </c>
      <c r="AM54" s="7">
        <f t="shared" si="13"/>
        <v>0</v>
      </c>
      <c r="AN54" s="7">
        <f t="shared" si="13"/>
        <v>0</v>
      </c>
    </row>
    <row r="55" spans="1:40" x14ac:dyDescent="0.25">
      <c r="A55" s="57" t="s">
        <v>95</v>
      </c>
      <c r="B55" s="7">
        <f t="shared" ref="B55:AN55" si="14">B11+B16+B31</f>
        <v>0</v>
      </c>
      <c r="C55" s="7">
        <f t="shared" si="14"/>
        <v>0</v>
      </c>
      <c r="D55" s="7">
        <f t="shared" si="14"/>
        <v>0</v>
      </c>
      <c r="E55" s="7">
        <f t="shared" si="14"/>
        <v>0</v>
      </c>
      <c r="F55" s="7">
        <f t="shared" si="14"/>
        <v>0</v>
      </c>
      <c r="G55" s="7">
        <f t="shared" si="14"/>
        <v>2</v>
      </c>
      <c r="H55" s="7">
        <f t="shared" si="14"/>
        <v>6.5</v>
      </c>
      <c r="I55" s="7">
        <f t="shared" si="14"/>
        <v>2.5</v>
      </c>
      <c r="J55" s="7">
        <f t="shared" si="14"/>
        <v>4.5</v>
      </c>
      <c r="K55" s="7">
        <f t="shared" si="14"/>
        <v>4.25</v>
      </c>
      <c r="L55" s="7">
        <f t="shared" si="14"/>
        <v>0</v>
      </c>
      <c r="M55" s="7">
        <f t="shared" si="14"/>
        <v>0</v>
      </c>
      <c r="N55" s="7">
        <f t="shared" si="14"/>
        <v>0</v>
      </c>
      <c r="O55" s="7">
        <f t="shared" si="14"/>
        <v>0</v>
      </c>
      <c r="P55" s="7">
        <f t="shared" si="14"/>
        <v>0</v>
      </c>
      <c r="Q55" s="7">
        <f t="shared" si="14"/>
        <v>0</v>
      </c>
      <c r="R55" s="7">
        <f t="shared" si="14"/>
        <v>2.25</v>
      </c>
      <c r="S55" s="7">
        <f t="shared" si="14"/>
        <v>7.25</v>
      </c>
      <c r="T55" s="7">
        <f t="shared" si="14"/>
        <v>9</v>
      </c>
      <c r="U55" s="7">
        <f t="shared" si="14"/>
        <v>9</v>
      </c>
      <c r="V55" s="7">
        <f t="shared" si="14"/>
        <v>8</v>
      </c>
      <c r="W55" s="7">
        <f t="shared" si="14"/>
        <v>12</v>
      </c>
      <c r="X55" s="7">
        <f t="shared" si="14"/>
        <v>7</v>
      </c>
      <c r="Y55" s="7">
        <f t="shared" si="14"/>
        <v>12</v>
      </c>
      <c r="Z55" s="7">
        <f t="shared" si="14"/>
        <v>7</v>
      </c>
      <c r="AA55" s="7">
        <f t="shared" si="14"/>
        <v>0</v>
      </c>
      <c r="AB55" s="7">
        <f t="shared" si="14"/>
        <v>0</v>
      </c>
      <c r="AC55" s="7">
        <f t="shared" si="14"/>
        <v>0</v>
      </c>
      <c r="AD55" s="7">
        <f t="shared" si="14"/>
        <v>0</v>
      </c>
      <c r="AE55" s="7">
        <f t="shared" si="14"/>
        <v>4</v>
      </c>
      <c r="AF55" s="7">
        <f t="shared" si="14"/>
        <v>6</v>
      </c>
      <c r="AG55" s="7">
        <f t="shared" si="14"/>
        <v>11</v>
      </c>
      <c r="AH55" s="7">
        <f t="shared" si="14"/>
        <v>4</v>
      </c>
      <c r="AI55" s="7">
        <f t="shared" si="14"/>
        <v>7</v>
      </c>
      <c r="AJ55" s="7">
        <f t="shared" si="14"/>
        <v>13</v>
      </c>
      <c r="AK55" s="7">
        <f t="shared" si="14"/>
        <v>7</v>
      </c>
      <c r="AL55" s="7">
        <f t="shared" si="14"/>
        <v>18</v>
      </c>
      <c r="AM55" s="7">
        <f t="shared" si="14"/>
        <v>0</v>
      </c>
      <c r="AN55" s="7">
        <f t="shared" si="14"/>
        <v>0</v>
      </c>
    </row>
    <row r="56" spans="1:40" x14ac:dyDescent="0.25">
      <c r="A56" s="57" t="s">
        <v>96</v>
      </c>
      <c r="B56" s="7">
        <f t="shared" ref="B56:AN56" si="15">B21</f>
        <v>0</v>
      </c>
      <c r="C56" s="7">
        <f t="shared" si="15"/>
        <v>0</v>
      </c>
      <c r="D56" s="7">
        <f t="shared" si="15"/>
        <v>0</v>
      </c>
      <c r="E56" s="7">
        <f t="shared" si="15"/>
        <v>0</v>
      </c>
      <c r="F56" s="7">
        <f t="shared" si="15"/>
        <v>0</v>
      </c>
      <c r="G56" s="7">
        <f t="shared" si="15"/>
        <v>0</v>
      </c>
      <c r="H56" s="7">
        <f t="shared" si="15"/>
        <v>3.75</v>
      </c>
      <c r="I56" s="7">
        <f t="shared" si="15"/>
        <v>2</v>
      </c>
      <c r="J56" s="7">
        <f t="shared" si="15"/>
        <v>7</v>
      </c>
      <c r="K56" s="7">
        <f t="shared" si="15"/>
        <v>6</v>
      </c>
      <c r="L56" s="7">
        <f t="shared" si="15"/>
        <v>0</v>
      </c>
      <c r="M56" s="7">
        <f t="shared" si="15"/>
        <v>0</v>
      </c>
      <c r="N56" s="7">
        <f t="shared" si="15"/>
        <v>0</v>
      </c>
      <c r="O56" s="7">
        <f t="shared" si="15"/>
        <v>0</v>
      </c>
      <c r="P56" s="7">
        <f t="shared" si="15"/>
        <v>0</v>
      </c>
      <c r="Q56" s="7">
        <f t="shared" si="15"/>
        <v>0</v>
      </c>
      <c r="R56" s="7">
        <f t="shared" si="15"/>
        <v>0.5</v>
      </c>
      <c r="S56" s="7">
        <f t="shared" si="15"/>
        <v>3</v>
      </c>
      <c r="T56" s="7">
        <f t="shared" si="15"/>
        <v>1</v>
      </c>
      <c r="U56" s="7">
        <f t="shared" si="15"/>
        <v>3</v>
      </c>
      <c r="V56" s="7">
        <f t="shared" si="15"/>
        <v>4</v>
      </c>
      <c r="W56" s="7">
        <f t="shared" si="15"/>
        <v>5</v>
      </c>
      <c r="X56" s="7">
        <f t="shared" si="15"/>
        <v>4</v>
      </c>
      <c r="Y56" s="7">
        <f t="shared" si="15"/>
        <v>3</v>
      </c>
      <c r="Z56" s="7">
        <f t="shared" si="15"/>
        <v>2</v>
      </c>
      <c r="AA56" s="7">
        <f t="shared" si="15"/>
        <v>0</v>
      </c>
      <c r="AB56" s="7">
        <f t="shared" si="15"/>
        <v>0</v>
      </c>
      <c r="AC56" s="7">
        <f t="shared" si="15"/>
        <v>0</v>
      </c>
      <c r="AD56" s="7">
        <f t="shared" si="15"/>
        <v>0</v>
      </c>
      <c r="AE56" s="7">
        <f t="shared" si="15"/>
        <v>1</v>
      </c>
      <c r="AF56" s="7">
        <f t="shared" si="15"/>
        <v>2</v>
      </c>
      <c r="AG56" s="7">
        <f t="shared" si="15"/>
        <v>4</v>
      </c>
      <c r="AH56" s="7">
        <f t="shared" si="15"/>
        <v>3</v>
      </c>
      <c r="AI56" s="7">
        <f t="shared" si="15"/>
        <v>3</v>
      </c>
      <c r="AJ56" s="7">
        <f t="shared" si="15"/>
        <v>4</v>
      </c>
      <c r="AK56" s="7">
        <f t="shared" si="15"/>
        <v>4</v>
      </c>
      <c r="AL56" s="7">
        <f t="shared" si="15"/>
        <v>5</v>
      </c>
      <c r="AM56" s="7">
        <f t="shared" si="15"/>
        <v>0</v>
      </c>
      <c r="AN56" s="7">
        <f t="shared" si="15"/>
        <v>0</v>
      </c>
    </row>
    <row r="57" spans="1:40" x14ac:dyDescent="0.25">
      <c r="A57" s="57" t="s">
        <v>97</v>
      </c>
      <c r="B57" s="7">
        <f t="shared" ref="B57:AN57" si="16">B15+B29</f>
        <v>0</v>
      </c>
      <c r="C57" s="7">
        <f t="shared" si="16"/>
        <v>0</v>
      </c>
      <c r="D57" s="7">
        <f t="shared" si="16"/>
        <v>0</v>
      </c>
      <c r="E57" s="7">
        <f t="shared" si="16"/>
        <v>0</v>
      </c>
      <c r="F57" s="7">
        <f t="shared" si="16"/>
        <v>0</v>
      </c>
      <c r="G57" s="7">
        <f t="shared" si="16"/>
        <v>2.25</v>
      </c>
      <c r="H57" s="7">
        <f t="shared" si="16"/>
        <v>4.75</v>
      </c>
      <c r="I57" s="7">
        <f t="shared" si="16"/>
        <v>6</v>
      </c>
      <c r="J57" s="7">
        <f t="shared" si="16"/>
        <v>4</v>
      </c>
      <c r="K57" s="7">
        <f t="shared" si="16"/>
        <v>5.5</v>
      </c>
      <c r="L57" s="7">
        <f t="shared" si="16"/>
        <v>0</v>
      </c>
      <c r="M57" s="7">
        <f t="shared" si="16"/>
        <v>0</v>
      </c>
      <c r="N57" s="7">
        <f t="shared" si="16"/>
        <v>0</v>
      </c>
      <c r="O57" s="7">
        <f t="shared" si="16"/>
        <v>0</v>
      </c>
      <c r="P57" s="7">
        <f t="shared" si="16"/>
        <v>0</v>
      </c>
      <c r="Q57" s="7">
        <f t="shared" si="16"/>
        <v>0</v>
      </c>
      <c r="R57" s="7">
        <f t="shared" si="16"/>
        <v>5.25</v>
      </c>
      <c r="S57" s="7">
        <f t="shared" si="16"/>
        <v>2</v>
      </c>
      <c r="T57" s="7">
        <f t="shared" si="16"/>
        <v>6.75</v>
      </c>
      <c r="U57" s="7">
        <f t="shared" si="16"/>
        <v>6</v>
      </c>
      <c r="V57" s="7">
        <f t="shared" si="16"/>
        <v>6</v>
      </c>
      <c r="W57" s="7">
        <f t="shared" si="16"/>
        <v>6</v>
      </c>
      <c r="X57" s="7">
        <f t="shared" si="16"/>
        <v>6</v>
      </c>
      <c r="Y57" s="7">
        <f t="shared" si="16"/>
        <v>6</v>
      </c>
      <c r="Z57" s="7">
        <f t="shared" si="16"/>
        <v>7</v>
      </c>
      <c r="AA57" s="7">
        <f t="shared" si="16"/>
        <v>0</v>
      </c>
      <c r="AB57" s="7">
        <f t="shared" si="16"/>
        <v>0</v>
      </c>
      <c r="AC57" s="7">
        <f t="shared" si="16"/>
        <v>0</v>
      </c>
      <c r="AD57" s="7">
        <f t="shared" si="16"/>
        <v>0</v>
      </c>
      <c r="AE57" s="7">
        <f t="shared" si="16"/>
        <v>2</v>
      </c>
      <c r="AF57" s="7">
        <f t="shared" si="16"/>
        <v>2</v>
      </c>
      <c r="AG57" s="7">
        <f t="shared" si="16"/>
        <v>4</v>
      </c>
      <c r="AH57" s="7">
        <f t="shared" si="16"/>
        <v>2</v>
      </c>
      <c r="AI57" s="7">
        <f t="shared" si="16"/>
        <v>2</v>
      </c>
      <c r="AJ57" s="7">
        <f t="shared" si="16"/>
        <v>6</v>
      </c>
      <c r="AK57" s="7">
        <f t="shared" si="16"/>
        <v>2</v>
      </c>
      <c r="AL57" s="7">
        <f t="shared" si="16"/>
        <v>8</v>
      </c>
      <c r="AM57" s="7">
        <f t="shared" si="16"/>
        <v>0</v>
      </c>
      <c r="AN57" s="7">
        <f t="shared" si="16"/>
        <v>0</v>
      </c>
    </row>
    <row r="58" spans="1:40" x14ac:dyDescent="0.25">
      <c r="A58" s="57" t="s">
        <v>98</v>
      </c>
      <c r="B58" s="7">
        <f t="shared" ref="B58:AN58" si="17">B38+B10+B30</f>
        <v>0</v>
      </c>
      <c r="C58" s="7">
        <f t="shared" si="17"/>
        <v>0</v>
      </c>
      <c r="D58" s="7">
        <f t="shared" si="17"/>
        <v>0</v>
      </c>
      <c r="E58" s="7">
        <f t="shared" si="17"/>
        <v>0</v>
      </c>
      <c r="F58" s="7">
        <f t="shared" si="17"/>
        <v>0</v>
      </c>
      <c r="G58" s="7">
        <f t="shared" si="17"/>
        <v>0</v>
      </c>
      <c r="H58" s="7">
        <f t="shared" si="17"/>
        <v>3.75</v>
      </c>
      <c r="I58" s="7">
        <f t="shared" si="17"/>
        <v>2.75</v>
      </c>
      <c r="J58" s="7">
        <f t="shared" si="17"/>
        <v>1</v>
      </c>
      <c r="K58" s="7">
        <f t="shared" si="17"/>
        <v>0.5</v>
      </c>
      <c r="L58" s="7">
        <f t="shared" si="17"/>
        <v>0</v>
      </c>
      <c r="M58" s="7">
        <f t="shared" si="17"/>
        <v>0</v>
      </c>
      <c r="N58" s="7">
        <f t="shared" si="17"/>
        <v>0</v>
      </c>
      <c r="O58" s="7">
        <f t="shared" si="17"/>
        <v>0</v>
      </c>
      <c r="P58" s="7">
        <f t="shared" si="17"/>
        <v>0</v>
      </c>
      <c r="Q58" s="7">
        <f t="shared" si="17"/>
        <v>0</v>
      </c>
      <c r="R58" s="7">
        <f t="shared" si="17"/>
        <v>3.5</v>
      </c>
      <c r="S58" s="7">
        <f t="shared" si="17"/>
        <v>14</v>
      </c>
      <c r="T58" s="7">
        <f t="shared" si="17"/>
        <v>11.75</v>
      </c>
      <c r="U58" s="7">
        <f t="shared" si="17"/>
        <v>11</v>
      </c>
      <c r="V58" s="7">
        <f t="shared" si="17"/>
        <v>7</v>
      </c>
      <c r="W58" s="7">
        <f t="shared" si="17"/>
        <v>15</v>
      </c>
      <c r="X58" s="7">
        <f t="shared" si="17"/>
        <v>5</v>
      </c>
      <c r="Y58" s="7">
        <f t="shared" si="17"/>
        <v>10</v>
      </c>
      <c r="Z58" s="7">
        <f t="shared" si="17"/>
        <v>5</v>
      </c>
      <c r="AA58" s="7">
        <f t="shared" si="17"/>
        <v>0</v>
      </c>
      <c r="AB58" s="7">
        <f t="shared" si="17"/>
        <v>0</v>
      </c>
      <c r="AC58" s="7">
        <f t="shared" si="17"/>
        <v>0</v>
      </c>
      <c r="AD58" s="7">
        <f t="shared" si="17"/>
        <v>0</v>
      </c>
      <c r="AE58" s="7">
        <f t="shared" si="17"/>
        <v>4</v>
      </c>
      <c r="AF58" s="7">
        <f t="shared" si="17"/>
        <v>5</v>
      </c>
      <c r="AG58" s="7">
        <f t="shared" si="17"/>
        <v>8</v>
      </c>
      <c r="AH58" s="7">
        <f t="shared" si="17"/>
        <v>4</v>
      </c>
      <c r="AI58" s="7">
        <f t="shared" si="17"/>
        <v>5</v>
      </c>
      <c r="AJ58" s="7">
        <f t="shared" si="17"/>
        <v>8</v>
      </c>
      <c r="AK58" s="7">
        <f t="shared" si="17"/>
        <v>6</v>
      </c>
      <c r="AL58" s="7">
        <f t="shared" si="17"/>
        <v>11</v>
      </c>
      <c r="AM58" s="7">
        <f t="shared" si="17"/>
        <v>0</v>
      </c>
      <c r="AN58" s="7">
        <f t="shared" si="17"/>
        <v>0</v>
      </c>
    </row>
    <row r="59" spans="1:40" x14ac:dyDescent="0.25">
      <c r="A59" s="57" t="s">
        <v>99</v>
      </c>
      <c r="B59" s="7">
        <f t="shared" ref="B59:AN59" si="18">B42+B33</f>
        <v>0</v>
      </c>
      <c r="C59" s="7">
        <f t="shared" si="18"/>
        <v>0</v>
      </c>
      <c r="D59" s="7">
        <f t="shared" si="18"/>
        <v>0</v>
      </c>
      <c r="E59" s="7">
        <f t="shared" si="18"/>
        <v>0</v>
      </c>
      <c r="F59" s="7">
        <f t="shared" si="18"/>
        <v>0</v>
      </c>
      <c r="G59" s="7">
        <f t="shared" si="18"/>
        <v>3</v>
      </c>
      <c r="H59" s="7">
        <f t="shared" si="18"/>
        <v>2.75</v>
      </c>
      <c r="I59" s="7">
        <f t="shared" si="18"/>
        <v>3.25</v>
      </c>
      <c r="J59" s="7">
        <f t="shared" si="18"/>
        <v>3.75</v>
      </c>
      <c r="K59" s="7">
        <f t="shared" si="18"/>
        <v>0.5</v>
      </c>
      <c r="L59" s="7">
        <f t="shared" si="18"/>
        <v>0</v>
      </c>
      <c r="M59" s="7">
        <f t="shared" si="18"/>
        <v>0</v>
      </c>
      <c r="N59" s="7">
        <f t="shared" si="18"/>
        <v>0</v>
      </c>
      <c r="O59" s="7">
        <f t="shared" si="18"/>
        <v>0</v>
      </c>
      <c r="P59" s="7">
        <f t="shared" si="18"/>
        <v>4.25</v>
      </c>
      <c r="Q59" s="7">
        <f t="shared" si="18"/>
        <v>4.25</v>
      </c>
      <c r="R59" s="7">
        <f t="shared" si="18"/>
        <v>1.25</v>
      </c>
      <c r="S59" s="7">
        <f t="shared" si="18"/>
        <v>5.5</v>
      </c>
      <c r="T59" s="7">
        <f t="shared" si="18"/>
        <v>1.75</v>
      </c>
      <c r="U59" s="7">
        <f t="shared" si="18"/>
        <v>4</v>
      </c>
      <c r="V59" s="7">
        <f t="shared" si="18"/>
        <v>5</v>
      </c>
      <c r="W59" s="7">
        <f t="shared" si="18"/>
        <v>8</v>
      </c>
      <c r="X59" s="7">
        <f t="shared" si="18"/>
        <v>3</v>
      </c>
      <c r="Y59" s="7">
        <f t="shared" si="18"/>
        <v>4</v>
      </c>
      <c r="Z59" s="7">
        <f t="shared" si="18"/>
        <v>5</v>
      </c>
      <c r="AA59" s="7">
        <f t="shared" si="18"/>
        <v>0</v>
      </c>
      <c r="AB59" s="7">
        <f t="shared" si="18"/>
        <v>0</v>
      </c>
      <c r="AC59" s="7">
        <f t="shared" si="18"/>
        <v>0</v>
      </c>
      <c r="AD59" s="7">
        <f t="shared" si="18"/>
        <v>0</v>
      </c>
      <c r="AE59" s="7">
        <f t="shared" si="18"/>
        <v>0</v>
      </c>
      <c r="AF59" s="7">
        <f t="shared" si="18"/>
        <v>0</v>
      </c>
      <c r="AG59" s="7">
        <f t="shared" si="18"/>
        <v>0</v>
      </c>
      <c r="AH59" s="7">
        <f t="shared" si="18"/>
        <v>0</v>
      </c>
      <c r="AI59" s="7">
        <f t="shared" si="18"/>
        <v>0</v>
      </c>
      <c r="AJ59" s="7">
        <f t="shared" si="18"/>
        <v>0</v>
      </c>
      <c r="AK59" s="7">
        <f t="shared" si="18"/>
        <v>0</v>
      </c>
      <c r="AL59" s="7">
        <f t="shared" si="18"/>
        <v>4</v>
      </c>
      <c r="AM59" s="7">
        <f t="shared" si="18"/>
        <v>0</v>
      </c>
      <c r="AN59" s="7">
        <f t="shared" si="18"/>
        <v>0</v>
      </c>
    </row>
    <row r="60" spans="1:40" x14ac:dyDescent="0.25">
      <c r="A60" s="57" t="s">
        <v>100</v>
      </c>
      <c r="B60" s="7">
        <f t="shared" ref="B60:AE60" si="19">B27</f>
        <v>0</v>
      </c>
      <c r="C60" s="7">
        <f t="shared" si="19"/>
        <v>0</v>
      </c>
      <c r="D60" s="7">
        <f t="shared" si="19"/>
        <v>0</v>
      </c>
      <c r="E60" s="7">
        <f t="shared" si="19"/>
        <v>0</v>
      </c>
      <c r="F60" s="7">
        <f t="shared" si="19"/>
        <v>0</v>
      </c>
      <c r="G60" s="7">
        <f t="shared" si="19"/>
        <v>0</v>
      </c>
      <c r="H60" s="7">
        <f t="shared" si="19"/>
        <v>0</v>
      </c>
      <c r="I60" s="7">
        <f t="shared" si="19"/>
        <v>0</v>
      </c>
      <c r="J60" s="7">
        <f t="shared" si="19"/>
        <v>0</v>
      </c>
      <c r="K60" s="7">
        <f t="shared" si="19"/>
        <v>0</v>
      </c>
      <c r="L60" s="7">
        <f t="shared" si="19"/>
        <v>0</v>
      </c>
      <c r="M60" s="7">
        <f t="shared" si="19"/>
        <v>0</v>
      </c>
      <c r="N60" s="7">
        <f t="shared" si="19"/>
        <v>0</v>
      </c>
      <c r="O60" s="7">
        <f t="shared" si="19"/>
        <v>0</v>
      </c>
      <c r="P60" s="7">
        <f t="shared" si="19"/>
        <v>0</v>
      </c>
      <c r="Q60" s="7">
        <f t="shared" si="19"/>
        <v>0</v>
      </c>
      <c r="R60" s="7">
        <f t="shared" si="19"/>
        <v>0</v>
      </c>
      <c r="S60" s="7">
        <f t="shared" si="19"/>
        <v>3</v>
      </c>
      <c r="T60" s="7">
        <f t="shared" si="19"/>
        <v>0</v>
      </c>
      <c r="U60" s="7">
        <f t="shared" si="19"/>
        <v>4</v>
      </c>
      <c r="V60" s="7">
        <f t="shared" si="19"/>
        <v>5</v>
      </c>
      <c r="W60" s="7">
        <f t="shared" si="19"/>
        <v>5</v>
      </c>
      <c r="X60" s="7">
        <f t="shared" si="19"/>
        <v>5</v>
      </c>
      <c r="Y60" s="7">
        <f t="shared" si="19"/>
        <v>5</v>
      </c>
      <c r="Z60" s="7">
        <f t="shared" si="19"/>
        <v>6</v>
      </c>
      <c r="AA60" s="7">
        <f t="shared" si="19"/>
        <v>0</v>
      </c>
      <c r="AB60" s="7">
        <f t="shared" si="19"/>
        <v>0</v>
      </c>
      <c r="AC60" s="7">
        <f t="shared" si="19"/>
        <v>0</v>
      </c>
      <c r="AD60" s="7">
        <f t="shared" si="19"/>
        <v>0</v>
      </c>
      <c r="AE60" s="7">
        <f t="shared" si="19"/>
        <v>2</v>
      </c>
      <c r="AF60" s="7">
        <f>AE26</f>
        <v>2</v>
      </c>
      <c r="AG60" s="7">
        <f t="shared" ref="AG60:AN60" si="20">AG27</f>
        <v>2</v>
      </c>
      <c r="AH60" s="7">
        <f t="shared" si="20"/>
        <v>2</v>
      </c>
      <c r="AI60" s="7">
        <f t="shared" si="20"/>
        <v>2</v>
      </c>
      <c r="AJ60" s="7">
        <f t="shared" si="20"/>
        <v>2</v>
      </c>
      <c r="AK60" s="7">
        <f t="shared" si="20"/>
        <v>3</v>
      </c>
      <c r="AL60" s="7">
        <f t="shared" si="20"/>
        <v>4</v>
      </c>
      <c r="AM60" s="7">
        <f t="shared" si="20"/>
        <v>0</v>
      </c>
      <c r="AN60" s="7">
        <f t="shared" si="20"/>
        <v>0</v>
      </c>
    </row>
    <row r="61" spans="1:4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</sheetData>
  <mergeCells count="5">
    <mergeCell ref="B1:K1"/>
    <mergeCell ref="L1:P1"/>
    <mergeCell ref="Q1:Z1"/>
    <mergeCell ref="AA1:AD1"/>
    <mergeCell ref="AE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Forecast</vt:lpstr>
      <vt:lpstr>Projected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Richardson</dc:creator>
  <cp:lastModifiedBy>Thomas Edward Lea Richardson</cp:lastModifiedBy>
  <dcterms:created xsi:type="dcterms:W3CDTF">2023-06-06T17:56:53Z</dcterms:created>
  <dcterms:modified xsi:type="dcterms:W3CDTF">2023-06-06T17:56:53Z</dcterms:modified>
</cp:coreProperties>
</file>