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h Flow Forecast" sheetId="1" r:id="rId4"/>
    <sheet state="visible" name="Cost Breakdown" sheetId="2" r:id="rId5"/>
    <sheet state="visible" name="Overhead Recovery" sheetId="3" r:id="rId6"/>
    <sheet state="visible" name="Projected Hours" sheetId="4" r:id="rId7"/>
    <sheet state="visible" name="Actual Cash Flow" sheetId="5" r:id="rId8"/>
    <sheet state="visible" name="Variance (Individuals)" sheetId="6" r:id="rId9"/>
    <sheet state="visible" name="Variance (Department)" sheetId="7" r:id="rId10"/>
    <sheet state="visible" name="Actual vs. Predicted Costs" sheetId="8" r:id="rId11"/>
    <sheet state="visible" name="P&amp;L Dev Period" sheetId="9" r:id="rId12"/>
    <sheet state="visible" name="P&amp;L Dis Period" sheetId="10" r:id="rId13"/>
    <sheet state="visible" name="Sales" sheetId="11" r:id="rId14"/>
  </sheets>
  <definedNames/>
  <calcPr/>
</workbook>
</file>

<file path=xl/sharedStrings.xml><?xml version="1.0" encoding="utf-8"?>
<sst xmlns="http://schemas.openxmlformats.org/spreadsheetml/2006/main" count="591" uniqueCount="284">
  <si>
    <t>Cash Flow Forecast
Autumn Term</t>
  </si>
  <si>
    <t>Cash Flow Forecast
Winter Break</t>
  </si>
  <si>
    <t>Cash Flow Forecast
Spring Term</t>
  </si>
  <si>
    <t>Cash Flow Forecast
Spring Break</t>
  </si>
  <si>
    <t>Cash Flow Forecast
Summer Term</t>
  </si>
  <si>
    <t>Relative Week Number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</si>
  <si>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</si>
  <si>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</si>
  <si>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</si>
  <si>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</si>
  <si>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</si>
  <si>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</si>
  <si>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</si>
  <si>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</si>
  <si>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</si>
  <si>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</si>
  <si>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Total Week Number</t>
  </si>
  <si>
    <t>Cash In</t>
  </si>
  <si>
    <t>Bank Loan</t>
  </si>
  <si>
    <t>Contracts In</t>
  </si>
  <si>
    <t>Cash Out</t>
  </si>
  <si>
    <t>Hourly Wage</t>
  </si>
  <si>
    <t>Total Hours</t>
  </si>
  <si>
    <t>Total Wages</t>
  </si>
  <si>
    <t>Loan Interest</t>
  </si>
  <si>
    <t>Marketing Campaign</t>
  </si>
  <si>
    <t>Contracts Out</t>
  </si>
  <si>
    <t>Rent</t>
  </si>
  <si>
    <t>Rent Out</t>
  </si>
  <si>
    <t>Utilities</t>
  </si>
  <si>
    <t>Utilities Out</t>
  </si>
  <si>
    <t>IT Infrastructure</t>
  </si>
  <si>
    <t>IT Infrastructure Out</t>
  </si>
  <si>
    <t>Opening Balance</t>
  </si>
  <si>
    <t>Net Flow</t>
  </si>
  <si>
    <t>Closing Balance</t>
  </si>
  <si>
    <t>Cash In (without Bank Loan)</t>
  </si>
  <si>
    <t>Net Flow (without Bank Loan)</t>
  </si>
  <si>
    <t>Closing Balance (without Bank Loan)</t>
  </si>
  <si>
    <t>Total Expendature</t>
  </si>
  <si>
    <t>Desired Bank Loan</t>
  </si>
  <si>
    <t>Interest (APR)</t>
  </si>
  <si>
    <t>Weekly Interest</t>
  </si>
  <si>
    <t>Square Footage</t>
  </si>
  <si>
    <t>Annual charge</t>
  </si>
  <si>
    <t>Weekly Charge</t>
  </si>
  <si>
    <t>Total Wages Out</t>
  </si>
  <si>
    <t>Total Loan Interest</t>
  </si>
  <si>
    <t>Total Marketing Campaign</t>
  </si>
  <si>
    <t>Total Contracts Out</t>
  </si>
  <si>
    <t>Total Rent Out</t>
  </si>
  <si>
    <t>Total Utilities Out</t>
  </si>
  <si>
    <t>Total IT Infrastructure Out</t>
  </si>
  <si>
    <t>Overhead Calculations</t>
  </si>
  <si>
    <t>Overhead Costs</t>
  </si>
  <si>
    <t>Contracts Cost</t>
  </si>
  <si>
    <t>Number of Workers</t>
  </si>
  <si>
    <t>Wage</t>
  </si>
  <si>
    <t>Number of Hours</t>
  </si>
  <si>
    <t>Overheads</t>
  </si>
  <si>
    <t>Day</t>
  </si>
  <si>
    <t>Days the hours are spread across</t>
  </si>
  <si>
    <t>Profit</t>
  </si>
  <si>
    <t>Hourly Rate</t>
  </si>
  <si>
    <t>Total Overheads</t>
  </si>
  <si>
    <t>Total</t>
  </si>
  <si>
    <t>Weekly Total Rent</t>
  </si>
  <si>
    <t>Hours</t>
  </si>
  <si>
    <t>Percentage Profit</t>
  </si>
  <si>
    <t>Weekly Total Utilities Payment</t>
  </si>
  <si>
    <t>Overhead Recovery Rate (£/hour)</t>
  </si>
  <si>
    <t>2 Days utilities for 1 employee</t>
  </si>
  <si>
    <t>Weekly Total IT Infrastructure Payment</t>
  </si>
  <si>
    <t>Projected Hours
Autumn Term</t>
  </si>
  <si>
    <t>Projected Hours
Winter Break</t>
  </si>
  <si>
    <t>Projected Hours
Spring Term</t>
  </si>
  <si>
    <t>Projected Hours
Spring Break</t>
  </si>
  <si>
    <t>Projected Hours
Summer Term</t>
  </si>
  <si>
    <t>Relative Week</t>
  </si>
  <si>
    <t>Total Weeks</t>
  </si>
  <si>
    <t>Project Manager</t>
  </si>
  <si>
    <t>Connall</t>
  </si>
  <si>
    <t>Project Manager Total</t>
  </si>
  <si>
    <t>Finance</t>
  </si>
  <si>
    <t>Tom</t>
  </si>
  <si>
    <t>Ophelia</t>
  </si>
  <si>
    <t>Finance Total</t>
  </si>
  <si>
    <t>Documentation</t>
  </si>
  <si>
    <t>Ana</t>
  </si>
  <si>
    <t>Documentation Total</t>
  </si>
  <si>
    <t>QA</t>
  </si>
  <si>
    <t>Ethan</t>
  </si>
  <si>
    <t>Roman</t>
  </si>
  <si>
    <t>QA Total</t>
  </si>
  <si>
    <t>Software</t>
  </si>
  <si>
    <t>Giuseppe</t>
  </si>
  <si>
    <t>Harry</t>
  </si>
  <si>
    <t>Alan</t>
  </si>
  <si>
    <t>Oscar</t>
  </si>
  <si>
    <t>Dawid</t>
  </si>
  <si>
    <t>Software Total</t>
  </si>
  <si>
    <t>Marketing</t>
  </si>
  <si>
    <t>Marketing Total</t>
  </si>
  <si>
    <t>Media</t>
  </si>
  <si>
    <t>Media Total</t>
  </si>
  <si>
    <t>Total Time</t>
  </si>
  <si>
    <t>Connall Total</t>
  </si>
  <si>
    <t>Giuseppe Total</t>
  </si>
  <si>
    <t>Ethan Total</t>
  </si>
  <si>
    <t>Oscar Total</t>
  </si>
  <si>
    <t>Harry Total</t>
  </si>
  <si>
    <t>Ophelia Total</t>
  </si>
  <si>
    <t>Roman Total</t>
  </si>
  <si>
    <t>Ana Total</t>
  </si>
  <si>
    <t>Tom Total</t>
  </si>
  <si>
    <t>Dawid Total</t>
  </si>
  <si>
    <t>Alan Total</t>
  </si>
  <si>
    <t>Projected Weekly Total Hours By Team Member</t>
  </si>
  <si>
    <t>Projected Total</t>
  </si>
  <si>
    <t>Actual Weekly Total Hours By Team Member</t>
  </si>
  <si>
    <t>Actual Hours
Autumn Term</t>
  </si>
  <si>
    <t>Actual Hours
Winter Break</t>
  </si>
  <si>
    <t>Actual Hours
Spring Term</t>
  </si>
  <si>
    <t>Actual Hours
Spring Break</t>
  </si>
  <si>
    <t>Actual Hours
Summer Term</t>
  </si>
  <si>
    <t xml:space="preserve">Oscar Total </t>
  </si>
  <si>
    <t>Actual Total</t>
  </si>
  <si>
    <t>Average</t>
  </si>
  <si>
    <t>Variance Between Weekly Predicted and Actual Total Hours By Department</t>
  </si>
  <si>
    <t>Variance Hours
Autumn Term</t>
  </si>
  <si>
    <t>Variance Hours
Winter Break</t>
  </si>
  <si>
    <t>Variance Hours
Spring Term</t>
  </si>
  <si>
    <t>Variance Hours
Spring Break</t>
  </si>
  <si>
    <t>Variance Hours
Summer Term</t>
  </si>
  <si>
    <t>Total Variance</t>
  </si>
  <si>
    <t>Projected Weekly Total Hours By Department</t>
  </si>
  <si>
    <t>Actual Weekly Total Hours By Department</t>
  </si>
  <si>
    <t>Project Manager Variance</t>
  </si>
  <si>
    <t>Documentation Variance</t>
  </si>
  <si>
    <t>Media Variance</t>
  </si>
  <si>
    <t>Marketing Variance</t>
  </si>
  <si>
    <t>Finance Variance</t>
  </si>
  <si>
    <t>QA Variance</t>
  </si>
  <si>
    <t>Software Variance</t>
  </si>
  <si>
    <t>Total Total Variance</t>
  </si>
  <si>
    <t>Actual vs. Predicted Costs up to Week 34 (Inclusive)</t>
  </si>
  <si>
    <t>Actual Costs</t>
  </si>
  <si>
    <t>Predicted Costs</t>
  </si>
  <si>
    <t>A Profit and Loss Account for Penelope LTD for the First 34 Weeks of the Development Period</t>
  </si>
  <si>
    <t>Labour Rate</t>
  </si>
  <si>
    <t>Sales Revenue</t>
  </si>
  <si>
    <t>Contract Hours</t>
  </si>
  <si>
    <t>Contract Cost</t>
  </si>
  <si>
    <t>Costs of Sales</t>
  </si>
  <si>
    <t>Contracts Labour</t>
  </si>
  <si>
    <t>Remaing Hours</t>
  </si>
  <si>
    <t>Gross Profit</t>
  </si>
  <si>
    <t>Remaining Cost</t>
  </si>
  <si>
    <t>Indirect Costs</t>
  </si>
  <si>
    <t>Labour</t>
  </si>
  <si>
    <t>Net Profit (PBIT)</t>
  </si>
  <si>
    <t>Interest</t>
  </si>
  <si>
    <t>Profit Before Taxation</t>
  </si>
  <si>
    <t>A Profit and Loss Account for Penelope LTD for the First Year of the Distrobution Period</t>
  </si>
  <si>
    <t>Pitch Time</t>
  </si>
  <si>
    <t>University Sales</t>
  </si>
  <si>
    <t>Average Weekly Labour</t>
  </si>
  <si>
    <t>Estimated Monthly Hosting Cost</t>
  </si>
  <si>
    <t>USD</t>
  </si>
  <si>
    <t>https://drive.google.com/file/d/1tLLIkmqhITbfkxwt2gY2HYUjOgDNHKiU/view?usp=sharing</t>
  </si>
  <si>
    <t>Sales Pitch Labour</t>
  </si>
  <si>
    <t>Current Conversion</t>
  </si>
  <si>
    <t>USD-&gt;GBP</t>
  </si>
  <si>
    <t>https://drive.google.com/file/d/16L3X_0cwx7yUy3b4jB5lDA28Wt4WNoF2/view?usp=sharing</t>
  </si>
  <si>
    <t>App Hosting Cost</t>
  </si>
  <si>
    <t>Number</t>
  </si>
  <si>
    <t>Campus Universities</t>
  </si>
  <si>
    <t>Number of Students</t>
  </si>
  <si>
    <t>Relative Size</t>
  </si>
  <si>
    <t>Potential Revenue</t>
  </si>
  <si>
    <t>First Year</t>
  </si>
  <si>
    <t>Second Year</t>
  </si>
  <si>
    <t>Third Year</t>
  </si>
  <si>
    <t>University of Aberystwyth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</si>
  <si>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</si>
  <si>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</si>
  <si>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</si>
  <si>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</si>
  <si>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</si>
  <si>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</si>
  <si>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</si>
  <si>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</si>
  <si>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</si>
  <si>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</si>
  <si>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</si>
  <si>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</si>
  <si>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University of Saint Mark and Saint John</t>
  </si>
  <si>
    <t>Univerisites</t>
  </si>
  <si>
    <t>University 
of York</t>
  </si>
  <si>
    <t>University of
 Birmingham</t>
  </si>
  <si>
    <t>Cardiff 
University</t>
  </si>
  <si>
    <t>University of 
the West of 
England, Bristol</t>
  </si>
  <si>
    <t>De Montfort
 University
University
 of Exeter</t>
  </si>
  <si>
    <t>University of
 Glasgow
University of
 Hertfordshire</t>
  </si>
  <si>
    <t>University 
of Leeds
University 
of Liverpool</t>
  </si>
  <si>
    <t>University of 
Newcastle-upon-Tyne
University 
of Nottingham</t>
  </si>
  <si>
    <t>Nottingham Trent
University 
of Warwick</t>
  </si>
  <si>
    <t>University of 
Central Lancashire
University 
of Coventry</t>
  </si>
  <si>
    <t xml:space="preserve">University of Bath 
Brunel University
</t>
  </si>
  <si>
    <t>University of Derby
University of 
East Anglia</t>
  </si>
  <si>
    <t>University of Essex
Glasgow Caledonian 
University</t>
  </si>
  <si>
    <t>University of Kent
University Lincoln</t>
  </si>
  <si>
    <t>Liverpool John 
Moores University
Loughborough 
University</t>
  </si>
  <si>
    <t>Oxford Brookes 
University
University of 
Plymouth</t>
  </si>
  <si>
    <t>Queen Mary, 
University of London
University of 
Reading</t>
  </si>
  <si>
    <t>University of Southampton
Staffordshire
University</t>
  </si>
  <si>
    <t>University of 
Strathclyde
University of Sussex</t>
  </si>
  <si>
    <t>University of 
Swansea
UWS</t>
  </si>
  <si>
    <t>University 
of Surrey
Aston University</t>
  </si>
  <si>
    <t>University of Dundee
University of Hull</t>
  </si>
  <si>
    <t>Aston University</t>
  </si>
  <si>
    <t>Sale from University 1</t>
  </si>
  <si>
    <t>University of Bath</t>
  </si>
  <si>
    <t>Sale from University 2
(If Applicable)</t>
  </si>
  <si>
    <t>University of Birmingham</t>
  </si>
  <si>
    <t>Monthly Cash Sales</t>
  </si>
  <si>
    <t>Bishop Grosseteste, Lincoln</t>
  </si>
  <si>
    <t>Brunel University</t>
  </si>
  <si>
    <t>Total Cash Sales</t>
  </si>
  <si>
    <t>Cardiff University</t>
  </si>
  <si>
    <t>Number of Universities</t>
  </si>
  <si>
    <t>University of Central Lancashire</t>
  </si>
  <si>
    <t>University of Chester</t>
  </si>
  <si>
    <t>University of Coventry</t>
  </si>
  <si>
    <t>University of Cumbria (multi-campus)</t>
  </si>
  <si>
    <t>De Montfort University</t>
  </si>
  <si>
    <t>University of Derby</t>
  </si>
  <si>
    <t>University of Dundee</t>
  </si>
  <si>
    <t>University of East Anglia</t>
  </si>
  <si>
    <t>Edge Hill University</t>
  </si>
  <si>
    <t>Edinburgh Napier University (multi-campus)</t>
  </si>
  <si>
    <t>University of Essex</t>
  </si>
  <si>
    <t>University of Exeter</t>
  </si>
  <si>
    <t>University of Glamorgan</t>
  </si>
  <si>
    <t>University of Glasgow</t>
  </si>
  <si>
    <t>Glasgow Caledonian University</t>
  </si>
  <si>
    <t>Glyndwr University</t>
  </si>
  <si>
    <t>Heriot Watt University (multi-campus)</t>
  </si>
  <si>
    <t>University of Hertfordshire</t>
  </si>
  <si>
    <t>University of Hull</t>
  </si>
  <si>
    <t>University of Keele</t>
  </si>
  <si>
    <t>University of Kent</t>
  </si>
  <si>
    <t>Lampeter – now part of the University of Wales Trinity St David (UWSTD)</t>
  </si>
  <si>
    <t>Lancaster University</t>
  </si>
  <si>
    <t>University of Leeds</t>
  </si>
  <si>
    <t>University of Lincoln</t>
  </si>
  <si>
    <t>Liverpool Hope University</t>
  </si>
  <si>
    <t>Liverpool John Moores University</t>
  </si>
  <si>
    <t>University of Liverpool</t>
  </si>
  <si>
    <t>Loughborough University</t>
  </si>
  <si>
    <t>University of Newcastle-upon-Tyne</t>
  </si>
  <si>
    <t>University of Nottingham (multi-campus)</t>
  </si>
  <si>
    <t>Nottingham Trent (multi-campus)</t>
  </si>
  <si>
    <t>Oxford Brookes University</t>
  </si>
  <si>
    <t>University Of Plymouth</t>
  </si>
  <si>
    <t>Queen Margaret University</t>
  </si>
  <si>
    <t>Queen Mary, University of London</t>
  </si>
  <si>
    <t>University of Reading (multi-campus)</t>
  </si>
  <si>
    <t>Roehampton University</t>
  </si>
  <si>
    <t>Royal Holloway, University of London</t>
  </si>
  <si>
    <t>University of Southampton (multi-campus)</t>
  </si>
  <si>
    <t>Staffordshire University</t>
  </si>
  <si>
    <t>University of Stirling</t>
  </si>
  <si>
    <t>University of Strathclyde</t>
  </si>
  <si>
    <t>University of Surrey</t>
  </si>
  <si>
    <t>University of Sussex</t>
  </si>
  <si>
    <t>University of Swansea</t>
  </si>
  <si>
    <t>University of Wales Institute, Cardiff (UWIC)</t>
  </si>
  <si>
    <t>University of Warwick</t>
  </si>
  <si>
    <t>University of the West of England, Bristol (UWE) (multi-campus)</t>
  </si>
  <si>
    <t>University of the West of Scotland (UWS) (previously known as Paisley Uni)</t>
  </si>
  <si>
    <t>University of Winchester</t>
  </si>
  <si>
    <t>University of York</t>
  </si>
  <si>
    <t>Price Per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</si>
</sst>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19">
    <font>
      <sz val="10.0"/>
      <color rgb="FF000000"/>
      <name val="Arial"/>
      <scheme val="minor"/>
    </font>
    <font>
      <u/>
      <color theme="1"/>
      <name val="Arial"/>
      <scheme val="minor"/>
    </font>
    <font>
      <b/>
      <u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u/>
      <color theme="1"/>
      <name val="Arial"/>
    </font>
    <font>
      <b/>
      <color theme="1"/>
      <name val="Arial"/>
    </font>
    <font>
      <sz val="11.0"/>
      <color theme="1"/>
      <name val="Arial"/>
      <scheme val="minor"/>
    </font>
    <font>
      <b/>
      <sz val="12.0"/>
      <color theme="1"/>
      <name val="Lato"/>
    </font>
    <font>
      <u/>
      <color rgb="FF0000FF"/>
    </font>
    <font>
      <b/>
      <u/>
      <color theme="1"/>
      <name val="Arial"/>
    </font>
    <font>
      <b/>
      <u/>
      <color rgb="FF0000FF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  <scheme val="minor"/>
    </font>
  </fonts>
  <fills count="9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45818E"/>
        <bgColor rgb="FF45818E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FAE5E3"/>
        <bgColor rgb="FFFAE5E3"/>
      </patternFill>
    </fill>
    <fill>
      <patternFill patternType="solid">
        <fgColor rgb="FFFEF5F5"/>
        <bgColor rgb="FFFEF5F5"/>
      </patternFill>
    </fill>
    <fill>
      <patternFill patternType="solid">
        <fgColor rgb="FFF5C7C3"/>
        <bgColor rgb="FFF5C7C3"/>
      </patternFill>
    </fill>
    <fill>
      <patternFill patternType="solid">
        <fgColor rgb="FFCFE2F3"/>
        <bgColor rgb="FFCFE2F3"/>
      </patternFill>
    </fill>
    <fill>
      <patternFill patternType="solid">
        <fgColor rgb="FFF4C1BD"/>
        <bgColor rgb="FFF4C1BD"/>
      </patternFill>
    </fill>
    <fill>
      <patternFill patternType="solid">
        <fgColor rgb="FFE78178"/>
        <bgColor rgb="FFE78178"/>
      </patternFill>
    </fill>
    <fill>
      <patternFill patternType="solid">
        <fgColor rgb="FFFEF7F7"/>
        <bgColor rgb="FFFEF7F7"/>
      </patternFill>
    </fill>
    <fill>
      <patternFill patternType="solid">
        <fgColor rgb="FFF4C4C0"/>
        <bgColor rgb="FFF4C4C0"/>
      </patternFill>
    </fill>
    <fill>
      <patternFill patternType="solid">
        <fgColor rgb="FFEA8F88"/>
        <bgColor rgb="FFEA8F88"/>
      </patternFill>
    </fill>
    <fill>
      <patternFill patternType="solid">
        <fgColor rgb="FFEEA29C"/>
        <bgColor rgb="FFEEA29C"/>
      </patternFill>
    </fill>
    <fill>
      <patternFill patternType="solid">
        <fgColor rgb="FFF6D0CD"/>
        <bgColor rgb="FFF6D0CD"/>
      </patternFill>
    </fill>
    <fill>
      <patternFill patternType="solid">
        <fgColor rgb="FFE67C73"/>
        <bgColor rgb="FFE67C73"/>
      </patternFill>
    </fill>
    <fill>
      <patternFill patternType="solid">
        <fgColor rgb="FFFAE0DE"/>
        <bgColor rgb="FFFAE0DE"/>
      </patternFill>
    </fill>
    <fill>
      <patternFill patternType="solid">
        <fgColor rgb="FFEEA39D"/>
        <bgColor rgb="FFEEA39D"/>
      </patternFill>
    </fill>
    <fill>
      <patternFill patternType="solid">
        <fgColor rgb="FFF2B8B3"/>
        <bgColor rgb="FFF2B8B3"/>
      </patternFill>
    </fill>
    <fill>
      <patternFill patternType="solid">
        <fgColor rgb="FFF5C9C5"/>
        <bgColor rgb="FFF5C9C5"/>
      </patternFill>
    </fill>
    <fill>
      <patternFill patternType="solid">
        <fgColor rgb="FFF3C0BC"/>
        <bgColor rgb="FFF3C0BC"/>
      </patternFill>
    </fill>
    <fill>
      <patternFill patternType="solid">
        <fgColor rgb="FFF6CFCB"/>
        <bgColor rgb="FFF6CFCB"/>
      </patternFill>
    </fill>
    <fill>
      <patternFill patternType="solid">
        <fgColor rgb="FFF6CECA"/>
        <bgColor rgb="FFF6CECA"/>
      </patternFill>
    </fill>
    <fill>
      <patternFill patternType="solid">
        <fgColor rgb="FFF4C2BD"/>
        <bgColor rgb="FFF4C2BD"/>
      </patternFill>
    </fill>
    <fill>
      <patternFill patternType="solid">
        <fgColor rgb="FFEC9A93"/>
        <bgColor rgb="FFEC9A93"/>
      </patternFill>
    </fill>
    <fill>
      <patternFill patternType="solid">
        <fgColor rgb="FFE8837B"/>
        <bgColor rgb="FFE8837B"/>
      </patternFill>
    </fill>
    <fill>
      <patternFill patternType="solid">
        <fgColor rgb="FFF3C0BB"/>
        <bgColor rgb="FFF3C0BB"/>
      </patternFill>
    </fill>
    <fill>
      <patternFill patternType="solid">
        <fgColor rgb="FFFBE6E5"/>
        <bgColor rgb="FFFBE6E5"/>
      </patternFill>
    </fill>
    <fill>
      <patternFill patternType="solid">
        <fgColor rgb="FFF8DAD7"/>
        <bgColor rgb="FFF8DAD7"/>
      </patternFill>
    </fill>
    <fill>
      <patternFill patternType="solid">
        <fgColor rgb="FFEC9B94"/>
        <bgColor rgb="FFEC9B94"/>
      </patternFill>
    </fill>
    <fill>
      <patternFill patternType="solid">
        <fgColor rgb="FFF8D9D6"/>
        <bgColor rgb="FFF8D9D6"/>
      </patternFill>
    </fill>
    <fill>
      <patternFill patternType="solid">
        <fgColor rgb="FFF7D2CF"/>
        <bgColor rgb="FFF7D2CF"/>
      </patternFill>
    </fill>
    <fill>
      <patternFill patternType="solid">
        <fgColor rgb="FFE8847C"/>
        <bgColor rgb="FFE8847C"/>
      </patternFill>
    </fill>
    <fill>
      <patternFill patternType="solid">
        <fgColor rgb="FFF4C5C1"/>
        <bgColor rgb="FFF4C5C1"/>
      </patternFill>
    </fill>
    <fill>
      <patternFill patternType="solid">
        <fgColor rgb="FFFCECEB"/>
        <bgColor rgb="FFFCECEB"/>
      </patternFill>
    </fill>
    <fill>
      <patternFill patternType="solid">
        <fgColor rgb="FFEEA49E"/>
        <bgColor rgb="FFEEA49E"/>
      </patternFill>
    </fill>
    <fill>
      <patternFill patternType="solid">
        <fgColor rgb="FFED9E97"/>
        <bgColor rgb="FFED9E97"/>
      </patternFill>
    </fill>
    <fill>
      <patternFill patternType="solid">
        <fgColor rgb="FFF4C2BE"/>
        <bgColor rgb="FFF4C2BE"/>
      </patternFill>
    </fill>
    <fill>
      <patternFill patternType="solid">
        <fgColor rgb="FFEEA39C"/>
        <bgColor rgb="FFEEA39C"/>
      </patternFill>
    </fill>
    <fill>
      <patternFill patternType="solid">
        <fgColor rgb="FFE98880"/>
        <bgColor rgb="FFE98880"/>
      </patternFill>
    </fill>
    <fill>
      <patternFill patternType="solid">
        <fgColor rgb="FFE77D74"/>
        <bgColor rgb="FFE77D74"/>
      </patternFill>
    </fill>
    <fill>
      <patternFill patternType="solid">
        <fgColor rgb="FFFCECEA"/>
        <bgColor rgb="FFFCECEA"/>
      </patternFill>
    </fill>
    <fill>
      <patternFill patternType="solid">
        <fgColor rgb="FFF0B0AA"/>
        <bgColor rgb="FFF0B0AA"/>
      </patternFill>
    </fill>
    <fill>
      <patternFill patternType="solid">
        <fgColor rgb="FFF3BDB8"/>
        <bgColor rgb="FFF3BDB8"/>
      </patternFill>
    </fill>
    <fill>
      <patternFill patternType="solid">
        <fgColor rgb="FFF8D6D3"/>
        <bgColor rgb="FFF8D6D3"/>
      </patternFill>
    </fill>
    <fill>
      <patternFill patternType="solid">
        <fgColor rgb="FFF8D6D4"/>
        <bgColor rgb="FFF8D6D4"/>
      </patternFill>
    </fill>
    <fill>
      <patternFill patternType="solid">
        <fgColor rgb="FFF6CFCC"/>
        <bgColor rgb="FFF6CFCC"/>
      </patternFill>
    </fill>
    <fill>
      <patternFill patternType="solid">
        <fgColor rgb="FFF0AEA8"/>
        <bgColor rgb="FFF0AEA8"/>
      </patternFill>
    </fill>
    <fill>
      <patternFill patternType="solid">
        <fgColor rgb="FFF5C8C4"/>
        <bgColor rgb="FFF5C8C4"/>
      </patternFill>
    </fill>
    <fill>
      <patternFill patternType="solid">
        <fgColor rgb="FFF3BFBA"/>
        <bgColor rgb="FFF3BFBA"/>
      </patternFill>
    </fill>
    <fill>
      <patternFill patternType="solid">
        <fgColor rgb="FFEEA19B"/>
        <bgColor rgb="FFEEA19B"/>
      </patternFill>
    </fill>
    <fill>
      <patternFill patternType="solid">
        <fgColor rgb="FFEA8C84"/>
        <bgColor rgb="FFEA8C84"/>
      </patternFill>
    </fill>
    <fill>
      <patternFill patternType="solid">
        <fgColor rgb="FFF4C3BF"/>
        <bgColor rgb="FFF4C3BF"/>
      </patternFill>
    </fill>
    <fill>
      <patternFill patternType="solid">
        <fgColor rgb="FFFAE4E2"/>
        <bgColor rgb="FFFAE4E2"/>
      </patternFill>
    </fill>
    <fill>
      <patternFill patternType="solid">
        <fgColor rgb="FFF2BAB5"/>
        <bgColor rgb="FFF2BAB5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1" fillId="2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5" fontId="4" numFmtId="0" xfId="0" applyAlignment="1" applyBorder="1" applyFill="1" applyFon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7" fontId="5" numFmtId="0" xfId="0" applyAlignment="1" applyBorder="1" applyFill="1" applyFont="1">
      <alignment horizontal="center" readingOrder="0" vertical="center"/>
    </xf>
    <xf borderId="1" fillId="0" fontId="5" numFmtId="0" xfId="0" applyBorder="1" applyFont="1"/>
    <xf borderId="1" fillId="6" fontId="5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  <xf borderId="1" fillId="8" fontId="5" numFmtId="0" xfId="0" applyAlignment="1" applyBorder="1" applyFill="1" applyFont="1">
      <alignment horizontal="center" readingOrder="0" vertical="center"/>
    </xf>
    <xf borderId="1" fillId="9" fontId="4" numFmtId="0" xfId="0" applyAlignment="1" applyBorder="1" applyFill="1" applyFont="1">
      <alignment horizontal="center" readingOrder="0" vertical="center"/>
    </xf>
    <xf borderId="1" fillId="2" fontId="0" numFmtId="164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2" fontId="5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1" fillId="10" fontId="5" numFmtId="0" xfId="0" applyAlignment="1" applyBorder="1" applyFill="1" applyFont="1">
      <alignment horizontal="center" readingOrder="0" vertical="center"/>
    </xf>
    <xf borderId="1" fillId="11" fontId="4" numFmtId="0" xfId="0" applyAlignment="1" applyBorder="1" applyFill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164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0" fillId="0" fontId="5" numFmtId="10" xfId="0" applyAlignment="1" applyFont="1" applyNumberFormat="1">
      <alignment horizontal="center" readingOrder="0" vertical="center"/>
    </xf>
    <xf borderId="0" fillId="0" fontId="5" numFmtId="10" xfId="0" applyAlignment="1" applyFont="1" applyNumberForma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12" fontId="5" numFmtId="10" xfId="0" applyAlignment="1" applyFill="1" applyFont="1" applyNumberFormat="1">
      <alignment horizontal="center" vertical="center"/>
    </xf>
    <xf borderId="0" fillId="12" fontId="5" numFmtId="0" xfId="0" applyAlignment="1" applyFont="1">
      <alignment horizontal="center" readingOrder="0" vertical="center"/>
    </xf>
    <xf borderId="0" fillId="12" fontId="5" numFmtId="0" xfId="0" applyAlignment="1" applyFont="1">
      <alignment horizontal="center" vertical="center"/>
    </xf>
    <xf borderId="1" fillId="13" fontId="5" numFmtId="164" xfId="0" applyAlignment="1" applyBorder="1" applyFill="1" applyFont="1" applyNumberFormat="1">
      <alignment horizontal="center" vertical="center"/>
    </xf>
    <xf borderId="1" fillId="0" fontId="5" numFmtId="10" xfId="0" applyAlignment="1" applyBorder="1" applyFont="1" applyNumberFormat="1">
      <alignment horizontal="center" vertical="center"/>
    </xf>
    <xf borderId="0" fillId="12" fontId="6" numFmtId="0" xfId="0" applyAlignment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5" fillId="7" fontId="6" numFmtId="0" xfId="0" applyAlignment="1" applyBorder="1" applyFont="1">
      <alignment horizontal="center" readingOrder="0"/>
    </xf>
    <xf borderId="2" fillId="5" fontId="4" numFmtId="0" xfId="0" applyAlignment="1" applyBorder="1" applyFont="1">
      <alignment horizontal="center" readingOrder="0" vertical="center"/>
    </xf>
    <xf borderId="2" fillId="7" fontId="4" numFmtId="0" xfId="0" applyAlignment="1" applyBorder="1" applyFont="1">
      <alignment horizontal="center" readingOrder="0" vertical="center"/>
    </xf>
    <xf borderId="1" fillId="14" fontId="5" numFmtId="0" xfId="0" applyAlignment="1" applyBorder="1" applyFill="1" applyFont="1">
      <alignment horizontal="center" readingOrder="0" vertical="center"/>
    </xf>
    <xf borderId="1" fillId="13" fontId="5" numFmtId="0" xfId="0" applyAlignment="1" applyBorder="1" applyFont="1">
      <alignment horizontal="center" vertical="center"/>
    </xf>
    <xf borderId="1" fillId="13" fontId="5" numFmtId="0" xfId="0" applyAlignment="1" applyBorder="1" applyFont="1">
      <alignment horizontal="center" readingOrder="0" vertical="center"/>
    </xf>
    <xf borderId="1" fillId="13" fontId="5" numFmtId="164" xfId="0" applyAlignment="1" applyBorder="1" applyFont="1" applyNumberFormat="1">
      <alignment horizontal="center" readingOrder="0" vertical="center"/>
    </xf>
    <xf borderId="1" fillId="14" fontId="5" numFmtId="164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14" fontId="5" numFmtId="0" xfId="0" applyAlignment="1" applyBorder="1" applyFont="1">
      <alignment horizontal="center" vertical="center"/>
    </xf>
    <xf borderId="1" fillId="7" fontId="5" numFmtId="0" xfId="0" applyAlignment="1" applyBorder="1" applyFont="1">
      <alignment horizontal="center" vertical="center"/>
    </xf>
    <xf borderId="1" fillId="14" fontId="5" numFmtId="0" xfId="0" applyAlignment="1" applyBorder="1" applyFont="1">
      <alignment readingOrder="0"/>
    </xf>
    <xf borderId="1" fillId="13" fontId="5" numFmtId="10" xfId="0" applyAlignment="1" applyBorder="1" applyFont="1" applyNumberFormat="1">
      <alignment horizontal="center" vertical="center"/>
    </xf>
    <xf borderId="2" fillId="13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13" fontId="5" numFmtId="164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1" fillId="15" fontId="4" numFmtId="0" xfId="0" applyAlignment="1" applyBorder="1" applyFill="1" applyFont="1">
      <alignment horizontal="center" readingOrder="0" vertical="center"/>
    </xf>
    <xf borderId="1" fillId="16" fontId="5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1" fillId="17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1" fillId="18" fontId="4" numFmtId="0" xfId="0" applyAlignment="1" applyBorder="1" applyFill="1" applyFont="1">
      <alignment horizontal="center" readingOrder="0" vertical="center"/>
    </xf>
    <xf borderId="1" fillId="19" fontId="5" numFmtId="0" xfId="0" applyAlignment="1" applyBorder="1" applyFill="1" applyFont="1">
      <alignment horizontal="center" readingOrder="0" vertical="center"/>
    </xf>
    <xf borderId="1" fillId="20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ont="1">
      <alignment horizontal="center" readingOrder="0" vertical="center"/>
    </xf>
    <xf borderId="1" fillId="21" fontId="5" numFmtId="0" xfId="0" applyAlignment="1" applyBorder="1" applyFill="1" applyFont="1">
      <alignment horizontal="center" readingOrder="0" vertical="center"/>
    </xf>
    <xf borderId="1" fillId="22" fontId="4" numFmtId="0" xfId="0" applyAlignment="1" applyBorder="1" applyFill="1" applyFont="1">
      <alignment horizontal="center" readingOrder="0" vertical="center"/>
    </xf>
    <xf borderId="1" fillId="23" fontId="4" numFmtId="0" xfId="0" applyAlignment="1" applyBorder="1" applyFill="1" applyFont="1">
      <alignment horizontal="center" readingOrder="0" vertical="center"/>
    </xf>
    <xf borderId="1" fillId="24" fontId="5" numFmtId="0" xfId="0" applyAlignment="1" applyBorder="1" applyFill="1" applyFont="1">
      <alignment horizontal="center" readingOrder="0" vertical="center"/>
    </xf>
    <xf borderId="1" fillId="25" fontId="4" numFmtId="0" xfId="0" applyAlignment="1" applyBorder="1" applyFill="1" applyFon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1" fillId="14" fontId="4" numFmtId="0" xfId="0" applyAlignment="1" applyBorder="1" applyFont="1">
      <alignment horizontal="center" readingOrder="0" vertical="center"/>
    </xf>
    <xf borderId="1" fillId="26" fontId="4" numFmtId="0" xfId="0" applyAlignment="1" applyBorder="1" applyFill="1" applyFont="1">
      <alignment horizontal="center" readingOrder="0" vertical="center"/>
    </xf>
    <xf borderId="1" fillId="27" fontId="5" numFmtId="0" xfId="0" applyAlignment="1" applyBorder="1" applyFill="1" applyFont="1">
      <alignment horizontal="center" readingOrder="0" vertical="center"/>
    </xf>
    <xf borderId="1" fillId="28" fontId="4" numFmtId="0" xfId="0" applyAlignment="1" applyBorder="1" applyFill="1" applyFont="1">
      <alignment horizontal="center" readingOrder="0" vertical="center"/>
    </xf>
    <xf borderId="1" fillId="2" fontId="5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4" fillId="2" fontId="5" numFmtId="0" xfId="0" applyAlignment="1" applyBorder="1" applyFont="1">
      <alignment horizontal="center" vertical="center"/>
    </xf>
    <xf borderId="1" fillId="8" fontId="4" numFmtId="0" xfId="0" applyAlignment="1" applyBorder="1" applyFont="1">
      <alignment horizontal="center" readingOrder="0" vertical="center"/>
    </xf>
    <xf borderId="1" fillId="29" fontId="5" numFmtId="0" xfId="0" applyAlignment="1" applyBorder="1" applyFill="1" applyFont="1">
      <alignment horizontal="center" readingOrder="0" vertical="center"/>
    </xf>
    <xf borderId="1" fillId="30" fontId="4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1" fillId="10" fontId="4" numFmtId="0" xfId="0" applyAlignment="1" applyBorder="1" applyFont="1">
      <alignment horizontal="center" readingOrder="0" vertical="center"/>
    </xf>
    <xf borderId="0" fillId="2" fontId="4" numFmtId="0" xfId="0" applyAlignment="1" applyFont="1">
      <alignment horizontal="center" readingOrder="0" vertical="center"/>
    </xf>
    <xf borderId="1" fillId="31" fontId="4" numFmtId="0" xfId="0" applyAlignment="1" applyBorder="1" applyFill="1" applyFont="1">
      <alignment horizontal="center" readingOrder="0" vertical="center"/>
    </xf>
    <xf borderId="1" fillId="21" fontId="5" numFmtId="0" xfId="0" applyAlignment="1" applyBorder="1" applyFont="1">
      <alignment horizontal="center" vertical="center"/>
    </xf>
    <xf borderId="1" fillId="0" fontId="9" numFmtId="164" xfId="0" applyAlignment="1" applyBorder="1" applyFont="1" applyNumberFormat="1">
      <alignment horizontal="center" readingOrder="0" vertical="center"/>
    </xf>
    <xf borderId="1" fillId="32" fontId="6" numFmtId="0" xfId="0" applyAlignment="1" applyBorder="1" applyFill="1" applyFont="1">
      <alignment horizontal="center" readingOrder="0" vertical="bottom"/>
    </xf>
    <xf borderId="4" fillId="32" fontId="6" numFmtId="0" xfId="0" applyAlignment="1" applyBorder="1" applyFont="1">
      <alignment horizontal="center" readingOrder="0" vertical="bottom"/>
    </xf>
    <xf borderId="1" fillId="7" fontId="4" numFmtId="0" xfId="0" applyAlignment="1" applyBorder="1" applyFont="1">
      <alignment horizontal="center" vertical="center"/>
    </xf>
    <xf borderId="2" fillId="7" fontId="4" numFmtId="0" xfId="0" applyAlignment="1" applyBorder="1" applyFont="1">
      <alignment horizontal="center" vertical="center"/>
    </xf>
    <xf borderId="1" fillId="14" fontId="4" numFmtId="0" xfId="0" applyAlignment="1" applyBorder="1" applyFont="1">
      <alignment horizontal="center" vertical="center"/>
    </xf>
    <xf borderId="1" fillId="13" fontId="4" numFmtId="0" xfId="0" applyAlignment="1" applyBorder="1" applyFont="1">
      <alignment horizontal="center" vertical="center"/>
    </xf>
    <xf borderId="2" fillId="33" fontId="4" numFmtId="0" xfId="0" applyAlignment="1" applyBorder="1" applyFill="1" applyFont="1">
      <alignment horizontal="center" readingOrder="0" vertical="center"/>
    </xf>
    <xf borderId="1" fillId="26" fontId="4" numFmtId="0" xfId="0" applyAlignment="1" applyBorder="1" applyFont="1">
      <alignment horizontal="center" vertical="center"/>
    </xf>
    <xf borderId="2" fillId="26" fontId="4" numFmtId="0" xfId="0" applyAlignment="1" applyBorder="1" applyFont="1">
      <alignment horizontal="center" readingOrder="0" vertical="center"/>
    </xf>
    <xf borderId="1" fillId="28" fontId="4" numFmtId="0" xfId="0" applyAlignment="1" applyBorder="1" applyFont="1">
      <alignment horizontal="center" vertical="center"/>
    </xf>
    <xf borderId="1" fillId="27" fontId="4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2" fillId="34" fontId="4" numFmtId="0" xfId="0" applyAlignment="1" applyBorder="1" applyFill="1" applyFont="1">
      <alignment horizontal="center" readingOrder="0" vertical="center"/>
    </xf>
    <xf borderId="1" fillId="35" fontId="4" numFmtId="0" xfId="0" applyAlignment="1" applyBorder="1" applyFill="1" applyFont="1">
      <alignment horizontal="center" readingOrder="0" vertical="center"/>
    </xf>
    <xf borderId="2" fillId="35" fontId="4" numFmtId="0" xfId="0" applyAlignment="1" applyBorder="1" applyFont="1">
      <alignment horizontal="center" readingOrder="0" vertical="center"/>
    </xf>
    <xf borderId="1" fillId="36" fontId="4" numFmtId="0" xfId="0" applyAlignment="1" applyBorder="1" applyFill="1" applyFont="1">
      <alignment horizontal="center" readingOrder="0" vertical="center"/>
    </xf>
    <xf borderId="1" fillId="36" fontId="4" numFmtId="0" xfId="0" applyAlignment="1" applyBorder="1" applyFont="1">
      <alignment horizontal="center" vertical="center"/>
    </xf>
    <xf borderId="1" fillId="36" fontId="4" numFmtId="0" xfId="0" applyAlignment="1" applyBorder="1" applyFont="1">
      <alignment horizontal="center" vertical="center"/>
    </xf>
    <xf borderId="1" fillId="37" fontId="4" numFmtId="0" xfId="0" applyAlignment="1" applyBorder="1" applyFill="1" applyFont="1">
      <alignment horizontal="center" vertical="center"/>
    </xf>
    <xf borderId="1" fillId="37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13" fontId="4" numFmtId="0" xfId="0" applyAlignment="1" applyBorder="1" applyFont="1">
      <alignment horizontal="center" readingOrder="0" vertical="center"/>
    </xf>
    <xf borderId="1" fillId="27" fontId="4" numFmtId="0" xfId="0" applyAlignment="1" applyBorder="1" applyFont="1">
      <alignment horizontal="center" readingOrder="0" vertical="center"/>
    </xf>
    <xf borderId="1" fillId="37" fontId="4" numFmtId="0" xfId="0" applyAlignment="1" applyBorder="1" applyFont="1">
      <alignment horizontal="center" vertical="center"/>
    </xf>
    <xf borderId="1" fillId="38" fontId="4" numFmtId="0" xfId="0" applyAlignment="1" applyBorder="1" applyFill="1" applyFont="1">
      <alignment horizontal="center" readingOrder="0" vertical="center"/>
    </xf>
    <xf borderId="1" fillId="38" fontId="4" numFmtId="0" xfId="0" applyAlignment="1" applyBorder="1" applyFont="1">
      <alignment horizontal="center" vertical="center"/>
    </xf>
    <xf borderId="2" fillId="34" fontId="5" numFmtId="0" xfId="0" applyAlignment="1" applyBorder="1" applyFont="1">
      <alignment horizontal="center" readingOrder="0" vertical="center"/>
    </xf>
    <xf borderId="2" fillId="35" fontId="5" numFmtId="0" xfId="0" applyAlignment="1" applyBorder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1" fillId="36" fontId="5" numFmtId="0" xfId="0" applyAlignment="1" applyBorder="1" applyFont="1">
      <alignment horizontal="center" readingOrder="0" vertical="center"/>
    </xf>
    <xf borderId="1" fillId="36" fontId="5" numFmtId="164" xfId="0" applyAlignment="1" applyBorder="1" applyFont="1" applyNumberFormat="1">
      <alignment horizontal="center" vertical="center"/>
    </xf>
    <xf borderId="1" fillId="37" fontId="5" numFmtId="0" xfId="0" applyAlignment="1" applyBorder="1" applyFont="1">
      <alignment horizontal="center" readingOrder="0" vertical="center"/>
    </xf>
    <xf borderId="1" fillId="37" fontId="5" numFmtId="164" xfId="0" applyAlignment="1" applyBorder="1" applyFont="1" applyNumberFormat="1">
      <alignment horizontal="center" vertical="center"/>
    </xf>
    <xf borderId="0" fillId="2" fontId="10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164" xfId="0" applyAlignment="1" applyFont="1" applyNumberFormat="1">
      <alignment horizontal="left"/>
    </xf>
    <xf borderId="6" fillId="0" fontId="5" numFmtId="0" xfId="0" applyAlignment="1" applyBorder="1" applyFont="1">
      <alignment horizontal="left"/>
    </xf>
    <xf borderId="6" fillId="0" fontId="5" numFmtId="0" xfId="0" applyAlignment="1" applyBorder="1" applyFont="1">
      <alignment horizontal="left" readingOrder="0"/>
    </xf>
    <xf borderId="6" fillId="0" fontId="5" numFmtId="164" xfId="0" applyAlignment="1" applyBorder="1" applyFont="1" applyNumberFormat="1">
      <alignment horizontal="left"/>
    </xf>
    <xf borderId="6" fillId="0" fontId="5" numFmtId="0" xfId="0" applyBorder="1" applyFont="1"/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11" numFmtId="0" xfId="0" applyAlignment="1" applyFont="1">
      <alignment readingOrder="0"/>
    </xf>
    <xf borderId="1" fillId="0" fontId="12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readingOrder="0" vertical="center"/>
    </xf>
    <xf borderId="4" fillId="0" fontId="14" numFmtId="0" xfId="0" applyAlignment="1" applyBorder="1" applyFont="1">
      <alignment horizontal="center" vertical="center"/>
    </xf>
    <xf borderId="4" fillId="0" fontId="15" numFmtId="164" xfId="0" applyAlignment="1" applyBorder="1" applyFont="1" applyNumberFormat="1">
      <alignment horizontal="center" readingOrder="0" vertical="center"/>
    </xf>
    <xf borderId="4" fillId="0" fontId="16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readingOrder="0"/>
    </xf>
    <xf borderId="7" fillId="0" fontId="6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8" fillId="39" fontId="6" numFmtId="10" xfId="0" applyAlignment="1" applyBorder="1" applyFill="1" applyFont="1" applyNumberFormat="1">
      <alignment horizontal="center" vertical="center"/>
    </xf>
    <xf borderId="8" fillId="0" fontId="6" numFmtId="164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vertical="center"/>
    </xf>
    <xf borderId="8" fillId="0" fontId="3" numFmtId="0" xfId="0" applyBorder="1" applyFont="1"/>
    <xf borderId="8" fillId="0" fontId="8" numFmtId="0" xfId="0" applyAlignment="1" applyBorder="1" applyFont="1">
      <alignment horizontal="center" vertical="center"/>
    </xf>
    <xf borderId="8" fillId="40" fontId="6" numFmtId="10" xfId="0" applyAlignment="1" applyBorder="1" applyFill="1" applyFont="1" applyNumberFormat="1">
      <alignment horizontal="center" vertical="center"/>
    </xf>
    <xf borderId="8" fillId="41" fontId="6" numFmtId="10" xfId="0" applyAlignment="1" applyBorder="1" applyFill="1" applyFont="1" applyNumberFormat="1">
      <alignment horizontal="center" vertical="center"/>
    </xf>
    <xf borderId="8" fillId="42" fontId="6" numFmtId="0" xfId="0" applyAlignment="1" applyBorder="1" applyFill="1" applyFont="1">
      <alignment horizontal="center" vertical="center"/>
    </xf>
    <xf borderId="1" fillId="0" fontId="6" numFmtId="164" xfId="0" applyAlignment="1" applyBorder="1" applyFont="1" applyNumberFormat="1">
      <alignment horizontal="center" vertical="center"/>
    </xf>
    <xf borderId="8" fillId="43" fontId="6" numFmtId="10" xfId="0" applyAlignment="1" applyBorder="1" applyFill="1" applyFont="1" applyNumberFormat="1">
      <alignment horizontal="center" vertical="center"/>
    </xf>
    <xf borderId="8" fillId="44" fontId="6" numFmtId="10" xfId="0" applyAlignment="1" applyBorder="1" applyFill="1" applyFont="1" applyNumberFormat="1">
      <alignment horizontal="center" vertical="center"/>
    </xf>
    <xf borderId="8" fillId="45" fontId="6" numFmtId="10" xfId="0" applyAlignment="1" applyBorder="1" applyFill="1" applyFont="1" applyNumberFormat="1">
      <alignment horizontal="center" vertical="center"/>
    </xf>
    <xf borderId="8" fillId="46" fontId="6" numFmtId="10" xfId="0" applyAlignment="1" applyBorder="1" applyFill="1" applyFont="1" applyNumberFormat="1">
      <alignment horizontal="center" vertical="center"/>
    </xf>
    <xf borderId="8" fillId="47" fontId="6" numFmtId="10" xfId="0" applyAlignment="1" applyBorder="1" applyFill="1" applyFont="1" applyNumberForma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1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8" fillId="48" fontId="6" numFmtId="10" xfId="0" applyAlignment="1" applyBorder="1" applyFill="1" applyFont="1" applyNumberFormat="1">
      <alignment horizontal="center" vertical="center"/>
    </xf>
    <xf borderId="8" fillId="49" fontId="6" numFmtId="10" xfId="0" applyAlignment="1" applyBorder="1" applyFill="1" applyFont="1" applyNumberFormat="1">
      <alignment horizontal="center" vertical="center"/>
    </xf>
    <xf borderId="8" fillId="13" fontId="6" numFmtId="0" xfId="0" applyAlignment="1" applyBorder="1" applyFont="1">
      <alignment horizontal="center" vertical="center"/>
    </xf>
    <xf borderId="8" fillId="50" fontId="6" numFmtId="10" xfId="0" applyAlignment="1" applyBorder="1" applyFill="1" applyFont="1" applyNumberFormat="1">
      <alignment horizontal="center" vertical="center"/>
    </xf>
    <xf borderId="8" fillId="51" fontId="6" numFmtId="10" xfId="0" applyAlignment="1" applyBorder="1" applyFill="1" applyFont="1" applyNumberFormat="1">
      <alignment horizontal="center" vertical="center"/>
    </xf>
    <xf borderId="8" fillId="52" fontId="6" numFmtId="10" xfId="0" applyAlignment="1" applyBorder="1" applyFill="1" applyFont="1" applyNumberFormat="1">
      <alignment horizontal="center" vertical="center"/>
    </xf>
    <xf borderId="8" fillId="53" fontId="6" numFmtId="10" xfId="0" applyAlignment="1" applyBorder="1" applyFill="1" applyFont="1" applyNumberFormat="1">
      <alignment horizontal="center" vertical="center"/>
    </xf>
    <xf borderId="8" fillId="54" fontId="6" numFmtId="10" xfId="0" applyAlignment="1" applyBorder="1" applyFill="1" applyFont="1" applyNumberFormat="1">
      <alignment horizontal="center" vertical="center"/>
    </xf>
    <xf borderId="8" fillId="55" fontId="6" numFmtId="10" xfId="0" applyAlignment="1" applyBorder="1" applyFill="1" applyFont="1" applyNumberFormat="1">
      <alignment horizontal="center" vertical="center"/>
    </xf>
    <xf borderId="8" fillId="56" fontId="6" numFmtId="10" xfId="0" applyAlignment="1" applyBorder="1" applyFill="1" applyFont="1" applyNumberFormat="1">
      <alignment horizontal="center" vertical="center"/>
    </xf>
    <xf borderId="8" fillId="57" fontId="6" numFmtId="10" xfId="0" applyAlignment="1" applyBorder="1" applyFill="1" applyFont="1" applyNumberFormat="1">
      <alignment horizontal="center" vertical="center"/>
    </xf>
    <xf borderId="8" fillId="58" fontId="6" numFmtId="10" xfId="0" applyAlignment="1" applyBorder="1" applyFill="1" applyFont="1" applyNumberFormat="1">
      <alignment horizontal="center" vertical="center"/>
    </xf>
    <xf borderId="8" fillId="59" fontId="6" numFmtId="10" xfId="0" applyAlignment="1" applyBorder="1" applyFill="1" applyFont="1" applyNumberFormat="1">
      <alignment horizontal="center" vertical="center"/>
    </xf>
    <xf borderId="8" fillId="2" fontId="6" numFmtId="10" xfId="0" applyAlignment="1" applyBorder="1" applyFont="1" applyNumberFormat="1">
      <alignment horizontal="center" vertical="center"/>
    </xf>
    <xf borderId="8" fillId="60" fontId="6" numFmtId="10" xfId="0" applyAlignment="1" applyBorder="1" applyFill="1" applyFont="1" applyNumberFormat="1">
      <alignment horizontal="center" vertical="center"/>
    </xf>
    <xf borderId="8" fillId="61" fontId="6" numFmtId="10" xfId="0" applyAlignment="1" applyBorder="1" applyFill="1" applyFont="1" applyNumberFormat="1">
      <alignment horizontal="center" vertical="center"/>
    </xf>
    <xf borderId="8" fillId="62" fontId="6" numFmtId="10" xfId="0" applyAlignment="1" applyBorder="1" applyFill="1" applyFont="1" applyNumberFormat="1">
      <alignment horizontal="center" vertical="center"/>
    </xf>
    <xf borderId="8" fillId="63" fontId="6" numFmtId="10" xfId="0" applyAlignment="1" applyBorder="1" applyFill="1" applyFont="1" applyNumberFormat="1">
      <alignment horizontal="center" vertical="center"/>
    </xf>
    <xf borderId="8" fillId="64" fontId="6" numFmtId="10" xfId="0" applyAlignment="1" applyBorder="1" applyFill="1" applyFont="1" applyNumberFormat="1">
      <alignment horizontal="center" vertical="center"/>
    </xf>
    <xf borderId="8" fillId="65" fontId="6" numFmtId="10" xfId="0" applyAlignment="1" applyBorder="1" applyFill="1" applyFont="1" applyNumberFormat="1">
      <alignment horizontal="center" vertical="center"/>
    </xf>
    <xf borderId="8" fillId="66" fontId="6" numFmtId="10" xfId="0" applyAlignment="1" applyBorder="1" applyFill="1" applyFont="1" applyNumberFormat="1">
      <alignment horizontal="center" vertical="center"/>
    </xf>
    <xf borderId="8" fillId="67" fontId="6" numFmtId="10" xfId="0" applyAlignment="1" applyBorder="1" applyFill="1" applyFont="1" applyNumberFormat="1">
      <alignment horizontal="center" vertical="center"/>
    </xf>
    <xf borderId="8" fillId="68" fontId="6" numFmtId="10" xfId="0" applyAlignment="1" applyBorder="1" applyFill="1" applyFont="1" applyNumberFormat="1">
      <alignment horizontal="center" vertical="center"/>
    </xf>
    <xf borderId="8" fillId="69" fontId="6" numFmtId="10" xfId="0" applyAlignment="1" applyBorder="1" applyFill="1" applyFont="1" applyNumberFormat="1">
      <alignment horizontal="center" vertical="center"/>
    </xf>
    <xf borderId="8" fillId="70" fontId="6" numFmtId="10" xfId="0" applyAlignment="1" applyBorder="1" applyFill="1" applyFont="1" applyNumberFormat="1">
      <alignment horizontal="center" vertical="center"/>
    </xf>
    <xf borderId="8" fillId="71" fontId="6" numFmtId="10" xfId="0" applyAlignment="1" applyBorder="1" applyFill="1" applyFont="1" applyNumberFormat="1">
      <alignment horizontal="center" vertical="center"/>
    </xf>
    <xf borderId="8" fillId="72" fontId="6" numFmtId="10" xfId="0" applyAlignment="1" applyBorder="1" applyFill="1" applyFont="1" applyNumberFormat="1">
      <alignment horizontal="center" vertical="center"/>
    </xf>
    <xf borderId="8" fillId="73" fontId="6" numFmtId="10" xfId="0" applyAlignment="1" applyBorder="1" applyFill="1" applyFont="1" applyNumberFormat="1">
      <alignment horizontal="center" vertical="center"/>
    </xf>
    <xf borderId="8" fillId="74" fontId="6" numFmtId="10" xfId="0" applyAlignment="1" applyBorder="1" applyFill="1" applyFont="1" applyNumberFormat="1">
      <alignment horizontal="center" vertical="center"/>
    </xf>
    <xf borderId="8" fillId="75" fontId="6" numFmtId="10" xfId="0" applyAlignment="1" applyBorder="1" applyFill="1" applyFont="1" applyNumberFormat="1">
      <alignment horizontal="center" vertical="center"/>
    </xf>
    <xf borderId="8" fillId="76" fontId="6" numFmtId="10" xfId="0" applyAlignment="1" applyBorder="1" applyFill="1" applyFont="1" applyNumberFormat="1">
      <alignment horizontal="center" vertical="center"/>
    </xf>
    <xf borderId="8" fillId="77" fontId="6" numFmtId="10" xfId="0" applyAlignment="1" applyBorder="1" applyFill="1" applyFont="1" applyNumberFormat="1">
      <alignment horizontal="center" vertical="center"/>
    </xf>
    <xf borderId="8" fillId="78" fontId="6" numFmtId="10" xfId="0" applyAlignment="1" applyBorder="1" applyFill="1" applyFont="1" applyNumberFormat="1">
      <alignment horizontal="center" vertical="center"/>
    </xf>
    <xf borderId="8" fillId="79" fontId="6" numFmtId="10" xfId="0" applyAlignment="1" applyBorder="1" applyFill="1" applyFont="1" applyNumberFormat="1">
      <alignment horizontal="center" vertical="center"/>
    </xf>
    <xf borderId="8" fillId="80" fontId="6" numFmtId="10" xfId="0" applyAlignment="1" applyBorder="1" applyFill="1" applyFont="1" applyNumberFormat="1">
      <alignment horizontal="center" vertical="center"/>
    </xf>
    <xf borderId="8" fillId="81" fontId="6" numFmtId="10" xfId="0" applyAlignment="1" applyBorder="1" applyFill="1" applyFont="1" applyNumberFormat="1">
      <alignment horizontal="center" vertical="center"/>
    </xf>
    <xf borderId="8" fillId="82" fontId="6" numFmtId="10" xfId="0" applyAlignment="1" applyBorder="1" applyFill="1" applyFont="1" applyNumberFormat="1">
      <alignment horizontal="center" vertical="center"/>
    </xf>
    <xf borderId="8" fillId="83" fontId="6" numFmtId="10" xfId="0" applyAlignment="1" applyBorder="1" applyFill="1" applyFont="1" applyNumberFormat="1">
      <alignment horizontal="center" vertical="center"/>
    </xf>
    <xf borderId="8" fillId="84" fontId="6" numFmtId="10" xfId="0" applyAlignment="1" applyBorder="1" applyFill="1" applyFont="1" applyNumberFormat="1">
      <alignment horizontal="center" vertical="center"/>
    </xf>
    <xf borderId="8" fillId="85" fontId="6" numFmtId="10" xfId="0" applyAlignment="1" applyBorder="1" applyFill="1" applyFont="1" applyNumberFormat="1">
      <alignment horizontal="center" vertical="center"/>
    </xf>
    <xf borderId="8" fillId="86" fontId="6" numFmtId="10" xfId="0" applyAlignment="1" applyBorder="1" applyFill="1" applyFont="1" applyNumberFormat="1">
      <alignment horizontal="center" vertical="center"/>
    </xf>
    <xf borderId="8" fillId="87" fontId="6" numFmtId="10" xfId="0" applyAlignment="1" applyBorder="1" applyFill="1" applyFont="1" applyNumberFormat="1">
      <alignment horizontal="center" vertical="center"/>
    </xf>
    <xf borderId="8" fillId="88" fontId="6" numFmtId="10" xfId="0" applyAlignment="1" applyBorder="1" applyFill="1" applyFont="1" applyNumberFormat="1">
      <alignment horizontal="center" vertical="center"/>
    </xf>
    <xf borderId="8" fillId="89" fontId="6" numFmtId="10" xfId="0" applyAlignment="1" applyBorder="1" applyFill="1" applyFont="1" applyNumberFormat="1">
      <alignment horizontal="center" vertical="center"/>
    </xf>
    <xf borderId="9" fillId="0" fontId="6" numFmtId="0" xfId="0" applyAlignment="1" applyBorder="1" applyFont="1">
      <alignment horizontal="center" vertical="center"/>
    </xf>
    <xf borderId="8" fillId="0" fontId="6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Chart Showing the Weekly Closing Balance Both With and Without the Desired Loan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With Loan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'Cash Flow Forecast'!$B$3:$AN$3</c:f>
            </c:strRef>
          </c:cat>
          <c:val>
            <c:numRef>
              <c:f>'Cash Flow Forecast'!$B$26:$AN$26</c:f>
              <c:numCache/>
            </c:numRef>
          </c:val>
        </c:ser>
        <c:ser>
          <c:idx val="1"/>
          <c:order val="1"/>
          <c:tx>
            <c:v>Without Loan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'Cash Flow Forecast'!$B$3:$AN$3</c:f>
            </c:strRef>
          </c:cat>
          <c:val>
            <c:numRef>
              <c:f>'Cash Flow Forecast'!$B$33:$AN$33</c:f>
              <c:numCache/>
            </c:numRef>
          </c:val>
        </c:ser>
        <c:overlap val="100"/>
        <c:axId val="1077855428"/>
        <c:axId val="1629890553"/>
      </c:barChart>
      <c:catAx>
        <c:axId val="1077855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 (From Week 1 April)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 rot="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890553"/>
      </c:catAx>
      <c:valAx>
        <c:axId val="1629890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Closing Balance (£)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8554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Chart Showing the Predicted Breakdown of Costs During Development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7BAAF7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'Cost Breakdown'!$C$2:$C$8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Giuseppe's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(Individuals)'!$B$40:$AI$40</c:f>
              <c:numCache/>
            </c:numRef>
          </c:val>
        </c:ser>
        <c:axId val="1279897610"/>
        <c:axId val="340397648"/>
      </c:barChart>
      <c:catAx>
        <c:axId val="1279897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0397648"/>
      </c:catAx>
      <c:valAx>
        <c:axId val="340397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897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Ethan's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(Individuals)'!$B$41:$AI$41</c:f>
              <c:numCache/>
            </c:numRef>
          </c:val>
        </c:ser>
        <c:axId val="1611134784"/>
        <c:axId val="1341231276"/>
      </c:barChart>
      <c:catAx>
        <c:axId val="161113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231276"/>
      </c:catAx>
      <c:valAx>
        <c:axId val="1341231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11347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Connall's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(Individuals)'!$B$39:$AI$39</c:f>
              <c:numCache/>
            </c:numRef>
          </c:val>
        </c:ser>
        <c:axId val="2127258093"/>
        <c:axId val="1044846659"/>
      </c:barChart>
      <c:catAx>
        <c:axId val="21272580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4846659"/>
      </c:catAx>
      <c:valAx>
        <c:axId val="10448466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7258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Oscar's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(Individuals)'!$B$42:$AI$42</c:f>
              <c:numCache/>
            </c:numRef>
          </c:val>
        </c:ser>
        <c:axId val="433877221"/>
        <c:axId val="1220522796"/>
      </c:barChart>
      <c:catAx>
        <c:axId val="433877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0522796"/>
      </c:catAx>
      <c:valAx>
        <c:axId val="1220522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877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Harry's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(Individuals)'!$B$43:$AI$43</c:f>
              <c:numCache/>
            </c:numRef>
          </c:val>
        </c:ser>
        <c:axId val="870161498"/>
        <c:axId val="1461173963"/>
      </c:barChart>
      <c:catAx>
        <c:axId val="8701614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1173963"/>
      </c:catAx>
      <c:valAx>
        <c:axId val="14611739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01614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Ophelia's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(Individuals)'!$B$44:$AI$44</c:f>
              <c:numCache/>
            </c:numRef>
          </c:val>
        </c:ser>
        <c:axId val="1226884582"/>
        <c:axId val="1879021622"/>
      </c:barChart>
      <c:catAx>
        <c:axId val="1226884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021622"/>
      </c:catAx>
      <c:valAx>
        <c:axId val="1879021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68845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Roman's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(Individuals)'!$B$45:$AI$45</c:f>
              <c:numCache/>
            </c:numRef>
          </c:val>
        </c:ser>
        <c:axId val="1750167772"/>
        <c:axId val="651678983"/>
      </c:barChart>
      <c:catAx>
        <c:axId val="17501677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678983"/>
      </c:catAx>
      <c:valAx>
        <c:axId val="651678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01677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Ana's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(Individuals)'!$B$46:$AI$46</c:f>
              <c:numCache/>
            </c:numRef>
          </c:val>
        </c:ser>
        <c:axId val="93213192"/>
        <c:axId val="290981633"/>
      </c:barChart>
      <c:catAx>
        <c:axId val="93213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0981633"/>
      </c:catAx>
      <c:valAx>
        <c:axId val="290981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2131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Tom's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(Individuals)'!$B$47:$AI$47</c:f>
              <c:numCache/>
            </c:numRef>
          </c:val>
        </c:ser>
        <c:axId val="1033249055"/>
        <c:axId val="994150376"/>
      </c:barChart>
      <c:catAx>
        <c:axId val="1033249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4150376"/>
      </c:catAx>
      <c:valAx>
        <c:axId val="994150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3249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Dawid's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(Individuals)'!$B$48:$AI$48</c:f>
              <c:numCache/>
            </c:numRef>
          </c:val>
        </c:ser>
        <c:axId val="1835734152"/>
        <c:axId val="1862990704"/>
      </c:barChart>
      <c:catAx>
        <c:axId val="1835734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2990704"/>
      </c:catAx>
      <c:valAx>
        <c:axId val="18629907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7341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Alan's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(Individuals)'!$B$4:$AI$4</c:f>
            </c:strRef>
          </c:cat>
          <c:val>
            <c:numRef>
              <c:f>'Variance (Individuals)'!$B$49:$AI$49</c:f>
              <c:numCache/>
            </c:numRef>
          </c:val>
        </c:ser>
        <c:axId val="448934523"/>
        <c:axId val="1129918091"/>
      </c:barChart>
      <c:catAx>
        <c:axId val="448934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9918091"/>
      </c:catAx>
      <c:valAx>
        <c:axId val="1129918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934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Actual vs Projected Total Weekly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(Department)'!$B$12:$AI$12</c:f>
              <c:numCache/>
            </c:numRef>
          </c:val>
        </c:ser>
        <c:axId val="1441064219"/>
        <c:axId val="1117318079"/>
      </c:barChart>
      <c:lineChart>
        <c:varyColors val="0"/>
        <c:ser>
          <c:idx val="1"/>
          <c:order val="1"/>
          <c:tx>
            <c:v>Actual Hours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'Variance (Department)'!$B$4:$AI$4</c:f>
            </c:strRef>
          </c:cat>
          <c:val>
            <c:numRef>
              <c:f>'Variance (Department)'!$B$25:$AI$25</c:f>
              <c:numCache/>
            </c:numRef>
          </c:val>
          <c:smooth val="0"/>
        </c:ser>
        <c:axId val="1441064219"/>
        <c:axId val="1117318079"/>
      </c:lineChart>
      <c:catAx>
        <c:axId val="14410642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7318079"/>
      </c:catAx>
      <c:valAx>
        <c:axId val="11173180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10642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(Department)'!$B$38:$AI$38</c:f>
              <c:numCache/>
            </c:numRef>
          </c:val>
        </c:ser>
        <c:axId val="1375804392"/>
        <c:axId val="59591504"/>
      </c:barChart>
      <c:catAx>
        <c:axId val="1375804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591504"/>
      </c:catAx>
      <c:valAx>
        <c:axId val="59591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58043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Project Manager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(Department)'!$B$31:$AI$31</c:f>
              <c:numCache/>
            </c:numRef>
          </c:val>
        </c:ser>
        <c:axId val="1970112368"/>
        <c:axId val="347172195"/>
      </c:barChart>
      <c:catAx>
        <c:axId val="1970112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7172195"/>
      </c:catAx>
      <c:valAx>
        <c:axId val="347172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0112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Documentation Team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(Department)'!$B$32:$AI$32</c:f>
              <c:numCache/>
            </c:numRef>
          </c:val>
        </c:ser>
        <c:axId val="1506641115"/>
        <c:axId val="1932675198"/>
      </c:barChart>
      <c:catAx>
        <c:axId val="15066411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2675198"/>
      </c:catAx>
      <c:valAx>
        <c:axId val="1932675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66411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Media Team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(Department)'!$B$33:$AI$33</c:f>
              <c:numCache/>
            </c:numRef>
          </c:val>
        </c:ser>
        <c:axId val="617238853"/>
        <c:axId val="1104071034"/>
      </c:barChart>
      <c:catAx>
        <c:axId val="617238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071034"/>
      </c:catAx>
      <c:valAx>
        <c:axId val="11040710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7238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Marketing Team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(Department)'!$B$34:$AI$34</c:f>
              <c:numCache/>
            </c:numRef>
          </c:val>
        </c:ser>
        <c:axId val="1648302973"/>
        <c:axId val="1260769320"/>
      </c:barChart>
      <c:catAx>
        <c:axId val="1648302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0769320"/>
      </c:catAx>
      <c:valAx>
        <c:axId val="12607693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8302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Finance Team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(Department)'!$B$35:$AI$35</c:f>
              <c:numCache/>
            </c:numRef>
          </c:val>
        </c:ser>
        <c:axId val="1052045612"/>
        <c:axId val="577109289"/>
      </c:barChart>
      <c:catAx>
        <c:axId val="1052045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7109289"/>
      </c:catAx>
      <c:valAx>
        <c:axId val="5771092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2045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QA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(Department)'!$B$36:$AI$36</c:f>
              <c:numCache/>
            </c:numRef>
          </c:val>
        </c:ser>
        <c:axId val="212836647"/>
        <c:axId val="441687085"/>
      </c:barChart>
      <c:catAx>
        <c:axId val="212836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1687085"/>
      </c:catAx>
      <c:valAx>
        <c:axId val="4416870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8366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Graph Showing Variance in Hours of the Software Team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Projected Hours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0"/>
          </c:dPt>
          <c:cat>
            <c:strRef>
              <c:f>'Variance (Department)'!$B$4:$AI$4</c:f>
            </c:strRef>
          </c:cat>
          <c:val>
            <c:numRef>
              <c:f>'Variance (Department)'!$B$37:$AI$37</c:f>
              <c:numCache/>
            </c:numRef>
          </c:val>
        </c:ser>
        <c:axId val="504583330"/>
        <c:axId val="1051348261"/>
      </c:barChart>
      <c:catAx>
        <c:axId val="504583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 Number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348261"/>
      </c:catAx>
      <c:valAx>
        <c:axId val="10513482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Variance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45833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Chart Showing the Actual Breakdown of Costs During the First 34 Weeks of the Development Period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7BAAF7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'Actual vs. Predicted Costs'!$C$4:$C$10</c:f>
            </c:strRef>
          </c:cat>
          <c:val>
            <c:numRef>
              <c:f>'Actual vs. Predicted Costs'!$C$4:$C$10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600">
              <a:solidFill>
                <a:srgbClr val="000000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Chart Showing the Predicted Breakdown of Costs During the First 34 Weeks of the Development Period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EA4335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BBC04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34A853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FF6D01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46BDC6"/>
              </a:solidFill>
              <a:ln cmpd="sng" w="9525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7BAAF7"/>
              </a:solidFill>
              <a:ln cmpd="sng" w="9525">
                <a:solidFill>
                  <a:srgbClr val="00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'Actual vs. Predicted Costs'!$E$4:$E$10</c:f>
            </c:strRef>
          </c:cat>
          <c:val>
            <c:numRef>
              <c:f>'Actual vs. Predicted Costs'!$E$4:$E$10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1" sz="160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Sales Forecast for the First Year Post-Development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5"/>
            <c:marker>
              <c:symbol val="none"/>
            </c:marker>
          </c:dPt>
          <c:cat>
            <c:strRef>
              <c:f>Sales!$J$2:$U$2</c:f>
            </c:strRef>
          </c:cat>
          <c:val>
            <c:numRef>
              <c:f>Sales!$J$6:$U$6</c:f>
              <c:numCache/>
            </c:numRef>
          </c:val>
          <c:smooth val="0"/>
        </c:ser>
        <c:axId val="1538120060"/>
        <c:axId val="968087277"/>
      </c:lineChart>
      <c:catAx>
        <c:axId val="15381200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Months (2023 into 2024)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8087277"/>
      </c:catAx>
      <c:valAx>
        <c:axId val="9680872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Monthly Cash 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120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11" Type="http://schemas.openxmlformats.org/officeDocument/2006/relationships/chart" Target="../charts/chart13.xml"/><Relationship Id="rId10" Type="http://schemas.openxmlformats.org/officeDocument/2006/relationships/chart" Target="../charts/chart12.xml"/><Relationship Id="rId9" Type="http://schemas.openxmlformats.org/officeDocument/2006/relationships/chart" Target="../charts/chart11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Relationship Id="rId8" Type="http://schemas.openxmlformats.org/officeDocument/2006/relationships/chart" Target="../charts/chart2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704850</xdr:colOff>
      <xdr:row>36</xdr:row>
      <xdr:rowOff>47625</xdr:rowOff>
    </xdr:from>
    <xdr:ext cx="8534400" cy="4048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0</xdr:row>
      <xdr:rowOff>180975</xdr:rowOff>
    </xdr:from>
    <xdr:ext cx="6962775" cy="4114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65</xdr:row>
      <xdr:rowOff>104775</xdr:rowOff>
    </xdr:from>
    <xdr:ext cx="4362450" cy="26955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200025</xdr:colOff>
      <xdr:row>51</xdr:row>
      <xdr:rowOff>66675</xdr:rowOff>
    </xdr:from>
    <xdr:ext cx="4362450" cy="26955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323850</xdr:colOff>
      <xdr:row>51</xdr:row>
      <xdr:rowOff>66675</xdr:rowOff>
    </xdr:from>
    <xdr:ext cx="4362450" cy="26955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200025</xdr:colOff>
      <xdr:row>65</xdr:row>
      <xdr:rowOff>104775</xdr:rowOff>
    </xdr:from>
    <xdr:ext cx="4362450" cy="26955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914400</xdr:colOff>
      <xdr:row>51</xdr:row>
      <xdr:rowOff>66675</xdr:rowOff>
    </xdr:from>
    <xdr:ext cx="4362450" cy="26955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914400</xdr:colOff>
      <xdr:row>65</xdr:row>
      <xdr:rowOff>104775</xdr:rowOff>
    </xdr:from>
    <xdr:ext cx="4362450" cy="26955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16</xdr:col>
      <xdr:colOff>419100</xdr:colOff>
      <xdr:row>51</xdr:row>
      <xdr:rowOff>66675</xdr:rowOff>
    </xdr:from>
    <xdr:ext cx="4362450" cy="26955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419100</xdr:colOff>
      <xdr:row>65</xdr:row>
      <xdr:rowOff>104775</xdr:rowOff>
    </xdr:from>
    <xdr:ext cx="4362450" cy="26955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323850</xdr:colOff>
      <xdr:row>79</xdr:row>
      <xdr:rowOff>142875</xdr:rowOff>
    </xdr:from>
    <xdr:ext cx="4362450" cy="26955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5</xdr:col>
      <xdr:colOff>200025</xdr:colOff>
      <xdr:row>79</xdr:row>
      <xdr:rowOff>142875</xdr:rowOff>
    </xdr:from>
    <xdr:ext cx="4362450" cy="26955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10</xdr:col>
      <xdr:colOff>914400</xdr:colOff>
      <xdr:row>79</xdr:row>
      <xdr:rowOff>142875</xdr:rowOff>
    </xdr:from>
    <xdr:ext cx="4362450" cy="26955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1333500</xdr:colOff>
      <xdr:row>40</xdr:row>
      <xdr:rowOff>171450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552450</xdr:colOff>
      <xdr:row>40</xdr:row>
      <xdr:rowOff>180975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200025</xdr:colOff>
      <xdr:row>60</xdr:row>
      <xdr:rowOff>190500</xdr:rowOff>
    </xdr:from>
    <xdr:ext cx="5486400" cy="335280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914400</xdr:colOff>
      <xdr:row>60</xdr:row>
      <xdr:rowOff>190500</xdr:rowOff>
    </xdr:from>
    <xdr:ext cx="5486400" cy="3352800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723900</xdr:colOff>
      <xdr:row>60</xdr:row>
      <xdr:rowOff>190500</xdr:rowOff>
    </xdr:from>
    <xdr:ext cx="5486400" cy="3352800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16</xdr:col>
      <xdr:colOff>590550</xdr:colOff>
      <xdr:row>60</xdr:row>
      <xdr:rowOff>190500</xdr:rowOff>
    </xdr:from>
    <xdr:ext cx="5486400" cy="3352800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200025</xdr:colOff>
      <xdr:row>77</xdr:row>
      <xdr:rowOff>180975</xdr:rowOff>
    </xdr:from>
    <xdr:ext cx="5486400" cy="3352800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</xdr:col>
      <xdr:colOff>914400</xdr:colOff>
      <xdr:row>77</xdr:row>
      <xdr:rowOff>180975</xdr:rowOff>
    </xdr:from>
    <xdr:ext cx="5429250" cy="3352800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10</xdr:col>
      <xdr:colOff>723900</xdr:colOff>
      <xdr:row>78</xdr:row>
      <xdr:rowOff>38100</xdr:rowOff>
    </xdr:from>
    <xdr:ext cx="5429250" cy="3295650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1</xdr:row>
      <xdr:rowOff>0</xdr:rowOff>
    </xdr:from>
    <xdr:ext cx="6962775" cy="4914900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257175</xdr:colOff>
      <xdr:row>1</xdr:row>
      <xdr:rowOff>0</xdr:rowOff>
    </xdr:from>
    <xdr:ext cx="6962775" cy="4914900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11</xdr:row>
      <xdr:rowOff>57150</xdr:rowOff>
    </xdr:from>
    <xdr:ext cx="9477375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LLIkmqhITbfkxwt2gY2HYUjOgDNHKiU/view?usp=sharing" TargetMode="External"/><Relationship Id="rId2" Type="http://schemas.openxmlformats.org/officeDocument/2006/relationships/hyperlink" Target="https://drive.google.com/file/d/16L3X_0cwx7yUy3b4jB5lDA28Wt4WNoF2/view?usp=sharing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euniguide.co.uk/advice/preparing-for-university/list-of-campus-unis-in-the-uk" TargetMode="External"/><Relationship Id="rId2" Type="http://schemas.openxmlformats.org/officeDocument/2006/relationships/hyperlink" Target="https://www.hesa.ac.uk/data-and-analysis/students/where-study" TargetMode="External"/><Relationship Id="rId3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30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2" t="s">
        <v>1</v>
      </c>
      <c r="M1" s="3"/>
      <c r="N1" s="3"/>
      <c r="O1" s="3"/>
      <c r="P1" s="4"/>
      <c r="Q1" s="2" t="s">
        <v>2</v>
      </c>
      <c r="R1" s="3"/>
      <c r="S1" s="3"/>
      <c r="T1" s="3"/>
      <c r="U1" s="3"/>
      <c r="V1" s="3"/>
      <c r="W1" s="3"/>
      <c r="X1" s="3"/>
      <c r="Y1" s="3"/>
      <c r="Z1" s="4"/>
      <c r="AA1" s="2" t="s">
        <v>3</v>
      </c>
      <c r="AB1" s="3"/>
      <c r="AC1" s="3"/>
      <c r="AD1" s="4"/>
      <c r="AE1" s="2" t="s">
        <v>4</v>
      </c>
      <c r="AF1" s="3"/>
      <c r="AG1" s="3"/>
      <c r="AH1" s="3"/>
      <c r="AI1" s="3"/>
      <c r="AJ1" s="3"/>
      <c r="AK1" s="3"/>
      <c r="AL1" s="3"/>
      <c r="AM1" s="3"/>
      <c r="AN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5" t="s">
        <v>12</v>
      </c>
      <c r="X2" s="5" t="s">
        <v>13</v>
      </c>
      <c r="Y2" s="5" t="s">
        <v>14</v>
      </c>
      <c r="Z2" s="5" t="s">
        <v>15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5" t="s">
        <v>14</v>
      </c>
      <c r="AN2" s="5" t="s">
        <v>15</v>
      </c>
    </row>
    <row r="3">
      <c r="A3" s="6" t="s">
        <v>16</v>
      </c>
      <c r="B3" s="5">
        <v>1.0</v>
      </c>
      <c r="C3" s="5">
        <v>2.0</v>
      </c>
      <c r="D3" s="5">
        <v>3.0</v>
      </c>
      <c r="E3" s="5">
        <v>4.0</v>
      </c>
      <c r="F3" s="5">
        <v>5.0</v>
      </c>
      <c r="G3" s="5">
        <v>6.0</v>
      </c>
      <c r="H3" s="5">
        <v>7.0</v>
      </c>
      <c r="I3" s="5">
        <v>8.0</v>
      </c>
      <c r="J3" s="5">
        <v>9.0</v>
      </c>
      <c r="K3" s="5">
        <v>10.0</v>
      </c>
      <c r="L3" s="5">
        <v>11.0</v>
      </c>
      <c r="M3" s="5">
        <v>12.0</v>
      </c>
      <c r="N3" s="5">
        <v>13.0</v>
      </c>
      <c r="O3" s="5">
        <v>14.0</v>
      </c>
      <c r="P3" s="5">
        <v>15.0</v>
      </c>
      <c r="Q3" s="5">
        <v>16.0</v>
      </c>
      <c r="R3" s="5">
        <v>17.0</v>
      </c>
      <c r="S3" s="5">
        <v>18.0</v>
      </c>
      <c r="T3" s="5">
        <v>19.0</v>
      </c>
      <c r="U3" s="5">
        <v>20.0</v>
      </c>
      <c r="V3" s="5">
        <v>21.0</v>
      </c>
      <c r="W3" s="5">
        <v>22.0</v>
      </c>
      <c r="X3" s="5">
        <v>23.0</v>
      </c>
      <c r="Y3" s="5">
        <v>24.0</v>
      </c>
      <c r="Z3" s="5">
        <v>25.0</v>
      </c>
      <c r="AA3" s="5">
        <v>26.0</v>
      </c>
      <c r="AB3" s="5">
        <v>27.0</v>
      </c>
      <c r="AC3" s="5">
        <v>28.0</v>
      </c>
      <c r="AD3" s="5">
        <v>29.0</v>
      </c>
      <c r="AE3" s="5">
        <v>30.0</v>
      </c>
      <c r="AF3" s="5">
        <v>31.0</v>
      </c>
      <c r="AG3" s="5">
        <v>32.0</v>
      </c>
      <c r="AH3" s="5">
        <v>33.0</v>
      </c>
      <c r="AI3" s="5">
        <v>34.0</v>
      </c>
      <c r="AJ3" s="5">
        <v>35.0</v>
      </c>
      <c r="AK3" s="5">
        <v>36.0</v>
      </c>
      <c r="AL3" s="5">
        <v>37.0</v>
      </c>
      <c r="AM3" s="5">
        <v>38.0</v>
      </c>
      <c r="AN3" s="5">
        <v>39.0</v>
      </c>
    </row>
    <row r="4">
      <c r="A4" s="7" t="s">
        <v>17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>
      <c r="A5" s="9" t="s">
        <v>18</v>
      </c>
      <c r="B5" s="10">
        <v>35000.0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>
        <v>17000.0</v>
      </c>
      <c r="AF5" s="8"/>
      <c r="AG5" s="8"/>
      <c r="AH5" s="8"/>
      <c r="AI5" s="8"/>
      <c r="AJ5" s="8"/>
      <c r="AK5" s="8"/>
      <c r="AL5" s="8"/>
      <c r="AM5" s="8"/>
      <c r="AN5" s="8"/>
    </row>
    <row r="6">
      <c r="A6" s="9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10">
        <v>250.0</v>
      </c>
      <c r="W6" s="8"/>
      <c r="X6" s="8"/>
      <c r="Y6" s="8"/>
      <c r="Z6" s="10">
        <v>500.0</v>
      </c>
      <c r="AA6" s="8"/>
      <c r="AB6" s="8"/>
      <c r="AC6" s="8"/>
      <c r="AD6" s="8"/>
      <c r="AE6" s="10">
        <v>250.0</v>
      </c>
      <c r="AF6" s="8"/>
      <c r="AG6" s="8"/>
      <c r="AH6" s="8"/>
      <c r="AI6" s="8"/>
      <c r="AJ6" s="8"/>
      <c r="AK6" s="8"/>
      <c r="AL6" s="8"/>
      <c r="AM6" s="8"/>
      <c r="AN6" s="8"/>
    </row>
    <row r="7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s="12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>
      <c r="A9" s="13" t="s">
        <v>21</v>
      </c>
      <c r="B9" s="10">
        <f t="shared" ref="B9:AN9" si="1">$B$39</f>
        <v>12.5</v>
      </c>
      <c r="C9" s="10">
        <f t="shared" si="1"/>
        <v>12.5</v>
      </c>
      <c r="D9" s="10">
        <f t="shared" si="1"/>
        <v>12.5</v>
      </c>
      <c r="E9" s="10">
        <f t="shared" si="1"/>
        <v>12.5</v>
      </c>
      <c r="F9" s="10">
        <f t="shared" si="1"/>
        <v>12.5</v>
      </c>
      <c r="G9" s="10">
        <f t="shared" si="1"/>
        <v>12.5</v>
      </c>
      <c r="H9" s="10">
        <f t="shared" si="1"/>
        <v>12.5</v>
      </c>
      <c r="I9" s="10">
        <f t="shared" si="1"/>
        <v>12.5</v>
      </c>
      <c r="J9" s="10">
        <f t="shared" si="1"/>
        <v>12.5</v>
      </c>
      <c r="K9" s="10">
        <f t="shared" si="1"/>
        <v>12.5</v>
      </c>
      <c r="L9" s="10">
        <f t="shared" si="1"/>
        <v>12.5</v>
      </c>
      <c r="M9" s="10">
        <f t="shared" si="1"/>
        <v>12.5</v>
      </c>
      <c r="N9" s="10">
        <f t="shared" si="1"/>
        <v>12.5</v>
      </c>
      <c r="O9" s="10">
        <f t="shared" si="1"/>
        <v>12.5</v>
      </c>
      <c r="P9" s="10">
        <f t="shared" si="1"/>
        <v>12.5</v>
      </c>
      <c r="Q9" s="10">
        <f t="shared" si="1"/>
        <v>12.5</v>
      </c>
      <c r="R9" s="10">
        <f t="shared" si="1"/>
        <v>12.5</v>
      </c>
      <c r="S9" s="10">
        <f t="shared" si="1"/>
        <v>12.5</v>
      </c>
      <c r="T9" s="10">
        <f t="shared" si="1"/>
        <v>12.5</v>
      </c>
      <c r="U9" s="10">
        <f t="shared" si="1"/>
        <v>12.5</v>
      </c>
      <c r="V9" s="10">
        <f t="shared" si="1"/>
        <v>12.5</v>
      </c>
      <c r="W9" s="10">
        <f t="shared" si="1"/>
        <v>12.5</v>
      </c>
      <c r="X9" s="10">
        <f t="shared" si="1"/>
        <v>12.5</v>
      </c>
      <c r="Y9" s="10">
        <f t="shared" si="1"/>
        <v>12.5</v>
      </c>
      <c r="Z9" s="10">
        <f t="shared" si="1"/>
        <v>12.5</v>
      </c>
      <c r="AA9" s="10">
        <f t="shared" si="1"/>
        <v>12.5</v>
      </c>
      <c r="AB9" s="10">
        <f t="shared" si="1"/>
        <v>12.5</v>
      </c>
      <c r="AC9" s="10">
        <f t="shared" si="1"/>
        <v>12.5</v>
      </c>
      <c r="AD9" s="10">
        <f t="shared" si="1"/>
        <v>12.5</v>
      </c>
      <c r="AE9" s="10">
        <f t="shared" si="1"/>
        <v>12.5</v>
      </c>
      <c r="AF9" s="10">
        <f t="shared" si="1"/>
        <v>12.5</v>
      </c>
      <c r="AG9" s="10">
        <f t="shared" si="1"/>
        <v>12.5</v>
      </c>
      <c r="AH9" s="10">
        <f t="shared" si="1"/>
        <v>12.5</v>
      </c>
      <c r="AI9" s="10">
        <f t="shared" si="1"/>
        <v>12.5</v>
      </c>
      <c r="AJ9" s="10">
        <f t="shared" si="1"/>
        <v>12.5</v>
      </c>
      <c r="AK9" s="10">
        <f t="shared" si="1"/>
        <v>12.5</v>
      </c>
      <c r="AL9" s="10">
        <f t="shared" si="1"/>
        <v>12.5</v>
      </c>
      <c r="AM9" s="10">
        <f t="shared" si="1"/>
        <v>12.5</v>
      </c>
      <c r="AN9" s="10">
        <f t="shared" si="1"/>
        <v>12.5</v>
      </c>
    </row>
    <row r="10">
      <c r="A10" s="13" t="s">
        <v>22</v>
      </c>
      <c r="B10" s="14">
        <f>'Projected Hours'!B46</f>
        <v>0</v>
      </c>
      <c r="C10" s="14">
        <f>'Projected Hours'!C46</f>
        <v>0</v>
      </c>
      <c r="D10" s="14">
        <f>'Projected Hours'!D46</f>
        <v>0</v>
      </c>
      <c r="E10" s="14">
        <f>'Projected Hours'!E46</f>
        <v>0</v>
      </c>
      <c r="F10" s="14">
        <f>'Projected Hours'!F46</f>
        <v>0</v>
      </c>
      <c r="G10" s="14">
        <f>'Projected Hours'!G46</f>
        <v>9.75</v>
      </c>
      <c r="H10" s="14">
        <f>'Projected Hours'!H46</f>
        <v>47.25</v>
      </c>
      <c r="I10" s="14">
        <f>'Projected Hours'!I46</f>
        <v>37</v>
      </c>
      <c r="J10" s="14">
        <f>'Projected Hours'!J46</f>
        <v>47.25</v>
      </c>
      <c r="K10" s="14">
        <f>'Projected Hours'!K46</f>
        <v>37.5</v>
      </c>
      <c r="L10" s="14">
        <f>'Projected Hours'!L46</f>
        <v>8.75</v>
      </c>
      <c r="M10" s="14">
        <f>'Projected Hours'!M46</f>
        <v>10.75</v>
      </c>
      <c r="N10" s="14">
        <f>'Projected Hours'!N46</f>
        <v>0</v>
      </c>
      <c r="O10" s="14">
        <f>'Projected Hours'!O46</f>
        <v>6.5</v>
      </c>
      <c r="P10" s="14">
        <f>'Projected Hours'!P46</f>
        <v>6.5</v>
      </c>
      <c r="Q10" s="14">
        <f>'Projected Hours'!Q46</f>
        <v>46.75</v>
      </c>
      <c r="R10" s="14">
        <f>'Projected Hours'!R46</f>
        <v>33</v>
      </c>
      <c r="S10" s="14">
        <f>'Projected Hours'!S46</f>
        <v>67.75</v>
      </c>
      <c r="T10" s="14">
        <f>'Projected Hours'!T46</f>
        <v>51.25</v>
      </c>
      <c r="U10" s="14">
        <f>'Projected Hours'!U46</f>
        <v>65</v>
      </c>
      <c r="V10" s="14">
        <f>'Projected Hours'!V46</f>
        <v>69.5</v>
      </c>
      <c r="W10" s="14">
        <f>'Projected Hours'!W46</f>
        <v>87.5</v>
      </c>
      <c r="X10" s="14">
        <f>'Projected Hours'!X46</f>
        <v>59</v>
      </c>
      <c r="Y10" s="14">
        <f>'Projected Hours'!Y46</f>
        <v>71</v>
      </c>
      <c r="Z10" s="14">
        <f>'Projected Hours'!Z46</f>
        <v>63.5</v>
      </c>
      <c r="AA10" s="14">
        <f>'Projected Hours'!AA46</f>
        <v>0</v>
      </c>
      <c r="AB10" s="14">
        <f>'Projected Hours'!AB46</f>
        <v>0</v>
      </c>
      <c r="AC10" s="14">
        <f>'Projected Hours'!AC46</f>
        <v>0</v>
      </c>
      <c r="AD10" s="14">
        <f>'Projected Hours'!AD46</f>
        <v>0</v>
      </c>
      <c r="AE10" s="14">
        <f>'Projected Hours'!AE46</f>
        <v>21</v>
      </c>
      <c r="AF10" s="14">
        <f>'Projected Hours'!AF46</f>
        <v>26</v>
      </c>
      <c r="AG10" s="14">
        <f>'Projected Hours'!AG46</f>
        <v>41</v>
      </c>
      <c r="AH10" s="14">
        <f>'Projected Hours'!AH46</f>
        <v>25</v>
      </c>
      <c r="AI10" s="14">
        <f>'Projected Hours'!AI46</f>
        <v>29</v>
      </c>
      <c r="AJ10" s="14">
        <f>'Projected Hours'!AJ46</f>
        <v>47</v>
      </c>
      <c r="AK10" s="14">
        <f>'Projected Hours'!AK46</f>
        <v>40</v>
      </c>
      <c r="AL10" s="14">
        <f>'Projected Hours'!AL46</f>
        <v>78</v>
      </c>
      <c r="AM10" s="14">
        <f>'Projected Hours'!AM46</f>
        <v>0</v>
      </c>
      <c r="AN10" s="14">
        <f>'Projected Hours'!AN46</f>
        <v>0</v>
      </c>
    </row>
    <row r="11">
      <c r="A11" s="15" t="s">
        <v>23</v>
      </c>
      <c r="B11" s="8">
        <f t="shared" ref="B11:AN11" si="2">B10*B9</f>
        <v>0</v>
      </c>
      <c r="C11" s="8">
        <f t="shared" si="2"/>
        <v>0</v>
      </c>
      <c r="D11" s="8">
        <f t="shared" si="2"/>
        <v>0</v>
      </c>
      <c r="E11" s="8">
        <f t="shared" si="2"/>
        <v>0</v>
      </c>
      <c r="F11" s="8">
        <f t="shared" si="2"/>
        <v>0</v>
      </c>
      <c r="G11" s="8">
        <f t="shared" si="2"/>
        <v>121.875</v>
      </c>
      <c r="H11" s="8">
        <f t="shared" si="2"/>
        <v>590.625</v>
      </c>
      <c r="I11" s="8">
        <f t="shared" si="2"/>
        <v>462.5</v>
      </c>
      <c r="J11" s="8">
        <f t="shared" si="2"/>
        <v>590.625</v>
      </c>
      <c r="K11" s="8">
        <f t="shared" si="2"/>
        <v>468.75</v>
      </c>
      <c r="L11" s="8">
        <f t="shared" si="2"/>
        <v>109.375</v>
      </c>
      <c r="M11" s="8">
        <f t="shared" si="2"/>
        <v>134.375</v>
      </c>
      <c r="N11" s="8">
        <f t="shared" si="2"/>
        <v>0</v>
      </c>
      <c r="O11" s="8">
        <f t="shared" si="2"/>
        <v>81.25</v>
      </c>
      <c r="P11" s="8">
        <f t="shared" si="2"/>
        <v>81.25</v>
      </c>
      <c r="Q11" s="8">
        <f t="shared" si="2"/>
        <v>584.375</v>
      </c>
      <c r="R11" s="8">
        <f t="shared" si="2"/>
        <v>412.5</v>
      </c>
      <c r="S11" s="8">
        <f t="shared" si="2"/>
        <v>846.875</v>
      </c>
      <c r="T11" s="8">
        <f t="shared" si="2"/>
        <v>640.625</v>
      </c>
      <c r="U11" s="8">
        <f t="shared" si="2"/>
        <v>812.5</v>
      </c>
      <c r="V11" s="8">
        <f t="shared" si="2"/>
        <v>868.75</v>
      </c>
      <c r="W11" s="8">
        <f t="shared" si="2"/>
        <v>1093.75</v>
      </c>
      <c r="X11" s="8">
        <f t="shared" si="2"/>
        <v>737.5</v>
      </c>
      <c r="Y11" s="8">
        <f t="shared" si="2"/>
        <v>887.5</v>
      </c>
      <c r="Z11" s="8">
        <f t="shared" si="2"/>
        <v>793.75</v>
      </c>
      <c r="AA11" s="8">
        <f t="shared" si="2"/>
        <v>0</v>
      </c>
      <c r="AB11" s="8">
        <f t="shared" si="2"/>
        <v>0</v>
      </c>
      <c r="AC11" s="8">
        <f t="shared" si="2"/>
        <v>0</v>
      </c>
      <c r="AD11" s="8">
        <f t="shared" si="2"/>
        <v>0</v>
      </c>
      <c r="AE11" s="8">
        <f t="shared" si="2"/>
        <v>262.5</v>
      </c>
      <c r="AF11" s="8">
        <f t="shared" si="2"/>
        <v>325</v>
      </c>
      <c r="AG11" s="8">
        <f t="shared" si="2"/>
        <v>512.5</v>
      </c>
      <c r="AH11" s="8">
        <f t="shared" si="2"/>
        <v>312.5</v>
      </c>
      <c r="AI11" s="8">
        <f t="shared" si="2"/>
        <v>362.5</v>
      </c>
      <c r="AJ11" s="8">
        <f t="shared" si="2"/>
        <v>587.5</v>
      </c>
      <c r="AK11" s="8">
        <f t="shared" si="2"/>
        <v>500</v>
      </c>
      <c r="AL11" s="8">
        <f t="shared" si="2"/>
        <v>975</v>
      </c>
      <c r="AM11" s="8">
        <f t="shared" si="2"/>
        <v>0</v>
      </c>
      <c r="AN11" s="8">
        <f t="shared" si="2"/>
        <v>0</v>
      </c>
    </row>
    <row r="12">
      <c r="A12" s="15" t="s">
        <v>24</v>
      </c>
      <c r="B12" s="8">
        <f t="shared" ref="B12:AD12" si="3">$B$43*$B5</f>
        <v>105.0269932</v>
      </c>
      <c r="C12" s="8">
        <f t="shared" si="3"/>
        <v>105.0269932</v>
      </c>
      <c r="D12" s="8">
        <f t="shared" si="3"/>
        <v>105.0269932</v>
      </c>
      <c r="E12" s="8">
        <f t="shared" si="3"/>
        <v>105.0269932</v>
      </c>
      <c r="F12" s="8">
        <f t="shared" si="3"/>
        <v>105.0269932</v>
      </c>
      <c r="G12" s="8">
        <f t="shared" si="3"/>
        <v>105.0269932</v>
      </c>
      <c r="H12" s="8">
        <f t="shared" si="3"/>
        <v>105.0269932</v>
      </c>
      <c r="I12" s="8">
        <f t="shared" si="3"/>
        <v>105.0269932</v>
      </c>
      <c r="J12" s="8">
        <f t="shared" si="3"/>
        <v>105.0269932</v>
      </c>
      <c r="K12" s="8">
        <f t="shared" si="3"/>
        <v>105.0269932</v>
      </c>
      <c r="L12" s="8">
        <f t="shared" si="3"/>
        <v>105.0269932</v>
      </c>
      <c r="M12" s="8">
        <f t="shared" si="3"/>
        <v>105.0269932</v>
      </c>
      <c r="N12" s="8">
        <f t="shared" si="3"/>
        <v>105.0269932</v>
      </c>
      <c r="O12" s="8">
        <f t="shared" si="3"/>
        <v>105.0269932</v>
      </c>
      <c r="P12" s="8">
        <f t="shared" si="3"/>
        <v>105.0269932</v>
      </c>
      <c r="Q12" s="8">
        <f t="shared" si="3"/>
        <v>105.0269932</v>
      </c>
      <c r="R12" s="8">
        <f t="shared" si="3"/>
        <v>105.0269932</v>
      </c>
      <c r="S12" s="8">
        <f t="shared" si="3"/>
        <v>105.0269932</v>
      </c>
      <c r="T12" s="8">
        <f t="shared" si="3"/>
        <v>105.0269932</v>
      </c>
      <c r="U12" s="8">
        <f t="shared" si="3"/>
        <v>105.0269932</v>
      </c>
      <c r="V12" s="8">
        <f t="shared" si="3"/>
        <v>105.0269932</v>
      </c>
      <c r="W12" s="8">
        <f t="shared" si="3"/>
        <v>105.0269932</v>
      </c>
      <c r="X12" s="8">
        <f t="shared" si="3"/>
        <v>105.0269932</v>
      </c>
      <c r="Y12" s="8">
        <f t="shared" si="3"/>
        <v>105.0269932</v>
      </c>
      <c r="Z12" s="8">
        <f t="shared" si="3"/>
        <v>105.0269932</v>
      </c>
      <c r="AA12" s="8">
        <f t="shared" si="3"/>
        <v>105.0269932</v>
      </c>
      <c r="AB12" s="8">
        <f t="shared" si="3"/>
        <v>105.0269932</v>
      </c>
      <c r="AC12" s="8">
        <f t="shared" si="3"/>
        <v>105.0269932</v>
      </c>
      <c r="AD12" s="8">
        <f t="shared" si="3"/>
        <v>105.0269932</v>
      </c>
      <c r="AE12" s="8">
        <f t="shared" ref="AE12:AN12" si="4">$B$43*($B5+$AE$5)</f>
        <v>156.0401042</v>
      </c>
      <c r="AF12" s="8">
        <f t="shared" si="4"/>
        <v>156.0401042</v>
      </c>
      <c r="AG12" s="8">
        <f t="shared" si="4"/>
        <v>156.0401042</v>
      </c>
      <c r="AH12" s="8">
        <f t="shared" si="4"/>
        <v>156.0401042</v>
      </c>
      <c r="AI12" s="8">
        <f t="shared" si="4"/>
        <v>156.0401042</v>
      </c>
      <c r="AJ12" s="8">
        <f t="shared" si="4"/>
        <v>156.0401042</v>
      </c>
      <c r="AK12" s="8">
        <f t="shared" si="4"/>
        <v>156.0401042</v>
      </c>
      <c r="AL12" s="8">
        <f t="shared" si="4"/>
        <v>156.0401042</v>
      </c>
      <c r="AM12" s="8">
        <f t="shared" si="4"/>
        <v>156.0401042</v>
      </c>
      <c r="AN12" s="8">
        <f t="shared" si="4"/>
        <v>156.0401042</v>
      </c>
    </row>
    <row r="13">
      <c r="A13" s="15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8"/>
      <c r="R13" s="8"/>
      <c r="S13" s="8"/>
      <c r="T13" s="8"/>
      <c r="U13" s="16"/>
      <c r="V13" s="16"/>
      <c r="W13" s="16"/>
      <c r="X13" s="16"/>
      <c r="Y13" s="8"/>
      <c r="AA13" s="8"/>
      <c r="AB13" s="8"/>
      <c r="AC13" s="8"/>
      <c r="AD13" s="8"/>
      <c r="AE13" s="10">
        <v>1120.0</v>
      </c>
      <c r="AF13" s="8"/>
      <c r="AG13" s="8"/>
      <c r="AH13" s="8"/>
      <c r="AI13" s="8"/>
      <c r="AJ13" s="8"/>
      <c r="AK13" s="8"/>
      <c r="AL13" s="8"/>
      <c r="AM13" s="8"/>
      <c r="AN13" s="8"/>
    </row>
    <row r="14">
      <c r="A14" s="15" t="s">
        <v>26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0">
        <v>250.0</v>
      </c>
      <c r="W14" s="8"/>
      <c r="X14" s="8"/>
      <c r="Y14" s="8"/>
      <c r="Z14" s="10">
        <v>500.0</v>
      </c>
      <c r="AA14" s="8"/>
      <c r="AB14" s="8"/>
      <c r="AC14" s="8"/>
      <c r="AD14" s="8"/>
      <c r="AE14" s="10">
        <v>350.0</v>
      </c>
      <c r="AF14" s="8"/>
      <c r="AG14" s="8"/>
      <c r="AH14" s="8"/>
      <c r="AI14" s="8"/>
      <c r="AJ14" s="8"/>
      <c r="AK14" s="8"/>
      <c r="AL14" s="8"/>
      <c r="AM14" s="8"/>
      <c r="AN14" s="8"/>
    </row>
    <row r="15">
      <c r="A15" s="17" t="s">
        <v>27</v>
      </c>
      <c r="B15" s="8">
        <f t="shared" ref="B15:AN15" si="5">$B$48</f>
        <v>632.6923077</v>
      </c>
      <c r="C15" s="8">
        <f t="shared" si="5"/>
        <v>632.6923077</v>
      </c>
      <c r="D15" s="8">
        <f t="shared" si="5"/>
        <v>632.6923077</v>
      </c>
      <c r="E15" s="8">
        <f t="shared" si="5"/>
        <v>632.6923077</v>
      </c>
      <c r="F15" s="8">
        <f t="shared" si="5"/>
        <v>632.6923077</v>
      </c>
      <c r="G15" s="8">
        <f t="shared" si="5"/>
        <v>632.6923077</v>
      </c>
      <c r="H15" s="8">
        <f t="shared" si="5"/>
        <v>632.6923077</v>
      </c>
      <c r="I15" s="8">
        <f t="shared" si="5"/>
        <v>632.6923077</v>
      </c>
      <c r="J15" s="8">
        <f t="shared" si="5"/>
        <v>632.6923077</v>
      </c>
      <c r="K15" s="8">
        <f t="shared" si="5"/>
        <v>632.6923077</v>
      </c>
      <c r="L15" s="8">
        <f t="shared" si="5"/>
        <v>632.6923077</v>
      </c>
      <c r="M15" s="8">
        <f t="shared" si="5"/>
        <v>632.6923077</v>
      </c>
      <c r="N15" s="8">
        <f t="shared" si="5"/>
        <v>632.6923077</v>
      </c>
      <c r="O15" s="8">
        <f t="shared" si="5"/>
        <v>632.6923077</v>
      </c>
      <c r="P15" s="8">
        <f t="shared" si="5"/>
        <v>632.6923077</v>
      </c>
      <c r="Q15" s="8">
        <f t="shared" si="5"/>
        <v>632.6923077</v>
      </c>
      <c r="R15" s="8">
        <f t="shared" si="5"/>
        <v>632.6923077</v>
      </c>
      <c r="S15" s="8">
        <f t="shared" si="5"/>
        <v>632.6923077</v>
      </c>
      <c r="T15" s="8">
        <f t="shared" si="5"/>
        <v>632.6923077</v>
      </c>
      <c r="U15" s="8">
        <f t="shared" si="5"/>
        <v>632.6923077</v>
      </c>
      <c r="V15" s="8">
        <f t="shared" si="5"/>
        <v>632.6923077</v>
      </c>
      <c r="W15" s="8">
        <f t="shared" si="5"/>
        <v>632.6923077</v>
      </c>
      <c r="X15" s="8">
        <f t="shared" si="5"/>
        <v>632.6923077</v>
      </c>
      <c r="Y15" s="8">
        <f t="shared" si="5"/>
        <v>632.6923077</v>
      </c>
      <c r="Z15" s="8">
        <f t="shared" si="5"/>
        <v>632.6923077</v>
      </c>
      <c r="AA15" s="8">
        <f t="shared" si="5"/>
        <v>632.6923077</v>
      </c>
      <c r="AB15" s="8">
        <f t="shared" si="5"/>
        <v>632.6923077</v>
      </c>
      <c r="AC15" s="8">
        <f t="shared" si="5"/>
        <v>632.6923077</v>
      </c>
      <c r="AD15" s="8">
        <f t="shared" si="5"/>
        <v>632.6923077</v>
      </c>
      <c r="AE15" s="8">
        <f t="shared" si="5"/>
        <v>632.6923077</v>
      </c>
      <c r="AF15" s="8">
        <f t="shared" si="5"/>
        <v>632.6923077</v>
      </c>
      <c r="AG15" s="8">
        <f t="shared" si="5"/>
        <v>632.6923077</v>
      </c>
      <c r="AH15" s="8">
        <f t="shared" si="5"/>
        <v>632.6923077</v>
      </c>
      <c r="AI15" s="8">
        <f t="shared" si="5"/>
        <v>632.6923077</v>
      </c>
      <c r="AJ15" s="8">
        <f t="shared" si="5"/>
        <v>632.6923077</v>
      </c>
      <c r="AK15" s="8">
        <f t="shared" si="5"/>
        <v>632.6923077</v>
      </c>
      <c r="AL15" s="8">
        <f t="shared" si="5"/>
        <v>632.6923077</v>
      </c>
      <c r="AM15" s="8">
        <f t="shared" si="5"/>
        <v>632.6923077</v>
      </c>
      <c r="AN15" s="8">
        <f t="shared" si="5"/>
        <v>632.6923077</v>
      </c>
    </row>
    <row r="16">
      <c r="A16" s="18" t="s">
        <v>28</v>
      </c>
      <c r="B16" s="8"/>
      <c r="C16" s="8"/>
      <c r="D16" s="8"/>
      <c r="E16" s="8">
        <f>SUM(B15:E15)</f>
        <v>2530.769231</v>
      </c>
      <c r="F16" s="8"/>
      <c r="G16" s="8"/>
      <c r="H16" s="8">
        <f>SUM(F15:H15)</f>
        <v>1898.076923</v>
      </c>
      <c r="I16" s="8"/>
      <c r="J16" s="8"/>
      <c r="K16" s="8">
        <f>SUM(I15:K15)</f>
        <v>1898.076923</v>
      </c>
      <c r="L16" s="8"/>
      <c r="M16" s="8"/>
      <c r="N16" s="8"/>
      <c r="O16" s="8"/>
      <c r="P16" s="8"/>
      <c r="Q16" s="8"/>
      <c r="R16" s="8"/>
      <c r="S16" s="8"/>
      <c r="T16" s="8">
        <f>SUM(L15:T15)</f>
        <v>5694.230769</v>
      </c>
      <c r="U16" s="8"/>
      <c r="V16" s="8"/>
      <c r="W16" s="8">
        <f>SUM(U15:W15)</f>
        <v>1898.076923</v>
      </c>
      <c r="X16" s="8"/>
      <c r="Y16" s="8"/>
      <c r="Z16" s="8">
        <f>SUM(X15:Z15)</f>
        <v>1898.076923</v>
      </c>
      <c r="AA16" s="8"/>
      <c r="AB16" s="8"/>
      <c r="AC16" s="8"/>
      <c r="AD16" s="8"/>
      <c r="AE16" s="8"/>
      <c r="AF16" s="8"/>
      <c r="AG16" s="8"/>
      <c r="AH16" s="8">
        <f>SUM(AA15:AH15)</f>
        <v>5061.538462</v>
      </c>
      <c r="AI16" s="8"/>
      <c r="AJ16" s="8"/>
      <c r="AK16" s="8">
        <f>SUM(AI15:AK15)</f>
        <v>1898.076923</v>
      </c>
      <c r="AL16" s="8"/>
      <c r="AM16" s="8"/>
      <c r="AN16" s="8">
        <f>SUM(AL15:AN15)</f>
        <v>1898.076923</v>
      </c>
    </row>
    <row r="17">
      <c r="A17" s="17" t="s">
        <v>29</v>
      </c>
      <c r="B17" s="8">
        <f t="shared" ref="B17:AN17" si="6">$B$50</f>
        <v>50</v>
      </c>
      <c r="C17" s="8">
        <f t="shared" si="6"/>
        <v>50</v>
      </c>
      <c r="D17" s="8">
        <f t="shared" si="6"/>
        <v>50</v>
      </c>
      <c r="E17" s="8">
        <f t="shared" si="6"/>
        <v>50</v>
      </c>
      <c r="F17" s="8">
        <f t="shared" si="6"/>
        <v>50</v>
      </c>
      <c r="G17" s="8">
        <f t="shared" si="6"/>
        <v>50</v>
      </c>
      <c r="H17" s="8">
        <f t="shared" si="6"/>
        <v>50</v>
      </c>
      <c r="I17" s="8">
        <f t="shared" si="6"/>
        <v>50</v>
      </c>
      <c r="J17" s="8">
        <f t="shared" si="6"/>
        <v>50</v>
      </c>
      <c r="K17" s="8">
        <f t="shared" si="6"/>
        <v>50</v>
      </c>
      <c r="L17" s="8">
        <f t="shared" si="6"/>
        <v>50</v>
      </c>
      <c r="M17" s="8">
        <f t="shared" si="6"/>
        <v>50</v>
      </c>
      <c r="N17" s="8">
        <f t="shared" si="6"/>
        <v>50</v>
      </c>
      <c r="O17" s="8">
        <f t="shared" si="6"/>
        <v>50</v>
      </c>
      <c r="P17" s="8">
        <f t="shared" si="6"/>
        <v>50</v>
      </c>
      <c r="Q17" s="8">
        <f t="shared" si="6"/>
        <v>50</v>
      </c>
      <c r="R17" s="8">
        <f t="shared" si="6"/>
        <v>50</v>
      </c>
      <c r="S17" s="8">
        <f t="shared" si="6"/>
        <v>50</v>
      </c>
      <c r="T17" s="8">
        <f t="shared" si="6"/>
        <v>50</v>
      </c>
      <c r="U17" s="8">
        <f t="shared" si="6"/>
        <v>50</v>
      </c>
      <c r="V17" s="8">
        <f t="shared" si="6"/>
        <v>50</v>
      </c>
      <c r="W17" s="8">
        <f t="shared" si="6"/>
        <v>50</v>
      </c>
      <c r="X17" s="8">
        <f t="shared" si="6"/>
        <v>50</v>
      </c>
      <c r="Y17" s="8">
        <f t="shared" si="6"/>
        <v>50</v>
      </c>
      <c r="Z17" s="8">
        <f t="shared" si="6"/>
        <v>50</v>
      </c>
      <c r="AA17" s="8">
        <f t="shared" si="6"/>
        <v>50</v>
      </c>
      <c r="AB17" s="8">
        <f t="shared" si="6"/>
        <v>50</v>
      </c>
      <c r="AC17" s="8">
        <f t="shared" si="6"/>
        <v>50</v>
      </c>
      <c r="AD17" s="8">
        <f t="shared" si="6"/>
        <v>50</v>
      </c>
      <c r="AE17" s="8">
        <f t="shared" si="6"/>
        <v>50</v>
      </c>
      <c r="AF17" s="8">
        <f t="shared" si="6"/>
        <v>50</v>
      </c>
      <c r="AG17" s="8">
        <f t="shared" si="6"/>
        <v>50</v>
      </c>
      <c r="AH17" s="8">
        <f t="shared" si="6"/>
        <v>50</v>
      </c>
      <c r="AI17" s="8">
        <f t="shared" si="6"/>
        <v>50</v>
      </c>
      <c r="AJ17" s="8">
        <f t="shared" si="6"/>
        <v>50</v>
      </c>
      <c r="AK17" s="8">
        <f t="shared" si="6"/>
        <v>50</v>
      </c>
      <c r="AL17" s="8">
        <f t="shared" si="6"/>
        <v>50</v>
      </c>
      <c r="AM17" s="8">
        <f t="shared" si="6"/>
        <v>50</v>
      </c>
      <c r="AN17" s="8">
        <f t="shared" si="6"/>
        <v>50</v>
      </c>
    </row>
    <row r="18">
      <c r="A18" s="18" t="s">
        <v>30</v>
      </c>
      <c r="B18" s="8"/>
      <c r="C18" s="8"/>
      <c r="D18" s="8"/>
      <c r="E18" s="8"/>
      <c r="F18" s="8"/>
      <c r="G18" s="8">
        <f>SUM(B17:G17)</f>
        <v>300</v>
      </c>
      <c r="H18" s="8"/>
      <c r="I18" s="8"/>
      <c r="J18" s="8"/>
      <c r="K18" s="8">
        <f>SUM(H17:K17)</f>
        <v>200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>
        <f>SUM((L17:V17))</f>
        <v>550</v>
      </c>
      <c r="W18" s="8"/>
      <c r="X18" s="8"/>
      <c r="Y18" s="8"/>
      <c r="Z18" s="8">
        <f>SUM(W17:Z17)</f>
        <v>200</v>
      </c>
      <c r="AA18" s="8"/>
      <c r="AB18" s="8"/>
      <c r="AC18" s="8"/>
      <c r="AD18" s="8"/>
      <c r="AE18" s="8"/>
      <c r="AF18" s="8"/>
      <c r="AG18" s="8"/>
      <c r="AH18" s="8"/>
      <c r="AI18" s="8"/>
      <c r="AJ18" s="8">
        <f>SUM(AA17:AJ17)</f>
        <v>500</v>
      </c>
      <c r="AK18" s="8"/>
      <c r="AL18" s="8"/>
      <c r="AM18" s="8"/>
      <c r="AN18" s="8">
        <f>SUM(AK17:AN17)</f>
        <v>200</v>
      </c>
    </row>
    <row r="19">
      <c r="A19" s="17" t="s">
        <v>31</v>
      </c>
      <c r="B19" s="8">
        <f t="shared" ref="B19:AN19" si="7">$B$51</f>
        <v>100</v>
      </c>
      <c r="C19" s="8">
        <f t="shared" si="7"/>
        <v>100</v>
      </c>
      <c r="D19" s="8">
        <f t="shared" si="7"/>
        <v>100</v>
      </c>
      <c r="E19" s="8">
        <f t="shared" si="7"/>
        <v>100</v>
      </c>
      <c r="F19" s="8">
        <f t="shared" si="7"/>
        <v>100</v>
      </c>
      <c r="G19" s="8">
        <f t="shared" si="7"/>
        <v>100</v>
      </c>
      <c r="H19" s="8">
        <f t="shared" si="7"/>
        <v>100</v>
      </c>
      <c r="I19" s="8">
        <f t="shared" si="7"/>
        <v>100</v>
      </c>
      <c r="J19" s="8">
        <f t="shared" si="7"/>
        <v>100</v>
      </c>
      <c r="K19" s="8">
        <f t="shared" si="7"/>
        <v>100</v>
      </c>
      <c r="L19" s="8">
        <f t="shared" si="7"/>
        <v>100</v>
      </c>
      <c r="M19" s="8">
        <f t="shared" si="7"/>
        <v>100</v>
      </c>
      <c r="N19" s="8">
        <f t="shared" si="7"/>
        <v>100</v>
      </c>
      <c r="O19" s="8">
        <f t="shared" si="7"/>
        <v>100</v>
      </c>
      <c r="P19" s="8">
        <f t="shared" si="7"/>
        <v>100</v>
      </c>
      <c r="Q19" s="8">
        <f t="shared" si="7"/>
        <v>100</v>
      </c>
      <c r="R19" s="8">
        <f t="shared" si="7"/>
        <v>100</v>
      </c>
      <c r="S19" s="8">
        <f t="shared" si="7"/>
        <v>100</v>
      </c>
      <c r="T19" s="8">
        <f t="shared" si="7"/>
        <v>100</v>
      </c>
      <c r="U19" s="8">
        <f t="shared" si="7"/>
        <v>100</v>
      </c>
      <c r="V19" s="8">
        <f t="shared" si="7"/>
        <v>100</v>
      </c>
      <c r="W19" s="8">
        <f t="shared" si="7"/>
        <v>100</v>
      </c>
      <c r="X19" s="8">
        <f t="shared" si="7"/>
        <v>100</v>
      </c>
      <c r="Y19" s="8">
        <f t="shared" si="7"/>
        <v>100</v>
      </c>
      <c r="Z19" s="8">
        <f t="shared" si="7"/>
        <v>100</v>
      </c>
      <c r="AA19" s="8">
        <f t="shared" si="7"/>
        <v>100</v>
      </c>
      <c r="AB19" s="8">
        <f t="shared" si="7"/>
        <v>100</v>
      </c>
      <c r="AC19" s="8">
        <f t="shared" si="7"/>
        <v>100</v>
      </c>
      <c r="AD19" s="8">
        <f t="shared" si="7"/>
        <v>100</v>
      </c>
      <c r="AE19" s="8">
        <f t="shared" si="7"/>
        <v>100</v>
      </c>
      <c r="AF19" s="8">
        <f t="shared" si="7"/>
        <v>100</v>
      </c>
      <c r="AG19" s="8">
        <f t="shared" si="7"/>
        <v>100</v>
      </c>
      <c r="AH19" s="8">
        <f t="shared" si="7"/>
        <v>100</v>
      </c>
      <c r="AI19" s="8">
        <f t="shared" si="7"/>
        <v>100</v>
      </c>
      <c r="AJ19" s="8">
        <f t="shared" si="7"/>
        <v>100</v>
      </c>
      <c r="AK19" s="8">
        <f t="shared" si="7"/>
        <v>100</v>
      </c>
      <c r="AL19" s="8">
        <f t="shared" si="7"/>
        <v>100</v>
      </c>
      <c r="AM19" s="8">
        <f t="shared" si="7"/>
        <v>100</v>
      </c>
      <c r="AN19" s="8">
        <f t="shared" si="7"/>
        <v>100</v>
      </c>
    </row>
    <row r="20">
      <c r="A20" s="18" t="s">
        <v>32</v>
      </c>
      <c r="B20" s="8"/>
      <c r="C20" s="8"/>
      <c r="D20" s="8"/>
      <c r="E20" s="8"/>
      <c r="F20" s="8"/>
      <c r="G20" s="8">
        <f>SUM(B19:G19)</f>
        <v>600</v>
      </c>
      <c r="H20" s="8"/>
      <c r="I20" s="8"/>
      <c r="J20" s="8"/>
      <c r="K20" s="8">
        <f>SUM(H19:K19)</f>
        <v>400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>
        <f>SUM(L19:V19)</f>
        <v>1100</v>
      </c>
      <c r="W20" s="8"/>
      <c r="X20" s="8"/>
      <c r="Y20" s="8"/>
      <c r="Z20" s="8">
        <f>SUM(W19:Z19)</f>
        <v>400</v>
      </c>
      <c r="AA20" s="8"/>
      <c r="AB20" s="8"/>
      <c r="AC20" s="8"/>
      <c r="AD20" s="8"/>
      <c r="AE20" s="8"/>
      <c r="AF20" s="8"/>
      <c r="AG20" s="8"/>
      <c r="AH20" s="8"/>
      <c r="AI20" s="8"/>
      <c r="AJ20" s="8">
        <f>SUM(AA19:AJ19)</f>
        <v>1000</v>
      </c>
      <c r="AK20" s="8"/>
      <c r="AL20" s="8"/>
      <c r="AM20" s="8"/>
      <c r="AN20" s="8">
        <f>SUM(AK19:AN19)</f>
        <v>400</v>
      </c>
    </row>
    <row r="21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>
      <c r="A22" s="19" t="s">
        <v>33</v>
      </c>
      <c r="B22" s="10">
        <f>B53</f>
        <v>0</v>
      </c>
      <c r="C22" s="10">
        <f t="shared" ref="C22:AN22" si="8">B26</f>
        <v>34894.97301</v>
      </c>
      <c r="D22" s="10">
        <f t="shared" si="8"/>
        <v>34789.94601</v>
      </c>
      <c r="E22" s="10">
        <f t="shared" si="8"/>
        <v>34684.91902</v>
      </c>
      <c r="F22" s="10">
        <f t="shared" si="8"/>
        <v>32049.1228</v>
      </c>
      <c r="G22" s="10">
        <f t="shared" si="8"/>
        <v>31944.0958</v>
      </c>
      <c r="H22" s="10">
        <f t="shared" si="8"/>
        <v>30817.19381</v>
      </c>
      <c r="I22" s="10">
        <f t="shared" si="8"/>
        <v>28223.46489</v>
      </c>
      <c r="J22" s="10">
        <f t="shared" si="8"/>
        <v>27655.9379</v>
      </c>
      <c r="K22" s="10">
        <f t="shared" si="8"/>
        <v>26960.28591</v>
      </c>
      <c r="L22" s="10">
        <f t="shared" si="8"/>
        <v>23888.43199</v>
      </c>
      <c r="M22" s="10">
        <f t="shared" si="8"/>
        <v>23674.03</v>
      </c>
      <c r="N22" s="10">
        <f t="shared" si="8"/>
        <v>23434.628</v>
      </c>
      <c r="O22" s="10">
        <f t="shared" si="8"/>
        <v>23329.60101</v>
      </c>
      <c r="P22" s="10">
        <f t="shared" si="8"/>
        <v>23143.32402</v>
      </c>
      <c r="Q22" s="10">
        <f t="shared" si="8"/>
        <v>22957.04703</v>
      </c>
      <c r="R22" s="10">
        <f t="shared" si="8"/>
        <v>22267.64503</v>
      </c>
      <c r="S22" s="10">
        <f t="shared" si="8"/>
        <v>21750.11804</v>
      </c>
      <c r="T22" s="10">
        <f t="shared" si="8"/>
        <v>20798.21605</v>
      </c>
      <c r="U22" s="10">
        <f t="shared" si="8"/>
        <v>14358.33328</v>
      </c>
      <c r="V22" s="10">
        <f t="shared" si="8"/>
        <v>13440.80629</v>
      </c>
      <c r="W22" s="10">
        <f t="shared" si="8"/>
        <v>10817.0293</v>
      </c>
      <c r="X22" s="10">
        <f t="shared" si="8"/>
        <v>7720.175381</v>
      </c>
      <c r="Y22" s="10">
        <f t="shared" si="8"/>
        <v>6877.648388</v>
      </c>
      <c r="Z22" s="10">
        <f t="shared" si="8"/>
        <v>5885.121394</v>
      </c>
      <c r="AA22" s="10">
        <f t="shared" si="8"/>
        <v>2488.267478</v>
      </c>
      <c r="AB22" s="10">
        <f t="shared" si="8"/>
        <v>2383.240485</v>
      </c>
      <c r="AC22" s="10">
        <f t="shared" si="8"/>
        <v>2278.213492</v>
      </c>
      <c r="AD22" s="10">
        <f t="shared" si="8"/>
        <v>2173.186499</v>
      </c>
      <c r="AE22" s="10">
        <f t="shared" si="8"/>
        <v>2068.159505</v>
      </c>
      <c r="AF22" s="10">
        <f t="shared" si="8"/>
        <v>17429.6194</v>
      </c>
      <c r="AG22" s="10">
        <f t="shared" si="8"/>
        <v>16948.5793</v>
      </c>
      <c r="AH22" s="10">
        <f t="shared" si="8"/>
        <v>16280.03919</v>
      </c>
      <c r="AI22" s="10">
        <f t="shared" si="8"/>
        <v>10749.96063</v>
      </c>
      <c r="AJ22" s="10">
        <f t="shared" si="8"/>
        <v>10231.42052</v>
      </c>
      <c r="AK22" s="10">
        <f t="shared" si="8"/>
        <v>7987.880419</v>
      </c>
      <c r="AL22" s="10">
        <f t="shared" si="8"/>
        <v>5433.763392</v>
      </c>
      <c r="AM22" s="10">
        <f t="shared" si="8"/>
        <v>4302.723288</v>
      </c>
      <c r="AN22" s="10">
        <f t="shared" si="8"/>
        <v>4146.683183</v>
      </c>
    </row>
    <row r="23">
      <c r="A23" s="20" t="s">
        <v>17</v>
      </c>
      <c r="B23" s="8">
        <f t="shared" ref="B23:AN23" si="9">SUM(B5:B6)</f>
        <v>35000</v>
      </c>
      <c r="C23" s="8">
        <f t="shared" si="9"/>
        <v>0</v>
      </c>
      <c r="D23" s="8">
        <f t="shared" si="9"/>
        <v>0</v>
      </c>
      <c r="E23" s="8">
        <f t="shared" si="9"/>
        <v>0</v>
      </c>
      <c r="F23" s="8">
        <f t="shared" si="9"/>
        <v>0</v>
      </c>
      <c r="G23" s="8">
        <f t="shared" si="9"/>
        <v>0</v>
      </c>
      <c r="H23" s="8">
        <f t="shared" si="9"/>
        <v>0</v>
      </c>
      <c r="I23" s="8">
        <f t="shared" si="9"/>
        <v>0</v>
      </c>
      <c r="J23" s="8">
        <f t="shared" si="9"/>
        <v>0</v>
      </c>
      <c r="K23" s="8">
        <f t="shared" si="9"/>
        <v>0</v>
      </c>
      <c r="L23" s="8">
        <f t="shared" si="9"/>
        <v>0</v>
      </c>
      <c r="M23" s="8">
        <f t="shared" si="9"/>
        <v>0</v>
      </c>
      <c r="N23" s="8">
        <f t="shared" si="9"/>
        <v>0</v>
      </c>
      <c r="O23" s="8">
        <f t="shared" si="9"/>
        <v>0</v>
      </c>
      <c r="P23" s="8">
        <f t="shared" si="9"/>
        <v>0</v>
      </c>
      <c r="Q23" s="8">
        <f t="shared" si="9"/>
        <v>0</v>
      </c>
      <c r="R23" s="8">
        <f t="shared" si="9"/>
        <v>0</v>
      </c>
      <c r="S23" s="8">
        <f t="shared" si="9"/>
        <v>0</v>
      </c>
      <c r="T23" s="8">
        <f t="shared" si="9"/>
        <v>0</v>
      </c>
      <c r="U23" s="8">
        <f t="shared" si="9"/>
        <v>0</v>
      </c>
      <c r="V23" s="8">
        <f t="shared" si="9"/>
        <v>250</v>
      </c>
      <c r="W23" s="8">
        <f t="shared" si="9"/>
        <v>0</v>
      </c>
      <c r="X23" s="8">
        <f t="shared" si="9"/>
        <v>0</v>
      </c>
      <c r="Y23" s="8">
        <f t="shared" si="9"/>
        <v>0</v>
      </c>
      <c r="Z23" s="8">
        <f t="shared" si="9"/>
        <v>500</v>
      </c>
      <c r="AA23" s="8">
        <f t="shared" si="9"/>
        <v>0</v>
      </c>
      <c r="AB23" s="8">
        <f t="shared" si="9"/>
        <v>0</v>
      </c>
      <c r="AC23" s="8">
        <f t="shared" si="9"/>
        <v>0</v>
      </c>
      <c r="AD23" s="8">
        <f t="shared" si="9"/>
        <v>0</v>
      </c>
      <c r="AE23" s="8">
        <f t="shared" si="9"/>
        <v>17250</v>
      </c>
      <c r="AF23" s="8">
        <f t="shared" si="9"/>
        <v>0</v>
      </c>
      <c r="AG23" s="8">
        <f t="shared" si="9"/>
        <v>0</v>
      </c>
      <c r="AH23" s="8">
        <f t="shared" si="9"/>
        <v>0</v>
      </c>
      <c r="AI23" s="8">
        <f t="shared" si="9"/>
        <v>0</v>
      </c>
      <c r="AJ23" s="8">
        <f t="shared" si="9"/>
        <v>0</v>
      </c>
      <c r="AK23" s="8">
        <f t="shared" si="9"/>
        <v>0</v>
      </c>
      <c r="AL23" s="8">
        <f t="shared" si="9"/>
        <v>0</v>
      </c>
      <c r="AM23" s="8">
        <f t="shared" si="9"/>
        <v>0</v>
      </c>
      <c r="AN23" s="8">
        <f t="shared" si="9"/>
        <v>0</v>
      </c>
    </row>
    <row r="24">
      <c r="A24" s="20" t="s">
        <v>20</v>
      </c>
      <c r="B24" s="21">
        <f t="shared" ref="B24:AN24" si="10">SUM(B11:B14)+B16+B18+B20</f>
        <v>105.0269932</v>
      </c>
      <c r="C24" s="21">
        <f t="shared" si="10"/>
        <v>105.0269932</v>
      </c>
      <c r="D24" s="21">
        <f t="shared" si="10"/>
        <v>105.0269932</v>
      </c>
      <c r="E24" s="21">
        <f t="shared" si="10"/>
        <v>2635.796224</v>
      </c>
      <c r="F24" s="21">
        <f t="shared" si="10"/>
        <v>105.0269932</v>
      </c>
      <c r="G24" s="21">
        <f t="shared" si="10"/>
        <v>1126.901993</v>
      </c>
      <c r="H24" s="21">
        <f t="shared" si="10"/>
        <v>2593.728916</v>
      </c>
      <c r="I24" s="21">
        <f t="shared" si="10"/>
        <v>567.5269932</v>
      </c>
      <c r="J24" s="21">
        <f t="shared" si="10"/>
        <v>695.6519932</v>
      </c>
      <c r="K24" s="21">
        <f t="shared" si="10"/>
        <v>3071.853916</v>
      </c>
      <c r="L24" s="21">
        <f t="shared" si="10"/>
        <v>214.4019932</v>
      </c>
      <c r="M24" s="21">
        <f t="shared" si="10"/>
        <v>239.4019932</v>
      </c>
      <c r="N24" s="21">
        <f t="shared" si="10"/>
        <v>105.0269932</v>
      </c>
      <c r="O24" s="21">
        <f t="shared" si="10"/>
        <v>186.2769932</v>
      </c>
      <c r="P24" s="21">
        <f t="shared" si="10"/>
        <v>186.2769932</v>
      </c>
      <c r="Q24" s="21">
        <f t="shared" si="10"/>
        <v>689.4019932</v>
      </c>
      <c r="R24" s="21">
        <f t="shared" si="10"/>
        <v>517.5269932</v>
      </c>
      <c r="S24" s="21">
        <f t="shared" si="10"/>
        <v>951.9019932</v>
      </c>
      <c r="T24" s="21">
        <f t="shared" si="10"/>
        <v>6439.882762</v>
      </c>
      <c r="U24" s="21">
        <f t="shared" si="10"/>
        <v>917.5269932</v>
      </c>
      <c r="V24" s="21">
        <f t="shared" si="10"/>
        <v>2873.776993</v>
      </c>
      <c r="W24" s="21">
        <f t="shared" si="10"/>
        <v>3096.853916</v>
      </c>
      <c r="X24" s="21">
        <f t="shared" si="10"/>
        <v>842.5269932</v>
      </c>
      <c r="Y24" s="21">
        <f t="shared" si="10"/>
        <v>992.5269932</v>
      </c>
      <c r="Z24" s="21">
        <f t="shared" si="10"/>
        <v>3896.853916</v>
      </c>
      <c r="AA24" s="21">
        <f t="shared" si="10"/>
        <v>105.0269932</v>
      </c>
      <c r="AB24" s="21">
        <f t="shared" si="10"/>
        <v>105.0269932</v>
      </c>
      <c r="AC24" s="21">
        <f t="shared" si="10"/>
        <v>105.0269932</v>
      </c>
      <c r="AD24" s="21">
        <f t="shared" si="10"/>
        <v>105.0269932</v>
      </c>
      <c r="AE24" s="21">
        <f t="shared" si="10"/>
        <v>1888.540104</v>
      </c>
      <c r="AF24" s="21">
        <f t="shared" si="10"/>
        <v>481.0401042</v>
      </c>
      <c r="AG24" s="21">
        <f t="shared" si="10"/>
        <v>668.5401042</v>
      </c>
      <c r="AH24" s="21">
        <f t="shared" si="10"/>
        <v>5530.078566</v>
      </c>
      <c r="AI24" s="21">
        <f t="shared" si="10"/>
        <v>518.5401042</v>
      </c>
      <c r="AJ24" s="21">
        <f t="shared" si="10"/>
        <v>2243.540104</v>
      </c>
      <c r="AK24" s="21">
        <f t="shared" si="10"/>
        <v>2554.117027</v>
      </c>
      <c r="AL24" s="21">
        <f t="shared" si="10"/>
        <v>1131.040104</v>
      </c>
      <c r="AM24" s="21">
        <f t="shared" si="10"/>
        <v>156.0401042</v>
      </c>
      <c r="AN24" s="21">
        <f t="shared" si="10"/>
        <v>2654.117027</v>
      </c>
    </row>
    <row r="25">
      <c r="A25" s="19" t="s">
        <v>34</v>
      </c>
      <c r="B25" s="8">
        <f t="shared" ref="B25:AN25" si="11">B23-B24</f>
        <v>34894.97301</v>
      </c>
      <c r="C25" s="8">
        <f t="shared" si="11"/>
        <v>-105.0269932</v>
      </c>
      <c r="D25" s="8">
        <f t="shared" si="11"/>
        <v>-105.0269932</v>
      </c>
      <c r="E25" s="8">
        <f t="shared" si="11"/>
        <v>-2635.796224</v>
      </c>
      <c r="F25" s="8">
        <f t="shared" si="11"/>
        <v>-105.0269932</v>
      </c>
      <c r="G25" s="8">
        <f t="shared" si="11"/>
        <v>-1126.901993</v>
      </c>
      <c r="H25" s="8">
        <f t="shared" si="11"/>
        <v>-2593.728916</v>
      </c>
      <c r="I25" s="8">
        <f t="shared" si="11"/>
        <v>-567.5269932</v>
      </c>
      <c r="J25" s="8">
        <f t="shared" si="11"/>
        <v>-695.6519932</v>
      </c>
      <c r="K25" s="8">
        <f t="shared" si="11"/>
        <v>-3071.853916</v>
      </c>
      <c r="L25" s="8">
        <f t="shared" si="11"/>
        <v>-214.4019932</v>
      </c>
      <c r="M25" s="8">
        <f t="shared" si="11"/>
        <v>-239.4019932</v>
      </c>
      <c r="N25" s="8">
        <f t="shared" si="11"/>
        <v>-105.0269932</v>
      </c>
      <c r="O25" s="8">
        <f t="shared" si="11"/>
        <v>-186.2769932</v>
      </c>
      <c r="P25" s="8">
        <f t="shared" si="11"/>
        <v>-186.2769932</v>
      </c>
      <c r="Q25" s="8">
        <f t="shared" si="11"/>
        <v>-689.4019932</v>
      </c>
      <c r="R25" s="8">
        <f t="shared" si="11"/>
        <v>-517.5269932</v>
      </c>
      <c r="S25" s="8">
        <f t="shared" si="11"/>
        <v>-951.9019932</v>
      </c>
      <c r="T25" s="8">
        <f t="shared" si="11"/>
        <v>-6439.882762</v>
      </c>
      <c r="U25" s="8">
        <f t="shared" si="11"/>
        <v>-917.5269932</v>
      </c>
      <c r="V25" s="8">
        <f t="shared" si="11"/>
        <v>-2623.776993</v>
      </c>
      <c r="W25" s="8">
        <f t="shared" si="11"/>
        <v>-3096.853916</v>
      </c>
      <c r="X25" s="8">
        <f t="shared" si="11"/>
        <v>-842.5269932</v>
      </c>
      <c r="Y25" s="8">
        <f t="shared" si="11"/>
        <v>-992.5269932</v>
      </c>
      <c r="Z25" s="8">
        <f t="shared" si="11"/>
        <v>-3396.853916</v>
      </c>
      <c r="AA25" s="8">
        <f t="shared" si="11"/>
        <v>-105.0269932</v>
      </c>
      <c r="AB25" s="8">
        <f t="shared" si="11"/>
        <v>-105.0269932</v>
      </c>
      <c r="AC25" s="8">
        <f t="shared" si="11"/>
        <v>-105.0269932</v>
      </c>
      <c r="AD25" s="8">
        <f t="shared" si="11"/>
        <v>-105.0269932</v>
      </c>
      <c r="AE25" s="8">
        <f t="shared" si="11"/>
        <v>15361.4599</v>
      </c>
      <c r="AF25" s="8">
        <f t="shared" si="11"/>
        <v>-481.0401042</v>
      </c>
      <c r="AG25" s="8">
        <f t="shared" si="11"/>
        <v>-668.5401042</v>
      </c>
      <c r="AH25" s="8">
        <f t="shared" si="11"/>
        <v>-5530.078566</v>
      </c>
      <c r="AI25" s="8">
        <f t="shared" si="11"/>
        <v>-518.5401042</v>
      </c>
      <c r="AJ25" s="8">
        <f t="shared" si="11"/>
        <v>-2243.540104</v>
      </c>
      <c r="AK25" s="8">
        <f t="shared" si="11"/>
        <v>-2554.117027</v>
      </c>
      <c r="AL25" s="8">
        <f t="shared" si="11"/>
        <v>-1131.040104</v>
      </c>
      <c r="AM25" s="8">
        <f t="shared" si="11"/>
        <v>-156.0401042</v>
      </c>
      <c r="AN25" s="8">
        <f t="shared" si="11"/>
        <v>-2654.117027</v>
      </c>
    </row>
    <row r="26">
      <c r="A26" s="20" t="s">
        <v>35</v>
      </c>
      <c r="B26" s="8">
        <f>B25</f>
        <v>34894.97301</v>
      </c>
      <c r="C26" s="8">
        <f t="shared" ref="C26:AN26" si="12">C22+C25</f>
        <v>34789.94601</v>
      </c>
      <c r="D26" s="8">
        <f t="shared" si="12"/>
        <v>34684.91902</v>
      </c>
      <c r="E26" s="8">
        <f t="shared" si="12"/>
        <v>32049.1228</v>
      </c>
      <c r="F26" s="8">
        <f t="shared" si="12"/>
        <v>31944.0958</v>
      </c>
      <c r="G26" s="8">
        <f t="shared" si="12"/>
        <v>30817.19381</v>
      </c>
      <c r="H26" s="8">
        <f t="shared" si="12"/>
        <v>28223.46489</v>
      </c>
      <c r="I26" s="8">
        <f t="shared" si="12"/>
        <v>27655.9379</v>
      </c>
      <c r="J26" s="8">
        <f t="shared" si="12"/>
        <v>26960.28591</v>
      </c>
      <c r="K26" s="8">
        <f t="shared" si="12"/>
        <v>23888.43199</v>
      </c>
      <c r="L26" s="8">
        <f t="shared" si="12"/>
        <v>23674.03</v>
      </c>
      <c r="M26" s="8">
        <f t="shared" si="12"/>
        <v>23434.628</v>
      </c>
      <c r="N26" s="8">
        <f t="shared" si="12"/>
        <v>23329.60101</v>
      </c>
      <c r="O26" s="8">
        <f t="shared" si="12"/>
        <v>23143.32402</v>
      </c>
      <c r="P26" s="8">
        <f t="shared" si="12"/>
        <v>22957.04703</v>
      </c>
      <c r="Q26" s="8">
        <f t="shared" si="12"/>
        <v>22267.64503</v>
      </c>
      <c r="R26" s="8">
        <f t="shared" si="12"/>
        <v>21750.11804</v>
      </c>
      <c r="S26" s="8">
        <f t="shared" si="12"/>
        <v>20798.21605</v>
      </c>
      <c r="T26" s="8">
        <f t="shared" si="12"/>
        <v>14358.33328</v>
      </c>
      <c r="U26" s="8">
        <f t="shared" si="12"/>
        <v>13440.80629</v>
      </c>
      <c r="V26" s="8">
        <f t="shared" si="12"/>
        <v>10817.0293</v>
      </c>
      <c r="W26" s="8">
        <f t="shared" si="12"/>
        <v>7720.175381</v>
      </c>
      <c r="X26" s="8">
        <f t="shared" si="12"/>
        <v>6877.648388</v>
      </c>
      <c r="Y26" s="8">
        <f t="shared" si="12"/>
        <v>5885.121394</v>
      </c>
      <c r="Z26" s="8">
        <f t="shared" si="12"/>
        <v>2488.267478</v>
      </c>
      <c r="AA26" s="8">
        <f t="shared" si="12"/>
        <v>2383.240485</v>
      </c>
      <c r="AB26" s="8">
        <f t="shared" si="12"/>
        <v>2278.213492</v>
      </c>
      <c r="AC26" s="8">
        <f t="shared" si="12"/>
        <v>2173.186499</v>
      </c>
      <c r="AD26" s="8">
        <f t="shared" si="12"/>
        <v>2068.159505</v>
      </c>
      <c r="AE26" s="8">
        <f t="shared" si="12"/>
        <v>17429.6194</v>
      </c>
      <c r="AF26" s="8">
        <f t="shared" si="12"/>
        <v>16948.5793</v>
      </c>
      <c r="AG26" s="8">
        <f t="shared" si="12"/>
        <v>16280.03919</v>
      </c>
      <c r="AH26" s="8">
        <f t="shared" si="12"/>
        <v>10749.96063</v>
      </c>
      <c r="AI26" s="8">
        <f t="shared" si="12"/>
        <v>10231.42052</v>
      </c>
      <c r="AJ26" s="8">
        <f t="shared" si="12"/>
        <v>7987.880419</v>
      </c>
      <c r="AK26" s="8">
        <f t="shared" si="12"/>
        <v>5433.763392</v>
      </c>
      <c r="AL26" s="8">
        <f t="shared" si="12"/>
        <v>4302.723288</v>
      </c>
      <c r="AM26" s="8">
        <f t="shared" si="12"/>
        <v>4146.683183</v>
      </c>
      <c r="AN26" s="8">
        <f t="shared" si="12"/>
        <v>1492.566156</v>
      </c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</row>
    <row r="28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>
      <c r="A29" s="25" t="s">
        <v>33</v>
      </c>
      <c r="B29" s="8">
        <f>B53</f>
        <v>0</v>
      </c>
      <c r="C29" s="8">
        <f t="shared" ref="C29:AN29" si="13">B33</f>
        <v>-105.0269932</v>
      </c>
      <c r="D29" s="8">
        <f t="shared" si="13"/>
        <v>-210.0539864</v>
      </c>
      <c r="E29" s="8">
        <f t="shared" si="13"/>
        <v>-315.0809795</v>
      </c>
      <c r="F29" s="8">
        <f t="shared" si="13"/>
        <v>-2950.877203</v>
      </c>
      <c r="G29" s="8">
        <f t="shared" si="13"/>
        <v>-3055.904197</v>
      </c>
      <c r="H29" s="8">
        <f t="shared" si="13"/>
        <v>-4182.80619</v>
      </c>
      <c r="I29" s="8">
        <f t="shared" si="13"/>
        <v>-6776.535106</v>
      </c>
      <c r="J29" s="8">
        <f t="shared" si="13"/>
        <v>-7344.062099</v>
      </c>
      <c r="K29" s="8">
        <f t="shared" si="13"/>
        <v>-8039.714092</v>
      </c>
      <c r="L29" s="8">
        <f t="shared" si="13"/>
        <v>-11111.56801</v>
      </c>
      <c r="M29" s="8">
        <f t="shared" si="13"/>
        <v>-11325.97</v>
      </c>
      <c r="N29" s="8">
        <f t="shared" si="13"/>
        <v>-11565.372</v>
      </c>
      <c r="O29" s="8">
        <f t="shared" si="13"/>
        <v>-11670.39899</v>
      </c>
      <c r="P29" s="8">
        <f t="shared" si="13"/>
        <v>-11856.67598</v>
      </c>
      <c r="Q29" s="8">
        <f t="shared" si="13"/>
        <v>-12042.95297</v>
      </c>
      <c r="R29" s="8">
        <f t="shared" si="13"/>
        <v>-12732.35497</v>
      </c>
      <c r="S29" s="8">
        <f t="shared" si="13"/>
        <v>-13249.88196</v>
      </c>
      <c r="T29" s="8">
        <f t="shared" si="13"/>
        <v>-14201.78395</v>
      </c>
      <c r="U29" s="8">
        <f t="shared" si="13"/>
        <v>-20641.66672</v>
      </c>
      <c r="V29" s="8">
        <f t="shared" si="13"/>
        <v>-21309.19371</v>
      </c>
      <c r="W29" s="8">
        <f t="shared" si="13"/>
        <v>-24182.9707</v>
      </c>
      <c r="X29" s="8">
        <f t="shared" si="13"/>
        <v>-27279.82462</v>
      </c>
      <c r="Y29" s="8">
        <f t="shared" si="13"/>
        <v>-28122.35161</v>
      </c>
      <c r="Z29" s="8">
        <f t="shared" si="13"/>
        <v>-28614.87861</v>
      </c>
      <c r="AA29" s="8">
        <f t="shared" si="13"/>
        <v>-32511.73252</v>
      </c>
      <c r="AB29" s="8">
        <f t="shared" si="13"/>
        <v>-32616.75952</v>
      </c>
      <c r="AC29" s="8">
        <f t="shared" si="13"/>
        <v>-32721.78651</v>
      </c>
      <c r="AD29" s="8">
        <f t="shared" si="13"/>
        <v>-32826.8135</v>
      </c>
      <c r="AE29" s="8">
        <f t="shared" si="13"/>
        <v>-32681.84049</v>
      </c>
      <c r="AF29" s="8">
        <f t="shared" si="13"/>
        <v>-34570.3806</v>
      </c>
      <c r="AG29" s="8">
        <f t="shared" si="13"/>
        <v>-35051.4207</v>
      </c>
      <c r="AH29" s="8">
        <f t="shared" si="13"/>
        <v>-35719.96081</v>
      </c>
      <c r="AI29" s="8">
        <f t="shared" si="13"/>
        <v>-41250.03937</v>
      </c>
      <c r="AJ29" s="8">
        <f t="shared" si="13"/>
        <v>-41768.57948</v>
      </c>
      <c r="AK29" s="8">
        <f t="shared" si="13"/>
        <v>-44012.11958</v>
      </c>
      <c r="AL29" s="8">
        <f t="shared" si="13"/>
        <v>-46566.23661</v>
      </c>
      <c r="AM29" s="8">
        <f t="shared" si="13"/>
        <v>-47697.27671</v>
      </c>
      <c r="AN29" s="8">
        <f t="shared" si="13"/>
        <v>-47853.31682</v>
      </c>
    </row>
    <row r="30">
      <c r="A30" s="26" t="s">
        <v>36</v>
      </c>
      <c r="B30" s="8" t="str">
        <f t="shared" ref="B30:T30" si="14">B6</f>
        <v/>
      </c>
      <c r="C30" s="8" t="str">
        <f t="shared" si="14"/>
        <v/>
      </c>
      <c r="D30" s="8" t="str">
        <f t="shared" si="14"/>
        <v/>
      </c>
      <c r="E30" s="8" t="str">
        <f t="shared" si="14"/>
        <v/>
      </c>
      <c r="F30" s="8" t="str">
        <f t="shared" si="14"/>
        <v/>
      </c>
      <c r="G30" s="8" t="str">
        <f t="shared" si="14"/>
        <v/>
      </c>
      <c r="H30" s="8" t="str">
        <f t="shared" si="14"/>
        <v/>
      </c>
      <c r="I30" s="8" t="str">
        <f t="shared" si="14"/>
        <v/>
      </c>
      <c r="J30" s="8" t="str">
        <f t="shared" si="14"/>
        <v/>
      </c>
      <c r="K30" s="8" t="str">
        <f t="shared" si="14"/>
        <v/>
      </c>
      <c r="L30" s="8" t="str">
        <f t="shared" si="14"/>
        <v/>
      </c>
      <c r="M30" s="8" t="str">
        <f t="shared" si="14"/>
        <v/>
      </c>
      <c r="N30" s="8" t="str">
        <f t="shared" si="14"/>
        <v/>
      </c>
      <c r="O30" s="8" t="str">
        <f t="shared" si="14"/>
        <v/>
      </c>
      <c r="P30" s="8" t="str">
        <f t="shared" si="14"/>
        <v/>
      </c>
      <c r="Q30" s="8" t="str">
        <f t="shared" si="14"/>
        <v/>
      </c>
      <c r="R30" s="8" t="str">
        <f t="shared" si="14"/>
        <v/>
      </c>
      <c r="S30" s="8" t="str">
        <f t="shared" si="14"/>
        <v/>
      </c>
      <c r="T30" s="8" t="str">
        <f t="shared" si="14"/>
        <v/>
      </c>
      <c r="U30" s="8">
        <f t="shared" ref="U30:AN30" si="15">V6</f>
        <v>250</v>
      </c>
      <c r="V30" s="8" t="str">
        <f t="shared" si="15"/>
        <v/>
      </c>
      <c r="W30" s="8" t="str">
        <f t="shared" si="15"/>
        <v/>
      </c>
      <c r="X30" s="8" t="str">
        <f t="shared" si="15"/>
        <v/>
      </c>
      <c r="Y30" s="8">
        <f t="shared" si="15"/>
        <v>500</v>
      </c>
      <c r="Z30" s="8" t="str">
        <f t="shared" si="15"/>
        <v/>
      </c>
      <c r="AA30" s="8" t="str">
        <f t="shared" si="15"/>
        <v/>
      </c>
      <c r="AB30" s="8" t="str">
        <f t="shared" si="15"/>
        <v/>
      </c>
      <c r="AC30" s="8" t="str">
        <f t="shared" si="15"/>
        <v/>
      </c>
      <c r="AD30" s="8">
        <f t="shared" si="15"/>
        <v>250</v>
      </c>
      <c r="AE30" s="8" t="str">
        <f t="shared" si="15"/>
        <v/>
      </c>
      <c r="AF30" s="8" t="str">
        <f t="shared" si="15"/>
        <v/>
      </c>
      <c r="AG30" s="8" t="str">
        <f t="shared" si="15"/>
        <v/>
      </c>
      <c r="AH30" s="8" t="str">
        <f t="shared" si="15"/>
        <v/>
      </c>
      <c r="AI30" s="8" t="str">
        <f t="shared" si="15"/>
        <v/>
      </c>
      <c r="AJ30" s="8" t="str">
        <f t="shared" si="15"/>
        <v/>
      </c>
      <c r="AK30" s="8" t="str">
        <f t="shared" si="15"/>
        <v/>
      </c>
      <c r="AL30" s="8" t="str">
        <f t="shared" si="15"/>
        <v/>
      </c>
      <c r="AM30" s="8" t="str">
        <f t="shared" si="15"/>
        <v/>
      </c>
      <c r="AN30" s="8" t="str">
        <f t="shared" si="15"/>
        <v/>
      </c>
    </row>
    <row r="31">
      <c r="A31" s="26" t="s">
        <v>20</v>
      </c>
      <c r="B31" s="8">
        <f t="shared" ref="B31:AN31" si="16">B24</f>
        <v>105.0269932</v>
      </c>
      <c r="C31" s="8">
        <f t="shared" si="16"/>
        <v>105.0269932</v>
      </c>
      <c r="D31" s="8">
        <f t="shared" si="16"/>
        <v>105.0269932</v>
      </c>
      <c r="E31" s="8">
        <f t="shared" si="16"/>
        <v>2635.796224</v>
      </c>
      <c r="F31" s="8">
        <f t="shared" si="16"/>
        <v>105.0269932</v>
      </c>
      <c r="G31" s="8">
        <f t="shared" si="16"/>
        <v>1126.901993</v>
      </c>
      <c r="H31" s="8">
        <f t="shared" si="16"/>
        <v>2593.728916</v>
      </c>
      <c r="I31" s="8">
        <f t="shared" si="16"/>
        <v>567.5269932</v>
      </c>
      <c r="J31" s="8">
        <f t="shared" si="16"/>
        <v>695.6519932</v>
      </c>
      <c r="K31" s="8">
        <f t="shared" si="16"/>
        <v>3071.853916</v>
      </c>
      <c r="L31" s="8">
        <f t="shared" si="16"/>
        <v>214.4019932</v>
      </c>
      <c r="M31" s="8">
        <f t="shared" si="16"/>
        <v>239.4019932</v>
      </c>
      <c r="N31" s="8">
        <f t="shared" si="16"/>
        <v>105.0269932</v>
      </c>
      <c r="O31" s="8">
        <f t="shared" si="16"/>
        <v>186.2769932</v>
      </c>
      <c r="P31" s="8">
        <f t="shared" si="16"/>
        <v>186.2769932</v>
      </c>
      <c r="Q31" s="8">
        <f t="shared" si="16"/>
        <v>689.4019932</v>
      </c>
      <c r="R31" s="8">
        <f t="shared" si="16"/>
        <v>517.5269932</v>
      </c>
      <c r="S31" s="8">
        <f t="shared" si="16"/>
        <v>951.9019932</v>
      </c>
      <c r="T31" s="8">
        <f t="shared" si="16"/>
        <v>6439.882762</v>
      </c>
      <c r="U31" s="8">
        <f t="shared" si="16"/>
        <v>917.5269932</v>
      </c>
      <c r="V31" s="8">
        <f t="shared" si="16"/>
        <v>2873.776993</v>
      </c>
      <c r="W31" s="8">
        <f t="shared" si="16"/>
        <v>3096.853916</v>
      </c>
      <c r="X31" s="8">
        <f t="shared" si="16"/>
        <v>842.5269932</v>
      </c>
      <c r="Y31" s="8">
        <f t="shared" si="16"/>
        <v>992.5269932</v>
      </c>
      <c r="Z31" s="8">
        <f t="shared" si="16"/>
        <v>3896.853916</v>
      </c>
      <c r="AA31" s="8">
        <f t="shared" si="16"/>
        <v>105.0269932</v>
      </c>
      <c r="AB31" s="8">
        <f t="shared" si="16"/>
        <v>105.0269932</v>
      </c>
      <c r="AC31" s="8">
        <f t="shared" si="16"/>
        <v>105.0269932</v>
      </c>
      <c r="AD31" s="8">
        <f t="shared" si="16"/>
        <v>105.0269932</v>
      </c>
      <c r="AE31" s="8">
        <f t="shared" si="16"/>
        <v>1888.540104</v>
      </c>
      <c r="AF31" s="8">
        <f t="shared" si="16"/>
        <v>481.0401042</v>
      </c>
      <c r="AG31" s="8">
        <f t="shared" si="16"/>
        <v>668.5401042</v>
      </c>
      <c r="AH31" s="8">
        <f t="shared" si="16"/>
        <v>5530.078566</v>
      </c>
      <c r="AI31" s="8">
        <f t="shared" si="16"/>
        <v>518.5401042</v>
      </c>
      <c r="AJ31" s="8">
        <f t="shared" si="16"/>
        <v>2243.540104</v>
      </c>
      <c r="AK31" s="8">
        <f t="shared" si="16"/>
        <v>2554.117027</v>
      </c>
      <c r="AL31" s="8">
        <f t="shared" si="16"/>
        <v>1131.040104</v>
      </c>
      <c r="AM31" s="8">
        <f t="shared" si="16"/>
        <v>156.0401042</v>
      </c>
      <c r="AN31" s="8">
        <f t="shared" si="16"/>
        <v>2654.117027</v>
      </c>
    </row>
    <row r="32">
      <c r="A32" s="25" t="s">
        <v>37</v>
      </c>
      <c r="B32" s="8">
        <f t="shared" ref="B32:AN32" si="17">B30-B31</f>
        <v>-105.0269932</v>
      </c>
      <c r="C32" s="8">
        <f t="shared" si="17"/>
        <v>-105.0269932</v>
      </c>
      <c r="D32" s="8">
        <f t="shared" si="17"/>
        <v>-105.0269932</v>
      </c>
      <c r="E32" s="8">
        <f t="shared" si="17"/>
        <v>-2635.796224</v>
      </c>
      <c r="F32" s="8">
        <f t="shared" si="17"/>
        <v>-105.0269932</v>
      </c>
      <c r="G32" s="8">
        <f t="shared" si="17"/>
        <v>-1126.901993</v>
      </c>
      <c r="H32" s="8">
        <f t="shared" si="17"/>
        <v>-2593.728916</v>
      </c>
      <c r="I32" s="8">
        <f t="shared" si="17"/>
        <v>-567.5269932</v>
      </c>
      <c r="J32" s="8">
        <f t="shared" si="17"/>
        <v>-695.6519932</v>
      </c>
      <c r="K32" s="8">
        <f t="shared" si="17"/>
        <v>-3071.853916</v>
      </c>
      <c r="L32" s="8">
        <f t="shared" si="17"/>
        <v>-214.4019932</v>
      </c>
      <c r="M32" s="8">
        <f t="shared" si="17"/>
        <v>-239.4019932</v>
      </c>
      <c r="N32" s="8">
        <f t="shared" si="17"/>
        <v>-105.0269932</v>
      </c>
      <c r="O32" s="8">
        <f t="shared" si="17"/>
        <v>-186.2769932</v>
      </c>
      <c r="P32" s="8">
        <f t="shared" si="17"/>
        <v>-186.2769932</v>
      </c>
      <c r="Q32" s="8">
        <f t="shared" si="17"/>
        <v>-689.4019932</v>
      </c>
      <c r="R32" s="8">
        <f t="shared" si="17"/>
        <v>-517.5269932</v>
      </c>
      <c r="S32" s="8">
        <f t="shared" si="17"/>
        <v>-951.9019932</v>
      </c>
      <c r="T32" s="8">
        <f t="shared" si="17"/>
        <v>-6439.882762</v>
      </c>
      <c r="U32" s="8">
        <f t="shared" si="17"/>
        <v>-667.5269932</v>
      </c>
      <c r="V32" s="8">
        <f t="shared" si="17"/>
        <v>-2873.776993</v>
      </c>
      <c r="W32" s="8">
        <f t="shared" si="17"/>
        <v>-3096.853916</v>
      </c>
      <c r="X32" s="8">
        <f t="shared" si="17"/>
        <v>-842.5269932</v>
      </c>
      <c r="Y32" s="8">
        <f t="shared" si="17"/>
        <v>-492.5269932</v>
      </c>
      <c r="Z32" s="8">
        <f t="shared" si="17"/>
        <v>-3896.853916</v>
      </c>
      <c r="AA32" s="8">
        <f t="shared" si="17"/>
        <v>-105.0269932</v>
      </c>
      <c r="AB32" s="8">
        <f t="shared" si="17"/>
        <v>-105.0269932</v>
      </c>
      <c r="AC32" s="8">
        <f t="shared" si="17"/>
        <v>-105.0269932</v>
      </c>
      <c r="AD32" s="8">
        <f t="shared" si="17"/>
        <v>144.9730068</v>
      </c>
      <c r="AE32" s="8">
        <f t="shared" si="17"/>
        <v>-1888.540104</v>
      </c>
      <c r="AF32" s="8">
        <f t="shared" si="17"/>
        <v>-481.0401042</v>
      </c>
      <c r="AG32" s="8">
        <f t="shared" si="17"/>
        <v>-668.5401042</v>
      </c>
      <c r="AH32" s="8">
        <f t="shared" si="17"/>
        <v>-5530.078566</v>
      </c>
      <c r="AI32" s="8">
        <f t="shared" si="17"/>
        <v>-518.5401042</v>
      </c>
      <c r="AJ32" s="8">
        <f t="shared" si="17"/>
        <v>-2243.540104</v>
      </c>
      <c r="AK32" s="8">
        <f t="shared" si="17"/>
        <v>-2554.117027</v>
      </c>
      <c r="AL32" s="8">
        <f t="shared" si="17"/>
        <v>-1131.040104</v>
      </c>
      <c r="AM32" s="8">
        <f t="shared" si="17"/>
        <v>-156.0401042</v>
      </c>
      <c r="AN32" s="8">
        <f t="shared" si="17"/>
        <v>-2654.117027</v>
      </c>
    </row>
    <row r="33">
      <c r="A33" s="26" t="s">
        <v>38</v>
      </c>
      <c r="B33" s="8">
        <f t="shared" ref="B33:AN33" si="18">B29+B32</f>
        <v>-105.0269932</v>
      </c>
      <c r="C33" s="8">
        <f t="shared" si="18"/>
        <v>-210.0539864</v>
      </c>
      <c r="D33" s="8">
        <f t="shared" si="18"/>
        <v>-315.0809795</v>
      </c>
      <c r="E33" s="8">
        <f t="shared" si="18"/>
        <v>-2950.877203</v>
      </c>
      <c r="F33" s="8">
        <f t="shared" si="18"/>
        <v>-3055.904197</v>
      </c>
      <c r="G33" s="8">
        <f t="shared" si="18"/>
        <v>-4182.80619</v>
      </c>
      <c r="H33" s="8">
        <f t="shared" si="18"/>
        <v>-6776.535106</v>
      </c>
      <c r="I33" s="8">
        <f t="shared" si="18"/>
        <v>-7344.062099</v>
      </c>
      <c r="J33" s="8">
        <f t="shared" si="18"/>
        <v>-8039.714092</v>
      </c>
      <c r="K33" s="8">
        <f t="shared" si="18"/>
        <v>-11111.56801</v>
      </c>
      <c r="L33" s="8">
        <f t="shared" si="18"/>
        <v>-11325.97</v>
      </c>
      <c r="M33" s="8">
        <f t="shared" si="18"/>
        <v>-11565.372</v>
      </c>
      <c r="N33" s="8">
        <f t="shared" si="18"/>
        <v>-11670.39899</v>
      </c>
      <c r="O33" s="8">
        <f t="shared" si="18"/>
        <v>-11856.67598</v>
      </c>
      <c r="P33" s="8">
        <f t="shared" si="18"/>
        <v>-12042.95297</v>
      </c>
      <c r="Q33" s="8">
        <f t="shared" si="18"/>
        <v>-12732.35497</v>
      </c>
      <c r="R33" s="8">
        <f t="shared" si="18"/>
        <v>-13249.88196</v>
      </c>
      <c r="S33" s="8">
        <f t="shared" si="18"/>
        <v>-14201.78395</v>
      </c>
      <c r="T33" s="8">
        <f t="shared" si="18"/>
        <v>-20641.66672</v>
      </c>
      <c r="U33" s="8">
        <f t="shared" si="18"/>
        <v>-21309.19371</v>
      </c>
      <c r="V33" s="8">
        <f t="shared" si="18"/>
        <v>-24182.9707</v>
      </c>
      <c r="W33" s="8">
        <f t="shared" si="18"/>
        <v>-27279.82462</v>
      </c>
      <c r="X33" s="8">
        <f t="shared" si="18"/>
        <v>-28122.35161</v>
      </c>
      <c r="Y33" s="8">
        <f t="shared" si="18"/>
        <v>-28614.87861</v>
      </c>
      <c r="Z33" s="8">
        <f t="shared" si="18"/>
        <v>-32511.73252</v>
      </c>
      <c r="AA33" s="8">
        <f t="shared" si="18"/>
        <v>-32616.75952</v>
      </c>
      <c r="AB33" s="8">
        <f t="shared" si="18"/>
        <v>-32721.78651</v>
      </c>
      <c r="AC33" s="8">
        <f t="shared" si="18"/>
        <v>-32826.8135</v>
      </c>
      <c r="AD33" s="8">
        <f t="shared" si="18"/>
        <v>-32681.84049</v>
      </c>
      <c r="AE33" s="8">
        <f t="shared" si="18"/>
        <v>-34570.3806</v>
      </c>
      <c r="AF33" s="8">
        <f t="shared" si="18"/>
        <v>-35051.4207</v>
      </c>
      <c r="AG33" s="8">
        <f t="shared" si="18"/>
        <v>-35719.96081</v>
      </c>
      <c r="AH33" s="8">
        <f t="shared" si="18"/>
        <v>-41250.03937</v>
      </c>
      <c r="AI33" s="8">
        <f t="shared" si="18"/>
        <v>-41768.57948</v>
      </c>
      <c r="AJ33" s="8">
        <f t="shared" si="18"/>
        <v>-44012.11958</v>
      </c>
      <c r="AK33" s="8">
        <f t="shared" si="18"/>
        <v>-46566.23661</v>
      </c>
      <c r="AL33" s="8">
        <f t="shared" si="18"/>
        <v>-47697.27671</v>
      </c>
      <c r="AM33" s="8">
        <f t="shared" si="18"/>
        <v>-47853.31682</v>
      </c>
      <c r="AN33" s="8">
        <f t="shared" si="18"/>
        <v>-50507.43384</v>
      </c>
    </row>
    <row r="34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</row>
    <row r="35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</row>
    <row r="36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</row>
    <row r="37">
      <c r="A37" s="5" t="s">
        <v>39</v>
      </c>
      <c r="B37" s="8">
        <f>SUM(B24:AN24)</f>
        <v>51507.43384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</row>
    <row r="39">
      <c r="A39" s="5" t="s">
        <v>21</v>
      </c>
      <c r="B39" s="10">
        <v>12.5</v>
      </c>
      <c r="C39" s="28"/>
      <c r="D39" s="28"/>
      <c r="E39" s="28"/>
      <c r="F39" s="28"/>
      <c r="G39" s="29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</row>
    <row r="40">
      <c r="A40" s="27"/>
      <c r="B40" s="28"/>
      <c r="C40" s="28"/>
      <c r="D40" s="28"/>
      <c r="E40" s="28"/>
      <c r="F40" s="28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</row>
    <row r="41">
      <c r="A41" s="5" t="s">
        <v>40</v>
      </c>
      <c r="B41" s="10">
        <f>B5+AE5</f>
        <v>52000</v>
      </c>
      <c r="C41" s="28"/>
      <c r="D41" s="28"/>
      <c r="E41" s="28"/>
      <c r="F41" s="28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</row>
    <row r="42">
      <c r="A42" s="5" t="s">
        <v>41</v>
      </c>
      <c r="B42" s="30">
        <v>0.1686</v>
      </c>
      <c r="C42" s="31"/>
      <c r="D42" s="31"/>
      <c r="E42" s="31"/>
      <c r="F42" s="31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</row>
    <row r="43">
      <c r="A43" s="5" t="s">
        <v>42</v>
      </c>
      <c r="B43" s="30">
        <f>(B42+1)^(1/52)-1</f>
        <v>0.003000771234</v>
      </c>
      <c r="C43" s="31"/>
      <c r="D43" s="31"/>
      <c r="E43" s="31"/>
      <c r="F43" s="31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</row>
    <row r="45">
      <c r="A45" s="5" t="s">
        <v>43</v>
      </c>
      <c r="B45" s="14">
        <v>1400.0</v>
      </c>
      <c r="C45" s="33"/>
      <c r="D45" s="33"/>
      <c r="E45" s="33"/>
      <c r="F45" s="3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</row>
    <row r="46">
      <c r="A46" s="5" t="s">
        <v>27</v>
      </c>
      <c r="B46" s="10">
        <v>23.5</v>
      </c>
      <c r="C46" s="28"/>
      <c r="D46" s="28"/>
      <c r="E46" s="28"/>
      <c r="F46" s="28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</row>
    <row r="47">
      <c r="A47" s="5" t="s">
        <v>44</v>
      </c>
      <c r="B47" s="8">
        <f>B45*B46</f>
        <v>32900</v>
      </c>
      <c r="C47" s="24"/>
      <c r="D47" s="24"/>
      <c r="E47" s="24"/>
      <c r="F47" s="24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</row>
    <row r="48">
      <c r="A48" s="5" t="s">
        <v>45</v>
      </c>
      <c r="B48" s="8">
        <f>B47/52</f>
        <v>632.6923077</v>
      </c>
      <c r="C48" s="24"/>
      <c r="D48" s="24"/>
      <c r="E48" s="24"/>
      <c r="F48" s="24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</row>
    <row r="50">
      <c r="A50" s="5" t="s">
        <v>29</v>
      </c>
      <c r="B50" s="10">
        <v>50.0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</row>
    <row r="51">
      <c r="A51" s="5" t="s">
        <v>31</v>
      </c>
      <c r="B51" s="10">
        <v>100.0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</row>
    <row r="52">
      <c r="A52" s="22"/>
      <c r="B52" s="24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</row>
    <row r="53">
      <c r="A53" s="5" t="s">
        <v>33</v>
      </c>
      <c r="B53" s="10">
        <v>0.0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</row>
    <row r="55"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3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</row>
    <row r="56"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3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</row>
    <row r="57"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3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</row>
    <row r="58"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3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</row>
    <row r="59"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3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</row>
    <row r="60"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3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</row>
    <row r="61"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3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</row>
    <row r="1016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</row>
    <row r="1017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</row>
    <row r="1018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</row>
    <row r="1019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</row>
    <row r="1020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</row>
    <row r="1021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</row>
    <row r="1022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</row>
  </sheetData>
  <mergeCells count="5">
    <mergeCell ref="B1:K1"/>
    <mergeCell ref="L1:P1"/>
    <mergeCell ref="Q1:Z1"/>
    <mergeCell ref="AA1:AD1"/>
    <mergeCell ref="AE1:AN1"/>
  </mergeCells>
  <conditionalFormatting sqref="B21:AN26">
    <cfRule type="cellIs" dxfId="0" priority="1" operator="lessThan">
      <formula>0</formula>
    </cfRule>
  </conditionalFormatting>
  <conditionalFormatting sqref="B28:AN33">
    <cfRule type="cellIs" dxfId="0" priority="2" operator="lessThan">
      <formula>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0.38"/>
  </cols>
  <sheetData>
    <row r="1">
      <c r="A1" s="34"/>
      <c r="B1" s="35"/>
      <c r="C1" s="36"/>
    </row>
    <row r="2">
      <c r="A2" s="35"/>
      <c r="B2" s="15" t="s">
        <v>46</v>
      </c>
      <c r="C2" s="37">
        <f>SUM('Cash Flow Forecast'!B11:AN11)</f>
        <v>14156.25</v>
      </c>
      <c r="D2" s="38">
        <f t="shared" ref="D2:D8" si="1">C2/SUM($C$2:$C$8)</f>
        <v>0.2748389687</v>
      </c>
    </row>
    <row r="3">
      <c r="A3" s="39"/>
      <c r="B3" s="40" t="s">
        <v>47</v>
      </c>
      <c r="C3" s="37">
        <f>SUM('Cash Flow Forecast'!B12:AN12)</f>
        <v>4606.183844</v>
      </c>
      <c r="D3" s="38">
        <f t="shared" si="1"/>
        <v>0.08942755443</v>
      </c>
    </row>
    <row r="4">
      <c r="A4" s="39"/>
      <c r="B4" s="41" t="s">
        <v>48</v>
      </c>
      <c r="C4" s="37">
        <f>SUM('Cash Flow Forecast'!B13:AN13)</f>
        <v>1120</v>
      </c>
      <c r="D4" s="38">
        <f t="shared" si="1"/>
        <v>0.02174443408</v>
      </c>
    </row>
    <row r="5">
      <c r="A5" s="39"/>
      <c r="B5" s="41" t="s">
        <v>49</v>
      </c>
      <c r="C5" s="37">
        <f>SUM('Cash Flow Forecast'!B14:AN14)</f>
        <v>1100</v>
      </c>
      <c r="D5" s="38">
        <f t="shared" si="1"/>
        <v>0.02135614062</v>
      </c>
    </row>
    <row r="6">
      <c r="A6" s="39"/>
      <c r="B6" s="41" t="s">
        <v>50</v>
      </c>
      <c r="C6" s="37">
        <f>SUM('Cash Flow Forecast'!B16:AN16)</f>
        <v>24675</v>
      </c>
      <c r="D6" s="38">
        <f t="shared" si="1"/>
        <v>0.4790570634</v>
      </c>
    </row>
    <row r="7">
      <c r="A7" s="39"/>
      <c r="B7" s="41" t="s">
        <v>51</v>
      </c>
      <c r="C7" s="37">
        <f>SUM('Cash Flow Forecast'!B18:AN18)</f>
        <v>1950</v>
      </c>
      <c r="D7" s="38">
        <f t="shared" si="1"/>
        <v>0.03785861291</v>
      </c>
    </row>
    <row r="8">
      <c r="A8" s="39"/>
      <c r="B8" s="41" t="s">
        <v>52</v>
      </c>
      <c r="C8" s="37">
        <f>SUM('Cash Flow Forecast'!B20:AN20)</f>
        <v>3900</v>
      </c>
      <c r="D8" s="38">
        <f t="shared" si="1"/>
        <v>0.07571722582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5.38"/>
    <col customWidth="1" min="4" max="4" width="31.38"/>
    <col customWidth="1" min="5" max="5" width="6.75"/>
    <col customWidth="1" min="7" max="7" width="16.63"/>
    <col customWidth="1" min="8" max="8" width="5.63"/>
    <col customWidth="1" min="9" max="9" width="14.0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>
      <c r="A2" s="22"/>
      <c r="B2" s="42" t="s">
        <v>53</v>
      </c>
      <c r="C2" s="3"/>
      <c r="D2" s="4"/>
      <c r="E2" s="22"/>
      <c r="F2" s="43" t="s">
        <v>54</v>
      </c>
      <c r="G2" s="4"/>
      <c r="H2" s="22"/>
      <c r="I2" s="43" t="s">
        <v>55</v>
      </c>
      <c r="J2" s="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>
      <c r="A3" s="22"/>
      <c r="B3" s="15" t="s">
        <v>56</v>
      </c>
      <c r="C3" s="44">
        <v>1.0</v>
      </c>
      <c r="D3" s="45"/>
      <c r="E3" s="22"/>
      <c r="F3" s="44" t="s">
        <v>27</v>
      </c>
      <c r="G3" s="37">
        <f>C9</f>
        <v>34.51048951</v>
      </c>
      <c r="H3" s="22"/>
      <c r="I3" s="44" t="s">
        <v>57</v>
      </c>
      <c r="J3" s="37">
        <f>C3*C4*C6</f>
        <v>187.5</v>
      </c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</row>
    <row r="4">
      <c r="A4" s="22"/>
      <c r="B4" s="15" t="s">
        <v>58</v>
      </c>
      <c r="C4" s="44">
        <v>15.0</v>
      </c>
      <c r="D4" s="46"/>
      <c r="E4" s="22"/>
      <c r="F4" s="44" t="s">
        <v>29</v>
      </c>
      <c r="G4" s="37">
        <f>C12</f>
        <v>2.727272727</v>
      </c>
      <c r="H4" s="22"/>
      <c r="I4" s="44" t="s">
        <v>59</v>
      </c>
      <c r="J4" s="37">
        <f>G6</f>
        <v>42.69230769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</row>
    <row r="5">
      <c r="A5" s="22"/>
      <c r="B5" s="15" t="s">
        <v>60</v>
      </c>
      <c r="C5" s="44">
        <v>3.0</v>
      </c>
      <c r="D5" s="46" t="s">
        <v>61</v>
      </c>
      <c r="E5" s="22"/>
      <c r="F5" s="44" t="s">
        <v>31</v>
      </c>
      <c r="G5" s="37">
        <f>C15</f>
        <v>5.454545455</v>
      </c>
      <c r="H5" s="22"/>
      <c r="I5" s="44" t="s">
        <v>62</v>
      </c>
      <c r="J5" s="47">
        <f>600-J4-J3</f>
        <v>369.8076923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>
      <c r="A6" s="22"/>
      <c r="B6" s="15" t="s">
        <v>63</v>
      </c>
      <c r="C6" s="44">
        <v>12.5</v>
      </c>
      <c r="D6" s="45"/>
      <c r="E6" s="22"/>
      <c r="F6" s="44" t="s">
        <v>64</v>
      </c>
      <c r="G6" s="37">
        <f>SUM(G3:G5)</f>
        <v>42.69230769</v>
      </c>
      <c r="H6" s="22"/>
      <c r="I6" s="44" t="s">
        <v>65</v>
      </c>
      <c r="J6" s="37">
        <f>SUM(J3:J5)</f>
        <v>600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>
      <c r="A7" s="22"/>
      <c r="B7" s="15" t="s">
        <v>27</v>
      </c>
      <c r="C7" s="48">
        <f>'Cash Flow Forecast'!B48</f>
        <v>632.6923077</v>
      </c>
      <c r="D7" s="46" t="s">
        <v>66</v>
      </c>
      <c r="E7" s="22"/>
      <c r="F7" s="49"/>
      <c r="G7" s="4"/>
      <c r="H7" s="22"/>
      <c r="I7" s="50"/>
      <c r="J7" s="45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>
      <c r="A8" s="22"/>
      <c r="B8" s="51"/>
      <c r="C8" s="48">
        <f>C7*C5/5</f>
        <v>379.6153846</v>
      </c>
      <c r="D8" s="46" t="str">
        <f>C5 &amp; " Days rent for all employees"</f>
        <v>3 Days rent for all employees</v>
      </c>
      <c r="E8" s="22"/>
      <c r="F8" s="43" t="s">
        <v>67</v>
      </c>
      <c r="G8" s="4"/>
      <c r="H8" s="22"/>
      <c r="I8" s="52" t="s">
        <v>68</v>
      </c>
      <c r="J8" s="53">
        <f>(J6-(J3+J4))/(J3+J4)</f>
        <v>1.606516291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>
      <c r="A9" s="22"/>
      <c r="B9" s="51"/>
      <c r="C9" s="48">
        <f>C8/11</f>
        <v>34.51048951</v>
      </c>
      <c r="D9" s="46" t="str">
        <f>C5 &amp; " Days rent for 1 employee"</f>
        <v>3 Days rent for 1 employee</v>
      </c>
      <c r="E9" s="22"/>
      <c r="F9" s="54">
        <f>C4</f>
        <v>15</v>
      </c>
      <c r="G9" s="4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>
      <c r="A10" s="22"/>
      <c r="B10" s="15" t="s">
        <v>29</v>
      </c>
      <c r="C10" s="48">
        <f>'Cash Flow Forecast'!B50</f>
        <v>50</v>
      </c>
      <c r="D10" s="46" t="s">
        <v>69</v>
      </c>
      <c r="E10" s="22"/>
      <c r="F10" s="55"/>
      <c r="G10" s="4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</row>
    <row r="11">
      <c r="A11" s="22"/>
      <c r="B11" s="51"/>
      <c r="C11" s="48">
        <f>C10*C5/5</f>
        <v>30</v>
      </c>
      <c r="D11" s="46" t="str">
        <f>C5 &amp; " Days utilities for all employees"</f>
        <v>3 Days utilities for all employees</v>
      </c>
      <c r="E11" s="22"/>
      <c r="F11" s="43" t="s">
        <v>70</v>
      </c>
      <c r="G11" s="4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</row>
    <row r="12">
      <c r="A12" s="22"/>
      <c r="B12" s="51"/>
      <c r="C12" s="48">
        <f>C11/11</f>
        <v>2.727272727</v>
      </c>
      <c r="D12" s="46" t="s">
        <v>71</v>
      </c>
      <c r="E12" s="22"/>
      <c r="F12" s="56">
        <f>G6/F9</f>
        <v>2.846153846</v>
      </c>
      <c r="G12" s="4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</row>
    <row r="13">
      <c r="A13" s="22"/>
      <c r="B13" s="15" t="s">
        <v>31</v>
      </c>
      <c r="C13" s="48">
        <f>'Cash Flow Forecast'!B51</f>
        <v>100</v>
      </c>
      <c r="D13" s="46" t="s">
        <v>72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</row>
    <row r="14">
      <c r="A14" s="22"/>
      <c r="B14" s="51"/>
      <c r="C14" s="48">
        <f>C13*C5/5</f>
        <v>60</v>
      </c>
      <c r="D14" s="46" t="str">
        <f>C5 &amp; " Days IT infrastructure for all employees"</f>
        <v>3 Days IT infrastructure for all employees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</row>
    <row r="15">
      <c r="A15" s="22"/>
      <c r="B15" s="51"/>
      <c r="C15" s="48">
        <f>C14/11</f>
        <v>5.454545455</v>
      </c>
      <c r="D15" s="46" t="str">
        <f>C5 &amp; " Days IT infrastructure for 1 employee"</f>
        <v>3 Days IT infrastructure for 1 employee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</row>
  </sheetData>
  <mergeCells count="9">
    <mergeCell ref="F11:G11"/>
    <mergeCell ref="F12:G12"/>
    <mergeCell ref="B2:D2"/>
    <mergeCell ref="F2:G2"/>
    <mergeCell ref="I2:J2"/>
    <mergeCell ref="F7:G7"/>
    <mergeCell ref="F8:G8"/>
    <mergeCell ref="F9:G9"/>
    <mergeCell ref="F10:G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8.25"/>
  </cols>
  <sheetData>
    <row r="1">
      <c r="A1" s="11"/>
      <c r="B1" s="57" t="s">
        <v>73</v>
      </c>
      <c r="C1" s="3"/>
      <c r="D1" s="3"/>
      <c r="E1" s="3"/>
      <c r="F1" s="3"/>
      <c r="G1" s="3"/>
      <c r="H1" s="3"/>
      <c r="I1" s="3"/>
      <c r="J1" s="3"/>
      <c r="K1" s="4"/>
      <c r="L1" s="57" t="s">
        <v>74</v>
      </c>
      <c r="M1" s="3"/>
      <c r="N1" s="3"/>
      <c r="O1" s="3"/>
      <c r="P1" s="4"/>
      <c r="Q1" s="57" t="s">
        <v>75</v>
      </c>
      <c r="R1" s="3"/>
      <c r="S1" s="3"/>
      <c r="T1" s="3"/>
      <c r="U1" s="3"/>
      <c r="V1" s="3"/>
      <c r="W1" s="3"/>
      <c r="X1" s="3"/>
      <c r="Y1" s="3"/>
      <c r="Z1" s="4"/>
      <c r="AA1" s="57" t="s">
        <v>76</v>
      </c>
      <c r="AB1" s="3"/>
      <c r="AC1" s="3"/>
      <c r="AD1" s="4"/>
      <c r="AE1" s="57" t="s">
        <v>77</v>
      </c>
      <c r="AF1" s="3"/>
      <c r="AG1" s="3"/>
      <c r="AH1" s="3"/>
      <c r="AI1" s="3"/>
      <c r="AJ1" s="3"/>
      <c r="AK1" s="3"/>
      <c r="AL1" s="3"/>
      <c r="AM1" s="3"/>
      <c r="AN1" s="4"/>
    </row>
    <row r="2">
      <c r="A2" s="5" t="s">
        <v>78</v>
      </c>
      <c r="B2" s="58" t="s">
        <v>6</v>
      </c>
      <c r="C2" s="59" t="s">
        <v>7</v>
      </c>
      <c r="D2" s="59" t="s">
        <v>8</v>
      </c>
      <c r="E2" s="59" t="s">
        <v>9</v>
      </c>
      <c r="F2" s="59" t="s">
        <v>10</v>
      </c>
      <c r="G2" s="59" t="s">
        <v>11</v>
      </c>
      <c r="H2" s="59" t="s">
        <v>12</v>
      </c>
      <c r="I2" s="59" t="s">
        <v>13</v>
      </c>
      <c r="J2" s="59" t="s">
        <v>14</v>
      </c>
      <c r="K2" s="59" t="s">
        <v>15</v>
      </c>
      <c r="L2" s="59" t="s">
        <v>6</v>
      </c>
      <c r="M2" s="59" t="s">
        <v>7</v>
      </c>
      <c r="N2" s="59" t="s">
        <v>8</v>
      </c>
      <c r="O2" s="59" t="s">
        <v>9</v>
      </c>
      <c r="P2" s="59" t="s">
        <v>10</v>
      </c>
      <c r="Q2" s="59" t="s">
        <v>6</v>
      </c>
      <c r="R2" s="59" t="s">
        <v>7</v>
      </c>
      <c r="S2" s="59" t="s">
        <v>8</v>
      </c>
      <c r="T2" s="59" t="s">
        <v>9</v>
      </c>
      <c r="U2" s="59" t="s">
        <v>10</v>
      </c>
      <c r="V2" s="59" t="s">
        <v>11</v>
      </c>
      <c r="W2" s="59" t="s">
        <v>12</v>
      </c>
      <c r="X2" s="59" t="s">
        <v>13</v>
      </c>
      <c r="Y2" s="59" t="s">
        <v>14</v>
      </c>
      <c r="Z2" s="59" t="s">
        <v>15</v>
      </c>
      <c r="AA2" s="59" t="s">
        <v>6</v>
      </c>
      <c r="AB2" s="59" t="s">
        <v>7</v>
      </c>
      <c r="AC2" s="59" t="s">
        <v>8</v>
      </c>
      <c r="AD2" s="59" t="s">
        <v>9</v>
      </c>
      <c r="AE2" s="59" t="s">
        <v>6</v>
      </c>
      <c r="AF2" s="59" t="s">
        <v>7</v>
      </c>
      <c r="AG2" s="59" t="s">
        <v>8</v>
      </c>
      <c r="AH2" s="59" t="s">
        <v>9</v>
      </c>
      <c r="AI2" s="59" t="s">
        <v>10</v>
      </c>
      <c r="AJ2" s="59" t="s">
        <v>11</v>
      </c>
      <c r="AK2" s="59" t="s">
        <v>12</v>
      </c>
      <c r="AL2" s="59" t="s">
        <v>13</v>
      </c>
      <c r="AM2" s="60" t="s">
        <v>14</v>
      </c>
      <c r="AN2" s="60" t="s">
        <v>15</v>
      </c>
    </row>
    <row r="3">
      <c r="A3" s="6" t="s">
        <v>79</v>
      </c>
      <c r="B3" s="5">
        <v>1.0</v>
      </c>
      <c r="C3" s="5">
        <v>2.0</v>
      </c>
      <c r="D3" s="5">
        <v>3.0</v>
      </c>
      <c r="E3" s="5">
        <v>4.0</v>
      </c>
      <c r="F3" s="5">
        <v>5.0</v>
      </c>
      <c r="G3" s="5">
        <v>6.0</v>
      </c>
      <c r="H3" s="5">
        <v>7.0</v>
      </c>
      <c r="I3" s="5">
        <v>8.0</v>
      </c>
      <c r="J3" s="5">
        <v>9.0</v>
      </c>
      <c r="K3" s="5">
        <v>10.0</v>
      </c>
      <c r="L3" s="5">
        <v>11.0</v>
      </c>
      <c r="M3" s="5">
        <v>12.0</v>
      </c>
      <c r="N3" s="5">
        <v>13.0</v>
      </c>
      <c r="O3" s="5">
        <v>14.0</v>
      </c>
      <c r="P3" s="5">
        <v>15.0</v>
      </c>
      <c r="Q3" s="5">
        <v>16.0</v>
      </c>
      <c r="R3" s="5">
        <v>17.0</v>
      </c>
      <c r="S3" s="5">
        <v>18.0</v>
      </c>
      <c r="T3" s="5">
        <v>19.0</v>
      </c>
      <c r="U3" s="5">
        <v>20.0</v>
      </c>
      <c r="V3" s="5">
        <v>21.0</v>
      </c>
      <c r="W3" s="5">
        <v>22.0</v>
      </c>
      <c r="X3" s="5">
        <v>23.0</v>
      </c>
      <c r="Y3" s="5">
        <v>24.0</v>
      </c>
      <c r="Z3" s="5">
        <v>25.0</v>
      </c>
      <c r="AA3" s="5">
        <v>26.0</v>
      </c>
      <c r="AB3" s="5">
        <v>27.0</v>
      </c>
      <c r="AC3" s="5">
        <v>28.0</v>
      </c>
      <c r="AD3" s="5">
        <v>29.0</v>
      </c>
      <c r="AE3" s="5">
        <v>30.0</v>
      </c>
      <c r="AF3" s="5">
        <v>31.0</v>
      </c>
      <c r="AG3" s="5">
        <v>32.0</v>
      </c>
      <c r="AH3" s="5">
        <v>33.0</v>
      </c>
      <c r="AI3" s="5">
        <v>34.0</v>
      </c>
      <c r="AJ3" s="5">
        <v>35.0</v>
      </c>
      <c r="AK3" s="5">
        <v>36.0</v>
      </c>
      <c r="AL3" s="5">
        <v>37.0</v>
      </c>
      <c r="AM3" s="5">
        <v>38.0</v>
      </c>
      <c r="AN3" s="5">
        <v>39.0</v>
      </c>
    </row>
    <row r="4">
      <c r="A4" s="6"/>
      <c r="B4" s="11"/>
      <c r="C4" s="11"/>
      <c r="D4" s="11"/>
      <c r="E4" s="11"/>
      <c r="F4" s="11"/>
      <c r="G4" s="6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6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>
      <c r="A5" s="62" t="s">
        <v>80</v>
      </c>
      <c r="B5" s="11"/>
      <c r="C5" s="11"/>
      <c r="D5" s="11"/>
      <c r="E5" s="11"/>
      <c r="F5" s="11"/>
      <c r="G5" s="6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6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>
      <c r="A6" s="63" t="s">
        <v>81</v>
      </c>
      <c r="B6" s="11"/>
      <c r="C6" s="11"/>
      <c r="D6" s="11"/>
      <c r="E6" s="11"/>
      <c r="F6" s="11"/>
      <c r="G6" s="64">
        <f>0.5+1</f>
        <v>1.5</v>
      </c>
      <c r="H6" s="14">
        <f>7+1+1+1+1+1</f>
        <v>12</v>
      </c>
      <c r="I6" s="14">
        <f>1+1</f>
        <v>2</v>
      </c>
      <c r="J6" s="14">
        <f>0.5+2+1+1</f>
        <v>4.5</v>
      </c>
      <c r="K6" s="14">
        <f>0.5+1.5+0.25+3+0.5+1</f>
        <v>6.75</v>
      </c>
      <c r="L6" s="11"/>
      <c r="M6" s="14">
        <f>2+2+2</f>
        <v>6</v>
      </c>
      <c r="N6" s="11"/>
      <c r="O6" s="11"/>
      <c r="P6" s="11"/>
      <c r="Q6" s="14"/>
      <c r="R6" s="14">
        <f>2.25+0.5</f>
        <v>2.75</v>
      </c>
      <c r="S6" s="14">
        <v>7.75</v>
      </c>
      <c r="T6" s="14">
        <f>1.5+0.25+1</f>
        <v>2.75</v>
      </c>
      <c r="U6" s="64">
        <v>2.0</v>
      </c>
      <c r="V6" s="14">
        <v>2.5</v>
      </c>
      <c r="W6" s="14">
        <v>3.0</v>
      </c>
      <c r="X6" s="14">
        <v>2.5</v>
      </c>
      <c r="Y6" s="14">
        <v>3.0</v>
      </c>
      <c r="Z6" s="14">
        <v>2.5</v>
      </c>
      <c r="AA6" s="14">
        <v>0.0</v>
      </c>
      <c r="AB6" s="14">
        <v>0.0</v>
      </c>
      <c r="AC6" s="14">
        <v>0.0</v>
      </c>
      <c r="AD6" s="14">
        <v>0.0</v>
      </c>
      <c r="AE6" s="14">
        <v>2.0</v>
      </c>
      <c r="AF6" s="14">
        <v>2.0</v>
      </c>
      <c r="AG6" s="14">
        <v>3.0</v>
      </c>
      <c r="AH6" s="14">
        <v>2.0</v>
      </c>
      <c r="AI6" s="14">
        <v>2.0</v>
      </c>
      <c r="AJ6" s="14">
        <v>3.0</v>
      </c>
      <c r="AK6" s="14">
        <v>5.0</v>
      </c>
      <c r="AL6" s="14">
        <v>7.0</v>
      </c>
      <c r="AM6" s="14">
        <v>0.0</v>
      </c>
      <c r="AN6" s="14">
        <v>0.0</v>
      </c>
    </row>
    <row r="7">
      <c r="A7" s="65" t="s">
        <v>82</v>
      </c>
      <c r="B7" s="66">
        <f t="shared" ref="B7:AN7" si="1">SUM(B6)</f>
        <v>0</v>
      </c>
      <c r="C7" s="66">
        <f t="shared" si="1"/>
        <v>0</v>
      </c>
      <c r="D7" s="66">
        <f t="shared" si="1"/>
        <v>0</v>
      </c>
      <c r="E7" s="66">
        <f t="shared" si="1"/>
        <v>0</v>
      </c>
      <c r="F7" s="66">
        <f t="shared" si="1"/>
        <v>0</v>
      </c>
      <c r="G7" s="67">
        <f t="shared" si="1"/>
        <v>1.5</v>
      </c>
      <c r="H7" s="66">
        <f t="shared" si="1"/>
        <v>12</v>
      </c>
      <c r="I7" s="66">
        <f t="shared" si="1"/>
        <v>2</v>
      </c>
      <c r="J7" s="66">
        <f t="shared" si="1"/>
        <v>4.5</v>
      </c>
      <c r="K7" s="66">
        <f t="shared" si="1"/>
        <v>6.75</v>
      </c>
      <c r="L7" s="66">
        <f t="shared" si="1"/>
        <v>0</v>
      </c>
      <c r="M7" s="66">
        <f t="shared" si="1"/>
        <v>6</v>
      </c>
      <c r="N7" s="66">
        <f t="shared" si="1"/>
        <v>0</v>
      </c>
      <c r="O7" s="66">
        <f t="shared" si="1"/>
        <v>0</v>
      </c>
      <c r="P7" s="66">
        <f t="shared" si="1"/>
        <v>0</v>
      </c>
      <c r="Q7" s="66">
        <f t="shared" si="1"/>
        <v>0</v>
      </c>
      <c r="R7" s="66">
        <f t="shared" si="1"/>
        <v>2.75</v>
      </c>
      <c r="S7" s="66">
        <f t="shared" si="1"/>
        <v>7.75</v>
      </c>
      <c r="T7" s="66">
        <f t="shared" si="1"/>
        <v>2.75</v>
      </c>
      <c r="U7" s="67">
        <f t="shared" si="1"/>
        <v>2</v>
      </c>
      <c r="V7" s="66">
        <f t="shared" si="1"/>
        <v>2.5</v>
      </c>
      <c r="W7" s="66">
        <f t="shared" si="1"/>
        <v>3</v>
      </c>
      <c r="X7" s="66">
        <f t="shared" si="1"/>
        <v>2.5</v>
      </c>
      <c r="Y7" s="66">
        <f t="shared" si="1"/>
        <v>3</v>
      </c>
      <c r="Z7" s="66">
        <f t="shared" si="1"/>
        <v>2.5</v>
      </c>
      <c r="AA7" s="66">
        <f t="shared" si="1"/>
        <v>0</v>
      </c>
      <c r="AB7" s="66">
        <f t="shared" si="1"/>
        <v>0</v>
      </c>
      <c r="AC7" s="66">
        <f t="shared" si="1"/>
        <v>0</v>
      </c>
      <c r="AD7" s="66">
        <f t="shared" si="1"/>
        <v>0</v>
      </c>
      <c r="AE7" s="66">
        <f t="shared" si="1"/>
        <v>2</v>
      </c>
      <c r="AF7" s="66">
        <f t="shared" si="1"/>
        <v>2</v>
      </c>
      <c r="AG7" s="66">
        <f t="shared" si="1"/>
        <v>3</v>
      </c>
      <c r="AH7" s="66">
        <f t="shared" si="1"/>
        <v>2</v>
      </c>
      <c r="AI7" s="66">
        <f t="shared" si="1"/>
        <v>2</v>
      </c>
      <c r="AJ7" s="66">
        <f t="shared" si="1"/>
        <v>3</v>
      </c>
      <c r="AK7" s="11">
        <f t="shared" si="1"/>
        <v>5</v>
      </c>
      <c r="AL7" s="11">
        <f t="shared" si="1"/>
        <v>7</v>
      </c>
      <c r="AM7" s="11">
        <f t="shared" si="1"/>
        <v>0</v>
      </c>
      <c r="AN7" s="11">
        <f t="shared" si="1"/>
        <v>0</v>
      </c>
    </row>
    <row r="8">
      <c r="A8" s="6"/>
      <c r="B8" s="11"/>
      <c r="C8" s="11"/>
      <c r="D8" s="11"/>
      <c r="E8" s="11"/>
      <c r="F8" s="11"/>
      <c r="G8" s="6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6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>
      <c r="A9" s="68" t="s">
        <v>83</v>
      </c>
      <c r="B9" s="11"/>
      <c r="C9" s="11"/>
      <c r="D9" s="11"/>
      <c r="E9" s="11"/>
      <c r="F9" s="11"/>
      <c r="G9" s="6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6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>
      <c r="A10" s="69" t="s">
        <v>84</v>
      </c>
      <c r="B10" s="11"/>
      <c r="C10" s="11"/>
      <c r="D10" s="11"/>
      <c r="E10" s="11"/>
      <c r="F10" s="11"/>
      <c r="G10" s="61"/>
      <c r="H10" s="14">
        <v>3.5</v>
      </c>
      <c r="I10" s="14">
        <f>1+0.5</f>
        <v>1.5</v>
      </c>
      <c r="J10" s="14">
        <v>1.0</v>
      </c>
      <c r="K10" s="11">
        <f>0.5</f>
        <v>0.5</v>
      </c>
      <c r="L10" s="11"/>
      <c r="M10" s="14"/>
      <c r="N10" s="11"/>
      <c r="O10" s="11"/>
      <c r="P10" s="11"/>
      <c r="Q10" s="11"/>
      <c r="R10" s="11">
        <f>2+1+0.5</f>
        <v>3.5</v>
      </c>
      <c r="S10" s="11">
        <f>2.5+1+2.75</f>
        <v>6.25</v>
      </c>
      <c r="T10" s="11">
        <f>0.5+1+0.75+1.5+1</f>
        <v>4.75</v>
      </c>
      <c r="U10" s="64">
        <v>6.0</v>
      </c>
      <c r="V10" s="14">
        <v>2.0</v>
      </c>
      <c r="W10" s="14">
        <v>9.0</v>
      </c>
      <c r="X10" s="14">
        <v>2.0</v>
      </c>
      <c r="Y10" s="14">
        <v>6.0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4.0</v>
      </c>
      <c r="AF10" s="14">
        <v>5.0</v>
      </c>
      <c r="AG10" s="14">
        <v>8.0</v>
      </c>
      <c r="AH10" s="14">
        <v>4.0</v>
      </c>
      <c r="AI10" s="14">
        <v>5.0</v>
      </c>
      <c r="AJ10" s="14">
        <v>8.0</v>
      </c>
      <c r="AK10" s="14">
        <v>6.0</v>
      </c>
      <c r="AL10" s="14">
        <v>10.0</v>
      </c>
      <c r="AM10" s="14">
        <v>0.0</v>
      </c>
      <c r="AN10" s="14">
        <v>0.0</v>
      </c>
    </row>
    <row r="11">
      <c r="A11" s="69" t="s">
        <v>85</v>
      </c>
      <c r="B11" s="11"/>
      <c r="C11" s="11"/>
      <c r="D11" s="11"/>
      <c r="E11" s="11"/>
      <c r="F11" s="11"/>
      <c r="G11" s="61"/>
      <c r="H11" s="14">
        <v>2.75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4">
        <v>2.25</v>
      </c>
      <c r="T11" s="11">
        <f>1+1.75+2.5</f>
        <v>5.25</v>
      </c>
      <c r="U11" s="64">
        <v>4.0</v>
      </c>
      <c r="V11" s="14">
        <v>2.0</v>
      </c>
      <c r="W11" s="14">
        <v>7.0</v>
      </c>
      <c r="X11" s="14">
        <v>2.0</v>
      </c>
      <c r="Y11" s="14">
        <v>6.0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2.0</v>
      </c>
      <c r="AF11" s="14">
        <v>4.0</v>
      </c>
      <c r="AG11" s="14">
        <v>7.0</v>
      </c>
      <c r="AH11" s="14">
        <v>2.0</v>
      </c>
      <c r="AI11" s="14">
        <v>5.0</v>
      </c>
      <c r="AJ11" s="14">
        <v>7.0</v>
      </c>
      <c r="AK11" s="14">
        <v>5.0</v>
      </c>
      <c r="AL11" s="14">
        <v>10.0</v>
      </c>
      <c r="AM11" s="14">
        <v>0.0</v>
      </c>
      <c r="AN11" s="14">
        <v>0.0</v>
      </c>
    </row>
    <row r="12">
      <c r="A12" s="70" t="s">
        <v>86</v>
      </c>
      <c r="B12" s="66">
        <f t="shared" ref="B12:AN12" si="2">SUM(B10:B11)</f>
        <v>0</v>
      </c>
      <c r="C12" s="66">
        <f t="shared" si="2"/>
        <v>0</v>
      </c>
      <c r="D12" s="66">
        <f t="shared" si="2"/>
        <v>0</v>
      </c>
      <c r="E12" s="66">
        <f t="shared" si="2"/>
        <v>0</v>
      </c>
      <c r="F12" s="66">
        <f t="shared" si="2"/>
        <v>0</v>
      </c>
      <c r="G12" s="67">
        <f t="shared" si="2"/>
        <v>0</v>
      </c>
      <c r="H12" s="66">
        <f t="shared" si="2"/>
        <v>6.25</v>
      </c>
      <c r="I12" s="66">
        <f t="shared" si="2"/>
        <v>1.5</v>
      </c>
      <c r="J12" s="66">
        <f t="shared" si="2"/>
        <v>1</v>
      </c>
      <c r="K12" s="66">
        <f t="shared" si="2"/>
        <v>0.5</v>
      </c>
      <c r="L12" s="66">
        <f t="shared" si="2"/>
        <v>0</v>
      </c>
      <c r="M12" s="66">
        <f t="shared" si="2"/>
        <v>0</v>
      </c>
      <c r="N12" s="66">
        <f t="shared" si="2"/>
        <v>0</v>
      </c>
      <c r="O12" s="66">
        <f t="shared" si="2"/>
        <v>0</v>
      </c>
      <c r="P12" s="66">
        <f t="shared" si="2"/>
        <v>0</v>
      </c>
      <c r="Q12" s="66">
        <f t="shared" si="2"/>
        <v>0</v>
      </c>
      <c r="R12" s="66">
        <f t="shared" si="2"/>
        <v>3.5</v>
      </c>
      <c r="S12" s="66">
        <f t="shared" si="2"/>
        <v>8.5</v>
      </c>
      <c r="T12" s="66">
        <f t="shared" si="2"/>
        <v>10</v>
      </c>
      <c r="U12" s="67">
        <f t="shared" si="2"/>
        <v>10</v>
      </c>
      <c r="V12" s="66">
        <f t="shared" si="2"/>
        <v>4</v>
      </c>
      <c r="W12" s="66">
        <f t="shared" si="2"/>
        <v>16</v>
      </c>
      <c r="X12" s="66">
        <f t="shared" si="2"/>
        <v>4</v>
      </c>
      <c r="Y12" s="66">
        <f t="shared" si="2"/>
        <v>12</v>
      </c>
      <c r="Z12" s="66">
        <f t="shared" si="2"/>
        <v>0</v>
      </c>
      <c r="AA12" s="66">
        <f t="shared" si="2"/>
        <v>0</v>
      </c>
      <c r="AB12" s="66">
        <f t="shared" si="2"/>
        <v>0</v>
      </c>
      <c r="AC12" s="66">
        <f t="shared" si="2"/>
        <v>0</v>
      </c>
      <c r="AD12" s="66">
        <f t="shared" si="2"/>
        <v>0</v>
      </c>
      <c r="AE12" s="66">
        <f t="shared" si="2"/>
        <v>6</v>
      </c>
      <c r="AF12" s="66">
        <f t="shared" si="2"/>
        <v>9</v>
      </c>
      <c r="AG12" s="66">
        <f t="shared" si="2"/>
        <v>15</v>
      </c>
      <c r="AH12" s="66">
        <f t="shared" si="2"/>
        <v>6</v>
      </c>
      <c r="AI12" s="66">
        <f t="shared" si="2"/>
        <v>10</v>
      </c>
      <c r="AJ12" s="66">
        <f t="shared" si="2"/>
        <v>15</v>
      </c>
      <c r="AK12" s="66">
        <f t="shared" si="2"/>
        <v>11</v>
      </c>
      <c r="AL12" s="66">
        <f t="shared" si="2"/>
        <v>20</v>
      </c>
      <c r="AM12" s="66">
        <f t="shared" si="2"/>
        <v>0</v>
      </c>
      <c r="AN12" s="66">
        <f t="shared" si="2"/>
        <v>0</v>
      </c>
    </row>
    <row r="13">
      <c r="A13" s="6"/>
      <c r="B13" s="11"/>
      <c r="C13" s="11"/>
      <c r="D13" s="11"/>
      <c r="E13" s="11"/>
      <c r="F13" s="11"/>
      <c r="G13" s="6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>
      <c r="A14" s="71" t="s">
        <v>87</v>
      </c>
      <c r="B14" s="11"/>
      <c r="C14" s="11"/>
      <c r="D14" s="11"/>
      <c r="E14" s="11"/>
      <c r="F14" s="11"/>
      <c r="G14" s="6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>
      <c r="A15" s="72" t="s">
        <v>88</v>
      </c>
      <c r="B15" s="11"/>
      <c r="C15" s="11"/>
      <c r="D15" s="11"/>
      <c r="E15" s="11"/>
      <c r="F15" s="11"/>
      <c r="G15" s="64">
        <f>1.25+1</f>
        <v>2.25</v>
      </c>
      <c r="H15" s="14">
        <f>3+1+0.75</f>
        <v>4.75</v>
      </c>
      <c r="I15" s="11">
        <f>1.5+0.5+1+0.5+0.5+2</f>
        <v>6</v>
      </c>
      <c r="J15" s="11">
        <f>2+1+1</f>
        <v>4</v>
      </c>
      <c r="K15" s="11">
        <f>0.5+0.25+2+0.5+1.75+0.5</f>
        <v>5.5</v>
      </c>
      <c r="L15" s="11"/>
      <c r="M15" s="14"/>
      <c r="N15" s="11"/>
      <c r="O15" s="11"/>
      <c r="P15" s="11"/>
      <c r="Q15" s="11"/>
      <c r="R15" s="11">
        <f>1.75+2.25+0.75+0.5</f>
        <v>5.25</v>
      </c>
      <c r="S15" s="11"/>
      <c r="T15" s="11">
        <f>1.5+0.5+1</f>
        <v>3</v>
      </c>
      <c r="U15" s="64">
        <v>2.0</v>
      </c>
      <c r="V15" s="14">
        <v>3.0</v>
      </c>
      <c r="W15" s="14">
        <v>3.0</v>
      </c>
      <c r="X15" s="14">
        <v>3.0</v>
      </c>
      <c r="Y15" s="14">
        <v>2.0</v>
      </c>
      <c r="Z15" s="14">
        <v>2.0</v>
      </c>
      <c r="AA15" s="14">
        <v>0.0</v>
      </c>
      <c r="AB15" s="14">
        <v>0.0</v>
      </c>
      <c r="AC15" s="14">
        <v>0.0</v>
      </c>
      <c r="AD15" s="14">
        <v>0.0</v>
      </c>
      <c r="AE15" s="14">
        <v>2.0</v>
      </c>
      <c r="AF15" s="14">
        <v>2.0</v>
      </c>
      <c r="AG15" s="14">
        <v>4.0</v>
      </c>
      <c r="AH15" s="14">
        <v>2.0</v>
      </c>
      <c r="AI15" s="14">
        <v>2.0</v>
      </c>
      <c r="AJ15" s="14">
        <v>6.0</v>
      </c>
      <c r="AK15" s="14">
        <v>2.0</v>
      </c>
      <c r="AL15" s="14">
        <v>8.0</v>
      </c>
      <c r="AM15" s="14">
        <v>0.0</v>
      </c>
      <c r="AN15" s="14">
        <v>0.0</v>
      </c>
    </row>
    <row r="16">
      <c r="A16" s="72" t="s">
        <v>85</v>
      </c>
      <c r="B16" s="11"/>
      <c r="C16" s="11"/>
      <c r="D16" s="11"/>
      <c r="E16" s="11"/>
      <c r="F16" s="11"/>
      <c r="G16" s="64">
        <v>2.0</v>
      </c>
      <c r="H16" s="11">
        <f>1+2+1+1+0.75</f>
        <v>5.75</v>
      </c>
      <c r="I16" s="11">
        <f>0.5+0.25+0.75+1</f>
        <v>2.5</v>
      </c>
      <c r="J16" s="11">
        <f>2.5+1+1</f>
        <v>4.5</v>
      </c>
      <c r="K16" s="11">
        <f>0.75+2+0.5+1</f>
        <v>4.25</v>
      </c>
      <c r="L16" s="11"/>
      <c r="M16" s="11"/>
      <c r="N16" s="11"/>
      <c r="O16" s="11"/>
      <c r="P16" s="11"/>
      <c r="Q16" s="11"/>
      <c r="R16" s="11">
        <f>2.25</f>
        <v>2.25</v>
      </c>
      <c r="S16" s="11"/>
      <c r="T16" s="14">
        <v>1.75</v>
      </c>
      <c r="U16" s="64">
        <v>2.0</v>
      </c>
      <c r="V16" s="14">
        <v>2.0</v>
      </c>
      <c r="W16" s="14">
        <v>2.0</v>
      </c>
      <c r="X16" s="14">
        <v>2.0</v>
      </c>
      <c r="Y16" s="14">
        <v>2.0</v>
      </c>
      <c r="Z16" s="14">
        <v>2.0</v>
      </c>
      <c r="AA16" s="14">
        <v>0.0</v>
      </c>
      <c r="AB16" s="14">
        <v>0.0</v>
      </c>
      <c r="AC16" s="14">
        <v>0.0</v>
      </c>
      <c r="AD16" s="14">
        <v>0.0</v>
      </c>
      <c r="AE16" s="14">
        <v>2.0</v>
      </c>
      <c r="AF16" s="14">
        <v>2.0</v>
      </c>
      <c r="AG16" s="14">
        <v>4.0</v>
      </c>
      <c r="AH16" s="14">
        <v>2.0</v>
      </c>
      <c r="AI16" s="14">
        <v>2.0</v>
      </c>
      <c r="AJ16" s="14">
        <v>6.0</v>
      </c>
      <c r="AK16" s="14">
        <v>2.0</v>
      </c>
      <c r="AL16" s="14">
        <v>8.0</v>
      </c>
      <c r="AM16" s="14">
        <v>0.0</v>
      </c>
      <c r="AN16" s="14">
        <v>0.0</v>
      </c>
    </row>
    <row r="17">
      <c r="A17" s="73" t="s">
        <v>89</v>
      </c>
      <c r="B17" s="66">
        <f t="shared" ref="B17:AN17" si="3">SUM(B15:B16)</f>
        <v>0</v>
      </c>
      <c r="C17" s="66">
        <f t="shared" si="3"/>
        <v>0</v>
      </c>
      <c r="D17" s="66">
        <f t="shared" si="3"/>
        <v>0</v>
      </c>
      <c r="E17" s="66">
        <f t="shared" si="3"/>
        <v>0</v>
      </c>
      <c r="F17" s="66">
        <f t="shared" si="3"/>
        <v>0</v>
      </c>
      <c r="G17" s="67">
        <f t="shared" si="3"/>
        <v>4.25</v>
      </c>
      <c r="H17" s="66">
        <f t="shared" si="3"/>
        <v>10.5</v>
      </c>
      <c r="I17" s="66">
        <f t="shared" si="3"/>
        <v>8.5</v>
      </c>
      <c r="J17" s="66">
        <f t="shared" si="3"/>
        <v>8.5</v>
      </c>
      <c r="K17" s="66">
        <f t="shared" si="3"/>
        <v>9.75</v>
      </c>
      <c r="L17" s="66">
        <f t="shared" si="3"/>
        <v>0</v>
      </c>
      <c r="M17" s="66">
        <f t="shared" si="3"/>
        <v>0</v>
      </c>
      <c r="N17" s="66">
        <f t="shared" si="3"/>
        <v>0</v>
      </c>
      <c r="O17" s="66">
        <f t="shared" si="3"/>
        <v>0</v>
      </c>
      <c r="P17" s="66">
        <f t="shared" si="3"/>
        <v>0</v>
      </c>
      <c r="Q17" s="66">
        <f t="shared" si="3"/>
        <v>0</v>
      </c>
      <c r="R17" s="66">
        <f t="shared" si="3"/>
        <v>7.5</v>
      </c>
      <c r="S17" s="66">
        <f t="shared" si="3"/>
        <v>0</v>
      </c>
      <c r="T17" s="66">
        <f t="shared" si="3"/>
        <v>4.75</v>
      </c>
      <c r="U17" s="67">
        <f t="shared" si="3"/>
        <v>4</v>
      </c>
      <c r="V17" s="66">
        <f t="shared" si="3"/>
        <v>5</v>
      </c>
      <c r="W17" s="66">
        <f t="shared" si="3"/>
        <v>5</v>
      </c>
      <c r="X17" s="66">
        <f t="shared" si="3"/>
        <v>5</v>
      </c>
      <c r="Y17" s="66">
        <f t="shared" si="3"/>
        <v>4</v>
      </c>
      <c r="Z17" s="66">
        <f t="shared" si="3"/>
        <v>4</v>
      </c>
      <c r="AA17" s="66">
        <f t="shared" si="3"/>
        <v>0</v>
      </c>
      <c r="AB17" s="66">
        <f t="shared" si="3"/>
        <v>0</v>
      </c>
      <c r="AC17" s="66">
        <f t="shared" si="3"/>
        <v>0</v>
      </c>
      <c r="AD17" s="66">
        <f t="shared" si="3"/>
        <v>0</v>
      </c>
      <c r="AE17" s="66">
        <f t="shared" si="3"/>
        <v>4</v>
      </c>
      <c r="AF17" s="66">
        <f t="shared" si="3"/>
        <v>4</v>
      </c>
      <c r="AG17" s="66">
        <f t="shared" si="3"/>
        <v>8</v>
      </c>
      <c r="AH17" s="66">
        <f t="shared" si="3"/>
        <v>4</v>
      </c>
      <c r="AI17" s="66">
        <f t="shared" si="3"/>
        <v>4</v>
      </c>
      <c r="AJ17" s="66">
        <f t="shared" si="3"/>
        <v>12</v>
      </c>
      <c r="AK17" s="66">
        <f t="shared" si="3"/>
        <v>4</v>
      </c>
      <c r="AL17" s="66">
        <f t="shared" si="3"/>
        <v>16</v>
      </c>
      <c r="AM17" s="66">
        <f t="shared" si="3"/>
        <v>0</v>
      </c>
      <c r="AN17" s="66">
        <f t="shared" si="3"/>
        <v>0</v>
      </c>
    </row>
    <row r="18">
      <c r="A18" s="6"/>
      <c r="B18" s="11"/>
      <c r="C18" s="11"/>
      <c r="D18" s="11"/>
      <c r="E18" s="11"/>
      <c r="F18" s="11"/>
      <c r="G18" s="6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6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>
      <c r="A19" s="74" t="s">
        <v>90</v>
      </c>
      <c r="B19" s="11"/>
      <c r="C19" s="11"/>
      <c r="D19" s="11"/>
      <c r="E19" s="11"/>
      <c r="F19" s="11"/>
      <c r="G19" s="6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6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>
      <c r="A20" s="75" t="s">
        <v>91</v>
      </c>
      <c r="B20" s="11"/>
      <c r="C20" s="11"/>
      <c r="D20" s="11"/>
      <c r="E20" s="11"/>
      <c r="F20" s="11"/>
      <c r="G20" s="61"/>
      <c r="H20" s="11">
        <f>1+0.75</f>
        <v>1.75</v>
      </c>
      <c r="I20" s="11">
        <f>1.25+1</f>
        <v>2.25</v>
      </c>
      <c r="J20" s="11">
        <f>3.5+1.5+1</f>
        <v>6</v>
      </c>
      <c r="K20" s="11">
        <f>3</f>
        <v>3</v>
      </c>
      <c r="L20" s="11"/>
      <c r="M20" s="14"/>
      <c r="N20" s="11"/>
      <c r="O20" s="11"/>
      <c r="P20" s="11"/>
      <c r="Q20" s="14"/>
      <c r="R20" s="14">
        <v>1.5</v>
      </c>
      <c r="S20" s="14"/>
      <c r="T20" s="14">
        <v>1.0</v>
      </c>
      <c r="U20" s="64">
        <v>3.0</v>
      </c>
      <c r="V20" s="14">
        <v>4.0</v>
      </c>
      <c r="W20" s="14">
        <v>5.0</v>
      </c>
      <c r="X20" s="14">
        <v>4.0</v>
      </c>
      <c r="Y20" s="14">
        <v>3.0</v>
      </c>
      <c r="Z20" s="14">
        <v>2.0</v>
      </c>
      <c r="AA20" s="14">
        <v>0.0</v>
      </c>
      <c r="AB20" s="14">
        <v>0.0</v>
      </c>
      <c r="AC20" s="14">
        <v>0.0</v>
      </c>
      <c r="AD20" s="14">
        <v>0.0</v>
      </c>
      <c r="AE20" s="14">
        <v>1.0</v>
      </c>
      <c r="AF20" s="14">
        <v>2.0</v>
      </c>
      <c r="AG20" s="14">
        <v>4.0</v>
      </c>
      <c r="AH20" s="14">
        <v>3.0</v>
      </c>
      <c r="AI20" s="14">
        <v>3.0</v>
      </c>
      <c r="AJ20" s="14">
        <v>4.0</v>
      </c>
      <c r="AK20" s="14">
        <v>4.0</v>
      </c>
      <c r="AL20" s="14">
        <v>5.0</v>
      </c>
      <c r="AM20" s="14">
        <v>0.0</v>
      </c>
      <c r="AN20" s="14">
        <v>0.0</v>
      </c>
    </row>
    <row r="21">
      <c r="A21" s="75" t="s">
        <v>92</v>
      </c>
      <c r="B21" s="11"/>
      <c r="C21" s="11"/>
      <c r="D21" s="11"/>
      <c r="E21" s="11"/>
      <c r="F21" s="11"/>
      <c r="G21" s="61"/>
      <c r="H21" s="14">
        <f>2+1+0.75</f>
        <v>3.75</v>
      </c>
      <c r="I21" s="11">
        <f>1+1</f>
        <v>2</v>
      </c>
      <c r="J21" s="11">
        <f>3+2+1+1</f>
        <v>7</v>
      </c>
      <c r="K21" s="11">
        <f>2+2+0.5+0.5+1</f>
        <v>6</v>
      </c>
      <c r="L21" s="11"/>
      <c r="M21" s="14"/>
      <c r="N21" s="11"/>
      <c r="O21" s="11"/>
      <c r="P21" s="11"/>
      <c r="Q21" s="14"/>
      <c r="R21" s="14">
        <v>0.5</v>
      </c>
      <c r="S21" s="14">
        <v>3.0</v>
      </c>
      <c r="T21" s="14">
        <v>1.0</v>
      </c>
      <c r="U21" s="64">
        <v>3.0</v>
      </c>
      <c r="V21" s="14">
        <v>4.0</v>
      </c>
      <c r="W21" s="14">
        <v>5.0</v>
      </c>
      <c r="X21" s="14">
        <v>4.0</v>
      </c>
      <c r="Y21" s="14">
        <v>3.0</v>
      </c>
      <c r="Z21" s="14">
        <v>2.0</v>
      </c>
      <c r="AA21" s="14">
        <v>0.0</v>
      </c>
      <c r="AB21" s="14">
        <v>0.0</v>
      </c>
      <c r="AC21" s="14">
        <v>0.0</v>
      </c>
      <c r="AD21" s="14">
        <v>0.0</v>
      </c>
      <c r="AE21" s="14">
        <v>1.0</v>
      </c>
      <c r="AF21" s="14">
        <v>2.0</v>
      </c>
      <c r="AG21" s="14">
        <v>4.0</v>
      </c>
      <c r="AH21" s="14">
        <v>3.0</v>
      </c>
      <c r="AI21" s="14">
        <v>3.0</v>
      </c>
      <c r="AJ21" s="14">
        <v>4.0</v>
      </c>
      <c r="AK21" s="14">
        <v>4.0</v>
      </c>
      <c r="AL21" s="14">
        <v>5.0</v>
      </c>
      <c r="AM21" s="14">
        <v>0.0</v>
      </c>
      <c r="AN21" s="14">
        <v>0.0</v>
      </c>
    </row>
    <row r="22">
      <c r="A22" s="76" t="s">
        <v>93</v>
      </c>
      <c r="B22" s="66">
        <f t="shared" ref="B22:AN22" si="4">SUM(B20:B21)</f>
        <v>0</v>
      </c>
      <c r="C22" s="66">
        <f t="shared" si="4"/>
        <v>0</v>
      </c>
      <c r="D22" s="66">
        <f t="shared" si="4"/>
        <v>0</v>
      </c>
      <c r="E22" s="66">
        <f t="shared" si="4"/>
        <v>0</v>
      </c>
      <c r="F22" s="66">
        <f t="shared" si="4"/>
        <v>0</v>
      </c>
      <c r="G22" s="67">
        <f t="shared" si="4"/>
        <v>0</v>
      </c>
      <c r="H22" s="66">
        <f t="shared" si="4"/>
        <v>5.5</v>
      </c>
      <c r="I22" s="66">
        <f t="shared" si="4"/>
        <v>4.25</v>
      </c>
      <c r="J22" s="66">
        <f t="shared" si="4"/>
        <v>13</v>
      </c>
      <c r="K22" s="66">
        <f t="shared" si="4"/>
        <v>9</v>
      </c>
      <c r="L22" s="66">
        <f t="shared" si="4"/>
        <v>0</v>
      </c>
      <c r="M22" s="66">
        <f t="shared" si="4"/>
        <v>0</v>
      </c>
      <c r="N22" s="66">
        <f t="shared" si="4"/>
        <v>0</v>
      </c>
      <c r="O22" s="66">
        <f t="shared" si="4"/>
        <v>0</v>
      </c>
      <c r="P22" s="66">
        <f t="shared" si="4"/>
        <v>0</v>
      </c>
      <c r="Q22" s="66">
        <f t="shared" si="4"/>
        <v>0</v>
      </c>
      <c r="R22" s="66">
        <f t="shared" si="4"/>
        <v>2</v>
      </c>
      <c r="S22" s="66">
        <f t="shared" si="4"/>
        <v>3</v>
      </c>
      <c r="T22" s="66">
        <f t="shared" si="4"/>
        <v>2</v>
      </c>
      <c r="U22" s="67">
        <f t="shared" si="4"/>
        <v>6</v>
      </c>
      <c r="V22" s="66">
        <f t="shared" si="4"/>
        <v>8</v>
      </c>
      <c r="W22" s="66">
        <f t="shared" si="4"/>
        <v>10</v>
      </c>
      <c r="X22" s="66">
        <f t="shared" si="4"/>
        <v>8</v>
      </c>
      <c r="Y22" s="66">
        <f t="shared" si="4"/>
        <v>6</v>
      </c>
      <c r="Z22" s="66">
        <f t="shared" si="4"/>
        <v>4</v>
      </c>
      <c r="AA22" s="66">
        <f t="shared" si="4"/>
        <v>0</v>
      </c>
      <c r="AB22" s="66">
        <f t="shared" si="4"/>
        <v>0</v>
      </c>
      <c r="AC22" s="66">
        <f t="shared" si="4"/>
        <v>0</v>
      </c>
      <c r="AD22" s="66">
        <f t="shared" si="4"/>
        <v>0</v>
      </c>
      <c r="AE22" s="66">
        <f t="shared" si="4"/>
        <v>2</v>
      </c>
      <c r="AF22" s="66">
        <f t="shared" si="4"/>
        <v>4</v>
      </c>
      <c r="AG22" s="66">
        <f t="shared" si="4"/>
        <v>8</v>
      </c>
      <c r="AH22" s="66">
        <f t="shared" si="4"/>
        <v>6</v>
      </c>
      <c r="AI22" s="66">
        <f t="shared" si="4"/>
        <v>6</v>
      </c>
      <c r="AJ22" s="66">
        <f t="shared" si="4"/>
        <v>8</v>
      </c>
      <c r="AK22" s="66">
        <f t="shared" si="4"/>
        <v>8</v>
      </c>
      <c r="AL22" s="66">
        <f t="shared" si="4"/>
        <v>10</v>
      </c>
      <c r="AM22" s="66">
        <f t="shared" si="4"/>
        <v>0</v>
      </c>
      <c r="AN22" s="66">
        <f t="shared" si="4"/>
        <v>0</v>
      </c>
    </row>
    <row r="23">
      <c r="A23" s="6"/>
      <c r="B23" s="11"/>
      <c r="C23" s="11"/>
      <c r="D23" s="11"/>
      <c r="E23" s="11"/>
      <c r="F23" s="11"/>
      <c r="G23" s="6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6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>
      <c r="A24" s="77" t="s">
        <v>94</v>
      </c>
      <c r="B24" s="11"/>
      <c r="C24" s="11"/>
      <c r="D24" s="11"/>
      <c r="E24" s="11"/>
      <c r="F24" s="11"/>
      <c r="G24" s="61"/>
      <c r="H24" s="11"/>
      <c r="I24" s="11"/>
      <c r="J24" s="11"/>
      <c r="K24" s="11"/>
      <c r="L24" s="11"/>
      <c r="M24" s="11"/>
      <c r="N24" s="11"/>
      <c r="O24" s="11"/>
      <c r="P24" s="11"/>
      <c r="Q24" s="11">
        <f t="shared" ref="Q24:T24" si="5">SUM(Q25:Q33)</f>
        <v>42.5</v>
      </c>
      <c r="R24" s="11">
        <f t="shared" si="5"/>
        <v>15.5</v>
      </c>
      <c r="S24" s="11">
        <f t="shared" si="5"/>
        <v>43</v>
      </c>
      <c r="T24" s="11">
        <f t="shared" si="5"/>
        <v>24.75</v>
      </c>
      <c r="U24" s="6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>
      <c r="A25" s="46" t="s">
        <v>95</v>
      </c>
      <c r="B25" s="11"/>
      <c r="C25" s="11"/>
      <c r="D25" s="11"/>
      <c r="E25" s="11"/>
      <c r="F25" s="11"/>
      <c r="G25" s="61">
        <f>1</f>
        <v>1</v>
      </c>
      <c r="H25" s="11">
        <f>2+0.75+0.75+1+0.75</f>
        <v>5.25</v>
      </c>
      <c r="I25" s="11">
        <f>3+4+0.75+2</f>
        <v>9.75</v>
      </c>
      <c r="J25" s="11">
        <f>1.25+0.5+2.25+0.5+0.25+1.5+3+1+1</f>
        <v>11.25</v>
      </c>
      <c r="K25" s="14">
        <v>9.0</v>
      </c>
      <c r="L25" s="11">
        <f>0.5+1.5+0.75+2+1.25+0.75+1+1</f>
        <v>8.75</v>
      </c>
      <c r="M25" s="11">
        <f>0.5+1.25+3</f>
        <v>4.75</v>
      </c>
      <c r="N25" s="11"/>
      <c r="O25" s="11">
        <f>5.75+0.75</f>
        <v>6.5</v>
      </c>
      <c r="P25" s="11">
        <f>1.5</f>
        <v>1.5</v>
      </c>
      <c r="Q25" s="11">
        <f>4+2.75+5.25+4+2.75+1+2+7+1.75+0.75+4.25</f>
        <v>35.5</v>
      </c>
      <c r="R25" s="14">
        <f>2.5+1+1.25+1.75+0.5</f>
        <v>7</v>
      </c>
      <c r="S25" s="11">
        <f>3+2+1.75+0.75</f>
        <v>7.5</v>
      </c>
      <c r="T25" s="14">
        <v>8.0</v>
      </c>
      <c r="U25" s="64">
        <v>7.0</v>
      </c>
      <c r="V25" s="14">
        <v>8.0</v>
      </c>
      <c r="W25" s="14">
        <v>7.5</v>
      </c>
      <c r="X25" s="14">
        <v>7.5</v>
      </c>
      <c r="Y25" s="14">
        <v>7.0</v>
      </c>
      <c r="Z25" s="14">
        <v>8.0</v>
      </c>
      <c r="AA25" s="14">
        <v>0.0</v>
      </c>
      <c r="AB25" s="14">
        <v>0.0</v>
      </c>
      <c r="AC25" s="14">
        <v>0.0</v>
      </c>
      <c r="AD25" s="14">
        <v>0.0</v>
      </c>
      <c r="AE25" s="14">
        <v>3.0</v>
      </c>
      <c r="AF25" s="14">
        <v>3.0</v>
      </c>
      <c r="AG25" s="14">
        <v>3.0</v>
      </c>
      <c r="AH25" s="14">
        <v>3.0</v>
      </c>
      <c r="AI25" s="14">
        <v>3.0</v>
      </c>
      <c r="AJ25" s="14">
        <v>4.0</v>
      </c>
      <c r="AK25" s="14">
        <v>5.0</v>
      </c>
      <c r="AL25" s="14">
        <v>6.0</v>
      </c>
      <c r="AM25" s="14">
        <v>0.0</v>
      </c>
      <c r="AN25" s="14">
        <v>0.0</v>
      </c>
    </row>
    <row r="26">
      <c r="A26" s="46" t="s">
        <v>96</v>
      </c>
      <c r="B26" s="11"/>
      <c r="C26" s="11"/>
      <c r="D26" s="11"/>
      <c r="E26" s="11"/>
      <c r="F26" s="11"/>
      <c r="G26" s="61"/>
      <c r="H26" s="11">
        <f>1+0.75</f>
        <v>1.75</v>
      </c>
      <c r="I26" s="11"/>
      <c r="J26" s="11"/>
      <c r="K26" s="11">
        <f>0.5+1</f>
        <v>1.5</v>
      </c>
      <c r="L26" s="11"/>
      <c r="M26" s="14"/>
      <c r="N26" s="11"/>
      <c r="O26" s="11"/>
      <c r="P26" s="11"/>
      <c r="Q26" s="11"/>
      <c r="R26" s="14">
        <v>0.5</v>
      </c>
      <c r="S26" s="11">
        <f>3</f>
        <v>3</v>
      </c>
      <c r="T26" s="14">
        <v>1.0</v>
      </c>
      <c r="U26" s="64">
        <v>5.0</v>
      </c>
      <c r="V26" s="14">
        <v>6.0</v>
      </c>
      <c r="W26" s="14">
        <v>6.0</v>
      </c>
      <c r="X26" s="14">
        <v>6.0</v>
      </c>
      <c r="Y26" s="14">
        <v>7.0</v>
      </c>
      <c r="Z26" s="14">
        <v>7.0</v>
      </c>
      <c r="AA26" s="14">
        <v>0.0</v>
      </c>
      <c r="AB26" s="14">
        <v>0.0</v>
      </c>
      <c r="AC26" s="14">
        <v>0.0</v>
      </c>
      <c r="AD26" s="14">
        <v>0.0</v>
      </c>
      <c r="AE26" s="14">
        <v>2.0</v>
      </c>
      <c r="AF26" s="14">
        <v>2.0</v>
      </c>
      <c r="AG26" s="14">
        <v>2.0</v>
      </c>
      <c r="AH26" s="14">
        <v>2.0</v>
      </c>
      <c r="AI26" s="14">
        <v>2.0</v>
      </c>
      <c r="AJ26" s="14">
        <v>3.0</v>
      </c>
      <c r="AK26" s="14">
        <v>4.0</v>
      </c>
      <c r="AL26" s="14">
        <v>5.0</v>
      </c>
      <c r="AM26" s="14">
        <v>0.0</v>
      </c>
      <c r="AN26" s="14">
        <v>0.0</v>
      </c>
    </row>
    <row r="27">
      <c r="A27" s="46" t="s">
        <v>97</v>
      </c>
      <c r="B27" s="11"/>
      <c r="C27" s="11"/>
      <c r="D27" s="11"/>
      <c r="E27" s="11"/>
      <c r="F27" s="11"/>
      <c r="G27" s="6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4">
        <v>3.0</v>
      </c>
      <c r="T27" s="14">
        <v>0.0</v>
      </c>
      <c r="U27" s="64">
        <v>4.0</v>
      </c>
      <c r="V27" s="14">
        <v>5.0</v>
      </c>
      <c r="W27" s="14">
        <v>5.0</v>
      </c>
      <c r="X27" s="14">
        <v>5.0</v>
      </c>
      <c r="Y27" s="14">
        <v>5.0</v>
      </c>
      <c r="Z27" s="14">
        <v>6.0</v>
      </c>
      <c r="AA27" s="14">
        <v>0.0</v>
      </c>
      <c r="AB27" s="14">
        <v>0.0</v>
      </c>
      <c r="AC27" s="14">
        <v>0.0</v>
      </c>
      <c r="AD27" s="14">
        <v>0.0</v>
      </c>
      <c r="AE27" s="14">
        <v>2.0</v>
      </c>
      <c r="AF27" s="14">
        <v>2.0</v>
      </c>
      <c r="AG27" s="14">
        <v>2.0</v>
      </c>
      <c r="AH27" s="14">
        <v>2.0</v>
      </c>
      <c r="AI27" s="14">
        <v>2.0</v>
      </c>
      <c r="AJ27" s="14">
        <v>2.0</v>
      </c>
      <c r="AK27" s="14">
        <v>3.0</v>
      </c>
      <c r="AL27" s="14">
        <v>4.0</v>
      </c>
      <c r="AM27" s="14">
        <v>0.0</v>
      </c>
      <c r="AN27" s="14">
        <v>0.0</v>
      </c>
    </row>
    <row r="28">
      <c r="A28" s="46" t="s">
        <v>81</v>
      </c>
      <c r="B28" s="11"/>
      <c r="C28" s="11"/>
      <c r="D28" s="11"/>
      <c r="E28" s="11"/>
      <c r="F28" s="11"/>
      <c r="G28" s="61"/>
      <c r="H28" s="11"/>
      <c r="I28" s="11"/>
      <c r="J28" s="11"/>
      <c r="K28" s="11"/>
      <c r="L28" s="11"/>
      <c r="M28" s="11"/>
      <c r="N28" s="11"/>
      <c r="O28" s="11"/>
      <c r="P28" s="11"/>
      <c r="Q28" s="11">
        <f>2+5</f>
        <v>7</v>
      </c>
      <c r="R28" s="11">
        <f>5+3</f>
        <v>8</v>
      </c>
      <c r="S28" s="11">
        <f>3+2+1+1</f>
        <v>7</v>
      </c>
      <c r="T28" s="14">
        <v>3.0</v>
      </c>
      <c r="U28" s="64">
        <v>5.0</v>
      </c>
      <c r="V28" s="14">
        <v>5.0</v>
      </c>
      <c r="W28" s="14">
        <v>6.0</v>
      </c>
      <c r="X28" s="14">
        <v>6.0</v>
      </c>
      <c r="Y28" s="14">
        <v>7.0</v>
      </c>
      <c r="Z28" s="14">
        <v>7.0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  <c r="AJ28" s="14">
        <v>0.0</v>
      </c>
      <c r="AK28" s="14">
        <v>0.0</v>
      </c>
      <c r="AL28" s="14">
        <v>0.0</v>
      </c>
      <c r="AM28" s="14">
        <v>0.0</v>
      </c>
      <c r="AN28" s="14">
        <v>0.0</v>
      </c>
    </row>
    <row r="29">
      <c r="A29" s="46" t="s">
        <v>88</v>
      </c>
      <c r="B29" s="11"/>
      <c r="C29" s="11"/>
      <c r="D29" s="11"/>
      <c r="E29" s="11"/>
      <c r="F29" s="11"/>
      <c r="G29" s="6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4">
        <v>2.0</v>
      </c>
      <c r="T29" s="14">
        <v>3.75</v>
      </c>
      <c r="U29" s="64">
        <v>4.0</v>
      </c>
      <c r="V29" s="64">
        <v>3.0</v>
      </c>
      <c r="W29" s="64">
        <v>3.0</v>
      </c>
      <c r="X29" s="64">
        <v>3.0</v>
      </c>
      <c r="Y29" s="14">
        <v>4.0</v>
      </c>
      <c r="Z29" s="14">
        <v>5.0</v>
      </c>
      <c r="AA29" s="14">
        <v>0.0</v>
      </c>
      <c r="AB29" s="14">
        <v>0.0</v>
      </c>
      <c r="AC29" s="14">
        <v>0.0</v>
      </c>
      <c r="AD29" s="14">
        <v>0.0</v>
      </c>
      <c r="AE29" s="14">
        <v>0.0</v>
      </c>
      <c r="AF29" s="14">
        <v>0.0</v>
      </c>
      <c r="AG29" s="14">
        <v>0.0</v>
      </c>
      <c r="AH29" s="14">
        <v>0.0</v>
      </c>
      <c r="AI29" s="14">
        <v>0.0</v>
      </c>
      <c r="AJ29" s="14">
        <v>0.0</v>
      </c>
      <c r="AK29" s="14">
        <v>0.0</v>
      </c>
      <c r="AL29" s="14">
        <v>0.0</v>
      </c>
      <c r="AM29" s="14">
        <v>0.0</v>
      </c>
      <c r="AN29" s="14">
        <v>0.0</v>
      </c>
    </row>
    <row r="30">
      <c r="A30" s="46" t="s">
        <v>84</v>
      </c>
      <c r="B30" s="11"/>
      <c r="C30" s="11"/>
      <c r="D30" s="11"/>
      <c r="E30" s="11"/>
      <c r="F30" s="11"/>
      <c r="G30" s="6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4">
        <v>7.75</v>
      </c>
      <c r="T30" s="14">
        <v>4.0</v>
      </c>
      <c r="U30" s="64">
        <v>4.0</v>
      </c>
      <c r="V30" s="64">
        <v>3.0</v>
      </c>
      <c r="W30" s="64">
        <v>3.0</v>
      </c>
      <c r="X30" s="64">
        <v>3.0</v>
      </c>
      <c r="Y30" s="14">
        <v>4.0</v>
      </c>
      <c r="Z30" s="14">
        <v>5.0</v>
      </c>
      <c r="AA30" s="14">
        <v>0.0</v>
      </c>
      <c r="AB30" s="14">
        <v>0.0</v>
      </c>
      <c r="AC30" s="14">
        <v>0.0</v>
      </c>
      <c r="AD30" s="14">
        <v>0.0</v>
      </c>
      <c r="AE30" s="14">
        <v>0.0</v>
      </c>
      <c r="AF30" s="14">
        <v>0.0</v>
      </c>
      <c r="AG30" s="14">
        <v>0.0</v>
      </c>
      <c r="AH30" s="14">
        <v>0.0</v>
      </c>
      <c r="AI30" s="14">
        <v>0.0</v>
      </c>
      <c r="AJ30" s="14">
        <v>0.0</v>
      </c>
      <c r="AK30" s="14">
        <v>0.0</v>
      </c>
      <c r="AL30" s="14">
        <v>0.0</v>
      </c>
      <c r="AM30" s="14">
        <v>0.0</v>
      </c>
      <c r="AN30" s="14">
        <v>0.0</v>
      </c>
    </row>
    <row r="31">
      <c r="A31" s="46" t="s">
        <v>85</v>
      </c>
      <c r="B31" s="11"/>
      <c r="C31" s="11"/>
      <c r="D31" s="11"/>
      <c r="E31" s="11"/>
      <c r="F31" s="11"/>
      <c r="G31" s="6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>
        <f>3+2</f>
        <v>5</v>
      </c>
      <c r="T31" s="14">
        <v>2.0</v>
      </c>
      <c r="U31" s="64">
        <v>3.0</v>
      </c>
      <c r="V31" s="64">
        <v>4.0</v>
      </c>
      <c r="W31" s="64">
        <v>3.0</v>
      </c>
      <c r="X31" s="64">
        <v>3.0</v>
      </c>
      <c r="Y31" s="14">
        <v>4.0</v>
      </c>
      <c r="Z31" s="14">
        <v>5.0</v>
      </c>
      <c r="AA31" s="14">
        <v>0.0</v>
      </c>
      <c r="AB31" s="14">
        <v>0.0</v>
      </c>
      <c r="AC31" s="14">
        <v>0.0</v>
      </c>
      <c r="AD31" s="14">
        <v>0.0</v>
      </c>
      <c r="AE31" s="14">
        <v>0.0</v>
      </c>
      <c r="AF31" s="14">
        <v>0.0</v>
      </c>
      <c r="AG31" s="14">
        <v>0.0</v>
      </c>
      <c r="AH31" s="14">
        <v>0.0</v>
      </c>
      <c r="AI31" s="14">
        <v>0.0</v>
      </c>
      <c r="AJ31" s="14">
        <v>0.0</v>
      </c>
      <c r="AK31" s="14">
        <v>0.0</v>
      </c>
      <c r="AL31" s="14">
        <v>0.0</v>
      </c>
      <c r="AM31" s="14">
        <v>0.0</v>
      </c>
      <c r="AN31" s="14">
        <v>0.0</v>
      </c>
    </row>
    <row r="32">
      <c r="A32" s="46" t="s">
        <v>98</v>
      </c>
      <c r="B32" s="11"/>
      <c r="C32" s="11"/>
      <c r="D32" s="11"/>
      <c r="E32" s="11"/>
      <c r="F32" s="11"/>
      <c r="G32" s="6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>
        <f>3</f>
        <v>3</v>
      </c>
      <c r="T32" s="14">
        <v>3.0</v>
      </c>
      <c r="U32" s="64">
        <v>3.0</v>
      </c>
      <c r="V32" s="64">
        <v>4.0</v>
      </c>
      <c r="W32" s="64">
        <v>3.0</v>
      </c>
      <c r="X32" s="64">
        <v>3.0</v>
      </c>
      <c r="Y32" s="14">
        <v>4.0</v>
      </c>
      <c r="Z32" s="14">
        <v>5.0</v>
      </c>
      <c r="AA32" s="14">
        <v>0.0</v>
      </c>
      <c r="AB32" s="14">
        <v>0.0</v>
      </c>
      <c r="AC32" s="14">
        <v>0.0</v>
      </c>
      <c r="AD32" s="14">
        <v>0.0</v>
      </c>
      <c r="AE32" s="14">
        <v>0.0</v>
      </c>
      <c r="AF32" s="14">
        <v>0.0</v>
      </c>
      <c r="AG32" s="14">
        <v>0.0</v>
      </c>
      <c r="AH32" s="14">
        <v>0.0</v>
      </c>
      <c r="AI32" s="14">
        <v>0.0</v>
      </c>
      <c r="AJ32" s="14">
        <v>0.0</v>
      </c>
      <c r="AK32" s="14">
        <v>0.0</v>
      </c>
      <c r="AL32" s="14">
        <v>0.0</v>
      </c>
      <c r="AM32" s="14">
        <v>0.0</v>
      </c>
      <c r="AN32" s="14">
        <v>0.0</v>
      </c>
    </row>
    <row r="33">
      <c r="A33" s="46" t="s">
        <v>99</v>
      </c>
      <c r="B33" s="11"/>
      <c r="C33" s="11"/>
      <c r="D33" s="11"/>
      <c r="E33" s="11"/>
      <c r="F33" s="11"/>
      <c r="G33" s="6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4">
        <v>4.75</v>
      </c>
      <c r="T33" s="14">
        <v>0.0</v>
      </c>
      <c r="U33" s="64">
        <v>3.0</v>
      </c>
      <c r="V33" s="64">
        <v>3.0</v>
      </c>
      <c r="W33" s="64">
        <v>4.0</v>
      </c>
      <c r="X33" s="64">
        <v>3.0</v>
      </c>
      <c r="Y33" s="14">
        <v>4.0</v>
      </c>
      <c r="Z33" s="14">
        <v>5.0</v>
      </c>
      <c r="AA33" s="14">
        <v>0.0</v>
      </c>
      <c r="AB33" s="14">
        <v>0.0</v>
      </c>
      <c r="AC33" s="14">
        <v>0.0</v>
      </c>
      <c r="AD33" s="14">
        <v>0.0</v>
      </c>
      <c r="AE33" s="14">
        <v>0.0</v>
      </c>
      <c r="AF33" s="14">
        <v>0.0</v>
      </c>
      <c r="AG33" s="14">
        <v>0.0</v>
      </c>
      <c r="AH33" s="14">
        <v>0.0</v>
      </c>
      <c r="AI33" s="14">
        <v>0.0</v>
      </c>
      <c r="AJ33" s="14">
        <v>0.0</v>
      </c>
      <c r="AK33" s="14">
        <v>0.0</v>
      </c>
      <c r="AL33" s="14">
        <v>0.0</v>
      </c>
      <c r="AM33" s="14">
        <v>0.0</v>
      </c>
      <c r="AN33" s="14">
        <v>0.0</v>
      </c>
    </row>
    <row r="34">
      <c r="A34" s="78" t="s">
        <v>100</v>
      </c>
      <c r="B34" s="66">
        <f t="shared" ref="B34:AN34" si="6">SUM(B25:B33)</f>
        <v>0</v>
      </c>
      <c r="C34" s="66">
        <f t="shared" si="6"/>
        <v>0</v>
      </c>
      <c r="D34" s="66">
        <f t="shared" si="6"/>
        <v>0</v>
      </c>
      <c r="E34" s="66">
        <f t="shared" si="6"/>
        <v>0</v>
      </c>
      <c r="F34" s="66">
        <f t="shared" si="6"/>
        <v>0</v>
      </c>
      <c r="G34" s="67">
        <f t="shared" si="6"/>
        <v>1</v>
      </c>
      <c r="H34" s="66">
        <f t="shared" si="6"/>
        <v>7</v>
      </c>
      <c r="I34" s="66">
        <f t="shared" si="6"/>
        <v>9.75</v>
      </c>
      <c r="J34" s="66">
        <f t="shared" si="6"/>
        <v>11.25</v>
      </c>
      <c r="K34" s="66">
        <f t="shared" si="6"/>
        <v>10.5</v>
      </c>
      <c r="L34" s="66">
        <f t="shared" si="6"/>
        <v>8.75</v>
      </c>
      <c r="M34" s="66">
        <f t="shared" si="6"/>
        <v>4.75</v>
      </c>
      <c r="N34" s="66">
        <f t="shared" si="6"/>
        <v>0</v>
      </c>
      <c r="O34" s="66">
        <f t="shared" si="6"/>
        <v>6.5</v>
      </c>
      <c r="P34" s="66">
        <f t="shared" si="6"/>
        <v>1.5</v>
      </c>
      <c r="Q34" s="66">
        <f t="shared" si="6"/>
        <v>42.5</v>
      </c>
      <c r="R34" s="66">
        <f t="shared" si="6"/>
        <v>15.5</v>
      </c>
      <c r="S34" s="66">
        <f t="shared" si="6"/>
        <v>43</v>
      </c>
      <c r="T34" s="66">
        <f t="shared" si="6"/>
        <v>24.75</v>
      </c>
      <c r="U34" s="67">
        <f t="shared" si="6"/>
        <v>38</v>
      </c>
      <c r="V34" s="66">
        <f t="shared" si="6"/>
        <v>41</v>
      </c>
      <c r="W34" s="66">
        <f t="shared" si="6"/>
        <v>40.5</v>
      </c>
      <c r="X34" s="66">
        <f t="shared" si="6"/>
        <v>39.5</v>
      </c>
      <c r="Y34" s="66">
        <f t="shared" si="6"/>
        <v>46</v>
      </c>
      <c r="Z34" s="66">
        <f t="shared" si="6"/>
        <v>53</v>
      </c>
      <c r="AA34" s="66">
        <f t="shared" si="6"/>
        <v>0</v>
      </c>
      <c r="AB34" s="66">
        <f t="shared" si="6"/>
        <v>0</v>
      </c>
      <c r="AC34" s="66">
        <f t="shared" si="6"/>
        <v>0</v>
      </c>
      <c r="AD34" s="66">
        <f t="shared" si="6"/>
        <v>0</v>
      </c>
      <c r="AE34" s="66">
        <f t="shared" si="6"/>
        <v>7</v>
      </c>
      <c r="AF34" s="66">
        <f t="shared" si="6"/>
        <v>7</v>
      </c>
      <c r="AG34" s="66">
        <f t="shared" si="6"/>
        <v>7</v>
      </c>
      <c r="AH34" s="66">
        <f t="shared" si="6"/>
        <v>7</v>
      </c>
      <c r="AI34" s="66">
        <f t="shared" si="6"/>
        <v>7</v>
      </c>
      <c r="AJ34" s="66">
        <f t="shared" si="6"/>
        <v>9</v>
      </c>
      <c r="AK34" s="66">
        <f t="shared" si="6"/>
        <v>12</v>
      </c>
      <c r="AL34" s="66">
        <f t="shared" si="6"/>
        <v>15</v>
      </c>
      <c r="AM34" s="66">
        <f t="shared" si="6"/>
        <v>0</v>
      </c>
      <c r="AN34" s="66">
        <f t="shared" si="6"/>
        <v>0</v>
      </c>
    </row>
    <row r="35">
      <c r="A35" s="6"/>
      <c r="B35" s="11"/>
      <c r="C35" s="11"/>
      <c r="D35" s="11"/>
      <c r="E35" s="11"/>
      <c r="F35" s="11"/>
      <c r="G35" s="6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6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>
      <c r="A36" s="79" t="s">
        <v>101</v>
      </c>
      <c r="B36" s="11"/>
      <c r="C36" s="11"/>
      <c r="D36" s="11"/>
      <c r="E36" s="11"/>
      <c r="F36" s="11"/>
      <c r="G36" s="6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6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>
      <c r="A37" s="80" t="s">
        <v>98</v>
      </c>
      <c r="B37" s="11"/>
      <c r="C37" s="11"/>
      <c r="D37" s="11"/>
      <c r="E37" s="11"/>
      <c r="F37" s="11"/>
      <c r="G37" s="61"/>
      <c r="H37" s="11">
        <f>1+1</f>
        <v>2</v>
      </c>
      <c r="I37" s="11">
        <f>1+1.5+0.5+1+1</f>
        <v>5</v>
      </c>
      <c r="J37" s="11">
        <f>2+1+1.25+1</f>
        <v>5.25</v>
      </c>
      <c r="K37" s="14">
        <v>0.5</v>
      </c>
      <c r="L37" s="11"/>
      <c r="M37" s="14"/>
      <c r="N37" s="11"/>
      <c r="O37" s="14"/>
      <c r="P37" s="11">
        <f>0.75</f>
        <v>0.75</v>
      </c>
      <c r="Q37" s="11"/>
      <c r="R37" s="14">
        <v>0.5</v>
      </c>
      <c r="S37" s="14">
        <v>4.75</v>
      </c>
      <c r="T37" s="14">
        <v>2.25</v>
      </c>
      <c r="U37" s="64">
        <v>2.0</v>
      </c>
      <c r="V37" s="14">
        <v>3.0</v>
      </c>
      <c r="W37" s="14">
        <v>4.0</v>
      </c>
      <c r="X37" s="14">
        <v>0.0</v>
      </c>
      <c r="Y37" s="14">
        <v>0.0</v>
      </c>
      <c r="Z37" s="14">
        <v>0.0</v>
      </c>
      <c r="AA37" s="14">
        <v>0.0</v>
      </c>
      <c r="AB37" s="14">
        <v>0.0</v>
      </c>
      <c r="AC37" s="14">
        <v>0.0</v>
      </c>
      <c r="AD37" s="14">
        <v>0.0</v>
      </c>
      <c r="AE37" s="14">
        <v>0.0</v>
      </c>
      <c r="AF37" s="14">
        <v>0.0</v>
      </c>
      <c r="AG37" s="14">
        <v>0.0</v>
      </c>
      <c r="AH37" s="14">
        <v>0.0</v>
      </c>
      <c r="AI37" s="14">
        <v>0.0</v>
      </c>
      <c r="AJ37" s="14">
        <v>0.0</v>
      </c>
      <c r="AK37" s="14">
        <v>0.0</v>
      </c>
      <c r="AL37" s="14">
        <v>2.0</v>
      </c>
      <c r="AM37" s="14">
        <v>0.0</v>
      </c>
      <c r="AN37" s="14">
        <v>0.0</v>
      </c>
    </row>
    <row r="38">
      <c r="A38" s="80" t="s">
        <v>84</v>
      </c>
      <c r="B38" s="11"/>
      <c r="C38" s="11"/>
      <c r="D38" s="11"/>
      <c r="E38" s="11"/>
      <c r="F38" s="11"/>
      <c r="G38" s="61"/>
      <c r="H38" s="14">
        <f>0.25+1</f>
        <v>1.25</v>
      </c>
      <c r="I38" s="14">
        <f>0.25+0.75+0.25</f>
        <v>1.25</v>
      </c>
      <c r="J38" s="11"/>
      <c r="K38" s="11"/>
      <c r="L38" s="11"/>
      <c r="M38" s="11"/>
      <c r="N38" s="11"/>
      <c r="O38" s="14"/>
      <c r="P38" s="11"/>
      <c r="Q38" s="11"/>
      <c r="R38" s="11"/>
      <c r="S38" s="11"/>
      <c r="T38" s="11">
        <f>0.5+2+0.5</f>
        <v>3</v>
      </c>
      <c r="U38" s="64">
        <v>1.0</v>
      </c>
      <c r="V38" s="14">
        <v>2.0</v>
      </c>
      <c r="W38" s="14">
        <v>3.0</v>
      </c>
      <c r="X38" s="14">
        <v>0.0</v>
      </c>
      <c r="Y38" s="14">
        <v>0.0</v>
      </c>
      <c r="Z38" s="14">
        <v>0.0</v>
      </c>
      <c r="AA38" s="14">
        <v>0.0</v>
      </c>
      <c r="AB38" s="14">
        <v>0.0</v>
      </c>
      <c r="AC38" s="14">
        <v>0.0</v>
      </c>
      <c r="AD38" s="14">
        <v>0.0</v>
      </c>
      <c r="AE38" s="14">
        <v>0.0</v>
      </c>
      <c r="AF38" s="14">
        <v>0.0</v>
      </c>
      <c r="AG38" s="14">
        <v>0.0</v>
      </c>
      <c r="AH38" s="14">
        <v>0.0</v>
      </c>
      <c r="AI38" s="14">
        <v>0.0</v>
      </c>
      <c r="AJ38" s="14">
        <v>0.0</v>
      </c>
      <c r="AK38" s="14">
        <v>0.0</v>
      </c>
      <c r="AL38" s="14">
        <v>1.0</v>
      </c>
      <c r="AM38" s="14">
        <v>0.0</v>
      </c>
      <c r="AN38" s="14">
        <v>0.0</v>
      </c>
    </row>
    <row r="39">
      <c r="A39" s="81" t="s">
        <v>102</v>
      </c>
      <c r="B39" s="66">
        <f t="shared" ref="B39:AN39" si="7">SUM(B37:B38)</f>
        <v>0</v>
      </c>
      <c r="C39" s="66">
        <f t="shared" si="7"/>
        <v>0</v>
      </c>
      <c r="D39" s="66">
        <f t="shared" si="7"/>
        <v>0</v>
      </c>
      <c r="E39" s="66">
        <f t="shared" si="7"/>
        <v>0</v>
      </c>
      <c r="F39" s="66">
        <f t="shared" si="7"/>
        <v>0</v>
      </c>
      <c r="G39" s="67">
        <f t="shared" si="7"/>
        <v>0</v>
      </c>
      <c r="H39" s="66">
        <f t="shared" si="7"/>
        <v>3.25</v>
      </c>
      <c r="I39" s="66">
        <f t="shared" si="7"/>
        <v>6.25</v>
      </c>
      <c r="J39" s="66">
        <f t="shared" si="7"/>
        <v>5.25</v>
      </c>
      <c r="K39" s="66">
        <f t="shared" si="7"/>
        <v>0.5</v>
      </c>
      <c r="L39" s="66">
        <f t="shared" si="7"/>
        <v>0</v>
      </c>
      <c r="M39" s="66">
        <f t="shared" si="7"/>
        <v>0</v>
      </c>
      <c r="N39" s="66">
        <f t="shared" si="7"/>
        <v>0</v>
      </c>
      <c r="O39" s="66">
        <f t="shared" si="7"/>
        <v>0</v>
      </c>
      <c r="P39" s="66">
        <f t="shared" si="7"/>
        <v>0.75</v>
      </c>
      <c r="Q39" s="66">
        <f t="shared" si="7"/>
        <v>0</v>
      </c>
      <c r="R39" s="66">
        <f t="shared" si="7"/>
        <v>0.5</v>
      </c>
      <c r="S39" s="66">
        <f t="shared" si="7"/>
        <v>4.75</v>
      </c>
      <c r="T39" s="66">
        <f t="shared" si="7"/>
        <v>5.25</v>
      </c>
      <c r="U39" s="67">
        <f t="shared" si="7"/>
        <v>3</v>
      </c>
      <c r="V39" s="66">
        <f t="shared" si="7"/>
        <v>5</v>
      </c>
      <c r="W39" s="66">
        <f t="shared" si="7"/>
        <v>7</v>
      </c>
      <c r="X39" s="66">
        <f t="shared" si="7"/>
        <v>0</v>
      </c>
      <c r="Y39" s="66">
        <f t="shared" si="7"/>
        <v>0</v>
      </c>
      <c r="Z39" s="66">
        <f t="shared" si="7"/>
        <v>0</v>
      </c>
      <c r="AA39" s="66">
        <f t="shared" si="7"/>
        <v>0</v>
      </c>
      <c r="AB39" s="66">
        <f t="shared" si="7"/>
        <v>0</v>
      </c>
      <c r="AC39" s="66">
        <f t="shared" si="7"/>
        <v>0</v>
      </c>
      <c r="AD39" s="66">
        <f t="shared" si="7"/>
        <v>0</v>
      </c>
      <c r="AE39" s="66">
        <f t="shared" si="7"/>
        <v>0</v>
      </c>
      <c r="AF39" s="66">
        <f t="shared" si="7"/>
        <v>0</v>
      </c>
      <c r="AG39" s="66">
        <f t="shared" si="7"/>
        <v>0</v>
      </c>
      <c r="AH39" s="66">
        <f t="shared" si="7"/>
        <v>0</v>
      </c>
      <c r="AI39" s="66">
        <f t="shared" si="7"/>
        <v>0</v>
      </c>
      <c r="AJ39" s="66">
        <f t="shared" si="7"/>
        <v>0</v>
      </c>
      <c r="AK39" s="66">
        <f t="shared" si="7"/>
        <v>0</v>
      </c>
      <c r="AL39" s="66">
        <f t="shared" si="7"/>
        <v>3</v>
      </c>
      <c r="AM39" s="66">
        <f t="shared" si="7"/>
        <v>0</v>
      </c>
      <c r="AN39" s="66">
        <f t="shared" si="7"/>
        <v>0</v>
      </c>
    </row>
    <row r="40">
      <c r="A40" s="6"/>
      <c r="B40" s="82"/>
      <c r="C40" s="82"/>
      <c r="D40" s="82"/>
      <c r="E40" s="82"/>
      <c r="F40" s="82"/>
      <c r="G40" s="83"/>
      <c r="H40" s="84"/>
      <c r="I40" s="84"/>
      <c r="J40" s="82"/>
      <c r="K40" s="84"/>
      <c r="L40" s="82"/>
      <c r="M40" s="84"/>
      <c r="N40" s="82"/>
      <c r="O40" s="82"/>
      <c r="P40" s="82"/>
      <c r="Q40" s="82"/>
      <c r="R40" s="82"/>
      <c r="S40" s="84"/>
      <c r="T40" s="82"/>
      <c r="U40" s="85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</row>
    <row r="41">
      <c r="A41" s="86" t="s">
        <v>103</v>
      </c>
      <c r="B41" s="11"/>
      <c r="C41" s="11"/>
      <c r="D41" s="11"/>
      <c r="E41" s="11"/>
      <c r="F41" s="11"/>
      <c r="G41" s="64"/>
      <c r="H41" s="14"/>
      <c r="I41" s="14"/>
      <c r="J41" s="11"/>
      <c r="K41" s="14"/>
      <c r="L41" s="11"/>
      <c r="M41" s="14"/>
      <c r="N41" s="11"/>
      <c r="O41" s="11"/>
      <c r="P41" s="11"/>
      <c r="Q41" s="11"/>
      <c r="R41" s="11"/>
      <c r="S41" s="14"/>
      <c r="T41" s="11"/>
      <c r="U41" s="6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>
      <c r="A42" s="87" t="s">
        <v>99</v>
      </c>
      <c r="B42" s="11"/>
      <c r="C42" s="11"/>
      <c r="D42" s="11"/>
      <c r="E42" s="11"/>
      <c r="F42" s="11"/>
      <c r="G42" s="64">
        <v>3.0</v>
      </c>
      <c r="H42" s="14">
        <f>0.75+1+1</f>
        <v>2.75</v>
      </c>
      <c r="I42" s="14">
        <f>2.25+1</f>
        <v>3.25</v>
      </c>
      <c r="J42" s="11">
        <f>2+0.75+1</f>
        <v>3.75</v>
      </c>
      <c r="K42" s="14">
        <v>0.5</v>
      </c>
      <c r="L42" s="11"/>
      <c r="M42" s="14"/>
      <c r="N42" s="11"/>
      <c r="O42" s="11"/>
      <c r="P42" s="11">
        <f>1.5+1.5+1.25</f>
        <v>4.25</v>
      </c>
      <c r="Q42" s="11">
        <f>2.75+1.5</f>
        <v>4.25</v>
      </c>
      <c r="R42" s="11">
        <f>0.75+0.5</f>
        <v>1.25</v>
      </c>
      <c r="S42" s="14">
        <v>0.75</v>
      </c>
      <c r="T42" s="11">
        <f>0.75+1</f>
        <v>1.75</v>
      </c>
      <c r="U42" s="64">
        <v>1.0</v>
      </c>
      <c r="V42" s="14">
        <v>2.0</v>
      </c>
      <c r="W42" s="14">
        <v>4.0</v>
      </c>
      <c r="X42" s="14">
        <v>0.0</v>
      </c>
      <c r="Y42" s="14">
        <v>0.0</v>
      </c>
      <c r="Z42" s="14">
        <v>0.0</v>
      </c>
      <c r="AA42" s="14">
        <v>0.0</v>
      </c>
      <c r="AB42" s="14">
        <v>0.0</v>
      </c>
      <c r="AC42" s="14">
        <v>0.0</v>
      </c>
      <c r="AD42" s="14">
        <v>0.0</v>
      </c>
      <c r="AE42" s="14">
        <v>0.0</v>
      </c>
      <c r="AF42" s="14">
        <v>0.0</v>
      </c>
      <c r="AG42" s="14">
        <v>0.0</v>
      </c>
      <c r="AH42" s="14">
        <v>0.0</v>
      </c>
      <c r="AI42" s="14">
        <v>0.0</v>
      </c>
      <c r="AJ42" s="14">
        <v>0.0</v>
      </c>
      <c r="AK42" s="14">
        <v>0.0</v>
      </c>
      <c r="AL42" s="14">
        <v>4.0</v>
      </c>
      <c r="AM42" s="14">
        <v>0.0</v>
      </c>
      <c r="AN42" s="14">
        <v>0.0</v>
      </c>
    </row>
    <row r="43">
      <c r="A43" s="87" t="s">
        <v>98</v>
      </c>
      <c r="B43" s="11"/>
      <c r="C43" s="11"/>
      <c r="D43" s="11"/>
      <c r="E43" s="11"/>
      <c r="F43" s="11"/>
      <c r="G43" s="61"/>
      <c r="H43" s="11"/>
      <c r="I43" s="14">
        <v>1.5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64">
        <v>1.0</v>
      </c>
      <c r="V43" s="14">
        <v>2.0</v>
      </c>
      <c r="W43" s="14">
        <v>2.0</v>
      </c>
      <c r="X43" s="14">
        <v>0.0</v>
      </c>
      <c r="Y43" s="14">
        <v>0.0</v>
      </c>
      <c r="Z43" s="14">
        <v>0.0</v>
      </c>
      <c r="AA43" s="14">
        <v>0.0</v>
      </c>
      <c r="AB43" s="14">
        <v>0.0</v>
      </c>
      <c r="AC43" s="14">
        <v>0.0</v>
      </c>
      <c r="AD43" s="14">
        <v>0.0</v>
      </c>
      <c r="AE43" s="14">
        <v>0.0</v>
      </c>
      <c r="AF43" s="14">
        <v>0.0</v>
      </c>
      <c r="AG43" s="14">
        <v>0.0</v>
      </c>
      <c r="AH43" s="14">
        <v>0.0</v>
      </c>
      <c r="AI43" s="14">
        <v>0.0</v>
      </c>
      <c r="AJ43" s="14">
        <v>0.0</v>
      </c>
      <c r="AK43" s="14">
        <v>0.0</v>
      </c>
      <c r="AL43" s="14">
        <v>3.0</v>
      </c>
      <c r="AM43" s="14">
        <v>0.0</v>
      </c>
      <c r="AN43" s="14">
        <v>0.0</v>
      </c>
    </row>
    <row r="44">
      <c r="A44" s="88" t="s">
        <v>104</v>
      </c>
      <c r="B44" s="5">
        <f t="shared" ref="B44:AN44" si="8">SUM(B42:B43)</f>
        <v>0</v>
      </c>
      <c r="C44" s="5">
        <f t="shared" si="8"/>
        <v>0</v>
      </c>
      <c r="D44" s="5">
        <f t="shared" si="8"/>
        <v>0</v>
      </c>
      <c r="E44" s="5">
        <f t="shared" si="8"/>
        <v>0</v>
      </c>
      <c r="F44" s="5">
        <f t="shared" si="8"/>
        <v>0</v>
      </c>
      <c r="G44" s="89">
        <f t="shared" si="8"/>
        <v>3</v>
      </c>
      <c r="H44" s="5">
        <f t="shared" si="8"/>
        <v>2.75</v>
      </c>
      <c r="I44" s="5">
        <f t="shared" si="8"/>
        <v>4.75</v>
      </c>
      <c r="J44" s="5">
        <f t="shared" si="8"/>
        <v>3.75</v>
      </c>
      <c r="K44" s="5">
        <f t="shared" si="8"/>
        <v>0.5</v>
      </c>
      <c r="L44" s="5">
        <f t="shared" si="8"/>
        <v>0</v>
      </c>
      <c r="M44" s="5">
        <f t="shared" si="8"/>
        <v>0</v>
      </c>
      <c r="N44" s="5">
        <f t="shared" si="8"/>
        <v>0</v>
      </c>
      <c r="O44" s="5">
        <f t="shared" si="8"/>
        <v>0</v>
      </c>
      <c r="P44" s="5">
        <f t="shared" si="8"/>
        <v>4.25</v>
      </c>
      <c r="Q44" s="5">
        <f t="shared" si="8"/>
        <v>4.25</v>
      </c>
      <c r="R44" s="5">
        <f t="shared" si="8"/>
        <v>1.25</v>
      </c>
      <c r="S44" s="5">
        <f t="shared" si="8"/>
        <v>0.75</v>
      </c>
      <c r="T44" s="5">
        <f t="shared" si="8"/>
        <v>1.75</v>
      </c>
      <c r="U44" s="89">
        <f t="shared" si="8"/>
        <v>2</v>
      </c>
      <c r="V44" s="5">
        <f t="shared" si="8"/>
        <v>4</v>
      </c>
      <c r="W44" s="5">
        <f t="shared" si="8"/>
        <v>6</v>
      </c>
      <c r="X44" s="5">
        <f t="shared" si="8"/>
        <v>0</v>
      </c>
      <c r="Y44" s="5">
        <f t="shared" si="8"/>
        <v>0</v>
      </c>
      <c r="Z44" s="5">
        <f t="shared" si="8"/>
        <v>0</v>
      </c>
      <c r="AA44" s="5">
        <f t="shared" si="8"/>
        <v>0</v>
      </c>
      <c r="AB44" s="5">
        <f t="shared" si="8"/>
        <v>0</v>
      </c>
      <c r="AC44" s="5">
        <f t="shared" si="8"/>
        <v>0</v>
      </c>
      <c r="AD44" s="5">
        <f t="shared" si="8"/>
        <v>0</v>
      </c>
      <c r="AE44" s="5">
        <f t="shared" si="8"/>
        <v>0</v>
      </c>
      <c r="AF44" s="5">
        <f t="shared" si="8"/>
        <v>0</v>
      </c>
      <c r="AG44" s="5">
        <f t="shared" si="8"/>
        <v>0</v>
      </c>
      <c r="AH44" s="5">
        <f t="shared" si="8"/>
        <v>0</v>
      </c>
      <c r="AI44" s="5">
        <f t="shared" si="8"/>
        <v>0</v>
      </c>
      <c r="AJ44" s="5">
        <f t="shared" si="8"/>
        <v>0</v>
      </c>
      <c r="AK44" s="5">
        <f t="shared" si="8"/>
        <v>0</v>
      </c>
      <c r="AL44" s="5">
        <f t="shared" si="8"/>
        <v>7</v>
      </c>
      <c r="AM44" s="5">
        <f t="shared" si="8"/>
        <v>0</v>
      </c>
      <c r="AN44" s="5">
        <f t="shared" si="8"/>
        <v>0</v>
      </c>
    </row>
    <row r="45">
      <c r="A45" s="11"/>
      <c r="B45" s="14"/>
      <c r="C45" s="11"/>
      <c r="D45" s="11"/>
      <c r="E45" s="11"/>
      <c r="F45" s="11"/>
      <c r="G45" s="6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6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>
      <c r="A46" s="26" t="s">
        <v>65</v>
      </c>
      <c r="B46" s="5">
        <f t="shared" ref="B46:AN46" si="9">B44+B39+B34+B22+B17+B12+B7</f>
        <v>0</v>
      </c>
      <c r="C46" s="5">
        <f t="shared" si="9"/>
        <v>0</v>
      </c>
      <c r="D46" s="5">
        <f t="shared" si="9"/>
        <v>0</v>
      </c>
      <c r="E46" s="5">
        <f t="shared" si="9"/>
        <v>0</v>
      </c>
      <c r="F46" s="5">
        <f t="shared" si="9"/>
        <v>0</v>
      </c>
      <c r="G46" s="89">
        <f t="shared" si="9"/>
        <v>9.75</v>
      </c>
      <c r="H46" s="5">
        <f t="shared" si="9"/>
        <v>47.25</v>
      </c>
      <c r="I46" s="5">
        <f t="shared" si="9"/>
        <v>37</v>
      </c>
      <c r="J46" s="5">
        <f t="shared" si="9"/>
        <v>47.25</v>
      </c>
      <c r="K46" s="5">
        <f t="shared" si="9"/>
        <v>37.5</v>
      </c>
      <c r="L46" s="5">
        <f t="shared" si="9"/>
        <v>8.75</v>
      </c>
      <c r="M46" s="5">
        <f t="shared" si="9"/>
        <v>10.75</v>
      </c>
      <c r="N46" s="5">
        <f t="shared" si="9"/>
        <v>0</v>
      </c>
      <c r="O46" s="5">
        <f t="shared" si="9"/>
        <v>6.5</v>
      </c>
      <c r="P46" s="5">
        <f t="shared" si="9"/>
        <v>6.5</v>
      </c>
      <c r="Q46" s="5">
        <f t="shared" si="9"/>
        <v>46.75</v>
      </c>
      <c r="R46" s="5">
        <f t="shared" si="9"/>
        <v>33</v>
      </c>
      <c r="S46" s="5">
        <f t="shared" si="9"/>
        <v>67.75</v>
      </c>
      <c r="T46" s="5">
        <f t="shared" si="9"/>
        <v>51.25</v>
      </c>
      <c r="U46" s="89">
        <f t="shared" si="9"/>
        <v>65</v>
      </c>
      <c r="V46" s="5">
        <f t="shared" si="9"/>
        <v>69.5</v>
      </c>
      <c r="W46" s="5">
        <f t="shared" si="9"/>
        <v>87.5</v>
      </c>
      <c r="X46" s="5">
        <f t="shared" si="9"/>
        <v>59</v>
      </c>
      <c r="Y46" s="5">
        <f t="shared" si="9"/>
        <v>71</v>
      </c>
      <c r="Z46" s="5">
        <f t="shared" si="9"/>
        <v>63.5</v>
      </c>
      <c r="AA46" s="5">
        <f t="shared" si="9"/>
        <v>0</v>
      </c>
      <c r="AB46" s="5">
        <f t="shared" si="9"/>
        <v>0</v>
      </c>
      <c r="AC46" s="5">
        <f t="shared" si="9"/>
        <v>0</v>
      </c>
      <c r="AD46" s="5">
        <f t="shared" si="9"/>
        <v>0</v>
      </c>
      <c r="AE46" s="5">
        <f t="shared" si="9"/>
        <v>21</v>
      </c>
      <c r="AF46" s="5">
        <f t="shared" si="9"/>
        <v>26</v>
      </c>
      <c r="AG46" s="5">
        <f t="shared" si="9"/>
        <v>41</v>
      </c>
      <c r="AH46" s="5">
        <f t="shared" si="9"/>
        <v>25</v>
      </c>
      <c r="AI46" s="5">
        <f t="shared" si="9"/>
        <v>29</v>
      </c>
      <c r="AJ46" s="5">
        <f t="shared" si="9"/>
        <v>47</v>
      </c>
      <c r="AK46" s="5">
        <f t="shared" si="9"/>
        <v>40</v>
      </c>
      <c r="AL46" s="5">
        <f t="shared" si="9"/>
        <v>78</v>
      </c>
      <c r="AM46" s="5">
        <f t="shared" si="9"/>
        <v>0</v>
      </c>
      <c r="AN46" s="5">
        <f t="shared" si="9"/>
        <v>0</v>
      </c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</row>
    <row r="48">
      <c r="A48" s="90" t="s">
        <v>105</v>
      </c>
      <c r="B48" s="66">
        <f>SUM(B46:AN46)</f>
        <v>1132.5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</row>
    <row r="49">
      <c r="A49" s="91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</row>
    <row r="50">
      <c r="A50" s="92" t="s">
        <v>106</v>
      </c>
      <c r="B50" s="11">
        <f t="shared" ref="B50:AN50" si="10">B6+B28</f>
        <v>0</v>
      </c>
      <c r="C50" s="11">
        <f t="shared" si="10"/>
        <v>0</v>
      </c>
      <c r="D50" s="11">
        <f t="shared" si="10"/>
        <v>0</v>
      </c>
      <c r="E50" s="11">
        <f t="shared" si="10"/>
        <v>0</v>
      </c>
      <c r="F50" s="11">
        <f t="shared" si="10"/>
        <v>0</v>
      </c>
      <c r="G50" s="11">
        <f t="shared" si="10"/>
        <v>1.5</v>
      </c>
      <c r="H50" s="11">
        <f t="shared" si="10"/>
        <v>12</v>
      </c>
      <c r="I50" s="11">
        <f t="shared" si="10"/>
        <v>2</v>
      </c>
      <c r="J50" s="11">
        <f t="shared" si="10"/>
        <v>4.5</v>
      </c>
      <c r="K50" s="11">
        <f t="shared" si="10"/>
        <v>6.75</v>
      </c>
      <c r="L50" s="11">
        <f t="shared" si="10"/>
        <v>0</v>
      </c>
      <c r="M50" s="11">
        <f t="shared" si="10"/>
        <v>6</v>
      </c>
      <c r="N50" s="11">
        <f t="shared" si="10"/>
        <v>0</v>
      </c>
      <c r="O50" s="11">
        <f t="shared" si="10"/>
        <v>0</v>
      </c>
      <c r="P50" s="11">
        <f t="shared" si="10"/>
        <v>0</v>
      </c>
      <c r="Q50" s="11">
        <f t="shared" si="10"/>
        <v>7</v>
      </c>
      <c r="R50" s="11">
        <f t="shared" si="10"/>
        <v>10.75</v>
      </c>
      <c r="S50" s="11">
        <f t="shared" si="10"/>
        <v>14.75</v>
      </c>
      <c r="T50" s="93">
        <f t="shared" si="10"/>
        <v>5.75</v>
      </c>
      <c r="U50" s="93">
        <f t="shared" si="10"/>
        <v>7</v>
      </c>
      <c r="V50" s="93">
        <f t="shared" si="10"/>
        <v>7.5</v>
      </c>
      <c r="W50" s="93">
        <f t="shared" si="10"/>
        <v>9</v>
      </c>
      <c r="X50" s="93">
        <f t="shared" si="10"/>
        <v>8.5</v>
      </c>
      <c r="Y50" s="93">
        <f t="shared" si="10"/>
        <v>10</v>
      </c>
      <c r="Z50" s="93">
        <f t="shared" si="10"/>
        <v>9.5</v>
      </c>
      <c r="AA50" s="93">
        <f t="shared" si="10"/>
        <v>0</v>
      </c>
      <c r="AB50" s="93">
        <f t="shared" si="10"/>
        <v>0</v>
      </c>
      <c r="AC50" s="93">
        <f t="shared" si="10"/>
        <v>0</v>
      </c>
      <c r="AD50" s="93">
        <f t="shared" si="10"/>
        <v>0</v>
      </c>
      <c r="AE50" s="93">
        <f t="shared" si="10"/>
        <v>2</v>
      </c>
      <c r="AF50" s="93">
        <f t="shared" si="10"/>
        <v>2</v>
      </c>
      <c r="AG50" s="93">
        <f t="shared" si="10"/>
        <v>3</v>
      </c>
      <c r="AH50" s="93">
        <f t="shared" si="10"/>
        <v>2</v>
      </c>
      <c r="AI50" s="93">
        <f t="shared" si="10"/>
        <v>2</v>
      </c>
      <c r="AJ50" s="93">
        <f t="shared" si="10"/>
        <v>3</v>
      </c>
      <c r="AK50" s="93">
        <f t="shared" si="10"/>
        <v>5</v>
      </c>
      <c r="AL50" s="93">
        <f t="shared" si="10"/>
        <v>7</v>
      </c>
      <c r="AM50" s="93">
        <f t="shared" si="10"/>
        <v>0</v>
      </c>
      <c r="AN50" s="93">
        <f t="shared" si="10"/>
        <v>0</v>
      </c>
    </row>
    <row r="51">
      <c r="A51" s="92" t="s">
        <v>107</v>
      </c>
      <c r="B51" s="11" t="str">
        <f t="shared" ref="B51:AN51" si="11">B25</f>
        <v/>
      </c>
      <c r="C51" s="11" t="str">
        <f t="shared" si="11"/>
        <v/>
      </c>
      <c r="D51" s="11" t="str">
        <f t="shared" si="11"/>
        <v/>
      </c>
      <c r="E51" s="11" t="str">
        <f t="shared" si="11"/>
        <v/>
      </c>
      <c r="F51" s="11" t="str">
        <f t="shared" si="11"/>
        <v/>
      </c>
      <c r="G51" s="11">
        <f t="shared" si="11"/>
        <v>1</v>
      </c>
      <c r="H51" s="11">
        <f t="shared" si="11"/>
        <v>5.25</v>
      </c>
      <c r="I51" s="11">
        <f t="shared" si="11"/>
        <v>9.75</v>
      </c>
      <c r="J51" s="11">
        <f t="shared" si="11"/>
        <v>11.25</v>
      </c>
      <c r="K51" s="11">
        <f t="shared" si="11"/>
        <v>9</v>
      </c>
      <c r="L51" s="11">
        <f t="shared" si="11"/>
        <v>8.75</v>
      </c>
      <c r="M51" s="11">
        <f t="shared" si="11"/>
        <v>4.75</v>
      </c>
      <c r="N51" s="11" t="str">
        <f t="shared" si="11"/>
        <v/>
      </c>
      <c r="O51" s="11">
        <f t="shared" si="11"/>
        <v>6.5</v>
      </c>
      <c r="P51" s="11">
        <f t="shared" si="11"/>
        <v>1.5</v>
      </c>
      <c r="Q51" s="11">
        <f t="shared" si="11"/>
        <v>35.5</v>
      </c>
      <c r="R51" s="11">
        <f t="shared" si="11"/>
        <v>7</v>
      </c>
      <c r="S51" s="11">
        <f t="shared" si="11"/>
        <v>7.5</v>
      </c>
      <c r="T51" s="93">
        <f t="shared" si="11"/>
        <v>8</v>
      </c>
      <c r="U51" s="93">
        <f t="shared" si="11"/>
        <v>7</v>
      </c>
      <c r="V51" s="93">
        <f t="shared" si="11"/>
        <v>8</v>
      </c>
      <c r="W51" s="93">
        <f t="shared" si="11"/>
        <v>7.5</v>
      </c>
      <c r="X51" s="93">
        <f t="shared" si="11"/>
        <v>7.5</v>
      </c>
      <c r="Y51" s="93">
        <f t="shared" si="11"/>
        <v>7</v>
      </c>
      <c r="Z51" s="93">
        <f t="shared" si="11"/>
        <v>8</v>
      </c>
      <c r="AA51" s="93">
        <f t="shared" si="11"/>
        <v>0</v>
      </c>
      <c r="AB51" s="93">
        <f t="shared" si="11"/>
        <v>0</v>
      </c>
      <c r="AC51" s="93">
        <f t="shared" si="11"/>
        <v>0</v>
      </c>
      <c r="AD51" s="93">
        <f t="shared" si="11"/>
        <v>0</v>
      </c>
      <c r="AE51" s="93">
        <f t="shared" si="11"/>
        <v>3</v>
      </c>
      <c r="AF51" s="93">
        <f t="shared" si="11"/>
        <v>3</v>
      </c>
      <c r="AG51" s="93">
        <f t="shared" si="11"/>
        <v>3</v>
      </c>
      <c r="AH51" s="93">
        <f t="shared" si="11"/>
        <v>3</v>
      </c>
      <c r="AI51" s="93">
        <f t="shared" si="11"/>
        <v>3</v>
      </c>
      <c r="AJ51" s="93">
        <f t="shared" si="11"/>
        <v>4</v>
      </c>
      <c r="AK51" s="93">
        <f t="shared" si="11"/>
        <v>5</v>
      </c>
      <c r="AL51" s="93">
        <f t="shared" si="11"/>
        <v>6</v>
      </c>
      <c r="AM51" s="93">
        <f t="shared" si="11"/>
        <v>0</v>
      </c>
      <c r="AN51" s="93">
        <f t="shared" si="11"/>
        <v>0</v>
      </c>
    </row>
    <row r="52">
      <c r="A52" s="92" t="s">
        <v>108</v>
      </c>
      <c r="B52" s="11" t="str">
        <f t="shared" ref="B52:AN52" si="12">B20</f>
        <v/>
      </c>
      <c r="C52" s="11" t="str">
        <f t="shared" si="12"/>
        <v/>
      </c>
      <c r="D52" s="11" t="str">
        <f t="shared" si="12"/>
        <v/>
      </c>
      <c r="E52" s="11" t="str">
        <f t="shared" si="12"/>
        <v/>
      </c>
      <c r="F52" s="11" t="str">
        <f t="shared" si="12"/>
        <v/>
      </c>
      <c r="G52" s="11" t="str">
        <f t="shared" si="12"/>
        <v/>
      </c>
      <c r="H52" s="11">
        <f t="shared" si="12"/>
        <v>1.75</v>
      </c>
      <c r="I52" s="11">
        <f t="shared" si="12"/>
        <v>2.25</v>
      </c>
      <c r="J52" s="11">
        <f t="shared" si="12"/>
        <v>6</v>
      </c>
      <c r="K52" s="11">
        <f t="shared" si="12"/>
        <v>3</v>
      </c>
      <c r="L52" s="11" t="str">
        <f t="shared" si="12"/>
        <v/>
      </c>
      <c r="M52" s="11" t="str">
        <f t="shared" si="12"/>
        <v/>
      </c>
      <c r="N52" s="11" t="str">
        <f t="shared" si="12"/>
        <v/>
      </c>
      <c r="O52" s="11" t="str">
        <f t="shared" si="12"/>
        <v/>
      </c>
      <c r="P52" s="11" t="str">
        <f t="shared" si="12"/>
        <v/>
      </c>
      <c r="Q52" s="11" t="str">
        <f t="shared" si="12"/>
        <v/>
      </c>
      <c r="R52" s="11">
        <f t="shared" si="12"/>
        <v>1.5</v>
      </c>
      <c r="S52" s="11" t="str">
        <f t="shared" si="12"/>
        <v/>
      </c>
      <c r="T52" s="93">
        <f t="shared" si="12"/>
        <v>1</v>
      </c>
      <c r="U52" s="93">
        <f t="shared" si="12"/>
        <v>3</v>
      </c>
      <c r="V52" s="93">
        <f t="shared" si="12"/>
        <v>4</v>
      </c>
      <c r="W52" s="93">
        <f t="shared" si="12"/>
        <v>5</v>
      </c>
      <c r="X52" s="93">
        <f t="shared" si="12"/>
        <v>4</v>
      </c>
      <c r="Y52" s="93">
        <f t="shared" si="12"/>
        <v>3</v>
      </c>
      <c r="Z52" s="93">
        <f t="shared" si="12"/>
        <v>2</v>
      </c>
      <c r="AA52" s="93">
        <f t="shared" si="12"/>
        <v>0</v>
      </c>
      <c r="AB52" s="93">
        <f t="shared" si="12"/>
        <v>0</v>
      </c>
      <c r="AC52" s="93">
        <f t="shared" si="12"/>
        <v>0</v>
      </c>
      <c r="AD52" s="93">
        <f t="shared" si="12"/>
        <v>0</v>
      </c>
      <c r="AE52" s="93">
        <f t="shared" si="12"/>
        <v>1</v>
      </c>
      <c r="AF52" s="93">
        <f t="shared" si="12"/>
        <v>2</v>
      </c>
      <c r="AG52" s="93">
        <f t="shared" si="12"/>
        <v>4</v>
      </c>
      <c r="AH52" s="93">
        <f t="shared" si="12"/>
        <v>3</v>
      </c>
      <c r="AI52" s="93">
        <f t="shared" si="12"/>
        <v>3</v>
      </c>
      <c r="AJ52" s="93">
        <f t="shared" si="12"/>
        <v>4</v>
      </c>
      <c r="AK52" s="93">
        <f t="shared" si="12"/>
        <v>4</v>
      </c>
      <c r="AL52" s="93">
        <f t="shared" si="12"/>
        <v>5</v>
      </c>
      <c r="AM52" s="93">
        <f t="shared" si="12"/>
        <v>0</v>
      </c>
      <c r="AN52" s="93">
        <f t="shared" si="12"/>
        <v>0</v>
      </c>
    </row>
    <row r="53">
      <c r="A53" s="92" t="s">
        <v>109</v>
      </c>
      <c r="B53" s="11">
        <f t="shared" ref="B53:AN53" si="13">B32+B37+B43</f>
        <v>0</v>
      </c>
      <c r="C53" s="11">
        <f t="shared" si="13"/>
        <v>0</v>
      </c>
      <c r="D53" s="11">
        <f t="shared" si="13"/>
        <v>0</v>
      </c>
      <c r="E53" s="11">
        <f t="shared" si="13"/>
        <v>0</v>
      </c>
      <c r="F53" s="11">
        <f t="shared" si="13"/>
        <v>0</v>
      </c>
      <c r="G53" s="11">
        <f t="shared" si="13"/>
        <v>0</v>
      </c>
      <c r="H53" s="11">
        <f t="shared" si="13"/>
        <v>2</v>
      </c>
      <c r="I53" s="11">
        <f t="shared" si="13"/>
        <v>6.5</v>
      </c>
      <c r="J53" s="11">
        <f t="shared" si="13"/>
        <v>5.25</v>
      </c>
      <c r="K53" s="11">
        <f t="shared" si="13"/>
        <v>0.5</v>
      </c>
      <c r="L53" s="11">
        <f t="shared" si="13"/>
        <v>0</v>
      </c>
      <c r="M53" s="11">
        <f t="shared" si="13"/>
        <v>0</v>
      </c>
      <c r="N53" s="11">
        <f t="shared" si="13"/>
        <v>0</v>
      </c>
      <c r="O53" s="11">
        <f t="shared" si="13"/>
        <v>0</v>
      </c>
      <c r="P53" s="11">
        <f t="shared" si="13"/>
        <v>0.75</v>
      </c>
      <c r="Q53" s="11">
        <f t="shared" si="13"/>
        <v>0</v>
      </c>
      <c r="R53" s="11">
        <f t="shared" si="13"/>
        <v>0.5</v>
      </c>
      <c r="S53" s="11">
        <f t="shared" si="13"/>
        <v>7.75</v>
      </c>
      <c r="T53" s="93">
        <f t="shared" si="13"/>
        <v>5.25</v>
      </c>
      <c r="U53" s="93">
        <f t="shared" si="13"/>
        <v>6</v>
      </c>
      <c r="V53" s="93">
        <f t="shared" si="13"/>
        <v>9</v>
      </c>
      <c r="W53" s="93">
        <f t="shared" si="13"/>
        <v>9</v>
      </c>
      <c r="X53" s="93">
        <f t="shared" si="13"/>
        <v>3</v>
      </c>
      <c r="Y53" s="93">
        <f t="shared" si="13"/>
        <v>4</v>
      </c>
      <c r="Z53" s="93">
        <f t="shared" si="13"/>
        <v>5</v>
      </c>
      <c r="AA53" s="93">
        <f t="shared" si="13"/>
        <v>0</v>
      </c>
      <c r="AB53" s="93">
        <f t="shared" si="13"/>
        <v>0</v>
      </c>
      <c r="AC53" s="93">
        <f t="shared" si="13"/>
        <v>0</v>
      </c>
      <c r="AD53" s="93">
        <f t="shared" si="13"/>
        <v>0</v>
      </c>
      <c r="AE53" s="93">
        <f t="shared" si="13"/>
        <v>0</v>
      </c>
      <c r="AF53" s="93">
        <f t="shared" si="13"/>
        <v>0</v>
      </c>
      <c r="AG53" s="93">
        <f t="shared" si="13"/>
        <v>0</v>
      </c>
      <c r="AH53" s="93">
        <f t="shared" si="13"/>
        <v>0</v>
      </c>
      <c r="AI53" s="93">
        <f t="shared" si="13"/>
        <v>0</v>
      </c>
      <c r="AJ53" s="93">
        <f t="shared" si="13"/>
        <v>0</v>
      </c>
      <c r="AK53" s="93">
        <f t="shared" si="13"/>
        <v>0</v>
      </c>
      <c r="AL53" s="93">
        <f t="shared" si="13"/>
        <v>5</v>
      </c>
      <c r="AM53" s="93">
        <f t="shared" si="13"/>
        <v>0</v>
      </c>
      <c r="AN53" s="93">
        <f t="shared" si="13"/>
        <v>0</v>
      </c>
    </row>
    <row r="54">
      <c r="A54" s="92" t="s">
        <v>110</v>
      </c>
      <c r="B54" s="11" t="str">
        <f t="shared" ref="B54:AN54" si="14">B26</f>
        <v/>
      </c>
      <c r="C54" s="11" t="str">
        <f t="shared" si="14"/>
        <v/>
      </c>
      <c r="D54" s="11" t="str">
        <f t="shared" si="14"/>
        <v/>
      </c>
      <c r="E54" s="11" t="str">
        <f t="shared" si="14"/>
        <v/>
      </c>
      <c r="F54" s="11" t="str">
        <f t="shared" si="14"/>
        <v/>
      </c>
      <c r="G54" s="11" t="str">
        <f t="shared" si="14"/>
        <v/>
      </c>
      <c r="H54" s="11">
        <f t="shared" si="14"/>
        <v>1.75</v>
      </c>
      <c r="I54" s="11" t="str">
        <f t="shared" si="14"/>
        <v/>
      </c>
      <c r="J54" s="11" t="str">
        <f t="shared" si="14"/>
        <v/>
      </c>
      <c r="K54" s="11">
        <f t="shared" si="14"/>
        <v>1.5</v>
      </c>
      <c r="L54" s="11" t="str">
        <f t="shared" si="14"/>
        <v/>
      </c>
      <c r="M54" s="11" t="str">
        <f t="shared" si="14"/>
        <v/>
      </c>
      <c r="N54" s="11" t="str">
        <f t="shared" si="14"/>
        <v/>
      </c>
      <c r="O54" s="11" t="str">
        <f t="shared" si="14"/>
        <v/>
      </c>
      <c r="P54" s="11" t="str">
        <f t="shared" si="14"/>
        <v/>
      </c>
      <c r="Q54" s="11" t="str">
        <f t="shared" si="14"/>
        <v/>
      </c>
      <c r="R54" s="11">
        <f t="shared" si="14"/>
        <v>0.5</v>
      </c>
      <c r="S54" s="11">
        <f t="shared" si="14"/>
        <v>3</v>
      </c>
      <c r="T54" s="93">
        <f t="shared" si="14"/>
        <v>1</v>
      </c>
      <c r="U54" s="93">
        <f t="shared" si="14"/>
        <v>5</v>
      </c>
      <c r="V54" s="93">
        <f t="shared" si="14"/>
        <v>6</v>
      </c>
      <c r="W54" s="93">
        <f t="shared" si="14"/>
        <v>6</v>
      </c>
      <c r="X54" s="93">
        <f t="shared" si="14"/>
        <v>6</v>
      </c>
      <c r="Y54" s="93">
        <f t="shared" si="14"/>
        <v>7</v>
      </c>
      <c r="Z54" s="93">
        <f t="shared" si="14"/>
        <v>7</v>
      </c>
      <c r="AA54" s="93">
        <f t="shared" si="14"/>
        <v>0</v>
      </c>
      <c r="AB54" s="93">
        <f t="shared" si="14"/>
        <v>0</v>
      </c>
      <c r="AC54" s="93">
        <f t="shared" si="14"/>
        <v>0</v>
      </c>
      <c r="AD54" s="93">
        <f t="shared" si="14"/>
        <v>0</v>
      </c>
      <c r="AE54" s="93">
        <f t="shared" si="14"/>
        <v>2</v>
      </c>
      <c r="AF54" s="93">
        <f t="shared" si="14"/>
        <v>2</v>
      </c>
      <c r="AG54" s="93">
        <f t="shared" si="14"/>
        <v>2</v>
      </c>
      <c r="AH54" s="93">
        <f t="shared" si="14"/>
        <v>2</v>
      </c>
      <c r="AI54" s="93">
        <f t="shared" si="14"/>
        <v>2</v>
      </c>
      <c r="AJ54" s="93">
        <f t="shared" si="14"/>
        <v>3</v>
      </c>
      <c r="AK54" s="93">
        <f t="shared" si="14"/>
        <v>4</v>
      </c>
      <c r="AL54" s="93">
        <f t="shared" si="14"/>
        <v>5</v>
      </c>
      <c r="AM54" s="93">
        <f t="shared" si="14"/>
        <v>0</v>
      </c>
      <c r="AN54" s="93">
        <f t="shared" si="14"/>
        <v>0</v>
      </c>
    </row>
    <row r="55">
      <c r="A55" s="92" t="s">
        <v>111</v>
      </c>
      <c r="B55" s="11">
        <f t="shared" ref="B55:AN55" si="15">B11+B16+B31</f>
        <v>0</v>
      </c>
      <c r="C55" s="11">
        <f t="shared" si="15"/>
        <v>0</v>
      </c>
      <c r="D55" s="11">
        <f t="shared" si="15"/>
        <v>0</v>
      </c>
      <c r="E55" s="11">
        <f t="shared" si="15"/>
        <v>0</v>
      </c>
      <c r="F55" s="11">
        <f t="shared" si="15"/>
        <v>0</v>
      </c>
      <c r="G55" s="11">
        <f t="shared" si="15"/>
        <v>2</v>
      </c>
      <c r="H55" s="11">
        <f t="shared" si="15"/>
        <v>8.5</v>
      </c>
      <c r="I55" s="11">
        <f t="shared" si="15"/>
        <v>2.5</v>
      </c>
      <c r="J55" s="11">
        <f t="shared" si="15"/>
        <v>4.5</v>
      </c>
      <c r="K55" s="11">
        <f t="shared" si="15"/>
        <v>4.25</v>
      </c>
      <c r="L55" s="11">
        <f t="shared" si="15"/>
        <v>0</v>
      </c>
      <c r="M55" s="11">
        <f t="shared" si="15"/>
        <v>0</v>
      </c>
      <c r="N55" s="11">
        <f t="shared" si="15"/>
        <v>0</v>
      </c>
      <c r="O55" s="11">
        <f t="shared" si="15"/>
        <v>0</v>
      </c>
      <c r="P55" s="11">
        <f t="shared" si="15"/>
        <v>0</v>
      </c>
      <c r="Q55" s="11">
        <f t="shared" si="15"/>
        <v>0</v>
      </c>
      <c r="R55" s="11">
        <f t="shared" si="15"/>
        <v>2.25</v>
      </c>
      <c r="S55" s="11">
        <f t="shared" si="15"/>
        <v>7.25</v>
      </c>
      <c r="T55" s="93">
        <f t="shared" si="15"/>
        <v>9</v>
      </c>
      <c r="U55" s="93">
        <f t="shared" si="15"/>
        <v>9</v>
      </c>
      <c r="V55" s="93">
        <f t="shared" si="15"/>
        <v>8</v>
      </c>
      <c r="W55" s="93">
        <f t="shared" si="15"/>
        <v>12</v>
      </c>
      <c r="X55" s="93">
        <f t="shared" si="15"/>
        <v>7</v>
      </c>
      <c r="Y55" s="93">
        <f t="shared" si="15"/>
        <v>12</v>
      </c>
      <c r="Z55" s="93">
        <f t="shared" si="15"/>
        <v>7</v>
      </c>
      <c r="AA55" s="93">
        <f t="shared" si="15"/>
        <v>0</v>
      </c>
      <c r="AB55" s="93">
        <f t="shared" si="15"/>
        <v>0</v>
      </c>
      <c r="AC55" s="93">
        <f t="shared" si="15"/>
        <v>0</v>
      </c>
      <c r="AD55" s="93">
        <f t="shared" si="15"/>
        <v>0</v>
      </c>
      <c r="AE55" s="93">
        <f t="shared" si="15"/>
        <v>4</v>
      </c>
      <c r="AF55" s="93">
        <f t="shared" si="15"/>
        <v>6</v>
      </c>
      <c r="AG55" s="93">
        <f t="shared" si="15"/>
        <v>11</v>
      </c>
      <c r="AH55" s="93">
        <f t="shared" si="15"/>
        <v>4</v>
      </c>
      <c r="AI55" s="93">
        <f t="shared" si="15"/>
        <v>7</v>
      </c>
      <c r="AJ55" s="93">
        <f t="shared" si="15"/>
        <v>13</v>
      </c>
      <c r="AK55" s="93">
        <f t="shared" si="15"/>
        <v>7</v>
      </c>
      <c r="AL55" s="93">
        <f t="shared" si="15"/>
        <v>18</v>
      </c>
      <c r="AM55" s="93">
        <f t="shared" si="15"/>
        <v>0</v>
      </c>
      <c r="AN55" s="93">
        <f t="shared" si="15"/>
        <v>0</v>
      </c>
    </row>
    <row r="56">
      <c r="A56" s="92" t="s">
        <v>112</v>
      </c>
      <c r="B56" s="11" t="str">
        <f t="shared" ref="B56:AN56" si="16">B21</f>
        <v/>
      </c>
      <c r="C56" s="11" t="str">
        <f t="shared" si="16"/>
        <v/>
      </c>
      <c r="D56" s="11" t="str">
        <f t="shared" si="16"/>
        <v/>
      </c>
      <c r="E56" s="11" t="str">
        <f t="shared" si="16"/>
        <v/>
      </c>
      <c r="F56" s="11" t="str">
        <f t="shared" si="16"/>
        <v/>
      </c>
      <c r="G56" s="11" t="str">
        <f t="shared" si="16"/>
        <v/>
      </c>
      <c r="H56" s="11">
        <f t="shared" si="16"/>
        <v>3.75</v>
      </c>
      <c r="I56" s="11">
        <f t="shared" si="16"/>
        <v>2</v>
      </c>
      <c r="J56" s="11">
        <f t="shared" si="16"/>
        <v>7</v>
      </c>
      <c r="K56" s="11">
        <f t="shared" si="16"/>
        <v>6</v>
      </c>
      <c r="L56" s="11" t="str">
        <f t="shared" si="16"/>
        <v/>
      </c>
      <c r="M56" s="11" t="str">
        <f t="shared" si="16"/>
        <v/>
      </c>
      <c r="N56" s="11" t="str">
        <f t="shared" si="16"/>
        <v/>
      </c>
      <c r="O56" s="11" t="str">
        <f t="shared" si="16"/>
        <v/>
      </c>
      <c r="P56" s="11" t="str">
        <f t="shared" si="16"/>
        <v/>
      </c>
      <c r="Q56" s="11" t="str">
        <f t="shared" si="16"/>
        <v/>
      </c>
      <c r="R56" s="11">
        <f t="shared" si="16"/>
        <v>0.5</v>
      </c>
      <c r="S56" s="11">
        <f t="shared" si="16"/>
        <v>3</v>
      </c>
      <c r="T56" s="93">
        <f t="shared" si="16"/>
        <v>1</v>
      </c>
      <c r="U56" s="93">
        <f t="shared" si="16"/>
        <v>3</v>
      </c>
      <c r="V56" s="93">
        <f t="shared" si="16"/>
        <v>4</v>
      </c>
      <c r="W56" s="93">
        <f t="shared" si="16"/>
        <v>5</v>
      </c>
      <c r="X56" s="93">
        <f t="shared" si="16"/>
        <v>4</v>
      </c>
      <c r="Y56" s="93">
        <f t="shared" si="16"/>
        <v>3</v>
      </c>
      <c r="Z56" s="93">
        <f t="shared" si="16"/>
        <v>2</v>
      </c>
      <c r="AA56" s="93">
        <f t="shared" si="16"/>
        <v>0</v>
      </c>
      <c r="AB56" s="93">
        <f t="shared" si="16"/>
        <v>0</v>
      </c>
      <c r="AC56" s="93">
        <f t="shared" si="16"/>
        <v>0</v>
      </c>
      <c r="AD56" s="93">
        <f t="shared" si="16"/>
        <v>0</v>
      </c>
      <c r="AE56" s="93">
        <f t="shared" si="16"/>
        <v>1</v>
      </c>
      <c r="AF56" s="93">
        <f t="shared" si="16"/>
        <v>2</v>
      </c>
      <c r="AG56" s="93">
        <f t="shared" si="16"/>
        <v>4</v>
      </c>
      <c r="AH56" s="93">
        <f t="shared" si="16"/>
        <v>3</v>
      </c>
      <c r="AI56" s="93">
        <f t="shared" si="16"/>
        <v>3</v>
      </c>
      <c r="AJ56" s="93">
        <f t="shared" si="16"/>
        <v>4</v>
      </c>
      <c r="AK56" s="93">
        <f t="shared" si="16"/>
        <v>4</v>
      </c>
      <c r="AL56" s="93">
        <f t="shared" si="16"/>
        <v>5</v>
      </c>
      <c r="AM56" s="93">
        <f t="shared" si="16"/>
        <v>0</v>
      </c>
      <c r="AN56" s="93">
        <f t="shared" si="16"/>
        <v>0</v>
      </c>
    </row>
    <row r="57">
      <c r="A57" s="92" t="s">
        <v>113</v>
      </c>
      <c r="B57" s="11">
        <f t="shared" ref="B57:AN57" si="17">B15+B29</f>
        <v>0</v>
      </c>
      <c r="C57" s="11">
        <f t="shared" si="17"/>
        <v>0</v>
      </c>
      <c r="D57" s="11">
        <f t="shared" si="17"/>
        <v>0</v>
      </c>
      <c r="E57" s="11">
        <f t="shared" si="17"/>
        <v>0</v>
      </c>
      <c r="F57" s="11">
        <f t="shared" si="17"/>
        <v>0</v>
      </c>
      <c r="G57" s="11">
        <f t="shared" si="17"/>
        <v>2.25</v>
      </c>
      <c r="H57" s="11">
        <f t="shared" si="17"/>
        <v>4.75</v>
      </c>
      <c r="I57" s="11">
        <f t="shared" si="17"/>
        <v>6</v>
      </c>
      <c r="J57" s="11">
        <f t="shared" si="17"/>
        <v>4</v>
      </c>
      <c r="K57" s="11">
        <f t="shared" si="17"/>
        <v>5.5</v>
      </c>
      <c r="L57" s="11">
        <f t="shared" si="17"/>
        <v>0</v>
      </c>
      <c r="M57" s="11">
        <f t="shared" si="17"/>
        <v>0</v>
      </c>
      <c r="N57" s="11">
        <f t="shared" si="17"/>
        <v>0</v>
      </c>
      <c r="O57" s="11">
        <f t="shared" si="17"/>
        <v>0</v>
      </c>
      <c r="P57" s="11">
        <f t="shared" si="17"/>
        <v>0</v>
      </c>
      <c r="Q57" s="11">
        <f t="shared" si="17"/>
        <v>0</v>
      </c>
      <c r="R57" s="11">
        <f t="shared" si="17"/>
        <v>5.25</v>
      </c>
      <c r="S57" s="11">
        <f t="shared" si="17"/>
        <v>2</v>
      </c>
      <c r="T57" s="93">
        <f t="shared" si="17"/>
        <v>6.75</v>
      </c>
      <c r="U57" s="93">
        <f t="shared" si="17"/>
        <v>6</v>
      </c>
      <c r="V57" s="93">
        <f t="shared" si="17"/>
        <v>6</v>
      </c>
      <c r="W57" s="93">
        <f t="shared" si="17"/>
        <v>6</v>
      </c>
      <c r="X57" s="93">
        <f t="shared" si="17"/>
        <v>6</v>
      </c>
      <c r="Y57" s="93">
        <f t="shared" si="17"/>
        <v>6</v>
      </c>
      <c r="Z57" s="93">
        <f t="shared" si="17"/>
        <v>7</v>
      </c>
      <c r="AA57" s="93">
        <f t="shared" si="17"/>
        <v>0</v>
      </c>
      <c r="AB57" s="93">
        <f t="shared" si="17"/>
        <v>0</v>
      </c>
      <c r="AC57" s="93">
        <f t="shared" si="17"/>
        <v>0</v>
      </c>
      <c r="AD57" s="93">
        <f t="shared" si="17"/>
        <v>0</v>
      </c>
      <c r="AE57" s="93">
        <f t="shared" si="17"/>
        <v>2</v>
      </c>
      <c r="AF57" s="93">
        <f t="shared" si="17"/>
        <v>2</v>
      </c>
      <c r="AG57" s="93">
        <f t="shared" si="17"/>
        <v>4</v>
      </c>
      <c r="AH57" s="93">
        <f t="shared" si="17"/>
        <v>2</v>
      </c>
      <c r="AI57" s="93">
        <f t="shared" si="17"/>
        <v>2</v>
      </c>
      <c r="AJ57" s="93">
        <f t="shared" si="17"/>
        <v>6</v>
      </c>
      <c r="AK57" s="93">
        <f t="shared" si="17"/>
        <v>2</v>
      </c>
      <c r="AL57" s="93">
        <f t="shared" si="17"/>
        <v>8</v>
      </c>
      <c r="AM57" s="93">
        <f t="shared" si="17"/>
        <v>0</v>
      </c>
      <c r="AN57" s="93">
        <f t="shared" si="17"/>
        <v>0</v>
      </c>
    </row>
    <row r="58">
      <c r="A58" s="92" t="s">
        <v>114</v>
      </c>
      <c r="B58" s="11">
        <f t="shared" ref="B58:AN58" si="18">B38+B10+B30</f>
        <v>0</v>
      </c>
      <c r="C58" s="11">
        <f t="shared" si="18"/>
        <v>0</v>
      </c>
      <c r="D58" s="11">
        <f t="shared" si="18"/>
        <v>0</v>
      </c>
      <c r="E58" s="11">
        <f t="shared" si="18"/>
        <v>0</v>
      </c>
      <c r="F58" s="11">
        <f t="shared" si="18"/>
        <v>0</v>
      </c>
      <c r="G58" s="11">
        <f t="shared" si="18"/>
        <v>0</v>
      </c>
      <c r="H58" s="11">
        <f t="shared" si="18"/>
        <v>4.75</v>
      </c>
      <c r="I58" s="11">
        <f t="shared" si="18"/>
        <v>2.75</v>
      </c>
      <c r="J58" s="11">
        <f t="shared" si="18"/>
        <v>1</v>
      </c>
      <c r="K58" s="11">
        <f t="shared" si="18"/>
        <v>0.5</v>
      </c>
      <c r="L58" s="11">
        <f t="shared" si="18"/>
        <v>0</v>
      </c>
      <c r="M58" s="11">
        <f t="shared" si="18"/>
        <v>0</v>
      </c>
      <c r="N58" s="11">
        <f t="shared" si="18"/>
        <v>0</v>
      </c>
      <c r="O58" s="11">
        <f t="shared" si="18"/>
        <v>0</v>
      </c>
      <c r="P58" s="11">
        <f t="shared" si="18"/>
        <v>0</v>
      </c>
      <c r="Q58" s="11">
        <f t="shared" si="18"/>
        <v>0</v>
      </c>
      <c r="R58" s="11">
        <f t="shared" si="18"/>
        <v>3.5</v>
      </c>
      <c r="S58" s="11">
        <f t="shared" si="18"/>
        <v>14</v>
      </c>
      <c r="T58" s="93">
        <f t="shared" si="18"/>
        <v>11.75</v>
      </c>
      <c r="U58" s="93">
        <f t="shared" si="18"/>
        <v>11</v>
      </c>
      <c r="V58" s="93">
        <f t="shared" si="18"/>
        <v>7</v>
      </c>
      <c r="W58" s="93">
        <f t="shared" si="18"/>
        <v>15</v>
      </c>
      <c r="X58" s="93">
        <f t="shared" si="18"/>
        <v>5</v>
      </c>
      <c r="Y58" s="93">
        <f t="shared" si="18"/>
        <v>10</v>
      </c>
      <c r="Z58" s="93">
        <f t="shared" si="18"/>
        <v>5</v>
      </c>
      <c r="AA58" s="93">
        <f t="shared" si="18"/>
        <v>0</v>
      </c>
      <c r="AB58" s="93">
        <f t="shared" si="18"/>
        <v>0</v>
      </c>
      <c r="AC58" s="93">
        <f t="shared" si="18"/>
        <v>0</v>
      </c>
      <c r="AD58" s="93">
        <f t="shared" si="18"/>
        <v>0</v>
      </c>
      <c r="AE58" s="93">
        <f t="shared" si="18"/>
        <v>4</v>
      </c>
      <c r="AF58" s="93">
        <f t="shared" si="18"/>
        <v>5</v>
      </c>
      <c r="AG58" s="93">
        <f t="shared" si="18"/>
        <v>8</v>
      </c>
      <c r="AH58" s="93">
        <f t="shared" si="18"/>
        <v>4</v>
      </c>
      <c r="AI58" s="93">
        <f t="shared" si="18"/>
        <v>5</v>
      </c>
      <c r="AJ58" s="93">
        <f t="shared" si="18"/>
        <v>8</v>
      </c>
      <c r="AK58" s="93">
        <f t="shared" si="18"/>
        <v>6</v>
      </c>
      <c r="AL58" s="93">
        <f t="shared" si="18"/>
        <v>11</v>
      </c>
      <c r="AM58" s="93">
        <f t="shared" si="18"/>
        <v>0</v>
      </c>
      <c r="AN58" s="93">
        <f t="shared" si="18"/>
        <v>0</v>
      </c>
    </row>
    <row r="59">
      <c r="A59" s="92" t="s">
        <v>115</v>
      </c>
      <c r="B59" s="11">
        <f t="shared" ref="B59:AN59" si="19">B42+B33</f>
        <v>0</v>
      </c>
      <c r="C59" s="11">
        <f t="shared" si="19"/>
        <v>0</v>
      </c>
      <c r="D59" s="11">
        <f t="shared" si="19"/>
        <v>0</v>
      </c>
      <c r="E59" s="11">
        <f t="shared" si="19"/>
        <v>0</v>
      </c>
      <c r="F59" s="11">
        <f t="shared" si="19"/>
        <v>0</v>
      </c>
      <c r="G59" s="11">
        <f t="shared" si="19"/>
        <v>3</v>
      </c>
      <c r="H59" s="11">
        <f t="shared" si="19"/>
        <v>2.75</v>
      </c>
      <c r="I59" s="11">
        <f t="shared" si="19"/>
        <v>3.25</v>
      </c>
      <c r="J59" s="11">
        <f t="shared" si="19"/>
        <v>3.75</v>
      </c>
      <c r="K59" s="11">
        <f t="shared" si="19"/>
        <v>0.5</v>
      </c>
      <c r="L59" s="11">
        <f t="shared" si="19"/>
        <v>0</v>
      </c>
      <c r="M59" s="11">
        <f t="shared" si="19"/>
        <v>0</v>
      </c>
      <c r="N59" s="11">
        <f t="shared" si="19"/>
        <v>0</v>
      </c>
      <c r="O59" s="11">
        <f t="shared" si="19"/>
        <v>0</v>
      </c>
      <c r="P59" s="11">
        <f t="shared" si="19"/>
        <v>4.25</v>
      </c>
      <c r="Q59" s="11">
        <f t="shared" si="19"/>
        <v>4.25</v>
      </c>
      <c r="R59" s="11">
        <f t="shared" si="19"/>
        <v>1.25</v>
      </c>
      <c r="S59" s="11">
        <f t="shared" si="19"/>
        <v>5.5</v>
      </c>
      <c r="T59" s="93">
        <f t="shared" si="19"/>
        <v>1.75</v>
      </c>
      <c r="U59" s="93">
        <f t="shared" si="19"/>
        <v>4</v>
      </c>
      <c r="V59" s="93">
        <f t="shared" si="19"/>
        <v>5</v>
      </c>
      <c r="W59" s="93">
        <f t="shared" si="19"/>
        <v>8</v>
      </c>
      <c r="X59" s="93">
        <f t="shared" si="19"/>
        <v>3</v>
      </c>
      <c r="Y59" s="93">
        <f t="shared" si="19"/>
        <v>4</v>
      </c>
      <c r="Z59" s="93">
        <f t="shared" si="19"/>
        <v>5</v>
      </c>
      <c r="AA59" s="93">
        <f t="shared" si="19"/>
        <v>0</v>
      </c>
      <c r="AB59" s="93">
        <f t="shared" si="19"/>
        <v>0</v>
      </c>
      <c r="AC59" s="93">
        <f t="shared" si="19"/>
        <v>0</v>
      </c>
      <c r="AD59" s="93">
        <f t="shared" si="19"/>
        <v>0</v>
      </c>
      <c r="AE59" s="93">
        <f t="shared" si="19"/>
        <v>0</v>
      </c>
      <c r="AF59" s="93">
        <f t="shared" si="19"/>
        <v>0</v>
      </c>
      <c r="AG59" s="93">
        <f t="shared" si="19"/>
        <v>0</v>
      </c>
      <c r="AH59" s="93">
        <f t="shared" si="19"/>
        <v>0</v>
      </c>
      <c r="AI59" s="93">
        <f t="shared" si="19"/>
        <v>0</v>
      </c>
      <c r="AJ59" s="93">
        <f t="shared" si="19"/>
        <v>0</v>
      </c>
      <c r="AK59" s="93">
        <f t="shared" si="19"/>
        <v>0</v>
      </c>
      <c r="AL59" s="93">
        <f t="shared" si="19"/>
        <v>4</v>
      </c>
      <c r="AM59" s="93">
        <f t="shared" si="19"/>
        <v>0</v>
      </c>
      <c r="AN59" s="93">
        <f t="shared" si="19"/>
        <v>0</v>
      </c>
    </row>
    <row r="60">
      <c r="A60" s="92" t="s">
        <v>116</v>
      </c>
      <c r="B60" s="11" t="str">
        <f t="shared" ref="B60:AE60" si="20">B27</f>
        <v/>
      </c>
      <c r="C60" s="11" t="str">
        <f t="shared" si="20"/>
        <v/>
      </c>
      <c r="D60" s="11" t="str">
        <f t="shared" si="20"/>
        <v/>
      </c>
      <c r="E60" s="11" t="str">
        <f t="shared" si="20"/>
        <v/>
      </c>
      <c r="F60" s="11" t="str">
        <f t="shared" si="20"/>
        <v/>
      </c>
      <c r="G60" s="11" t="str">
        <f t="shared" si="20"/>
        <v/>
      </c>
      <c r="H60" s="11" t="str">
        <f t="shared" si="20"/>
        <v/>
      </c>
      <c r="I60" s="11" t="str">
        <f t="shared" si="20"/>
        <v/>
      </c>
      <c r="J60" s="11" t="str">
        <f t="shared" si="20"/>
        <v/>
      </c>
      <c r="K60" s="11" t="str">
        <f t="shared" si="20"/>
        <v/>
      </c>
      <c r="L60" s="11" t="str">
        <f t="shared" si="20"/>
        <v/>
      </c>
      <c r="M60" s="11" t="str">
        <f t="shared" si="20"/>
        <v/>
      </c>
      <c r="N60" s="11" t="str">
        <f t="shared" si="20"/>
        <v/>
      </c>
      <c r="O60" s="11" t="str">
        <f t="shared" si="20"/>
        <v/>
      </c>
      <c r="P60" s="11" t="str">
        <f t="shared" si="20"/>
        <v/>
      </c>
      <c r="Q60" s="11" t="str">
        <f t="shared" si="20"/>
        <v/>
      </c>
      <c r="R60" s="11" t="str">
        <f t="shared" si="20"/>
        <v/>
      </c>
      <c r="S60" s="11">
        <f t="shared" si="20"/>
        <v>3</v>
      </c>
      <c r="T60" s="93">
        <f t="shared" si="20"/>
        <v>0</v>
      </c>
      <c r="U60" s="93">
        <f t="shared" si="20"/>
        <v>4</v>
      </c>
      <c r="V60" s="93">
        <f t="shared" si="20"/>
        <v>5</v>
      </c>
      <c r="W60" s="93">
        <f t="shared" si="20"/>
        <v>5</v>
      </c>
      <c r="X60" s="93">
        <f t="shared" si="20"/>
        <v>5</v>
      </c>
      <c r="Y60" s="93">
        <f t="shared" si="20"/>
        <v>5</v>
      </c>
      <c r="Z60" s="93">
        <f t="shared" si="20"/>
        <v>6</v>
      </c>
      <c r="AA60" s="93">
        <f t="shared" si="20"/>
        <v>0</v>
      </c>
      <c r="AB60" s="93">
        <f t="shared" si="20"/>
        <v>0</v>
      </c>
      <c r="AC60" s="93">
        <f t="shared" si="20"/>
        <v>0</v>
      </c>
      <c r="AD60" s="93">
        <f t="shared" si="20"/>
        <v>0</v>
      </c>
      <c r="AE60" s="93">
        <f t="shared" si="20"/>
        <v>2</v>
      </c>
      <c r="AF60" s="93">
        <f>AE26</f>
        <v>2</v>
      </c>
      <c r="AG60" s="93">
        <f t="shared" ref="AG60:AN60" si="21">AG27</f>
        <v>2</v>
      </c>
      <c r="AH60" s="93">
        <f t="shared" si="21"/>
        <v>2</v>
      </c>
      <c r="AI60" s="93">
        <f t="shared" si="21"/>
        <v>2</v>
      </c>
      <c r="AJ60" s="93">
        <f t="shared" si="21"/>
        <v>2</v>
      </c>
      <c r="AK60" s="93">
        <f t="shared" si="21"/>
        <v>3</v>
      </c>
      <c r="AL60" s="93">
        <f t="shared" si="21"/>
        <v>4</v>
      </c>
      <c r="AM60" s="93">
        <f t="shared" si="21"/>
        <v>0</v>
      </c>
      <c r="AN60" s="93">
        <f t="shared" si="21"/>
        <v>0</v>
      </c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</row>
  </sheetData>
  <mergeCells count="5">
    <mergeCell ref="B1:K1"/>
    <mergeCell ref="L1:P1"/>
    <mergeCell ref="Q1:Z1"/>
    <mergeCell ref="AA1:AD1"/>
    <mergeCell ref="AE1:AN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30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2" t="s">
        <v>1</v>
      </c>
      <c r="M1" s="3"/>
      <c r="N1" s="3"/>
      <c r="O1" s="3"/>
      <c r="P1" s="4"/>
      <c r="Q1" s="2" t="s">
        <v>2</v>
      </c>
      <c r="R1" s="3"/>
      <c r="S1" s="3"/>
      <c r="T1" s="3"/>
      <c r="U1" s="3"/>
      <c r="V1" s="3"/>
      <c r="W1" s="3"/>
      <c r="X1" s="3"/>
      <c r="Y1" s="3"/>
      <c r="Z1" s="4"/>
      <c r="AA1" s="2" t="s">
        <v>3</v>
      </c>
      <c r="AB1" s="3"/>
      <c r="AC1" s="3"/>
      <c r="AD1" s="4"/>
      <c r="AE1" s="2" t="s">
        <v>4</v>
      </c>
      <c r="AF1" s="3"/>
      <c r="AG1" s="3"/>
      <c r="AH1" s="3"/>
      <c r="AI1" s="3"/>
      <c r="AJ1" s="3"/>
      <c r="AK1" s="3"/>
      <c r="AL1" s="3"/>
      <c r="AM1" s="3"/>
      <c r="AN1" s="4"/>
    </row>
    <row r="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5" t="s">
        <v>12</v>
      </c>
      <c r="X2" s="5" t="s">
        <v>13</v>
      </c>
      <c r="Y2" s="5" t="s">
        <v>14</v>
      </c>
      <c r="Z2" s="5" t="s">
        <v>15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  <c r="AL2" s="5" t="s">
        <v>13</v>
      </c>
      <c r="AM2" s="5" t="s">
        <v>14</v>
      </c>
      <c r="AN2" s="5" t="s">
        <v>15</v>
      </c>
    </row>
    <row r="3">
      <c r="A3" s="6" t="s">
        <v>16</v>
      </c>
      <c r="B3" s="5">
        <v>1.0</v>
      </c>
      <c r="C3" s="5">
        <v>2.0</v>
      </c>
      <c r="D3" s="5">
        <v>3.0</v>
      </c>
      <c r="E3" s="5">
        <v>4.0</v>
      </c>
      <c r="F3" s="5">
        <v>5.0</v>
      </c>
      <c r="G3" s="5">
        <v>6.0</v>
      </c>
      <c r="H3" s="5">
        <v>7.0</v>
      </c>
      <c r="I3" s="5">
        <v>8.0</v>
      </c>
      <c r="J3" s="5">
        <v>9.0</v>
      </c>
      <c r="K3" s="5">
        <v>10.0</v>
      </c>
      <c r="L3" s="5">
        <v>11.0</v>
      </c>
      <c r="M3" s="5">
        <v>12.0</v>
      </c>
      <c r="N3" s="5">
        <v>13.0</v>
      </c>
      <c r="O3" s="5">
        <v>14.0</v>
      </c>
      <c r="P3" s="5">
        <v>15.0</v>
      </c>
      <c r="Q3" s="5">
        <v>16.0</v>
      </c>
      <c r="R3" s="5">
        <v>17.0</v>
      </c>
      <c r="S3" s="5">
        <v>18.0</v>
      </c>
      <c r="T3" s="5">
        <v>19.0</v>
      </c>
      <c r="U3" s="5">
        <v>20.0</v>
      </c>
      <c r="V3" s="5">
        <v>21.0</v>
      </c>
      <c r="W3" s="5">
        <v>22.0</v>
      </c>
      <c r="X3" s="5">
        <v>23.0</v>
      </c>
      <c r="Y3" s="5">
        <v>24.0</v>
      </c>
      <c r="Z3" s="5">
        <v>25.0</v>
      </c>
      <c r="AA3" s="5">
        <v>26.0</v>
      </c>
      <c r="AB3" s="5">
        <v>27.0</v>
      </c>
      <c r="AC3" s="5">
        <v>28.0</v>
      </c>
      <c r="AD3" s="5">
        <v>29.0</v>
      </c>
      <c r="AE3" s="5">
        <v>30.0</v>
      </c>
      <c r="AF3" s="5">
        <v>31.0</v>
      </c>
      <c r="AG3" s="5">
        <v>32.0</v>
      </c>
      <c r="AH3" s="5">
        <v>33.0</v>
      </c>
      <c r="AI3" s="5">
        <v>34.0</v>
      </c>
      <c r="AJ3" s="5">
        <v>35.0</v>
      </c>
      <c r="AK3" s="5">
        <v>36.0</v>
      </c>
      <c r="AL3" s="5">
        <v>37.0</v>
      </c>
      <c r="AM3" s="5">
        <v>38.0</v>
      </c>
      <c r="AN3" s="5">
        <v>39.0</v>
      </c>
    </row>
    <row r="4">
      <c r="A4" s="7" t="s">
        <v>17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>
      <c r="A5" s="9" t="s">
        <v>18</v>
      </c>
      <c r="B5" s="10">
        <v>35000.0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>
        <v>17000.0</v>
      </c>
      <c r="AF5" s="8"/>
      <c r="AG5" s="8"/>
      <c r="AH5" s="8"/>
      <c r="AI5" s="8"/>
      <c r="AJ5" s="8"/>
      <c r="AK5" s="8"/>
      <c r="AL5" s="8"/>
      <c r="AM5" s="8"/>
      <c r="AN5" s="8"/>
    </row>
    <row r="6">
      <c r="A6" s="9" t="s">
        <v>19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10"/>
      <c r="W6" s="8"/>
      <c r="X6" s="94">
        <v>150.0</v>
      </c>
      <c r="Y6" s="94">
        <v>300.0</v>
      </c>
      <c r="Z6" s="94">
        <v>150.0</v>
      </c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8"/>
      <c r="AM6" s="8"/>
      <c r="AN6" s="8"/>
    </row>
    <row r="7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s="12" t="s">
        <v>20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>
      <c r="A9" s="13" t="s">
        <v>21</v>
      </c>
      <c r="B9" s="10">
        <f t="shared" ref="B9:AN9" si="1">$B$30</f>
        <v>12.5</v>
      </c>
      <c r="C9" s="10">
        <f t="shared" si="1"/>
        <v>12.5</v>
      </c>
      <c r="D9" s="10">
        <f t="shared" si="1"/>
        <v>12.5</v>
      </c>
      <c r="E9" s="10">
        <f t="shared" si="1"/>
        <v>12.5</v>
      </c>
      <c r="F9" s="10">
        <f t="shared" si="1"/>
        <v>12.5</v>
      </c>
      <c r="G9" s="10">
        <f t="shared" si="1"/>
        <v>12.5</v>
      </c>
      <c r="H9" s="10">
        <f t="shared" si="1"/>
        <v>12.5</v>
      </c>
      <c r="I9" s="10">
        <f t="shared" si="1"/>
        <v>12.5</v>
      </c>
      <c r="J9" s="10">
        <f t="shared" si="1"/>
        <v>12.5</v>
      </c>
      <c r="K9" s="10">
        <f t="shared" si="1"/>
        <v>12.5</v>
      </c>
      <c r="L9" s="10">
        <f t="shared" si="1"/>
        <v>12.5</v>
      </c>
      <c r="M9" s="10">
        <f t="shared" si="1"/>
        <v>12.5</v>
      </c>
      <c r="N9" s="10">
        <f t="shared" si="1"/>
        <v>12.5</v>
      </c>
      <c r="O9" s="10">
        <f t="shared" si="1"/>
        <v>12.5</v>
      </c>
      <c r="P9" s="10">
        <f t="shared" si="1"/>
        <v>12.5</v>
      </c>
      <c r="Q9" s="10">
        <f t="shared" si="1"/>
        <v>12.5</v>
      </c>
      <c r="R9" s="10">
        <f t="shared" si="1"/>
        <v>12.5</v>
      </c>
      <c r="S9" s="10">
        <f t="shared" si="1"/>
        <v>12.5</v>
      </c>
      <c r="T9" s="10">
        <f t="shared" si="1"/>
        <v>12.5</v>
      </c>
      <c r="U9" s="10">
        <f t="shared" si="1"/>
        <v>12.5</v>
      </c>
      <c r="V9" s="10">
        <f t="shared" si="1"/>
        <v>12.5</v>
      </c>
      <c r="W9" s="10">
        <f t="shared" si="1"/>
        <v>12.5</v>
      </c>
      <c r="X9" s="10">
        <f t="shared" si="1"/>
        <v>12.5</v>
      </c>
      <c r="Y9" s="10">
        <f t="shared" si="1"/>
        <v>12.5</v>
      </c>
      <c r="Z9" s="10">
        <f t="shared" si="1"/>
        <v>12.5</v>
      </c>
      <c r="AA9" s="10">
        <f t="shared" si="1"/>
        <v>12.5</v>
      </c>
      <c r="AB9" s="10">
        <f t="shared" si="1"/>
        <v>12.5</v>
      </c>
      <c r="AC9" s="10">
        <f t="shared" si="1"/>
        <v>12.5</v>
      </c>
      <c r="AD9" s="10">
        <f t="shared" si="1"/>
        <v>12.5</v>
      </c>
      <c r="AE9" s="10">
        <f t="shared" si="1"/>
        <v>12.5</v>
      </c>
      <c r="AF9" s="10">
        <f t="shared" si="1"/>
        <v>12.5</v>
      </c>
      <c r="AG9" s="10">
        <f t="shared" si="1"/>
        <v>12.5</v>
      </c>
      <c r="AH9" s="10">
        <f t="shared" si="1"/>
        <v>12.5</v>
      </c>
      <c r="AI9" s="10">
        <f t="shared" si="1"/>
        <v>12.5</v>
      </c>
      <c r="AJ9" s="10">
        <f t="shared" si="1"/>
        <v>12.5</v>
      </c>
      <c r="AK9" s="10">
        <f t="shared" si="1"/>
        <v>12.5</v>
      </c>
      <c r="AL9" s="10">
        <f t="shared" si="1"/>
        <v>12.5</v>
      </c>
      <c r="AM9" s="10">
        <f t="shared" si="1"/>
        <v>12.5</v>
      </c>
      <c r="AN9" s="10">
        <f t="shared" si="1"/>
        <v>12.5</v>
      </c>
    </row>
    <row r="10">
      <c r="A10" s="13" t="s">
        <v>22</v>
      </c>
      <c r="B10" s="14">
        <f>'Variance (Department)'!B25</f>
        <v>0</v>
      </c>
      <c r="C10" s="14">
        <f>'Variance (Department)'!C25</f>
        <v>0</v>
      </c>
      <c r="D10" s="14">
        <f>'Variance (Department)'!D25</f>
        <v>0</v>
      </c>
      <c r="E10" s="14">
        <f>'Variance (Department)'!E25</f>
        <v>0</v>
      </c>
      <c r="F10" s="14">
        <f>'Variance (Department)'!F25</f>
        <v>0</v>
      </c>
      <c r="G10" s="14">
        <f>'Variance (Department)'!G25</f>
        <v>9.75</v>
      </c>
      <c r="H10" s="14">
        <f>'Variance (Department)'!H25</f>
        <v>47.25</v>
      </c>
      <c r="I10" s="14">
        <f>'Variance (Department)'!I25</f>
        <v>37</v>
      </c>
      <c r="J10" s="14">
        <f>'Variance (Department)'!J25</f>
        <v>47.25</v>
      </c>
      <c r="K10" s="14">
        <f>'Variance (Department)'!K25</f>
        <v>37.5</v>
      </c>
      <c r="L10" s="14">
        <f>'Variance (Department)'!L25</f>
        <v>8.75</v>
      </c>
      <c r="M10" s="14">
        <f>'Variance (Department)'!M25</f>
        <v>10.75</v>
      </c>
      <c r="N10" s="14">
        <f>'Variance (Department)'!N25</f>
        <v>0</v>
      </c>
      <c r="O10" s="14">
        <f>'Variance (Department)'!O25</f>
        <v>6.5</v>
      </c>
      <c r="P10" s="14">
        <f>'Variance (Department)'!P25</f>
        <v>6.5</v>
      </c>
      <c r="Q10" s="14">
        <f>'Variance (Department)'!Q25</f>
        <v>46.75</v>
      </c>
      <c r="R10" s="14">
        <f>'Variance (Department)'!R25</f>
        <v>33</v>
      </c>
      <c r="S10" s="14">
        <f>'Variance (Department)'!S25</f>
        <v>67.75</v>
      </c>
      <c r="T10" s="14">
        <f>'Variance (Department)'!T25</f>
        <v>52</v>
      </c>
      <c r="U10" s="14">
        <f>'Variance (Department)'!U25</f>
        <v>55.25</v>
      </c>
      <c r="V10" s="14">
        <f>'Variance (Department)'!V25</f>
        <v>66.5</v>
      </c>
      <c r="W10" s="14">
        <f>'Variance (Department)'!W25</f>
        <v>88.5</v>
      </c>
      <c r="X10" s="14">
        <f>'Variance (Department)'!X25</f>
        <v>68.75</v>
      </c>
      <c r="Y10" s="14">
        <f>'Variance (Department)'!Y25</f>
        <v>49.75</v>
      </c>
      <c r="Z10" s="14">
        <f>'Variance (Department)'!Z25</f>
        <v>74.5</v>
      </c>
      <c r="AA10" s="14">
        <f>'Variance (Department)'!AA25</f>
        <v>0</v>
      </c>
      <c r="AB10" s="14">
        <f>'Variance (Department)'!AB25</f>
        <v>1.25</v>
      </c>
      <c r="AC10" s="14">
        <f>'Variance (Department)'!AC25</f>
        <v>0</v>
      </c>
      <c r="AD10" s="14">
        <f>'Variance (Department)'!AD25</f>
        <v>13</v>
      </c>
      <c r="AE10" s="14">
        <f>'Variance (Department)'!AE25</f>
        <v>17.25</v>
      </c>
      <c r="AF10" s="14">
        <f>'Variance (Department)'!AF25</f>
        <v>40</v>
      </c>
      <c r="AG10" s="14">
        <f>'Variance (Department)'!AG25</f>
        <v>45.75</v>
      </c>
      <c r="AH10" s="14">
        <f>'Variance (Department)'!AH25</f>
        <v>26.25</v>
      </c>
      <c r="AI10" s="14">
        <f>'Variance (Department)'!AI25</f>
        <v>6</v>
      </c>
      <c r="AJ10" s="95">
        <v>87.75</v>
      </c>
      <c r="AK10" s="96">
        <v>224.5</v>
      </c>
      <c r="AL10" s="14"/>
      <c r="AM10" s="14"/>
      <c r="AN10" s="14"/>
    </row>
    <row r="11">
      <c r="A11" s="15" t="s">
        <v>23</v>
      </c>
      <c r="B11" s="8">
        <f t="shared" ref="B11:AN11" si="2">B10*B9</f>
        <v>0</v>
      </c>
      <c r="C11" s="8">
        <f t="shared" si="2"/>
        <v>0</v>
      </c>
      <c r="D11" s="8">
        <f t="shared" si="2"/>
        <v>0</v>
      </c>
      <c r="E11" s="8">
        <f t="shared" si="2"/>
        <v>0</v>
      </c>
      <c r="F11" s="8">
        <f t="shared" si="2"/>
        <v>0</v>
      </c>
      <c r="G11" s="8">
        <f t="shared" si="2"/>
        <v>121.875</v>
      </c>
      <c r="H11" s="8">
        <f t="shared" si="2"/>
        <v>590.625</v>
      </c>
      <c r="I11" s="8">
        <f t="shared" si="2"/>
        <v>462.5</v>
      </c>
      <c r="J11" s="8">
        <f t="shared" si="2"/>
        <v>590.625</v>
      </c>
      <c r="K11" s="8">
        <f t="shared" si="2"/>
        <v>468.75</v>
      </c>
      <c r="L11" s="8">
        <f t="shared" si="2"/>
        <v>109.375</v>
      </c>
      <c r="M11" s="8">
        <f t="shared" si="2"/>
        <v>134.375</v>
      </c>
      <c r="N11" s="8">
        <f t="shared" si="2"/>
        <v>0</v>
      </c>
      <c r="O11" s="8">
        <f t="shared" si="2"/>
        <v>81.25</v>
      </c>
      <c r="P11" s="8">
        <f t="shared" si="2"/>
        <v>81.25</v>
      </c>
      <c r="Q11" s="8">
        <f t="shared" si="2"/>
        <v>584.375</v>
      </c>
      <c r="R11" s="8">
        <f t="shared" si="2"/>
        <v>412.5</v>
      </c>
      <c r="S11" s="8">
        <f t="shared" si="2"/>
        <v>846.875</v>
      </c>
      <c r="T11" s="8">
        <f t="shared" si="2"/>
        <v>650</v>
      </c>
      <c r="U11" s="8">
        <f t="shared" si="2"/>
        <v>690.625</v>
      </c>
      <c r="V11" s="8">
        <f t="shared" si="2"/>
        <v>831.25</v>
      </c>
      <c r="W11" s="8">
        <f t="shared" si="2"/>
        <v>1106.25</v>
      </c>
      <c r="X11" s="8">
        <f t="shared" si="2"/>
        <v>859.375</v>
      </c>
      <c r="Y11" s="8">
        <f t="shared" si="2"/>
        <v>621.875</v>
      </c>
      <c r="Z11" s="8">
        <f t="shared" si="2"/>
        <v>931.25</v>
      </c>
      <c r="AA11" s="8">
        <f t="shared" si="2"/>
        <v>0</v>
      </c>
      <c r="AB11" s="8">
        <f t="shared" si="2"/>
        <v>15.625</v>
      </c>
      <c r="AC11" s="8">
        <f t="shared" si="2"/>
        <v>0</v>
      </c>
      <c r="AD11" s="8">
        <f t="shared" si="2"/>
        <v>162.5</v>
      </c>
      <c r="AE11" s="8">
        <f t="shared" si="2"/>
        <v>215.625</v>
      </c>
      <c r="AF11" s="8">
        <f t="shared" si="2"/>
        <v>500</v>
      </c>
      <c r="AG11" s="8">
        <f t="shared" si="2"/>
        <v>571.875</v>
      </c>
      <c r="AH11" s="8">
        <f t="shared" si="2"/>
        <v>328.125</v>
      </c>
      <c r="AI11" s="8">
        <f t="shared" si="2"/>
        <v>75</v>
      </c>
      <c r="AJ11" s="8">
        <f t="shared" si="2"/>
        <v>1096.875</v>
      </c>
      <c r="AK11" s="8">
        <f t="shared" si="2"/>
        <v>2806.25</v>
      </c>
      <c r="AL11" s="8">
        <f t="shared" si="2"/>
        <v>0</v>
      </c>
      <c r="AM11" s="8">
        <f t="shared" si="2"/>
        <v>0</v>
      </c>
      <c r="AN11" s="8">
        <f t="shared" si="2"/>
        <v>0</v>
      </c>
    </row>
    <row r="12">
      <c r="A12" s="15" t="s">
        <v>24</v>
      </c>
      <c r="B12" s="8">
        <f t="shared" ref="B12:AD12" si="3">$B$34*$B5</f>
        <v>105.0269932</v>
      </c>
      <c r="C12" s="8">
        <f t="shared" si="3"/>
        <v>105.0269932</v>
      </c>
      <c r="D12" s="8">
        <f t="shared" si="3"/>
        <v>105.0269932</v>
      </c>
      <c r="E12" s="8">
        <f t="shared" si="3"/>
        <v>105.0269932</v>
      </c>
      <c r="F12" s="8">
        <f t="shared" si="3"/>
        <v>105.0269932</v>
      </c>
      <c r="G12" s="8">
        <f t="shared" si="3"/>
        <v>105.0269932</v>
      </c>
      <c r="H12" s="8">
        <f t="shared" si="3"/>
        <v>105.0269932</v>
      </c>
      <c r="I12" s="8">
        <f t="shared" si="3"/>
        <v>105.0269932</v>
      </c>
      <c r="J12" s="8">
        <f t="shared" si="3"/>
        <v>105.0269932</v>
      </c>
      <c r="K12" s="8">
        <f t="shared" si="3"/>
        <v>105.0269932</v>
      </c>
      <c r="L12" s="8">
        <f t="shared" si="3"/>
        <v>105.0269932</v>
      </c>
      <c r="M12" s="8">
        <f t="shared" si="3"/>
        <v>105.0269932</v>
      </c>
      <c r="N12" s="8">
        <f t="shared" si="3"/>
        <v>105.0269932</v>
      </c>
      <c r="O12" s="8">
        <f t="shared" si="3"/>
        <v>105.0269932</v>
      </c>
      <c r="P12" s="8">
        <f t="shared" si="3"/>
        <v>105.0269932</v>
      </c>
      <c r="Q12" s="8">
        <f t="shared" si="3"/>
        <v>105.0269932</v>
      </c>
      <c r="R12" s="8">
        <f t="shared" si="3"/>
        <v>105.0269932</v>
      </c>
      <c r="S12" s="8">
        <f t="shared" si="3"/>
        <v>105.0269932</v>
      </c>
      <c r="T12" s="8">
        <f t="shared" si="3"/>
        <v>105.0269932</v>
      </c>
      <c r="U12" s="8">
        <f t="shared" si="3"/>
        <v>105.0269932</v>
      </c>
      <c r="V12" s="8">
        <f t="shared" si="3"/>
        <v>105.0269932</v>
      </c>
      <c r="W12" s="8">
        <f t="shared" si="3"/>
        <v>105.0269932</v>
      </c>
      <c r="X12" s="8">
        <f t="shared" si="3"/>
        <v>105.0269932</v>
      </c>
      <c r="Y12" s="8">
        <f t="shared" si="3"/>
        <v>105.0269932</v>
      </c>
      <c r="Z12" s="8">
        <f t="shared" si="3"/>
        <v>105.0269932</v>
      </c>
      <c r="AA12" s="8">
        <f t="shared" si="3"/>
        <v>105.0269932</v>
      </c>
      <c r="AB12" s="8">
        <f t="shared" si="3"/>
        <v>105.0269932</v>
      </c>
      <c r="AC12" s="8">
        <f t="shared" si="3"/>
        <v>105.0269932</v>
      </c>
      <c r="AD12" s="8">
        <f t="shared" si="3"/>
        <v>105.0269932</v>
      </c>
      <c r="AE12" s="8">
        <f t="shared" ref="AE12:AN12" si="4">$B$34*($B5+$AE$5)</f>
        <v>156.0401042</v>
      </c>
      <c r="AF12" s="8">
        <f t="shared" si="4"/>
        <v>156.0401042</v>
      </c>
      <c r="AG12" s="8">
        <f t="shared" si="4"/>
        <v>156.0401042</v>
      </c>
      <c r="AH12" s="8">
        <f t="shared" si="4"/>
        <v>156.0401042</v>
      </c>
      <c r="AI12" s="8">
        <f t="shared" si="4"/>
        <v>156.0401042</v>
      </c>
      <c r="AJ12" s="8">
        <f t="shared" si="4"/>
        <v>156.0401042</v>
      </c>
      <c r="AK12" s="8">
        <f t="shared" si="4"/>
        <v>156.0401042</v>
      </c>
      <c r="AL12" s="8">
        <f t="shared" si="4"/>
        <v>156.0401042</v>
      </c>
      <c r="AM12" s="8">
        <f t="shared" si="4"/>
        <v>156.0401042</v>
      </c>
      <c r="AN12" s="8">
        <f t="shared" si="4"/>
        <v>156.0401042</v>
      </c>
    </row>
    <row r="13">
      <c r="A13" s="15" t="s">
        <v>25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8"/>
      <c r="R13" s="8"/>
      <c r="S13" s="8"/>
      <c r="T13" s="8"/>
      <c r="U13" s="16"/>
      <c r="V13" s="16"/>
      <c r="W13" s="16"/>
      <c r="X13" s="16"/>
      <c r="Y13" s="8"/>
      <c r="AA13" s="8"/>
      <c r="AB13" s="8"/>
      <c r="AC13" s="8"/>
      <c r="AD13" s="8"/>
      <c r="AF13" s="8"/>
      <c r="AG13" s="8"/>
      <c r="AH13" s="8"/>
      <c r="AI13" s="8"/>
      <c r="AJ13" s="8"/>
      <c r="AK13" s="8"/>
      <c r="AL13" s="8"/>
      <c r="AM13" s="10">
        <v>1120.0</v>
      </c>
      <c r="AN13" s="8"/>
    </row>
    <row r="14">
      <c r="A14" s="15" t="s">
        <v>26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10"/>
      <c r="W14" s="8"/>
      <c r="X14" s="94">
        <v>150.0</v>
      </c>
      <c r="Y14" s="94">
        <v>300.0</v>
      </c>
      <c r="Z14" s="94">
        <v>204.0</v>
      </c>
      <c r="AA14" s="8"/>
      <c r="AB14" s="8"/>
      <c r="AC14" s="8"/>
      <c r="AD14" s="8"/>
      <c r="AE14" s="10"/>
      <c r="AF14" s="8"/>
      <c r="AG14" s="8"/>
      <c r="AH14" s="8"/>
      <c r="AI14" s="8"/>
      <c r="AJ14" s="8"/>
      <c r="AK14" s="8"/>
      <c r="AL14" s="8"/>
      <c r="AM14" s="8"/>
      <c r="AN14" s="8"/>
    </row>
    <row r="15">
      <c r="A15" s="17" t="s">
        <v>27</v>
      </c>
      <c r="B15" s="8">
        <f t="shared" ref="B15:AN15" si="5">$B$39</f>
        <v>632.6923077</v>
      </c>
      <c r="C15" s="8">
        <f t="shared" si="5"/>
        <v>632.6923077</v>
      </c>
      <c r="D15" s="8">
        <f t="shared" si="5"/>
        <v>632.6923077</v>
      </c>
      <c r="E15" s="8">
        <f t="shared" si="5"/>
        <v>632.6923077</v>
      </c>
      <c r="F15" s="8">
        <f t="shared" si="5"/>
        <v>632.6923077</v>
      </c>
      <c r="G15" s="8">
        <f t="shared" si="5"/>
        <v>632.6923077</v>
      </c>
      <c r="H15" s="8">
        <f t="shared" si="5"/>
        <v>632.6923077</v>
      </c>
      <c r="I15" s="8">
        <f t="shared" si="5"/>
        <v>632.6923077</v>
      </c>
      <c r="J15" s="8">
        <f t="shared" si="5"/>
        <v>632.6923077</v>
      </c>
      <c r="K15" s="8">
        <f t="shared" si="5"/>
        <v>632.6923077</v>
      </c>
      <c r="L15" s="8">
        <f t="shared" si="5"/>
        <v>632.6923077</v>
      </c>
      <c r="M15" s="8">
        <f t="shared" si="5"/>
        <v>632.6923077</v>
      </c>
      <c r="N15" s="8">
        <f t="shared" si="5"/>
        <v>632.6923077</v>
      </c>
      <c r="O15" s="8">
        <f t="shared" si="5"/>
        <v>632.6923077</v>
      </c>
      <c r="P15" s="8">
        <f t="shared" si="5"/>
        <v>632.6923077</v>
      </c>
      <c r="Q15" s="8">
        <f t="shared" si="5"/>
        <v>632.6923077</v>
      </c>
      <c r="R15" s="8">
        <f t="shared" si="5"/>
        <v>632.6923077</v>
      </c>
      <c r="S15" s="8">
        <f t="shared" si="5"/>
        <v>632.6923077</v>
      </c>
      <c r="T15" s="8">
        <f t="shared" si="5"/>
        <v>632.6923077</v>
      </c>
      <c r="U15" s="8">
        <f t="shared" si="5"/>
        <v>632.6923077</v>
      </c>
      <c r="V15" s="8">
        <f t="shared" si="5"/>
        <v>632.6923077</v>
      </c>
      <c r="W15" s="8">
        <f t="shared" si="5"/>
        <v>632.6923077</v>
      </c>
      <c r="X15" s="8">
        <f t="shared" si="5"/>
        <v>632.6923077</v>
      </c>
      <c r="Y15" s="8">
        <f t="shared" si="5"/>
        <v>632.6923077</v>
      </c>
      <c r="Z15" s="8">
        <f t="shared" si="5"/>
        <v>632.6923077</v>
      </c>
      <c r="AA15" s="8">
        <f t="shared" si="5"/>
        <v>632.6923077</v>
      </c>
      <c r="AB15" s="8">
        <f t="shared" si="5"/>
        <v>632.6923077</v>
      </c>
      <c r="AC15" s="8">
        <f t="shared" si="5"/>
        <v>632.6923077</v>
      </c>
      <c r="AD15" s="8">
        <f t="shared" si="5"/>
        <v>632.6923077</v>
      </c>
      <c r="AE15" s="8">
        <f t="shared" si="5"/>
        <v>632.6923077</v>
      </c>
      <c r="AF15" s="8">
        <f t="shared" si="5"/>
        <v>632.6923077</v>
      </c>
      <c r="AG15" s="8">
        <f t="shared" si="5"/>
        <v>632.6923077</v>
      </c>
      <c r="AH15" s="8">
        <f t="shared" si="5"/>
        <v>632.6923077</v>
      </c>
      <c r="AI15" s="8">
        <f t="shared" si="5"/>
        <v>632.6923077</v>
      </c>
      <c r="AJ15" s="8">
        <f t="shared" si="5"/>
        <v>632.6923077</v>
      </c>
      <c r="AK15" s="8">
        <f t="shared" si="5"/>
        <v>632.6923077</v>
      </c>
      <c r="AL15" s="8">
        <f t="shared" si="5"/>
        <v>632.6923077</v>
      </c>
      <c r="AM15" s="8">
        <f t="shared" si="5"/>
        <v>632.6923077</v>
      </c>
      <c r="AN15" s="8">
        <f t="shared" si="5"/>
        <v>632.6923077</v>
      </c>
    </row>
    <row r="16">
      <c r="A16" s="18" t="s">
        <v>28</v>
      </c>
      <c r="B16" s="8"/>
      <c r="C16" s="8"/>
      <c r="D16" s="8"/>
      <c r="E16" s="8">
        <f>SUM(B15:E15)</f>
        <v>2530.769231</v>
      </c>
      <c r="F16" s="8"/>
      <c r="G16" s="8"/>
      <c r="H16" s="8">
        <f>SUM(F15:H15)</f>
        <v>1898.076923</v>
      </c>
      <c r="I16" s="8"/>
      <c r="J16" s="8"/>
      <c r="K16" s="8">
        <f>SUM(I15:K15)</f>
        <v>1898.076923</v>
      </c>
      <c r="L16" s="8"/>
      <c r="M16" s="8"/>
      <c r="N16" s="8"/>
      <c r="O16" s="8"/>
      <c r="P16" s="8"/>
      <c r="Q16" s="8"/>
      <c r="R16" s="8"/>
      <c r="S16" s="8"/>
      <c r="T16" s="8">
        <f>SUM(L15:T15)</f>
        <v>5694.230769</v>
      </c>
      <c r="U16" s="8"/>
      <c r="V16" s="8"/>
      <c r="W16" s="8">
        <f>SUM(U15:W15)</f>
        <v>1898.076923</v>
      </c>
      <c r="X16" s="8"/>
      <c r="Y16" s="8"/>
      <c r="Z16" s="8">
        <f>SUM(X15:Z15)</f>
        <v>1898.076923</v>
      </c>
      <c r="AA16" s="8"/>
      <c r="AB16" s="8"/>
      <c r="AC16" s="8"/>
      <c r="AD16" s="8"/>
      <c r="AE16" s="8"/>
      <c r="AF16" s="8"/>
      <c r="AG16" s="8"/>
      <c r="AH16" s="8">
        <f>SUM(AA15:AH15)</f>
        <v>5061.538462</v>
      </c>
      <c r="AI16" s="8"/>
      <c r="AJ16" s="8"/>
      <c r="AK16" s="8">
        <f>SUM(AI15:AK15)</f>
        <v>1898.076923</v>
      </c>
      <c r="AL16" s="8"/>
      <c r="AM16" s="8"/>
      <c r="AN16" s="8">
        <f>SUM(AL15:AN15)</f>
        <v>1898.076923</v>
      </c>
    </row>
    <row r="17">
      <c r="A17" s="17" t="s">
        <v>29</v>
      </c>
      <c r="B17" s="8">
        <f t="shared" ref="B17:AN17" si="6">$B$41</f>
        <v>50</v>
      </c>
      <c r="C17" s="8">
        <f t="shared" si="6"/>
        <v>50</v>
      </c>
      <c r="D17" s="8">
        <f t="shared" si="6"/>
        <v>50</v>
      </c>
      <c r="E17" s="8">
        <f t="shared" si="6"/>
        <v>50</v>
      </c>
      <c r="F17" s="8">
        <f t="shared" si="6"/>
        <v>50</v>
      </c>
      <c r="G17" s="8">
        <f t="shared" si="6"/>
        <v>50</v>
      </c>
      <c r="H17" s="8">
        <f t="shared" si="6"/>
        <v>50</v>
      </c>
      <c r="I17" s="8">
        <f t="shared" si="6"/>
        <v>50</v>
      </c>
      <c r="J17" s="8">
        <f t="shared" si="6"/>
        <v>50</v>
      </c>
      <c r="K17" s="8">
        <f t="shared" si="6"/>
        <v>50</v>
      </c>
      <c r="L17" s="8">
        <f t="shared" si="6"/>
        <v>50</v>
      </c>
      <c r="M17" s="8">
        <f t="shared" si="6"/>
        <v>50</v>
      </c>
      <c r="N17" s="8">
        <f t="shared" si="6"/>
        <v>50</v>
      </c>
      <c r="O17" s="8">
        <f t="shared" si="6"/>
        <v>50</v>
      </c>
      <c r="P17" s="8">
        <f t="shared" si="6"/>
        <v>50</v>
      </c>
      <c r="Q17" s="8">
        <f t="shared" si="6"/>
        <v>50</v>
      </c>
      <c r="R17" s="8">
        <f t="shared" si="6"/>
        <v>50</v>
      </c>
      <c r="S17" s="8">
        <f t="shared" si="6"/>
        <v>50</v>
      </c>
      <c r="T17" s="8">
        <f t="shared" si="6"/>
        <v>50</v>
      </c>
      <c r="U17" s="8">
        <f t="shared" si="6"/>
        <v>50</v>
      </c>
      <c r="V17" s="8">
        <f t="shared" si="6"/>
        <v>50</v>
      </c>
      <c r="W17" s="8">
        <f t="shared" si="6"/>
        <v>50</v>
      </c>
      <c r="X17" s="8">
        <f t="shared" si="6"/>
        <v>50</v>
      </c>
      <c r="Y17" s="8">
        <f t="shared" si="6"/>
        <v>50</v>
      </c>
      <c r="Z17" s="8">
        <f t="shared" si="6"/>
        <v>50</v>
      </c>
      <c r="AA17" s="8">
        <f t="shared" si="6"/>
        <v>50</v>
      </c>
      <c r="AB17" s="8">
        <f t="shared" si="6"/>
        <v>50</v>
      </c>
      <c r="AC17" s="8">
        <f t="shared" si="6"/>
        <v>50</v>
      </c>
      <c r="AD17" s="8">
        <f t="shared" si="6"/>
        <v>50</v>
      </c>
      <c r="AE17" s="8">
        <f t="shared" si="6"/>
        <v>50</v>
      </c>
      <c r="AF17" s="8">
        <f t="shared" si="6"/>
        <v>50</v>
      </c>
      <c r="AG17" s="8">
        <f t="shared" si="6"/>
        <v>50</v>
      </c>
      <c r="AH17" s="8">
        <f t="shared" si="6"/>
        <v>50</v>
      </c>
      <c r="AI17" s="8">
        <f t="shared" si="6"/>
        <v>50</v>
      </c>
      <c r="AJ17" s="8">
        <f t="shared" si="6"/>
        <v>50</v>
      </c>
      <c r="AK17" s="8">
        <f t="shared" si="6"/>
        <v>50</v>
      </c>
      <c r="AL17" s="8">
        <f t="shared" si="6"/>
        <v>50</v>
      </c>
      <c r="AM17" s="8">
        <f t="shared" si="6"/>
        <v>50</v>
      </c>
      <c r="AN17" s="8">
        <f t="shared" si="6"/>
        <v>50</v>
      </c>
    </row>
    <row r="18">
      <c r="A18" s="18" t="s">
        <v>30</v>
      </c>
      <c r="B18" s="8"/>
      <c r="C18" s="8"/>
      <c r="D18" s="8"/>
      <c r="E18" s="8"/>
      <c r="F18" s="8"/>
      <c r="G18" s="8">
        <f>SUM(B17:G17)</f>
        <v>300</v>
      </c>
      <c r="H18" s="8"/>
      <c r="I18" s="8"/>
      <c r="J18" s="8"/>
      <c r="K18" s="8">
        <f>SUM(H17:K17)</f>
        <v>200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>
        <f>SUM((L17:V17))</f>
        <v>550</v>
      </c>
      <c r="W18" s="8"/>
      <c r="X18" s="8"/>
      <c r="Y18" s="8"/>
      <c r="Z18" s="8">
        <f>SUM(W17:Z17)</f>
        <v>200</v>
      </c>
      <c r="AA18" s="8"/>
      <c r="AB18" s="8"/>
      <c r="AC18" s="8"/>
      <c r="AD18" s="8"/>
      <c r="AE18" s="8"/>
      <c r="AF18" s="8"/>
      <c r="AG18" s="8"/>
      <c r="AH18" s="8"/>
      <c r="AI18" s="8"/>
      <c r="AJ18" s="8">
        <f>SUM(AA17:AJ17)</f>
        <v>500</v>
      </c>
      <c r="AK18" s="8"/>
      <c r="AL18" s="8"/>
      <c r="AM18" s="8"/>
      <c r="AN18" s="8">
        <f>SUM(AK17:AN17)</f>
        <v>200</v>
      </c>
    </row>
    <row r="19">
      <c r="A19" s="17" t="s">
        <v>31</v>
      </c>
      <c r="B19" s="8">
        <f t="shared" ref="B19:AN19" si="7">$B$42</f>
        <v>100</v>
      </c>
      <c r="C19" s="8">
        <f t="shared" si="7"/>
        <v>100</v>
      </c>
      <c r="D19" s="8">
        <f t="shared" si="7"/>
        <v>100</v>
      </c>
      <c r="E19" s="8">
        <f t="shared" si="7"/>
        <v>100</v>
      </c>
      <c r="F19" s="8">
        <f t="shared" si="7"/>
        <v>100</v>
      </c>
      <c r="G19" s="8">
        <f t="shared" si="7"/>
        <v>100</v>
      </c>
      <c r="H19" s="8">
        <f t="shared" si="7"/>
        <v>100</v>
      </c>
      <c r="I19" s="8">
        <f t="shared" si="7"/>
        <v>100</v>
      </c>
      <c r="J19" s="8">
        <f t="shared" si="7"/>
        <v>100</v>
      </c>
      <c r="K19" s="8">
        <f t="shared" si="7"/>
        <v>100</v>
      </c>
      <c r="L19" s="8">
        <f t="shared" si="7"/>
        <v>100</v>
      </c>
      <c r="M19" s="8">
        <f t="shared" si="7"/>
        <v>100</v>
      </c>
      <c r="N19" s="8">
        <f t="shared" si="7"/>
        <v>100</v>
      </c>
      <c r="O19" s="8">
        <f t="shared" si="7"/>
        <v>100</v>
      </c>
      <c r="P19" s="8">
        <f t="shared" si="7"/>
        <v>100</v>
      </c>
      <c r="Q19" s="8">
        <f t="shared" si="7"/>
        <v>100</v>
      </c>
      <c r="R19" s="8">
        <f t="shared" si="7"/>
        <v>100</v>
      </c>
      <c r="S19" s="8">
        <f t="shared" si="7"/>
        <v>100</v>
      </c>
      <c r="T19" s="8">
        <f t="shared" si="7"/>
        <v>100</v>
      </c>
      <c r="U19" s="8">
        <f t="shared" si="7"/>
        <v>100</v>
      </c>
      <c r="V19" s="8">
        <f t="shared" si="7"/>
        <v>100</v>
      </c>
      <c r="W19" s="8">
        <f t="shared" si="7"/>
        <v>100</v>
      </c>
      <c r="X19" s="8">
        <f t="shared" si="7"/>
        <v>100</v>
      </c>
      <c r="Y19" s="8">
        <f t="shared" si="7"/>
        <v>100</v>
      </c>
      <c r="Z19" s="8">
        <f t="shared" si="7"/>
        <v>100</v>
      </c>
      <c r="AA19" s="8">
        <f t="shared" si="7"/>
        <v>100</v>
      </c>
      <c r="AB19" s="8">
        <f t="shared" si="7"/>
        <v>100</v>
      </c>
      <c r="AC19" s="8">
        <f t="shared" si="7"/>
        <v>100</v>
      </c>
      <c r="AD19" s="8">
        <f t="shared" si="7"/>
        <v>100</v>
      </c>
      <c r="AE19" s="8">
        <f t="shared" si="7"/>
        <v>100</v>
      </c>
      <c r="AF19" s="8">
        <f t="shared" si="7"/>
        <v>100</v>
      </c>
      <c r="AG19" s="8">
        <f t="shared" si="7"/>
        <v>100</v>
      </c>
      <c r="AH19" s="8">
        <f t="shared" si="7"/>
        <v>100</v>
      </c>
      <c r="AI19" s="8">
        <f t="shared" si="7"/>
        <v>100</v>
      </c>
      <c r="AJ19" s="8">
        <f t="shared" si="7"/>
        <v>100</v>
      </c>
      <c r="AK19" s="8">
        <f t="shared" si="7"/>
        <v>100</v>
      </c>
      <c r="AL19" s="8">
        <f t="shared" si="7"/>
        <v>100</v>
      </c>
      <c r="AM19" s="8">
        <f t="shared" si="7"/>
        <v>100</v>
      </c>
      <c r="AN19" s="8">
        <f t="shared" si="7"/>
        <v>100</v>
      </c>
    </row>
    <row r="20">
      <c r="A20" s="18" t="s">
        <v>32</v>
      </c>
      <c r="B20" s="8"/>
      <c r="C20" s="8"/>
      <c r="D20" s="8"/>
      <c r="E20" s="8"/>
      <c r="F20" s="8"/>
      <c r="G20" s="8">
        <f>SUM(B19:G19)</f>
        <v>600</v>
      </c>
      <c r="H20" s="8"/>
      <c r="I20" s="8"/>
      <c r="J20" s="8"/>
      <c r="K20" s="8">
        <f>SUM(H19:K19)</f>
        <v>400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>
        <f>SUM(L19:V19)</f>
        <v>1100</v>
      </c>
      <c r="W20" s="8"/>
      <c r="X20" s="8"/>
      <c r="Y20" s="8"/>
      <c r="Z20" s="8">
        <f>SUM(W19:Z19)</f>
        <v>400</v>
      </c>
      <c r="AA20" s="8"/>
      <c r="AB20" s="8"/>
      <c r="AC20" s="8"/>
      <c r="AD20" s="8"/>
      <c r="AE20" s="8"/>
      <c r="AF20" s="8"/>
      <c r="AG20" s="8"/>
      <c r="AH20" s="8"/>
      <c r="AI20" s="8"/>
      <c r="AJ20" s="8">
        <f>SUM(AA19:AJ19)</f>
        <v>1000</v>
      </c>
      <c r="AK20" s="8"/>
      <c r="AL20" s="8"/>
      <c r="AM20" s="8"/>
      <c r="AN20" s="8">
        <f>SUM(AK19:AN19)</f>
        <v>400</v>
      </c>
    </row>
    <row r="21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>
      <c r="A22" s="19" t="s">
        <v>33</v>
      </c>
      <c r="B22" s="10">
        <f>B44</f>
        <v>0</v>
      </c>
      <c r="C22" s="10">
        <f t="shared" ref="C22:AN22" si="8">B26</f>
        <v>34894.97301</v>
      </c>
      <c r="D22" s="10">
        <f t="shared" si="8"/>
        <v>34789.94601</v>
      </c>
      <c r="E22" s="10">
        <f t="shared" si="8"/>
        <v>34684.91902</v>
      </c>
      <c r="F22" s="10">
        <f t="shared" si="8"/>
        <v>32049.1228</v>
      </c>
      <c r="G22" s="10">
        <f t="shared" si="8"/>
        <v>31944.0958</v>
      </c>
      <c r="H22" s="10">
        <f t="shared" si="8"/>
        <v>30817.19381</v>
      </c>
      <c r="I22" s="10">
        <f t="shared" si="8"/>
        <v>28223.46489</v>
      </c>
      <c r="J22" s="10">
        <f t="shared" si="8"/>
        <v>27655.9379</v>
      </c>
      <c r="K22" s="10">
        <f t="shared" si="8"/>
        <v>26960.28591</v>
      </c>
      <c r="L22" s="10">
        <f t="shared" si="8"/>
        <v>23888.43199</v>
      </c>
      <c r="M22" s="10">
        <f t="shared" si="8"/>
        <v>23674.03</v>
      </c>
      <c r="N22" s="10">
        <f t="shared" si="8"/>
        <v>23434.628</v>
      </c>
      <c r="O22" s="10">
        <f t="shared" si="8"/>
        <v>23329.60101</v>
      </c>
      <c r="P22" s="10">
        <f t="shared" si="8"/>
        <v>23143.32402</v>
      </c>
      <c r="Q22" s="10">
        <f t="shared" si="8"/>
        <v>22957.04703</v>
      </c>
      <c r="R22" s="10">
        <f t="shared" si="8"/>
        <v>22267.64503</v>
      </c>
      <c r="S22" s="10">
        <f t="shared" si="8"/>
        <v>21750.11804</v>
      </c>
      <c r="T22" s="10">
        <f t="shared" si="8"/>
        <v>20798.21605</v>
      </c>
      <c r="U22" s="10">
        <f t="shared" si="8"/>
        <v>14348.95828</v>
      </c>
      <c r="V22" s="10">
        <f t="shared" si="8"/>
        <v>13553.30629</v>
      </c>
      <c r="W22" s="10">
        <f t="shared" si="8"/>
        <v>10967.0293</v>
      </c>
      <c r="X22" s="10">
        <f t="shared" si="8"/>
        <v>7857.675381</v>
      </c>
      <c r="Y22" s="10">
        <f t="shared" si="8"/>
        <v>6893.273388</v>
      </c>
      <c r="Z22" s="10">
        <f t="shared" si="8"/>
        <v>6166.371394</v>
      </c>
      <c r="AA22" s="10">
        <f t="shared" si="8"/>
        <v>2578.017478</v>
      </c>
      <c r="AB22" s="10">
        <f t="shared" si="8"/>
        <v>2472.990485</v>
      </c>
      <c r="AC22" s="10">
        <f t="shared" si="8"/>
        <v>2352.338492</v>
      </c>
      <c r="AD22" s="10">
        <f t="shared" si="8"/>
        <v>2247.311499</v>
      </c>
      <c r="AE22" s="10">
        <f t="shared" si="8"/>
        <v>1979.784505</v>
      </c>
      <c r="AF22" s="10">
        <f t="shared" si="8"/>
        <v>18608.1194</v>
      </c>
      <c r="AG22" s="10">
        <f t="shared" si="8"/>
        <v>17952.0793</v>
      </c>
      <c r="AH22" s="10">
        <f t="shared" si="8"/>
        <v>17224.16419</v>
      </c>
      <c r="AI22" s="10">
        <f t="shared" si="8"/>
        <v>11678.46063</v>
      </c>
      <c r="AJ22" s="10">
        <f t="shared" si="8"/>
        <v>11447.42052</v>
      </c>
      <c r="AK22" s="10">
        <f t="shared" si="8"/>
        <v>8694.505419</v>
      </c>
      <c r="AL22" s="10">
        <f t="shared" si="8"/>
        <v>3834.138392</v>
      </c>
      <c r="AM22" s="10">
        <f t="shared" si="8"/>
        <v>3678.098288</v>
      </c>
      <c r="AN22" s="10">
        <f t="shared" si="8"/>
        <v>2402.058183</v>
      </c>
    </row>
    <row r="23">
      <c r="A23" s="20" t="s">
        <v>17</v>
      </c>
      <c r="B23" s="8">
        <f t="shared" ref="B23:AN23" si="9">SUM(B5:B6)</f>
        <v>35000</v>
      </c>
      <c r="C23" s="8">
        <f t="shared" si="9"/>
        <v>0</v>
      </c>
      <c r="D23" s="8">
        <f t="shared" si="9"/>
        <v>0</v>
      </c>
      <c r="E23" s="8">
        <f t="shared" si="9"/>
        <v>0</v>
      </c>
      <c r="F23" s="8">
        <f t="shared" si="9"/>
        <v>0</v>
      </c>
      <c r="G23" s="8">
        <f t="shared" si="9"/>
        <v>0</v>
      </c>
      <c r="H23" s="8">
        <f t="shared" si="9"/>
        <v>0</v>
      </c>
      <c r="I23" s="8">
        <f t="shared" si="9"/>
        <v>0</v>
      </c>
      <c r="J23" s="8">
        <f t="shared" si="9"/>
        <v>0</v>
      </c>
      <c r="K23" s="8">
        <f t="shared" si="9"/>
        <v>0</v>
      </c>
      <c r="L23" s="8">
        <f t="shared" si="9"/>
        <v>0</v>
      </c>
      <c r="M23" s="8">
        <f t="shared" si="9"/>
        <v>0</v>
      </c>
      <c r="N23" s="8">
        <f t="shared" si="9"/>
        <v>0</v>
      </c>
      <c r="O23" s="8">
        <f t="shared" si="9"/>
        <v>0</v>
      </c>
      <c r="P23" s="8">
        <f t="shared" si="9"/>
        <v>0</v>
      </c>
      <c r="Q23" s="8">
        <f t="shared" si="9"/>
        <v>0</v>
      </c>
      <c r="R23" s="8">
        <f t="shared" si="9"/>
        <v>0</v>
      </c>
      <c r="S23" s="8">
        <f t="shared" si="9"/>
        <v>0</v>
      </c>
      <c r="T23" s="8">
        <f t="shared" si="9"/>
        <v>0</v>
      </c>
      <c r="U23" s="8">
        <f t="shared" si="9"/>
        <v>0</v>
      </c>
      <c r="V23" s="8">
        <f t="shared" si="9"/>
        <v>0</v>
      </c>
      <c r="W23" s="8">
        <f t="shared" si="9"/>
        <v>0</v>
      </c>
      <c r="X23" s="8">
        <f t="shared" si="9"/>
        <v>150</v>
      </c>
      <c r="Y23" s="8">
        <f t="shared" si="9"/>
        <v>300</v>
      </c>
      <c r="Z23" s="8">
        <f t="shared" si="9"/>
        <v>150</v>
      </c>
      <c r="AA23" s="8">
        <f t="shared" si="9"/>
        <v>0</v>
      </c>
      <c r="AB23" s="8">
        <f t="shared" si="9"/>
        <v>0</v>
      </c>
      <c r="AC23" s="8">
        <f t="shared" si="9"/>
        <v>0</v>
      </c>
      <c r="AD23" s="8">
        <f t="shared" si="9"/>
        <v>0</v>
      </c>
      <c r="AE23" s="8">
        <f t="shared" si="9"/>
        <v>17000</v>
      </c>
      <c r="AF23" s="8">
        <f t="shared" si="9"/>
        <v>0</v>
      </c>
      <c r="AG23" s="8">
        <f t="shared" si="9"/>
        <v>0</v>
      </c>
      <c r="AH23" s="8">
        <f t="shared" si="9"/>
        <v>0</v>
      </c>
      <c r="AI23" s="8">
        <f t="shared" si="9"/>
        <v>0</v>
      </c>
      <c r="AJ23" s="8">
        <f t="shared" si="9"/>
        <v>0</v>
      </c>
      <c r="AK23" s="8">
        <f t="shared" si="9"/>
        <v>0</v>
      </c>
      <c r="AL23" s="8">
        <f t="shared" si="9"/>
        <v>0</v>
      </c>
      <c r="AM23" s="8">
        <f t="shared" si="9"/>
        <v>0</v>
      </c>
      <c r="AN23" s="8">
        <f t="shared" si="9"/>
        <v>0</v>
      </c>
    </row>
    <row r="24">
      <c r="A24" s="20" t="s">
        <v>20</v>
      </c>
      <c r="B24" s="21">
        <f t="shared" ref="B24:AN24" si="10">SUM(B11:B14)+B16+B18+B20</f>
        <v>105.0269932</v>
      </c>
      <c r="C24" s="21">
        <f t="shared" si="10"/>
        <v>105.0269932</v>
      </c>
      <c r="D24" s="21">
        <f t="shared" si="10"/>
        <v>105.0269932</v>
      </c>
      <c r="E24" s="21">
        <f t="shared" si="10"/>
        <v>2635.796224</v>
      </c>
      <c r="F24" s="21">
        <f t="shared" si="10"/>
        <v>105.0269932</v>
      </c>
      <c r="G24" s="21">
        <f t="shared" si="10"/>
        <v>1126.901993</v>
      </c>
      <c r="H24" s="21">
        <f t="shared" si="10"/>
        <v>2593.728916</v>
      </c>
      <c r="I24" s="21">
        <f t="shared" si="10"/>
        <v>567.5269932</v>
      </c>
      <c r="J24" s="21">
        <f t="shared" si="10"/>
        <v>695.6519932</v>
      </c>
      <c r="K24" s="21">
        <f t="shared" si="10"/>
        <v>3071.853916</v>
      </c>
      <c r="L24" s="21">
        <f t="shared" si="10"/>
        <v>214.4019932</v>
      </c>
      <c r="M24" s="21">
        <f t="shared" si="10"/>
        <v>239.4019932</v>
      </c>
      <c r="N24" s="21">
        <f t="shared" si="10"/>
        <v>105.0269932</v>
      </c>
      <c r="O24" s="21">
        <f t="shared" si="10"/>
        <v>186.2769932</v>
      </c>
      <c r="P24" s="21">
        <f t="shared" si="10"/>
        <v>186.2769932</v>
      </c>
      <c r="Q24" s="21">
        <f t="shared" si="10"/>
        <v>689.4019932</v>
      </c>
      <c r="R24" s="21">
        <f t="shared" si="10"/>
        <v>517.5269932</v>
      </c>
      <c r="S24" s="21">
        <f t="shared" si="10"/>
        <v>951.9019932</v>
      </c>
      <c r="T24" s="21">
        <f t="shared" si="10"/>
        <v>6449.257762</v>
      </c>
      <c r="U24" s="21">
        <f t="shared" si="10"/>
        <v>795.6519932</v>
      </c>
      <c r="V24" s="21">
        <f t="shared" si="10"/>
        <v>2586.276993</v>
      </c>
      <c r="W24" s="21">
        <f t="shared" si="10"/>
        <v>3109.353916</v>
      </c>
      <c r="X24" s="21">
        <f t="shared" si="10"/>
        <v>1114.401993</v>
      </c>
      <c r="Y24" s="21">
        <f t="shared" si="10"/>
        <v>1026.901993</v>
      </c>
      <c r="Z24" s="21">
        <f t="shared" si="10"/>
        <v>3738.353916</v>
      </c>
      <c r="AA24" s="21">
        <f t="shared" si="10"/>
        <v>105.0269932</v>
      </c>
      <c r="AB24" s="21">
        <f t="shared" si="10"/>
        <v>120.6519932</v>
      </c>
      <c r="AC24" s="21">
        <f t="shared" si="10"/>
        <v>105.0269932</v>
      </c>
      <c r="AD24" s="21">
        <f t="shared" si="10"/>
        <v>267.5269932</v>
      </c>
      <c r="AE24" s="21">
        <f t="shared" si="10"/>
        <v>371.6651042</v>
      </c>
      <c r="AF24" s="21">
        <f t="shared" si="10"/>
        <v>656.0401042</v>
      </c>
      <c r="AG24" s="21">
        <f t="shared" si="10"/>
        <v>727.9151042</v>
      </c>
      <c r="AH24" s="21">
        <f t="shared" si="10"/>
        <v>5545.703566</v>
      </c>
      <c r="AI24" s="21">
        <f t="shared" si="10"/>
        <v>231.0401042</v>
      </c>
      <c r="AJ24" s="21">
        <f t="shared" si="10"/>
        <v>2752.915104</v>
      </c>
      <c r="AK24" s="21">
        <f t="shared" si="10"/>
        <v>4860.367027</v>
      </c>
      <c r="AL24" s="21">
        <f t="shared" si="10"/>
        <v>156.0401042</v>
      </c>
      <c r="AM24" s="21">
        <f t="shared" si="10"/>
        <v>1276.040104</v>
      </c>
      <c r="AN24" s="21">
        <f t="shared" si="10"/>
        <v>2654.117027</v>
      </c>
    </row>
    <row r="25">
      <c r="A25" s="19" t="s">
        <v>34</v>
      </c>
      <c r="B25" s="8">
        <f t="shared" ref="B25:AN25" si="11">B23-B24</f>
        <v>34894.97301</v>
      </c>
      <c r="C25" s="8">
        <f t="shared" si="11"/>
        <v>-105.0269932</v>
      </c>
      <c r="D25" s="8">
        <f t="shared" si="11"/>
        <v>-105.0269932</v>
      </c>
      <c r="E25" s="8">
        <f t="shared" si="11"/>
        <v>-2635.796224</v>
      </c>
      <c r="F25" s="8">
        <f t="shared" si="11"/>
        <v>-105.0269932</v>
      </c>
      <c r="G25" s="8">
        <f t="shared" si="11"/>
        <v>-1126.901993</v>
      </c>
      <c r="H25" s="8">
        <f t="shared" si="11"/>
        <v>-2593.728916</v>
      </c>
      <c r="I25" s="8">
        <f t="shared" si="11"/>
        <v>-567.5269932</v>
      </c>
      <c r="J25" s="8">
        <f t="shared" si="11"/>
        <v>-695.6519932</v>
      </c>
      <c r="K25" s="8">
        <f t="shared" si="11"/>
        <v>-3071.853916</v>
      </c>
      <c r="L25" s="8">
        <f t="shared" si="11"/>
        <v>-214.4019932</v>
      </c>
      <c r="M25" s="8">
        <f t="shared" si="11"/>
        <v>-239.4019932</v>
      </c>
      <c r="N25" s="8">
        <f t="shared" si="11"/>
        <v>-105.0269932</v>
      </c>
      <c r="O25" s="8">
        <f t="shared" si="11"/>
        <v>-186.2769932</v>
      </c>
      <c r="P25" s="8">
        <f t="shared" si="11"/>
        <v>-186.2769932</v>
      </c>
      <c r="Q25" s="8">
        <f t="shared" si="11"/>
        <v>-689.4019932</v>
      </c>
      <c r="R25" s="8">
        <f t="shared" si="11"/>
        <v>-517.5269932</v>
      </c>
      <c r="S25" s="8">
        <f t="shared" si="11"/>
        <v>-951.9019932</v>
      </c>
      <c r="T25" s="8">
        <f t="shared" si="11"/>
        <v>-6449.257762</v>
      </c>
      <c r="U25" s="8">
        <f t="shared" si="11"/>
        <v>-795.6519932</v>
      </c>
      <c r="V25" s="8">
        <f t="shared" si="11"/>
        <v>-2586.276993</v>
      </c>
      <c r="W25" s="8">
        <f t="shared" si="11"/>
        <v>-3109.353916</v>
      </c>
      <c r="X25" s="8">
        <f t="shared" si="11"/>
        <v>-964.4019932</v>
      </c>
      <c r="Y25" s="8">
        <f t="shared" si="11"/>
        <v>-726.9019932</v>
      </c>
      <c r="Z25" s="8">
        <f t="shared" si="11"/>
        <v>-3588.353916</v>
      </c>
      <c r="AA25" s="8">
        <f t="shared" si="11"/>
        <v>-105.0269932</v>
      </c>
      <c r="AB25" s="8">
        <f t="shared" si="11"/>
        <v>-120.6519932</v>
      </c>
      <c r="AC25" s="8">
        <f t="shared" si="11"/>
        <v>-105.0269932</v>
      </c>
      <c r="AD25" s="8">
        <f t="shared" si="11"/>
        <v>-267.5269932</v>
      </c>
      <c r="AE25" s="8">
        <f t="shared" si="11"/>
        <v>16628.3349</v>
      </c>
      <c r="AF25" s="8">
        <f t="shared" si="11"/>
        <v>-656.0401042</v>
      </c>
      <c r="AG25" s="8">
        <f t="shared" si="11"/>
        <v>-727.9151042</v>
      </c>
      <c r="AH25" s="8">
        <f t="shared" si="11"/>
        <v>-5545.703566</v>
      </c>
      <c r="AI25" s="8">
        <f t="shared" si="11"/>
        <v>-231.0401042</v>
      </c>
      <c r="AJ25" s="8">
        <f t="shared" si="11"/>
        <v>-2752.915104</v>
      </c>
      <c r="AK25" s="8">
        <f t="shared" si="11"/>
        <v>-4860.367027</v>
      </c>
      <c r="AL25" s="8">
        <f t="shared" si="11"/>
        <v>-156.0401042</v>
      </c>
      <c r="AM25" s="8">
        <f t="shared" si="11"/>
        <v>-1276.040104</v>
      </c>
      <c r="AN25" s="8">
        <f t="shared" si="11"/>
        <v>-2654.117027</v>
      </c>
    </row>
    <row r="26">
      <c r="A26" s="20" t="s">
        <v>35</v>
      </c>
      <c r="B26" s="8">
        <f>B25</f>
        <v>34894.97301</v>
      </c>
      <c r="C26" s="8">
        <f t="shared" ref="C26:AN26" si="12">C22+C25</f>
        <v>34789.94601</v>
      </c>
      <c r="D26" s="8">
        <f t="shared" si="12"/>
        <v>34684.91902</v>
      </c>
      <c r="E26" s="8">
        <f t="shared" si="12"/>
        <v>32049.1228</v>
      </c>
      <c r="F26" s="8">
        <f t="shared" si="12"/>
        <v>31944.0958</v>
      </c>
      <c r="G26" s="8">
        <f t="shared" si="12"/>
        <v>30817.19381</v>
      </c>
      <c r="H26" s="8">
        <f t="shared" si="12"/>
        <v>28223.46489</v>
      </c>
      <c r="I26" s="8">
        <f t="shared" si="12"/>
        <v>27655.9379</v>
      </c>
      <c r="J26" s="8">
        <f t="shared" si="12"/>
        <v>26960.28591</v>
      </c>
      <c r="K26" s="8">
        <f t="shared" si="12"/>
        <v>23888.43199</v>
      </c>
      <c r="L26" s="8">
        <f t="shared" si="12"/>
        <v>23674.03</v>
      </c>
      <c r="M26" s="8">
        <f t="shared" si="12"/>
        <v>23434.628</v>
      </c>
      <c r="N26" s="8">
        <f t="shared" si="12"/>
        <v>23329.60101</v>
      </c>
      <c r="O26" s="8">
        <f t="shared" si="12"/>
        <v>23143.32402</v>
      </c>
      <c r="P26" s="8">
        <f t="shared" si="12"/>
        <v>22957.04703</v>
      </c>
      <c r="Q26" s="8">
        <f t="shared" si="12"/>
        <v>22267.64503</v>
      </c>
      <c r="R26" s="8">
        <f t="shared" si="12"/>
        <v>21750.11804</v>
      </c>
      <c r="S26" s="8">
        <f t="shared" si="12"/>
        <v>20798.21605</v>
      </c>
      <c r="T26" s="8">
        <f t="shared" si="12"/>
        <v>14348.95828</v>
      </c>
      <c r="U26" s="8">
        <f t="shared" si="12"/>
        <v>13553.30629</v>
      </c>
      <c r="V26" s="8">
        <f t="shared" si="12"/>
        <v>10967.0293</v>
      </c>
      <c r="W26" s="8">
        <f t="shared" si="12"/>
        <v>7857.675381</v>
      </c>
      <c r="X26" s="8">
        <f t="shared" si="12"/>
        <v>6893.273388</v>
      </c>
      <c r="Y26" s="8">
        <f t="shared" si="12"/>
        <v>6166.371394</v>
      </c>
      <c r="Z26" s="8">
        <f t="shared" si="12"/>
        <v>2578.017478</v>
      </c>
      <c r="AA26" s="8">
        <f t="shared" si="12"/>
        <v>2472.990485</v>
      </c>
      <c r="AB26" s="8">
        <f t="shared" si="12"/>
        <v>2352.338492</v>
      </c>
      <c r="AC26" s="8">
        <f t="shared" si="12"/>
        <v>2247.311499</v>
      </c>
      <c r="AD26" s="8">
        <f t="shared" si="12"/>
        <v>1979.784505</v>
      </c>
      <c r="AE26" s="8">
        <f t="shared" si="12"/>
        <v>18608.1194</v>
      </c>
      <c r="AF26" s="8">
        <f t="shared" si="12"/>
        <v>17952.0793</v>
      </c>
      <c r="AG26" s="8">
        <f t="shared" si="12"/>
        <v>17224.16419</v>
      </c>
      <c r="AH26" s="8">
        <f t="shared" si="12"/>
        <v>11678.46063</v>
      </c>
      <c r="AI26" s="8">
        <f t="shared" si="12"/>
        <v>11447.42052</v>
      </c>
      <c r="AJ26" s="8">
        <f t="shared" si="12"/>
        <v>8694.505419</v>
      </c>
      <c r="AK26" s="8">
        <f t="shared" si="12"/>
        <v>3834.138392</v>
      </c>
      <c r="AL26" s="8">
        <f t="shared" si="12"/>
        <v>3678.098288</v>
      </c>
      <c r="AM26" s="8">
        <f t="shared" si="12"/>
        <v>2402.058183</v>
      </c>
      <c r="AN26" s="8">
        <f t="shared" si="12"/>
        <v>-252.0588439</v>
      </c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</row>
    <row r="28">
      <c r="A28" s="5" t="s">
        <v>39</v>
      </c>
      <c r="B28" s="8">
        <f>SUM(B24:AN24)</f>
        <v>52852.05884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</row>
    <row r="30">
      <c r="A30" s="5" t="s">
        <v>21</v>
      </c>
      <c r="B30" s="10">
        <v>12.5</v>
      </c>
      <c r="C30" s="28"/>
      <c r="D30" s="28"/>
      <c r="E30" s="28"/>
      <c r="F30" s="28"/>
      <c r="G30" s="29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</row>
    <row r="31">
      <c r="A31" s="27"/>
      <c r="B31" s="28"/>
      <c r="C31" s="28"/>
      <c r="D31" s="28"/>
      <c r="E31" s="28"/>
      <c r="F31" s="28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</row>
    <row r="32">
      <c r="A32" s="5" t="s">
        <v>40</v>
      </c>
      <c r="B32" s="10">
        <f>B5+AE5</f>
        <v>52000</v>
      </c>
      <c r="C32" s="28"/>
      <c r="D32" s="28"/>
      <c r="E32" s="28"/>
      <c r="F32" s="28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</row>
    <row r="33">
      <c r="A33" s="5" t="s">
        <v>41</v>
      </c>
      <c r="B33" s="30">
        <v>0.1686</v>
      </c>
      <c r="C33" s="31"/>
      <c r="D33" s="31"/>
      <c r="E33" s="31"/>
      <c r="F33" s="31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</row>
    <row r="34">
      <c r="A34" s="5" t="s">
        <v>42</v>
      </c>
      <c r="B34" s="30">
        <f>(B33+1)^(1/52)-1</f>
        <v>0.003000771234</v>
      </c>
      <c r="C34" s="31"/>
      <c r="D34" s="31"/>
      <c r="E34" s="31"/>
      <c r="F34" s="31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</row>
    <row r="36">
      <c r="A36" s="5" t="s">
        <v>43</v>
      </c>
      <c r="B36" s="14">
        <v>1400.0</v>
      </c>
      <c r="C36" s="33"/>
      <c r="D36" s="33"/>
      <c r="E36" s="33"/>
      <c r="F36" s="3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</row>
    <row r="37">
      <c r="A37" s="5" t="s">
        <v>27</v>
      </c>
      <c r="B37" s="10">
        <v>23.5</v>
      </c>
      <c r="C37" s="28"/>
      <c r="D37" s="28"/>
      <c r="E37" s="28"/>
      <c r="F37" s="28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</row>
    <row r="38">
      <c r="A38" s="5" t="s">
        <v>44</v>
      </c>
      <c r="B38" s="8">
        <f>B36*B37</f>
        <v>32900</v>
      </c>
      <c r="C38" s="24"/>
      <c r="D38" s="24"/>
      <c r="E38" s="24"/>
      <c r="F38" s="24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</row>
    <row r="39">
      <c r="A39" s="5" t="s">
        <v>45</v>
      </c>
      <c r="B39" s="8">
        <f>B38/52</f>
        <v>632.6923077</v>
      </c>
      <c r="C39" s="24"/>
      <c r="D39" s="24"/>
      <c r="E39" s="24"/>
      <c r="F39" s="24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</row>
    <row r="41">
      <c r="A41" s="5" t="s">
        <v>29</v>
      </c>
      <c r="B41" s="10">
        <v>50.0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</row>
    <row r="42">
      <c r="A42" s="5" t="s">
        <v>31</v>
      </c>
      <c r="B42" s="10">
        <v>100.0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</row>
    <row r="43">
      <c r="A43" s="22"/>
      <c r="B43" s="24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</row>
    <row r="44">
      <c r="A44" s="5" t="s">
        <v>33</v>
      </c>
      <c r="B44" s="10">
        <v>0.0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</row>
  </sheetData>
  <mergeCells count="5">
    <mergeCell ref="B1:K1"/>
    <mergeCell ref="L1:P1"/>
    <mergeCell ref="Q1:Z1"/>
    <mergeCell ref="AA1:AD1"/>
    <mergeCell ref="AE1:AN1"/>
  </mergeCells>
  <conditionalFormatting sqref="B21:AN26">
    <cfRule type="cellIs" dxfId="0" priority="1" operator="less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4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>
      <c r="A2" s="97" t="str">
        <f>'Projected Hours'!A1</f>
        <v/>
      </c>
      <c r="B2" s="98" t="str">
        <f>'Projected Hours'!B1</f>
        <v>Projected Hours
Autumn Term</v>
      </c>
      <c r="C2" s="3"/>
      <c r="D2" s="3"/>
      <c r="E2" s="3"/>
      <c r="F2" s="3"/>
      <c r="G2" s="3"/>
      <c r="H2" s="3"/>
      <c r="I2" s="3"/>
      <c r="J2" s="3"/>
      <c r="K2" s="4"/>
      <c r="L2" s="98" t="str">
        <f>'Projected Hours'!L1</f>
        <v>Projected Hours
Winter Break</v>
      </c>
      <c r="M2" s="3"/>
      <c r="N2" s="3"/>
      <c r="O2" s="3"/>
      <c r="P2" s="4"/>
      <c r="Q2" s="98" t="str">
        <f>'Projected Hours'!Q1</f>
        <v>Projected Hours
Spring Term</v>
      </c>
      <c r="R2" s="3"/>
      <c r="S2" s="3"/>
      <c r="T2" s="3"/>
      <c r="U2" s="3"/>
      <c r="V2" s="3"/>
      <c r="W2" s="3"/>
      <c r="X2" s="3"/>
      <c r="Y2" s="3"/>
      <c r="Z2" s="4"/>
      <c r="AA2" s="43" t="s">
        <v>76</v>
      </c>
      <c r="AB2" s="3"/>
      <c r="AC2" s="3"/>
      <c r="AD2" s="4"/>
      <c r="AE2" s="43" t="s">
        <v>77</v>
      </c>
      <c r="AF2" s="3"/>
      <c r="AG2" s="3"/>
      <c r="AH2" s="3"/>
      <c r="AI2" s="4"/>
    </row>
    <row r="3">
      <c r="A3" s="99" t="str">
        <f>'Projected Hours'!A2</f>
        <v>Relative Week</v>
      </c>
      <c r="B3" s="99" t="str">
        <f>'Projected Hours'!B2</f>
        <v>Week 1</v>
      </c>
      <c r="C3" s="99" t="str">
        <f>'Projected Hours'!C2</f>
        <v>Week 2</v>
      </c>
      <c r="D3" s="99" t="str">
        <f>'Projected Hours'!D2</f>
        <v>Week 3</v>
      </c>
      <c r="E3" s="99" t="str">
        <f>'Projected Hours'!E2</f>
        <v>Week 4</v>
      </c>
      <c r="F3" s="99" t="str">
        <f>'Projected Hours'!F2</f>
        <v>Week 5</v>
      </c>
      <c r="G3" s="99" t="str">
        <f>'Projected Hours'!G2</f>
        <v>Week 6</v>
      </c>
      <c r="H3" s="99" t="str">
        <f>'Projected Hours'!H2</f>
        <v>Week 7</v>
      </c>
      <c r="I3" s="99" t="str">
        <f>'Projected Hours'!I2</f>
        <v>Week 8</v>
      </c>
      <c r="J3" s="99" t="str">
        <f>'Projected Hours'!J2</f>
        <v>Week 9</v>
      </c>
      <c r="K3" s="99" t="str">
        <f>'Projected Hours'!K2</f>
        <v>Week 10</v>
      </c>
      <c r="L3" s="99" t="str">
        <f>'Projected Hours'!L2</f>
        <v>Week 1</v>
      </c>
      <c r="M3" s="99" t="str">
        <f>'Projected Hours'!M2</f>
        <v>Week 2</v>
      </c>
      <c r="N3" s="99" t="str">
        <f>'Projected Hours'!N2</f>
        <v>Week 3</v>
      </c>
      <c r="O3" s="99" t="str">
        <f>'Projected Hours'!O2</f>
        <v>Week 4</v>
      </c>
      <c r="P3" s="99" t="str">
        <f>'Projected Hours'!P2</f>
        <v>Week 5</v>
      </c>
      <c r="Q3" s="99" t="str">
        <f>'Projected Hours'!Q2</f>
        <v>Week 1</v>
      </c>
      <c r="R3" s="99" t="str">
        <f>'Projected Hours'!R2</f>
        <v>Week 2</v>
      </c>
      <c r="S3" s="99" t="str">
        <f>'Projected Hours'!S2</f>
        <v>Week 3</v>
      </c>
      <c r="T3" s="99" t="str">
        <f>'Projected Hours'!T2</f>
        <v>Week 4</v>
      </c>
      <c r="U3" s="99" t="str">
        <f>'Projected Hours'!U2</f>
        <v>Week 5</v>
      </c>
      <c r="V3" s="99" t="str">
        <f>'Projected Hours'!V2</f>
        <v>Week 6</v>
      </c>
      <c r="W3" s="99" t="str">
        <f>'Projected Hours'!W2</f>
        <v>Week 7</v>
      </c>
      <c r="X3" s="99" t="str">
        <f>'Projected Hours'!X2</f>
        <v>Week 8</v>
      </c>
      <c r="Y3" s="99" t="str">
        <f>'Projected Hours'!Y2</f>
        <v>Week 9</v>
      </c>
      <c r="Z3" s="99" t="str">
        <f>'Projected Hours'!Z2</f>
        <v>Week 10</v>
      </c>
      <c r="AA3" s="99" t="str">
        <f>'Projected Hours'!AA2</f>
        <v>Week 1</v>
      </c>
      <c r="AB3" s="99" t="str">
        <f>'Projected Hours'!AB2</f>
        <v>Week 2</v>
      </c>
      <c r="AC3" s="99" t="str">
        <f>'Projected Hours'!AC2</f>
        <v>Week 3</v>
      </c>
      <c r="AD3" s="99" t="str">
        <f>'Projected Hours'!AD2</f>
        <v>Week 4</v>
      </c>
      <c r="AE3" s="99" t="str">
        <f>'Projected Hours'!AE2</f>
        <v>Week 1</v>
      </c>
      <c r="AF3" s="99" t="str">
        <f>'Projected Hours'!AF2</f>
        <v>Week 2</v>
      </c>
      <c r="AG3" s="99" t="str">
        <f>'Projected Hours'!AG2</f>
        <v>Week 3</v>
      </c>
      <c r="AH3" s="99" t="str">
        <f>'Projected Hours'!AH2</f>
        <v>Week 4</v>
      </c>
      <c r="AI3" s="99" t="str">
        <f>'Projected Hours'!AI2</f>
        <v>Week 5</v>
      </c>
    </row>
    <row r="4">
      <c r="A4" s="100" t="str">
        <f>'Projected Hours'!A3</f>
        <v>Total Weeks</v>
      </c>
      <c r="B4" s="100">
        <f>'Projected Hours'!B3</f>
        <v>1</v>
      </c>
      <c r="C4" s="100">
        <f>'Projected Hours'!C3</f>
        <v>2</v>
      </c>
      <c r="D4" s="100">
        <f>'Projected Hours'!D3</f>
        <v>3</v>
      </c>
      <c r="E4" s="100">
        <f>'Projected Hours'!E3</f>
        <v>4</v>
      </c>
      <c r="F4" s="100">
        <f>'Projected Hours'!F3</f>
        <v>5</v>
      </c>
      <c r="G4" s="100">
        <f>'Projected Hours'!G3</f>
        <v>6</v>
      </c>
      <c r="H4" s="100">
        <f>'Projected Hours'!H3</f>
        <v>7</v>
      </c>
      <c r="I4" s="100">
        <f>'Projected Hours'!I3</f>
        <v>8</v>
      </c>
      <c r="J4" s="100">
        <f>'Projected Hours'!J3</f>
        <v>9</v>
      </c>
      <c r="K4" s="100">
        <f>'Projected Hours'!K3</f>
        <v>10</v>
      </c>
      <c r="L4" s="100">
        <f>'Projected Hours'!L3</f>
        <v>11</v>
      </c>
      <c r="M4" s="100">
        <f>'Projected Hours'!M3</f>
        <v>12</v>
      </c>
      <c r="N4" s="100">
        <f>'Projected Hours'!N3</f>
        <v>13</v>
      </c>
      <c r="O4" s="100">
        <f>'Projected Hours'!O3</f>
        <v>14</v>
      </c>
      <c r="P4" s="100">
        <f>'Projected Hours'!P3</f>
        <v>15</v>
      </c>
      <c r="Q4" s="100">
        <f>'Projected Hours'!Q3</f>
        <v>16</v>
      </c>
      <c r="R4" s="100">
        <f>'Projected Hours'!R3</f>
        <v>17</v>
      </c>
      <c r="S4" s="100">
        <f>'Projected Hours'!S3</f>
        <v>18</v>
      </c>
      <c r="T4" s="100">
        <f>'Projected Hours'!T3</f>
        <v>19</v>
      </c>
      <c r="U4" s="100">
        <f>'Projected Hours'!U3</f>
        <v>20</v>
      </c>
      <c r="V4" s="100">
        <f>'Projected Hours'!V3</f>
        <v>21</v>
      </c>
      <c r="W4" s="100">
        <f>'Projected Hours'!W3</f>
        <v>22</v>
      </c>
      <c r="X4" s="100">
        <f>'Projected Hours'!X3</f>
        <v>23</v>
      </c>
      <c r="Y4" s="100">
        <f>'Projected Hours'!Y3</f>
        <v>24</v>
      </c>
      <c r="Z4" s="100">
        <f>'Projected Hours'!Z3</f>
        <v>25</v>
      </c>
      <c r="AA4" s="100">
        <f>'Projected Hours'!AA3</f>
        <v>26</v>
      </c>
      <c r="AB4" s="100">
        <f>'Projected Hours'!AB3</f>
        <v>27</v>
      </c>
      <c r="AC4" s="100">
        <f>'Projected Hours'!AC3</f>
        <v>28</v>
      </c>
      <c r="AD4" s="100">
        <f>'Projected Hours'!AD3</f>
        <v>29</v>
      </c>
      <c r="AE4" s="100">
        <f>'Projected Hours'!AE3</f>
        <v>30</v>
      </c>
      <c r="AF4" s="100">
        <f>'Projected Hours'!AF3</f>
        <v>31</v>
      </c>
      <c r="AG4" s="100">
        <f>'Projected Hours'!AG3</f>
        <v>32</v>
      </c>
      <c r="AH4" s="100">
        <f>'Projected Hours'!AH3</f>
        <v>33</v>
      </c>
      <c r="AI4" s="100">
        <f>'Projected Hours'!AI3</f>
        <v>34</v>
      </c>
    </row>
    <row r="5">
      <c r="A5" s="66" t="str">
        <f>'Projected Hours'!A50</f>
        <v>Connall Total</v>
      </c>
      <c r="B5" s="11">
        <f>'Projected Hours'!B50</f>
        <v>0</v>
      </c>
      <c r="C5" s="11">
        <f>'Projected Hours'!C50</f>
        <v>0</v>
      </c>
      <c r="D5" s="11">
        <f>'Projected Hours'!D50</f>
        <v>0</v>
      </c>
      <c r="E5" s="11">
        <f>'Projected Hours'!E50</f>
        <v>0</v>
      </c>
      <c r="F5" s="11">
        <f>'Projected Hours'!F50</f>
        <v>0</v>
      </c>
      <c r="G5" s="11">
        <f>'Projected Hours'!G50</f>
        <v>1.5</v>
      </c>
      <c r="H5" s="11">
        <f>'Projected Hours'!H50</f>
        <v>12</v>
      </c>
      <c r="I5" s="11">
        <f>'Projected Hours'!I50</f>
        <v>2</v>
      </c>
      <c r="J5" s="11">
        <f>'Projected Hours'!J50</f>
        <v>4.5</v>
      </c>
      <c r="K5" s="11">
        <f>'Projected Hours'!K50</f>
        <v>6.75</v>
      </c>
      <c r="L5" s="11">
        <f>'Projected Hours'!L50</f>
        <v>0</v>
      </c>
      <c r="M5" s="11">
        <f>'Projected Hours'!M50</f>
        <v>6</v>
      </c>
      <c r="N5" s="11">
        <f>'Projected Hours'!N50</f>
        <v>0</v>
      </c>
      <c r="O5" s="11">
        <f>'Projected Hours'!O50</f>
        <v>0</v>
      </c>
      <c r="P5" s="11">
        <f>'Projected Hours'!P50</f>
        <v>0</v>
      </c>
      <c r="Q5" s="11">
        <f>'Projected Hours'!Q50</f>
        <v>7</v>
      </c>
      <c r="R5" s="11">
        <f>'Projected Hours'!R50</f>
        <v>10.75</v>
      </c>
      <c r="S5" s="11">
        <f>'Projected Hours'!S50</f>
        <v>14.75</v>
      </c>
      <c r="T5" s="11">
        <f>'Projected Hours'!T50</f>
        <v>5.75</v>
      </c>
      <c r="U5" s="11">
        <f>'Projected Hours'!U50</f>
        <v>7</v>
      </c>
      <c r="V5" s="11">
        <f>'Projected Hours'!V50</f>
        <v>7.5</v>
      </c>
      <c r="W5" s="11">
        <f>'Projected Hours'!W50</f>
        <v>9</v>
      </c>
      <c r="X5" s="11">
        <f>'Projected Hours'!X50</f>
        <v>8.5</v>
      </c>
      <c r="Y5" s="11">
        <f>'Projected Hours'!Y50</f>
        <v>10</v>
      </c>
      <c r="Z5" s="11">
        <f>'Projected Hours'!Z50</f>
        <v>9.5</v>
      </c>
      <c r="AA5" s="11">
        <f>'Projected Hours'!AA50</f>
        <v>0</v>
      </c>
      <c r="AB5" s="11">
        <f>'Projected Hours'!AB50</f>
        <v>0</v>
      </c>
      <c r="AC5" s="11">
        <f>'Projected Hours'!AC50</f>
        <v>0</v>
      </c>
      <c r="AD5" s="11">
        <f>'Projected Hours'!AD50</f>
        <v>0</v>
      </c>
      <c r="AE5" s="11">
        <f>'Projected Hours'!AE50</f>
        <v>2</v>
      </c>
      <c r="AF5" s="11">
        <f>'Projected Hours'!AF50</f>
        <v>2</v>
      </c>
      <c r="AG5" s="11">
        <f>'Projected Hours'!AG50</f>
        <v>3</v>
      </c>
      <c r="AH5" s="11">
        <f>'Projected Hours'!AH50</f>
        <v>2</v>
      </c>
      <c r="AI5" s="11">
        <f>'Projected Hours'!AI50</f>
        <v>2</v>
      </c>
    </row>
    <row r="6">
      <c r="A6" s="66" t="str">
        <f>'Projected Hours'!A51</f>
        <v>Giuseppe Total</v>
      </c>
      <c r="B6" s="11" t="str">
        <f>'Projected Hours'!B51</f>
        <v/>
      </c>
      <c r="C6" s="11" t="str">
        <f>'Projected Hours'!C51</f>
        <v/>
      </c>
      <c r="D6" s="11" t="str">
        <f>'Projected Hours'!D51</f>
        <v/>
      </c>
      <c r="E6" s="11" t="str">
        <f>'Projected Hours'!E51</f>
        <v/>
      </c>
      <c r="F6" s="11" t="str">
        <f>'Projected Hours'!F51</f>
        <v/>
      </c>
      <c r="G6" s="11">
        <f>'Projected Hours'!G51</f>
        <v>1</v>
      </c>
      <c r="H6" s="11">
        <f>'Projected Hours'!H51</f>
        <v>5.25</v>
      </c>
      <c r="I6" s="11">
        <f>'Projected Hours'!I51</f>
        <v>9.75</v>
      </c>
      <c r="J6" s="11">
        <f>'Projected Hours'!J51</f>
        <v>11.25</v>
      </c>
      <c r="K6" s="11">
        <f>'Projected Hours'!K51</f>
        <v>9</v>
      </c>
      <c r="L6" s="11">
        <f>'Projected Hours'!L51</f>
        <v>8.75</v>
      </c>
      <c r="M6" s="11">
        <f>'Projected Hours'!M51</f>
        <v>4.75</v>
      </c>
      <c r="N6" s="11" t="str">
        <f>'Projected Hours'!N51</f>
        <v/>
      </c>
      <c r="O6" s="11">
        <f>'Projected Hours'!O51</f>
        <v>6.5</v>
      </c>
      <c r="P6" s="11">
        <f>'Projected Hours'!P51</f>
        <v>1.5</v>
      </c>
      <c r="Q6" s="11">
        <f>'Projected Hours'!Q51</f>
        <v>35.5</v>
      </c>
      <c r="R6" s="11">
        <f>'Projected Hours'!R51</f>
        <v>7</v>
      </c>
      <c r="S6" s="11">
        <f>'Projected Hours'!S51</f>
        <v>7.5</v>
      </c>
      <c r="T6" s="11">
        <f>'Projected Hours'!T51</f>
        <v>8</v>
      </c>
      <c r="U6" s="11">
        <f>'Projected Hours'!U51</f>
        <v>7</v>
      </c>
      <c r="V6" s="11">
        <f>'Projected Hours'!V51</f>
        <v>8</v>
      </c>
      <c r="W6" s="11">
        <f>'Projected Hours'!W51</f>
        <v>7.5</v>
      </c>
      <c r="X6" s="11">
        <f>'Projected Hours'!X51</f>
        <v>7.5</v>
      </c>
      <c r="Y6" s="11">
        <f>'Projected Hours'!Y51</f>
        <v>7</v>
      </c>
      <c r="Z6" s="11">
        <f>'Projected Hours'!Z51</f>
        <v>8</v>
      </c>
      <c r="AA6" s="11">
        <f>'Projected Hours'!AA51</f>
        <v>0</v>
      </c>
      <c r="AB6" s="11">
        <f>'Projected Hours'!AB51</f>
        <v>0</v>
      </c>
      <c r="AC6" s="11">
        <f>'Projected Hours'!AC51</f>
        <v>0</v>
      </c>
      <c r="AD6" s="11">
        <f>'Projected Hours'!AD51</f>
        <v>0</v>
      </c>
      <c r="AE6" s="11">
        <f>'Projected Hours'!AE51</f>
        <v>3</v>
      </c>
      <c r="AF6" s="11">
        <f>'Projected Hours'!AF51</f>
        <v>3</v>
      </c>
      <c r="AG6" s="11">
        <f>'Projected Hours'!AG51</f>
        <v>3</v>
      </c>
      <c r="AH6" s="11">
        <f>'Projected Hours'!AH51</f>
        <v>3</v>
      </c>
      <c r="AI6" s="11">
        <f>'Projected Hours'!AI51</f>
        <v>3</v>
      </c>
    </row>
    <row r="7">
      <c r="A7" s="66" t="str">
        <f>'Projected Hours'!A52</f>
        <v>Ethan Total</v>
      </c>
      <c r="B7" s="11" t="str">
        <f>'Projected Hours'!B52</f>
        <v/>
      </c>
      <c r="C7" s="11" t="str">
        <f>'Projected Hours'!C52</f>
        <v/>
      </c>
      <c r="D7" s="11" t="str">
        <f>'Projected Hours'!D52</f>
        <v/>
      </c>
      <c r="E7" s="11" t="str">
        <f>'Projected Hours'!E52</f>
        <v/>
      </c>
      <c r="F7" s="11" t="str">
        <f>'Projected Hours'!F52</f>
        <v/>
      </c>
      <c r="G7" s="11" t="str">
        <f>'Projected Hours'!G52</f>
        <v/>
      </c>
      <c r="H7" s="11">
        <f>'Projected Hours'!H52</f>
        <v>1.75</v>
      </c>
      <c r="I7" s="11">
        <f>'Projected Hours'!I52</f>
        <v>2.25</v>
      </c>
      <c r="J7" s="11">
        <f>'Projected Hours'!J52</f>
        <v>6</v>
      </c>
      <c r="K7" s="11">
        <f>'Projected Hours'!K52</f>
        <v>3</v>
      </c>
      <c r="L7" s="11" t="str">
        <f>'Projected Hours'!L52</f>
        <v/>
      </c>
      <c r="M7" s="11" t="str">
        <f>'Projected Hours'!M52</f>
        <v/>
      </c>
      <c r="N7" s="11" t="str">
        <f>'Projected Hours'!N52</f>
        <v/>
      </c>
      <c r="O7" s="11" t="str">
        <f>'Projected Hours'!O52</f>
        <v/>
      </c>
      <c r="P7" s="11" t="str">
        <f>'Projected Hours'!P52</f>
        <v/>
      </c>
      <c r="Q7" s="11" t="str">
        <f>'Projected Hours'!Q52</f>
        <v/>
      </c>
      <c r="R7" s="11">
        <f>'Projected Hours'!R52</f>
        <v>1.5</v>
      </c>
      <c r="S7" s="11" t="str">
        <f>'Projected Hours'!S52</f>
        <v/>
      </c>
      <c r="T7" s="11">
        <f>'Projected Hours'!T52</f>
        <v>1</v>
      </c>
      <c r="U7" s="11">
        <f>'Projected Hours'!U52</f>
        <v>3</v>
      </c>
      <c r="V7" s="11">
        <f>'Projected Hours'!V52</f>
        <v>4</v>
      </c>
      <c r="W7" s="11">
        <f>'Projected Hours'!W52</f>
        <v>5</v>
      </c>
      <c r="X7" s="11">
        <f>'Projected Hours'!X52</f>
        <v>4</v>
      </c>
      <c r="Y7" s="11">
        <f>'Projected Hours'!Y52</f>
        <v>3</v>
      </c>
      <c r="Z7" s="11">
        <f>'Projected Hours'!Z52</f>
        <v>2</v>
      </c>
      <c r="AA7" s="11">
        <f>'Projected Hours'!AA52</f>
        <v>0</v>
      </c>
      <c r="AB7" s="11">
        <f>'Projected Hours'!AB52</f>
        <v>0</v>
      </c>
      <c r="AC7" s="11">
        <f>'Projected Hours'!AC52</f>
        <v>0</v>
      </c>
      <c r="AD7" s="11">
        <f>'Projected Hours'!AD52</f>
        <v>0</v>
      </c>
      <c r="AE7" s="11">
        <f>'Projected Hours'!AE52</f>
        <v>1</v>
      </c>
      <c r="AF7" s="11">
        <f>'Projected Hours'!AF52</f>
        <v>2</v>
      </c>
      <c r="AG7" s="11">
        <f>'Projected Hours'!AG52</f>
        <v>4</v>
      </c>
      <c r="AH7" s="11">
        <f>'Projected Hours'!AH52</f>
        <v>3</v>
      </c>
      <c r="AI7" s="11">
        <f>'Projected Hours'!AI52</f>
        <v>3</v>
      </c>
    </row>
    <row r="8">
      <c r="A8" s="66" t="str">
        <f>'Projected Hours'!A53</f>
        <v>Oscar Total</v>
      </c>
      <c r="B8" s="11">
        <f>'Projected Hours'!B53</f>
        <v>0</v>
      </c>
      <c r="C8" s="11">
        <f>'Projected Hours'!C53</f>
        <v>0</v>
      </c>
      <c r="D8" s="11">
        <f>'Projected Hours'!D53</f>
        <v>0</v>
      </c>
      <c r="E8" s="11">
        <f>'Projected Hours'!E53</f>
        <v>0</v>
      </c>
      <c r="F8" s="11">
        <f>'Projected Hours'!F53</f>
        <v>0</v>
      </c>
      <c r="G8" s="11">
        <f>'Projected Hours'!G53</f>
        <v>0</v>
      </c>
      <c r="H8" s="11">
        <f>'Projected Hours'!H53</f>
        <v>2</v>
      </c>
      <c r="I8" s="11">
        <f>'Projected Hours'!I53</f>
        <v>6.5</v>
      </c>
      <c r="J8" s="11">
        <f>'Projected Hours'!J53</f>
        <v>5.25</v>
      </c>
      <c r="K8" s="11">
        <f>'Projected Hours'!K53</f>
        <v>0.5</v>
      </c>
      <c r="L8" s="11">
        <f>'Projected Hours'!L53</f>
        <v>0</v>
      </c>
      <c r="M8" s="11">
        <f>'Projected Hours'!M53</f>
        <v>0</v>
      </c>
      <c r="N8" s="11">
        <f>'Projected Hours'!N53</f>
        <v>0</v>
      </c>
      <c r="O8" s="11">
        <f>'Projected Hours'!O53</f>
        <v>0</v>
      </c>
      <c r="P8" s="11">
        <f>'Projected Hours'!P53</f>
        <v>0.75</v>
      </c>
      <c r="Q8" s="11">
        <f>'Projected Hours'!Q53</f>
        <v>0</v>
      </c>
      <c r="R8" s="11">
        <f>'Projected Hours'!R53</f>
        <v>0.5</v>
      </c>
      <c r="S8" s="11">
        <f>'Projected Hours'!S53</f>
        <v>7.75</v>
      </c>
      <c r="T8" s="11">
        <f>'Projected Hours'!T53</f>
        <v>5.25</v>
      </c>
      <c r="U8" s="11">
        <f>'Projected Hours'!U53</f>
        <v>6</v>
      </c>
      <c r="V8" s="11">
        <f>'Projected Hours'!V53</f>
        <v>9</v>
      </c>
      <c r="W8" s="11">
        <f>'Projected Hours'!W53</f>
        <v>9</v>
      </c>
      <c r="X8" s="11">
        <f>'Projected Hours'!X53</f>
        <v>3</v>
      </c>
      <c r="Y8" s="11">
        <f>'Projected Hours'!Y53</f>
        <v>4</v>
      </c>
      <c r="Z8" s="11">
        <f>'Projected Hours'!Z53</f>
        <v>5</v>
      </c>
      <c r="AA8" s="11">
        <f>'Projected Hours'!AA53</f>
        <v>0</v>
      </c>
      <c r="AB8" s="11">
        <f>'Projected Hours'!AB53</f>
        <v>0</v>
      </c>
      <c r="AC8" s="11">
        <f>'Projected Hours'!AC53</f>
        <v>0</v>
      </c>
      <c r="AD8" s="11">
        <f>'Projected Hours'!AD53</f>
        <v>0</v>
      </c>
      <c r="AE8" s="11">
        <f>'Projected Hours'!AE53</f>
        <v>0</v>
      </c>
      <c r="AF8" s="11">
        <f>'Projected Hours'!AF53</f>
        <v>0</v>
      </c>
      <c r="AG8" s="11">
        <f>'Projected Hours'!AG53</f>
        <v>0</v>
      </c>
      <c r="AH8" s="11">
        <f>'Projected Hours'!AH53</f>
        <v>0</v>
      </c>
      <c r="AI8" s="11">
        <f>'Projected Hours'!AI53</f>
        <v>0</v>
      </c>
    </row>
    <row r="9">
      <c r="A9" s="66" t="str">
        <f>'Projected Hours'!A54</f>
        <v>Harry Total</v>
      </c>
      <c r="B9" s="11" t="str">
        <f>'Projected Hours'!B54</f>
        <v/>
      </c>
      <c r="C9" s="11" t="str">
        <f>'Projected Hours'!C54</f>
        <v/>
      </c>
      <c r="D9" s="11" t="str">
        <f>'Projected Hours'!D54</f>
        <v/>
      </c>
      <c r="E9" s="11" t="str">
        <f>'Projected Hours'!E54</f>
        <v/>
      </c>
      <c r="F9" s="11" t="str">
        <f>'Projected Hours'!F54</f>
        <v/>
      </c>
      <c r="G9" s="11" t="str">
        <f>'Projected Hours'!G54</f>
        <v/>
      </c>
      <c r="H9" s="11">
        <f>'Projected Hours'!H54</f>
        <v>1.75</v>
      </c>
      <c r="I9" s="11" t="str">
        <f>'Projected Hours'!I54</f>
        <v/>
      </c>
      <c r="J9" s="11" t="str">
        <f>'Projected Hours'!J54</f>
        <v/>
      </c>
      <c r="K9" s="11">
        <f>'Projected Hours'!K54</f>
        <v>1.5</v>
      </c>
      <c r="L9" s="11" t="str">
        <f>'Projected Hours'!L54</f>
        <v/>
      </c>
      <c r="M9" s="11" t="str">
        <f>'Projected Hours'!M54</f>
        <v/>
      </c>
      <c r="N9" s="11" t="str">
        <f>'Projected Hours'!N54</f>
        <v/>
      </c>
      <c r="O9" s="11" t="str">
        <f>'Projected Hours'!O54</f>
        <v/>
      </c>
      <c r="P9" s="11" t="str">
        <f>'Projected Hours'!P54</f>
        <v/>
      </c>
      <c r="Q9" s="11" t="str">
        <f>'Projected Hours'!Q54</f>
        <v/>
      </c>
      <c r="R9" s="11">
        <f>'Projected Hours'!R54</f>
        <v>0.5</v>
      </c>
      <c r="S9" s="11">
        <f>'Projected Hours'!S54</f>
        <v>3</v>
      </c>
      <c r="T9" s="11">
        <f>'Projected Hours'!T54</f>
        <v>1</v>
      </c>
      <c r="U9" s="11">
        <f>'Projected Hours'!U54</f>
        <v>5</v>
      </c>
      <c r="V9" s="11">
        <f>'Projected Hours'!V54</f>
        <v>6</v>
      </c>
      <c r="W9" s="11">
        <f>'Projected Hours'!W54</f>
        <v>6</v>
      </c>
      <c r="X9" s="11">
        <f>'Projected Hours'!X54</f>
        <v>6</v>
      </c>
      <c r="Y9" s="11">
        <f>'Projected Hours'!Y54</f>
        <v>7</v>
      </c>
      <c r="Z9" s="11">
        <f>'Projected Hours'!Z54</f>
        <v>7</v>
      </c>
      <c r="AA9" s="11">
        <f>'Projected Hours'!AA54</f>
        <v>0</v>
      </c>
      <c r="AB9" s="11">
        <f>'Projected Hours'!AB54</f>
        <v>0</v>
      </c>
      <c r="AC9" s="11">
        <f>'Projected Hours'!AC54</f>
        <v>0</v>
      </c>
      <c r="AD9" s="11">
        <f>'Projected Hours'!AD54</f>
        <v>0</v>
      </c>
      <c r="AE9" s="11">
        <f>'Projected Hours'!AE54</f>
        <v>2</v>
      </c>
      <c r="AF9" s="11">
        <f>'Projected Hours'!AF54</f>
        <v>2</v>
      </c>
      <c r="AG9" s="11">
        <f>'Projected Hours'!AG54</f>
        <v>2</v>
      </c>
      <c r="AH9" s="11">
        <f>'Projected Hours'!AH54</f>
        <v>2</v>
      </c>
      <c r="AI9" s="11">
        <f>'Projected Hours'!AI54</f>
        <v>2</v>
      </c>
    </row>
    <row r="10">
      <c r="A10" s="66" t="str">
        <f>'Projected Hours'!A55</f>
        <v>Ophelia Total</v>
      </c>
      <c r="B10" s="11">
        <f>'Projected Hours'!B55</f>
        <v>0</v>
      </c>
      <c r="C10" s="11">
        <f>'Projected Hours'!C55</f>
        <v>0</v>
      </c>
      <c r="D10" s="11">
        <f>'Projected Hours'!D55</f>
        <v>0</v>
      </c>
      <c r="E10" s="11">
        <f>'Projected Hours'!E55</f>
        <v>0</v>
      </c>
      <c r="F10" s="11">
        <f>'Projected Hours'!F55</f>
        <v>0</v>
      </c>
      <c r="G10" s="11">
        <f>'Projected Hours'!G55</f>
        <v>2</v>
      </c>
      <c r="H10" s="11">
        <f>'Projected Hours'!H55</f>
        <v>8.5</v>
      </c>
      <c r="I10" s="11">
        <f>'Projected Hours'!I55</f>
        <v>2.5</v>
      </c>
      <c r="J10" s="11">
        <f>'Projected Hours'!J55</f>
        <v>4.5</v>
      </c>
      <c r="K10" s="11">
        <f>'Projected Hours'!K55</f>
        <v>4.25</v>
      </c>
      <c r="L10" s="11">
        <f>'Projected Hours'!L55</f>
        <v>0</v>
      </c>
      <c r="M10" s="11">
        <f>'Projected Hours'!M55</f>
        <v>0</v>
      </c>
      <c r="N10" s="11">
        <f>'Projected Hours'!N55</f>
        <v>0</v>
      </c>
      <c r="O10" s="11">
        <f>'Projected Hours'!O55</f>
        <v>0</v>
      </c>
      <c r="P10" s="11">
        <f>'Projected Hours'!P55</f>
        <v>0</v>
      </c>
      <c r="Q10" s="11">
        <f>'Projected Hours'!Q55</f>
        <v>0</v>
      </c>
      <c r="R10" s="11">
        <f>'Projected Hours'!R55</f>
        <v>2.25</v>
      </c>
      <c r="S10" s="11">
        <f>'Projected Hours'!S55</f>
        <v>7.25</v>
      </c>
      <c r="T10" s="11">
        <f>'Projected Hours'!T55</f>
        <v>9</v>
      </c>
      <c r="U10" s="11">
        <f>'Projected Hours'!U55</f>
        <v>9</v>
      </c>
      <c r="V10" s="11">
        <f>'Projected Hours'!V55</f>
        <v>8</v>
      </c>
      <c r="W10" s="11">
        <f>'Projected Hours'!W55</f>
        <v>12</v>
      </c>
      <c r="X10" s="11">
        <f>'Projected Hours'!X55</f>
        <v>7</v>
      </c>
      <c r="Y10" s="11">
        <f>'Projected Hours'!Y55</f>
        <v>12</v>
      </c>
      <c r="Z10" s="11">
        <f>'Projected Hours'!Z55</f>
        <v>7</v>
      </c>
      <c r="AA10" s="11">
        <f>'Projected Hours'!AA55</f>
        <v>0</v>
      </c>
      <c r="AB10" s="11">
        <f>'Projected Hours'!AB55</f>
        <v>0</v>
      </c>
      <c r="AC10" s="11">
        <f>'Projected Hours'!AC55</f>
        <v>0</v>
      </c>
      <c r="AD10" s="11">
        <f>'Projected Hours'!AD55</f>
        <v>0</v>
      </c>
      <c r="AE10" s="11">
        <f>'Projected Hours'!AE55</f>
        <v>4</v>
      </c>
      <c r="AF10" s="11">
        <f>'Projected Hours'!AF55</f>
        <v>6</v>
      </c>
      <c r="AG10" s="11">
        <f>'Projected Hours'!AG55</f>
        <v>11</v>
      </c>
      <c r="AH10" s="11">
        <f>'Projected Hours'!AH55</f>
        <v>4</v>
      </c>
      <c r="AI10" s="11">
        <f>'Projected Hours'!AI55</f>
        <v>7</v>
      </c>
    </row>
    <row r="11">
      <c r="A11" s="66" t="str">
        <f>'Projected Hours'!A56</f>
        <v>Roman Total</v>
      </c>
      <c r="B11" s="11" t="str">
        <f>'Projected Hours'!B56</f>
        <v/>
      </c>
      <c r="C11" s="11" t="str">
        <f>'Projected Hours'!C56</f>
        <v/>
      </c>
      <c r="D11" s="11" t="str">
        <f>'Projected Hours'!D56</f>
        <v/>
      </c>
      <c r="E11" s="11" t="str">
        <f>'Projected Hours'!E56</f>
        <v/>
      </c>
      <c r="F11" s="11" t="str">
        <f>'Projected Hours'!F56</f>
        <v/>
      </c>
      <c r="G11" s="11" t="str">
        <f>'Projected Hours'!G56</f>
        <v/>
      </c>
      <c r="H11" s="11">
        <f>'Projected Hours'!H56</f>
        <v>3.75</v>
      </c>
      <c r="I11" s="11">
        <f>'Projected Hours'!I56</f>
        <v>2</v>
      </c>
      <c r="J11" s="11">
        <f>'Projected Hours'!J56</f>
        <v>7</v>
      </c>
      <c r="K11" s="11">
        <f>'Projected Hours'!K56</f>
        <v>6</v>
      </c>
      <c r="L11" s="11" t="str">
        <f>'Projected Hours'!L56</f>
        <v/>
      </c>
      <c r="M11" s="11" t="str">
        <f>'Projected Hours'!M56</f>
        <v/>
      </c>
      <c r="N11" s="11" t="str">
        <f>'Projected Hours'!N56</f>
        <v/>
      </c>
      <c r="O11" s="11" t="str">
        <f>'Projected Hours'!O56</f>
        <v/>
      </c>
      <c r="P11" s="11" t="str">
        <f>'Projected Hours'!P56</f>
        <v/>
      </c>
      <c r="Q11" s="11" t="str">
        <f>'Projected Hours'!Q56</f>
        <v/>
      </c>
      <c r="R11" s="11">
        <f>'Projected Hours'!R56</f>
        <v>0.5</v>
      </c>
      <c r="S11" s="11">
        <f>'Projected Hours'!S56</f>
        <v>3</v>
      </c>
      <c r="T11" s="11">
        <f>'Projected Hours'!T56</f>
        <v>1</v>
      </c>
      <c r="U11" s="11">
        <f>'Projected Hours'!U56</f>
        <v>3</v>
      </c>
      <c r="V11" s="11">
        <f>'Projected Hours'!V56</f>
        <v>4</v>
      </c>
      <c r="W11" s="11">
        <f>'Projected Hours'!W56</f>
        <v>5</v>
      </c>
      <c r="X11" s="11">
        <f>'Projected Hours'!X56</f>
        <v>4</v>
      </c>
      <c r="Y11" s="11">
        <f>'Projected Hours'!Y56</f>
        <v>3</v>
      </c>
      <c r="Z11" s="11">
        <f>'Projected Hours'!Z56</f>
        <v>2</v>
      </c>
      <c r="AA11" s="11">
        <f>'Projected Hours'!AA56</f>
        <v>0</v>
      </c>
      <c r="AB11" s="11">
        <f>'Projected Hours'!AB56</f>
        <v>0</v>
      </c>
      <c r="AC11" s="11">
        <f>'Projected Hours'!AC56</f>
        <v>0</v>
      </c>
      <c r="AD11" s="11">
        <f>'Projected Hours'!AD56</f>
        <v>0</v>
      </c>
      <c r="AE11" s="11">
        <f>'Projected Hours'!AE56</f>
        <v>1</v>
      </c>
      <c r="AF11" s="11">
        <f>'Projected Hours'!AF56</f>
        <v>2</v>
      </c>
      <c r="AG11" s="11">
        <f>'Projected Hours'!AG56</f>
        <v>4</v>
      </c>
      <c r="AH11" s="11">
        <f>'Projected Hours'!AH56</f>
        <v>3</v>
      </c>
      <c r="AI11" s="11">
        <f>'Projected Hours'!AI56</f>
        <v>3</v>
      </c>
    </row>
    <row r="12">
      <c r="A12" s="66" t="str">
        <f>'Projected Hours'!A57</f>
        <v>Ana Total</v>
      </c>
      <c r="B12" s="11">
        <f>'Projected Hours'!B57</f>
        <v>0</v>
      </c>
      <c r="C12" s="11">
        <f>'Projected Hours'!C57</f>
        <v>0</v>
      </c>
      <c r="D12" s="11">
        <f>'Projected Hours'!D57</f>
        <v>0</v>
      </c>
      <c r="E12" s="11">
        <f>'Projected Hours'!E57</f>
        <v>0</v>
      </c>
      <c r="F12" s="11">
        <f>'Projected Hours'!F57</f>
        <v>0</v>
      </c>
      <c r="G12" s="11">
        <f>'Projected Hours'!G57</f>
        <v>2.25</v>
      </c>
      <c r="H12" s="11">
        <f>'Projected Hours'!H57</f>
        <v>4.75</v>
      </c>
      <c r="I12" s="11">
        <f>'Projected Hours'!I57</f>
        <v>6</v>
      </c>
      <c r="J12" s="11">
        <f>'Projected Hours'!J57</f>
        <v>4</v>
      </c>
      <c r="K12" s="11">
        <f>'Projected Hours'!K57</f>
        <v>5.5</v>
      </c>
      <c r="L12" s="11">
        <f>'Projected Hours'!L57</f>
        <v>0</v>
      </c>
      <c r="M12" s="11">
        <f>'Projected Hours'!M57</f>
        <v>0</v>
      </c>
      <c r="N12" s="11">
        <f>'Projected Hours'!N57</f>
        <v>0</v>
      </c>
      <c r="O12" s="11">
        <f>'Projected Hours'!O57</f>
        <v>0</v>
      </c>
      <c r="P12" s="11">
        <f>'Projected Hours'!P57</f>
        <v>0</v>
      </c>
      <c r="Q12" s="11">
        <f>'Projected Hours'!Q57</f>
        <v>0</v>
      </c>
      <c r="R12" s="11">
        <f>'Projected Hours'!R57</f>
        <v>5.25</v>
      </c>
      <c r="S12" s="11">
        <f>'Projected Hours'!S57</f>
        <v>2</v>
      </c>
      <c r="T12" s="11">
        <f>'Projected Hours'!T57</f>
        <v>6.75</v>
      </c>
      <c r="U12" s="11">
        <f>'Projected Hours'!U57</f>
        <v>6</v>
      </c>
      <c r="V12" s="11">
        <f>'Projected Hours'!V57</f>
        <v>6</v>
      </c>
      <c r="W12" s="11">
        <f>'Projected Hours'!W57</f>
        <v>6</v>
      </c>
      <c r="X12" s="11">
        <f>'Projected Hours'!X57</f>
        <v>6</v>
      </c>
      <c r="Y12" s="11">
        <f>'Projected Hours'!Y57</f>
        <v>6</v>
      </c>
      <c r="Z12" s="11">
        <f>'Projected Hours'!Z57</f>
        <v>7</v>
      </c>
      <c r="AA12" s="11">
        <f>'Projected Hours'!AA57</f>
        <v>0</v>
      </c>
      <c r="AB12" s="11">
        <f>'Projected Hours'!AB57</f>
        <v>0</v>
      </c>
      <c r="AC12" s="11">
        <f>'Projected Hours'!AC57</f>
        <v>0</v>
      </c>
      <c r="AD12" s="11">
        <f>'Projected Hours'!AD57</f>
        <v>0</v>
      </c>
      <c r="AE12" s="11">
        <f>'Projected Hours'!AE57</f>
        <v>2</v>
      </c>
      <c r="AF12" s="11">
        <f>'Projected Hours'!AF57</f>
        <v>2</v>
      </c>
      <c r="AG12" s="11">
        <f>'Projected Hours'!AG57</f>
        <v>4</v>
      </c>
      <c r="AH12" s="11">
        <f>'Projected Hours'!AH57</f>
        <v>2</v>
      </c>
      <c r="AI12" s="11">
        <f>'Projected Hours'!AI57</f>
        <v>2</v>
      </c>
    </row>
    <row r="13">
      <c r="A13" s="66" t="str">
        <f>'Projected Hours'!A58</f>
        <v>Tom Total</v>
      </c>
      <c r="B13" s="11">
        <f>'Projected Hours'!B58</f>
        <v>0</v>
      </c>
      <c r="C13" s="11">
        <f>'Projected Hours'!C58</f>
        <v>0</v>
      </c>
      <c r="D13" s="11">
        <f>'Projected Hours'!D58</f>
        <v>0</v>
      </c>
      <c r="E13" s="11">
        <f>'Projected Hours'!E58</f>
        <v>0</v>
      </c>
      <c r="F13" s="11">
        <f>'Projected Hours'!F58</f>
        <v>0</v>
      </c>
      <c r="G13" s="11">
        <f>'Projected Hours'!G58</f>
        <v>0</v>
      </c>
      <c r="H13" s="11">
        <f>'Projected Hours'!H58</f>
        <v>4.75</v>
      </c>
      <c r="I13" s="11">
        <f>'Projected Hours'!I58</f>
        <v>2.75</v>
      </c>
      <c r="J13" s="11">
        <f>'Projected Hours'!J58</f>
        <v>1</v>
      </c>
      <c r="K13" s="11">
        <f>'Projected Hours'!K58</f>
        <v>0.5</v>
      </c>
      <c r="L13" s="11">
        <f>'Projected Hours'!L58</f>
        <v>0</v>
      </c>
      <c r="M13" s="11">
        <f>'Projected Hours'!M58</f>
        <v>0</v>
      </c>
      <c r="N13" s="11">
        <f>'Projected Hours'!N58</f>
        <v>0</v>
      </c>
      <c r="O13" s="11">
        <f>'Projected Hours'!O58</f>
        <v>0</v>
      </c>
      <c r="P13" s="11">
        <f>'Projected Hours'!P58</f>
        <v>0</v>
      </c>
      <c r="Q13" s="11">
        <f>'Projected Hours'!Q58</f>
        <v>0</v>
      </c>
      <c r="R13" s="11">
        <f>'Projected Hours'!R58</f>
        <v>3.5</v>
      </c>
      <c r="S13" s="11">
        <f>'Projected Hours'!S58</f>
        <v>14</v>
      </c>
      <c r="T13" s="11">
        <f>'Projected Hours'!T58</f>
        <v>11.75</v>
      </c>
      <c r="U13" s="11">
        <f>'Projected Hours'!U58</f>
        <v>11</v>
      </c>
      <c r="V13" s="11">
        <f>'Projected Hours'!V58</f>
        <v>7</v>
      </c>
      <c r="W13" s="11">
        <f>'Projected Hours'!W58</f>
        <v>15</v>
      </c>
      <c r="X13" s="11">
        <f>'Projected Hours'!X58</f>
        <v>5</v>
      </c>
      <c r="Y13" s="11">
        <f>'Projected Hours'!Y58</f>
        <v>10</v>
      </c>
      <c r="Z13" s="11">
        <f>'Projected Hours'!Z58</f>
        <v>5</v>
      </c>
      <c r="AA13" s="11">
        <f>'Projected Hours'!AA58</f>
        <v>0</v>
      </c>
      <c r="AB13" s="11">
        <f>'Projected Hours'!AB58</f>
        <v>0</v>
      </c>
      <c r="AC13" s="11">
        <f>'Projected Hours'!AC58</f>
        <v>0</v>
      </c>
      <c r="AD13" s="11">
        <f>'Projected Hours'!AD58</f>
        <v>0</v>
      </c>
      <c r="AE13" s="11">
        <f>'Projected Hours'!AE58</f>
        <v>4</v>
      </c>
      <c r="AF13" s="11">
        <f>'Projected Hours'!AF58</f>
        <v>5</v>
      </c>
      <c r="AG13" s="11">
        <f>'Projected Hours'!AG58</f>
        <v>8</v>
      </c>
      <c r="AH13" s="11">
        <f>'Projected Hours'!AH58</f>
        <v>4</v>
      </c>
      <c r="AI13" s="11">
        <f>'Projected Hours'!AI58</f>
        <v>5</v>
      </c>
    </row>
    <row r="14">
      <c r="A14" s="66" t="str">
        <f>'Projected Hours'!A59</f>
        <v>Dawid Total</v>
      </c>
      <c r="B14" s="11">
        <f>'Projected Hours'!B59</f>
        <v>0</v>
      </c>
      <c r="C14" s="11">
        <f>'Projected Hours'!C59</f>
        <v>0</v>
      </c>
      <c r="D14" s="11">
        <f>'Projected Hours'!D59</f>
        <v>0</v>
      </c>
      <c r="E14" s="11">
        <f>'Projected Hours'!E59</f>
        <v>0</v>
      </c>
      <c r="F14" s="11">
        <f>'Projected Hours'!F59</f>
        <v>0</v>
      </c>
      <c r="G14" s="11">
        <f>'Projected Hours'!G59</f>
        <v>3</v>
      </c>
      <c r="H14" s="11">
        <f>'Projected Hours'!H59</f>
        <v>2.75</v>
      </c>
      <c r="I14" s="11">
        <f>'Projected Hours'!I59</f>
        <v>3.25</v>
      </c>
      <c r="J14" s="11">
        <f>'Projected Hours'!J59</f>
        <v>3.75</v>
      </c>
      <c r="K14" s="11">
        <f>'Projected Hours'!K59</f>
        <v>0.5</v>
      </c>
      <c r="L14" s="11">
        <f>'Projected Hours'!L59</f>
        <v>0</v>
      </c>
      <c r="M14" s="11">
        <f>'Projected Hours'!M59</f>
        <v>0</v>
      </c>
      <c r="N14" s="11">
        <f>'Projected Hours'!N59</f>
        <v>0</v>
      </c>
      <c r="O14" s="11">
        <f>'Projected Hours'!O59</f>
        <v>0</v>
      </c>
      <c r="P14" s="11">
        <f>'Projected Hours'!P59</f>
        <v>4.25</v>
      </c>
      <c r="Q14" s="11">
        <f>'Projected Hours'!Q59</f>
        <v>4.25</v>
      </c>
      <c r="R14" s="11">
        <f>'Projected Hours'!R59</f>
        <v>1.25</v>
      </c>
      <c r="S14" s="11">
        <f>'Projected Hours'!S59</f>
        <v>5.5</v>
      </c>
      <c r="T14" s="11">
        <f>'Projected Hours'!T59</f>
        <v>1.75</v>
      </c>
      <c r="U14" s="11">
        <f>'Projected Hours'!U59</f>
        <v>4</v>
      </c>
      <c r="V14" s="11">
        <f>'Projected Hours'!V59</f>
        <v>5</v>
      </c>
      <c r="W14" s="11">
        <f>'Projected Hours'!W59</f>
        <v>8</v>
      </c>
      <c r="X14" s="11">
        <f>'Projected Hours'!X59</f>
        <v>3</v>
      </c>
      <c r="Y14" s="11">
        <f>'Projected Hours'!Y59</f>
        <v>4</v>
      </c>
      <c r="Z14" s="11">
        <f>'Projected Hours'!Z59</f>
        <v>5</v>
      </c>
      <c r="AA14" s="11">
        <f>'Projected Hours'!AA59</f>
        <v>0</v>
      </c>
      <c r="AB14" s="11">
        <f>'Projected Hours'!AB59</f>
        <v>0</v>
      </c>
      <c r="AC14" s="11">
        <f>'Projected Hours'!AC59</f>
        <v>0</v>
      </c>
      <c r="AD14" s="11">
        <f>'Projected Hours'!AD59</f>
        <v>0</v>
      </c>
      <c r="AE14" s="11">
        <f>'Projected Hours'!AE59</f>
        <v>0</v>
      </c>
      <c r="AF14" s="11">
        <f>'Projected Hours'!AF59</f>
        <v>0</v>
      </c>
      <c r="AG14" s="11">
        <f>'Projected Hours'!AG59</f>
        <v>0</v>
      </c>
      <c r="AH14" s="11">
        <f>'Projected Hours'!AH59</f>
        <v>0</v>
      </c>
      <c r="AI14" s="11">
        <f>'Projected Hours'!AI59</f>
        <v>0</v>
      </c>
    </row>
    <row r="15">
      <c r="A15" s="66" t="str">
        <f>'Projected Hours'!A60</f>
        <v>Alan Total</v>
      </c>
      <c r="B15" s="11" t="str">
        <f>'Projected Hours'!B60</f>
        <v/>
      </c>
      <c r="C15" s="11" t="str">
        <f>'Projected Hours'!C60</f>
        <v/>
      </c>
      <c r="D15" s="11" t="str">
        <f>'Projected Hours'!D60</f>
        <v/>
      </c>
      <c r="E15" s="11" t="str">
        <f>'Projected Hours'!E60</f>
        <v/>
      </c>
      <c r="F15" s="11" t="str">
        <f>'Projected Hours'!F60</f>
        <v/>
      </c>
      <c r="G15" s="11" t="str">
        <f>'Projected Hours'!G60</f>
        <v/>
      </c>
      <c r="H15" s="11" t="str">
        <f>'Projected Hours'!H60</f>
        <v/>
      </c>
      <c r="I15" s="11" t="str">
        <f>'Projected Hours'!I60</f>
        <v/>
      </c>
      <c r="J15" s="11" t="str">
        <f>'Projected Hours'!J60</f>
        <v/>
      </c>
      <c r="K15" s="11" t="str">
        <f>'Projected Hours'!K60</f>
        <v/>
      </c>
      <c r="L15" s="11" t="str">
        <f>'Projected Hours'!L60</f>
        <v/>
      </c>
      <c r="M15" s="11" t="str">
        <f>'Projected Hours'!M60</f>
        <v/>
      </c>
      <c r="N15" s="11" t="str">
        <f>'Projected Hours'!N60</f>
        <v/>
      </c>
      <c r="O15" s="11" t="str">
        <f>'Projected Hours'!O60</f>
        <v/>
      </c>
      <c r="P15" s="11" t="str">
        <f>'Projected Hours'!P60</f>
        <v/>
      </c>
      <c r="Q15" s="11" t="str">
        <f>'Projected Hours'!Q60</f>
        <v/>
      </c>
      <c r="R15" s="11" t="str">
        <f>'Projected Hours'!R60</f>
        <v/>
      </c>
      <c r="S15" s="11">
        <f>'Projected Hours'!S60</f>
        <v>3</v>
      </c>
      <c r="T15" s="11">
        <f>'Projected Hours'!T60</f>
        <v>0</v>
      </c>
      <c r="U15" s="11">
        <f>'Projected Hours'!U60</f>
        <v>4</v>
      </c>
      <c r="V15" s="11">
        <f>'Projected Hours'!V60</f>
        <v>5</v>
      </c>
      <c r="W15" s="11">
        <f>'Projected Hours'!W60</f>
        <v>5</v>
      </c>
      <c r="X15" s="11">
        <f>'Projected Hours'!X60</f>
        <v>5</v>
      </c>
      <c r="Y15" s="11">
        <f>'Projected Hours'!Y60</f>
        <v>5</v>
      </c>
      <c r="Z15" s="11">
        <f>'Projected Hours'!Z60</f>
        <v>6</v>
      </c>
      <c r="AA15" s="11">
        <f>'Projected Hours'!AA60</f>
        <v>0</v>
      </c>
      <c r="AB15" s="11">
        <f>'Projected Hours'!AB60</f>
        <v>0</v>
      </c>
      <c r="AC15" s="11">
        <f>'Projected Hours'!AC60</f>
        <v>0</v>
      </c>
      <c r="AD15" s="11">
        <f>'Projected Hours'!AD60</f>
        <v>0</v>
      </c>
      <c r="AE15" s="11">
        <f>'Projected Hours'!AE60</f>
        <v>2</v>
      </c>
      <c r="AF15" s="11">
        <f>'Projected Hours'!AF60</f>
        <v>2</v>
      </c>
      <c r="AG15" s="11">
        <f>'Projected Hours'!AG60</f>
        <v>2</v>
      </c>
      <c r="AH15" s="11">
        <f>'Projected Hours'!AH60</f>
        <v>2</v>
      </c>
      <c r="AI15" s="11">
        <f>'Projected Hours'!AI60</f>
        <v>2</v>
      </c>
    </row>
    <row r="16">
      <c r="A16" s="5" t="s">
        <v>118</v>
      </c>
      <c r="B16" s="11">
        <f t="shared" ref="B16:AI16" si="1">SUM(B5:B15)</f>
        <v>0</v>
      </c>
      <c r="C16" s="11">
        <f t="shared" si="1"/>
        <v>0</v>
      </c>
      <c r="D16" s="11">
        <f t="shared" si="1"/>
        <v>0</v>
      </c>
      <c r="E16" s="11">
        <f t="shared" si="1"/>
        <v>0</v>
      </c>
      <c r="F16" s="11">
        <f t="shared" si="1"/>
        <v>0</v>
      </c>
      <c r="G16" s="11">
        <f t="shared" si="1"/>
        <v>9.75</v>
      </c>
      <c r="H16" s="11">
        <f t="shared" si="1"/>
        <v>47.25</v>
      </c>
      <c r="I16" s="11">
        <f t="shared" si="1"/>
        <v>37</v>
      </c>
      <c r="J16" s="11">
        <f t="shared" si="1"/>
        <v>47.25</v>
      </c>
      <c r="K16" s="11">
        <f t="shared" si="1"/>
        <v>37.5</v>
      </c>
      <c r="L16" s="11">
        <f t="shared" si="1"/>
        <v>8.75</v>
      </c>
      <c r="M16" s="11">
        <f t="shared" si="1"/>
        <v>10.75</v>
      </c>
      <c r="N16" s="11">
        <f t="shared" si="1"/>
        <v>0</v>
      </c>
      <c r="O16" s="11">
        <f t="shared" si="1"/>
        <v>6.5</v>
      </c>
      <c r="P16" s="11">
        <f t="shared" si="1"/>
        <v>6.5</v>
      </c>
      <c r="Q16" s="11">
        <f t="shared" si="1"/>
        <v>46.75</v>
      </c>
      <c r="R16" s="11">
        <f t="shared" si="1"/>
        <v>33</v>
      </c>
      <c r="S16" s="11">
        <f t="shared" si="1"/>
        <v>67.75</v>
      </c>
      <c r="T16" s="11">
        <f t="shared" si="1"/>
        <v>51.25</v>
      </c>
      <c r="U16" s="11">
        <f t="shared" si="1"/>
        <v>65</v>
      </c>
      <c r="V16" s="11">
        <f t="shared" si="1"/>
        <v>69.5</v>
      </c>
      <c r="W16" s="11">
        <f t="shared" si="1"/>
        <v>87.5</v>
      </c>
      <c r="X16" s="11">
        <f t="shared" si="1"/>
        <v>59</v>
      </c>
      <c r="Y16" s="11">
        <f t="shared" si="1"/>
        <v>71</v>
      </c>
      <c r="Z16" s="11">
        <f t="shared" si="1"/>
        <v>63.5</v>
      </c>
      <c r="AA16" s="11">
        <f t="shared" si="1"/>
        <v>0</v>
      </c>
      <c r="AB16" s="11">
        <f t="shared" si="1"/>
        <v>0</v>
      </c>
      <c r="AC16" s="11">
        <f t="shared" si="1"/>
        <v>0</v>
      </c>
      <c r="AD16" s="11">
        <f t="shared" si="1"/>
        <v>0</v>
      </c>
      <c r="AE16" s="11">
        <f t="shared" si="1"/>
        <v>21</v>
      </c>
      <c r="AF16" s="11">
        <f t="shared" si="1"/>
        <v>26</v>
      </c>
      <c r="AG16" s="11">
        <f t="shared" si="1"/>
        <v>41</v>
      </c>
      <c r="AH16" s="11">
        <f t="shared" si="1"/>
        <v>25</v>
      </c>
      <c r="AI16" s="11">
        <f t="shared" si="1"/>
        <v>29</v>
      </c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>
      <c r="A18" s="101" t="s">
        <v>119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4"/>
    </row>
    <row r="19">
      <c r="A19" s="102" t="str">
        <f>'Projected Hours'!A1</f>
        <v/>
      </c>
      <c r="B19" s="103" t="s">
        <v>120</v>
      </c>
      <c r="C19" s="3"/>
      <c r="D19" s="3"/>
      <c r="E19" s="3"/>
      <c r="F19" s="3"/>
      <c r="G19" s="3"/>
      <c r="H19" s="3"/>
      <c r="I19" s="3"/>
      <c r="J19" s="3"/>
      <c r="K19" s="4"/>
      <c r="L19" s="103" t="s">
        <v>121</v>
      </c>
      <c r="M19" s="3"/>
      <c r="N19" s="3"/>
      <c r="O19" s="3"/>
      <c r="P19" s="4"/>
      <c r="Q19" s="103" t="s">
        <v>122</v>
      </c>
      <c r="R19" s="3"/>
      <c r="S19" s="3"/>
      <c r="T19" s="3"/>
      <c r="U19" s="3"/>
      <c r="V19" s="3"/>
      <c r="W19" s="3"/>
      <c r="X19" s="3"/>
      <c r="Y19" s="3"/>
      <c r="Z19" s="4"/>
      <c r="AA19" s="103" t="s">
        <v>123</v>
      </c>
      <c r="AB19" s="3"/>
      <c r="AC19" s="3"/>
      <c r="AD19" s="4"/>
      <c r="AE19" s="103" t="s">
        <v>124</v>
      </c>
      <c r="AF19" s="3"/>
      <c r="AG19" s="3"/>
      <c r="AH19" s="3"/>
      <c r="AI19" s="4"/>
    </row>
    <row r="20">
      <c r="A20" s="104" t="str">
        <f>'Projected Hours'!A2</f>
        <v>Relative Week</v>
      </c>
      <c r="B20" s="104" t="str">
        <f>'Projected Hours'!B2</f>
        <v>Week 1</v>
      </c>
      <c r="C20" s="104" t="str">
        <f>'Projected Hours'!C2</f>
        <v>Week 2</v>
      </c>
      <c r="D20" s="104" t="str">
        <f>'Projected Hours'!D2</f>
        <v>Week 3</v>
      </c>
      <c r="E20" s="104" t="str">
        <f>'Projected Hours'!E2</f>
        <v>Week 4</v>
      </c>
      <c r="F20" s="104" t="str">
        <f>'Projected Hours'!F2</f>
        <v>Week 5</v>
      </c>
      <c r="G20" s="104" t="str">
        <f>'Projected Hours'!G2</f>
        <v>Week 6</v>
      </c>
      <c r="H20" s="104" t="str">
        <f>'Projected Hours'!H2</f>
        <v>Week 7</v>
      </c>
      <c r="I20" s="104" t="str">
        <f>'Projected Hours'!I2</f>
        <v>Week 8</v>
      </c>
      <c r="J20" s="104" t="str">
        <f>'Projected Hours'!J2</f>
        <v>Week 9</v>
      </c>
      <c r="K20" s="104" t="str">
        <f>'Projected Hours'!K2</f>
        <v>Week 10</v>
      </c>
      <c r="L20" s="104" t="str">
        <f>'Projected Hours'!L2</f>
        <v>Week 1</v>
      </c>
      <c r="M20" s="104" t="str">
        <f>'Projected Hours'!M2</f>
        <v>Week 2</v>
      </c>
      <c r="N20" s="104" t="str">
        <f>'Projected Hours'!N2</f>
        <v>Week 3</v>
      </c>
      <c r="O20" s="104" t="str">
        <f>'Projected Hours'!O2</f>
        <v>Week 4</v>
      </c>
      <c r="P20" s="104" t="str">
        <f>'Projected Hours'!P2</f>
        <v>Week 5</v>
      </c>
      <c r="Q20" s="104" t="str">
        <f>'Projected Hours'!Q2</f>
        <v>Week 1</v>
      </c>
      <c r="R20" s="104" t="str">
        <f>'Projected Hours'!R2</f>
        <v>Week 2</v>
      </c>
      <c r="S20" s="104" t="str">
        <f>'Projected Hours'!S2</f>
        <v>Week 3</v>
      </c>
      <c r="T20" s="104" t="str">
        <f>'Projected Hours'!T2</f>
        <v>Week 4</v>
      </c>
      <c r="U20" s="104" t="str">
        <f>'Projected Hours'!U2</f>
        <v>Week 5</v>
      </c>
      <c r="V20" s="104" t="str">
        <f>'Projected Hours'!V2</f>
        <v>Week 6</v>
      </c>
      <c r="W20" s="104" t="str">
        <f>'Projected Hours'!W2</f>
        <v>Week 7</v>
      </c>
      <c r="X20" s="104" t="str">
        <f>'Projected Hours'!X2</f>
        <v>Week 8</v>
      </c>
      <c r="Y20" s="104" t="str">
        <f>'Projected Hours'!Y2</f>
        <v>Week 9</v>
      </c>
      <c r="Z20" s="104" t="str">
        <f>'Projected Hours'!Z2</f>
        <v>Week 10</v>
      </c>
      <c r="AA20" s="104" t="str">
        <f>'Projected Hours'!AA2</f>
        <v>Week 1</v>
      </c>
      <c r="AB20" s="104" t="str">
        <f>'Projected Hours'!AB2</f>
        <v>Week 2</v>
      </c>
      <c r="AC20" s="104" t="str">
        <f>'Projected Hours'!AC2</f>
        <v>Week 3</v>
      </c>
      <c r="AD20" s="104" t="str">
        <f>'Projected Hours'!AD2</f>
        <v>Week 4</v>
      </c>
      <c r="AE20" s="104" t="str">
        <f>'Projected Hours'!AE2</f>
        <v>Week 1</v>
      </c>
      <c r="AF20" s="104" t="str">
        <f>'Projected Hours'!AF2</f>
        <v>Week 2</v>
      </c>
      <c r="AG20" s="104" t="str">
        <f>'Projected Hours'!AG2</f>
        <v>Week 3</v>
      </c>
      <c r="AH20" s="104" t="str">
        <f>'Projected Hours'!AH2</f>
        <v>Week 4</v>
      </c>
      <c r="AI20" s="104" t="str">
        <f>'Projected Hours'!AI2</f>
        <v>Week 5</v>
      </c>
    </row>
    <row r="21">
      <c r="A21" s="105" t="str">
        <f>'Projected Hours'!A3</f>
        <v>Total Weeks</v>
      </c>
      <c r="B21" s="105">
        <f>'Projected Hours'!B3</f>
        <v>1</v>
      </c>
      <c r="C21" s="105">
        <f>'Projected Hours'!C3</f>
        <v>2</v>
      </c>
      <c r="D21" s="105">
        <f>'Projected Hours'!D3</f>
        <v>3</v>
      </c>
      <c r="E21" s="105">
        <f>'Projected Hours'!E3</f>
        <v>4</v>
      </c>
      <c r="F21" s="105">
        <f>'Projected Hours'!F3</f>
        <v>5</v>
      </c>
      <c r="G21" s="105">
        <f>'Projected Hours'!G3</f>
        <v>6</v>
      </c>
      <c r="H21" s="105">
        <f>'Projected Hours'!H3</f>
        <v>7</v>
      </c>
      <c r="I21" s="105">
        <f>'Projected Hours'!I3</f>
        <v>8</v>
      </c>
      <c r="J21" s="105">
        <f>'Projected Hours'!J3</f>
        <v>9</v>
      </c>
      <c r="K21" s="105">
        <f>'Projected Hours'!K3</f>
        <v>10</v>
      </c>
      <c r="L21" s="105">
        <f>'Projected Hours'!L3</f>
        <v>11</v>
      </c>
      <c r="M21" s="105">
        <f>'Projected Hours'!M3</f>
        <v>12</v>
      </c>
      <c r="N21" s="105">
        <f>'Projected Hours'!N3</f>
        <v>13</v>
      </c>
      <c r="O21" s="105">
        <f>'Projected Hours'!O3</f>
        <v>14</v>
      </c>
      <c r="P21" s="105">
        <f>'Projected Hours'!P3</f>
        <v>15</v>
      </c>
      <c r="Q21" s="105">
        <f>'Projected Hours'!Q3</f>
        <v>16</v>
      </c>
      <c r="R21" s="105">
        <f>'Projected Hours'!R3</f>
        <v>17</v>
      </c>
      <c r="S21" s="105">
        <f>'Projected Hours'!S3</f>
        <v>18</v>
      </c>
      <c r="T21" s="105">
        <f>'Projected Hours'!T3</f>
        <v>19</v>
      </c>
      <c r="U21" s="105">
        <f>'Projected Hours'!U3</f>
        <v>20</v>
      </c>
      <c r="V21" s="105">
        <f>'Projected Hours'!V3</f>
        <v>21</v>
      </c>
      <c r="W21" s="105">
        <f>'Projected Hours'!W3</f>
        <v>22</v>
      </c>
      <c r="X21" s="105">
        <f>'Projected Hours'!X3</f>
        <v>23</v>
      </c>
      <c r="Y21" s="105">
        <f>'Projected Hours'!Y3</f>
        <v>24</v>
      </c>
      <c r="Z21" s="105">
        <f>'Projected Hours'!Z3</f>
        <v>25</v>
      </c>
      <c r="AA21" s="105">
        <f>'Projected Hours'!AA3</f>
        <v>26</v>
      </c>
      <c r="AB21" s="105">
        <f>'Projected Hours'!AB3</f>
        <v>27</v>
      </c>
      <c r="AC21" s="105">
        <f>'Projected Hours'!AC3</f>
        <v>28</v>
      </c>
      <c r="AD21" s="105">
        <f>'Projected Hours'!AD3</f>
        <v>29</v>
      </c>
      <c r="AE21" s="105">
        <f>'Projected Hours'!AE3</f>
        <v>30</v>
      </c>
      <c r="AF21" s="105">
        <f>'Projected Hours'!AF3</f>
        <v>31</v>
      </c>
      <c r="AG21" s="105">
        <f>'Projected Hours'!AG3</f>
        <v>32</v>
      </c>
      <c r="AH21" s="105">
        <f>'Projected Hours'!AH3</f>
        <v>33</v>
      </c>
      <c r="AI21" s="105">
        <f>'Projected Hours'!AI3</f>
        <v>34</v>
      </c>
    </row>
    <row r="22">
      <c r="A22" s="5" t="s">
        <v>106</v>
      </c>
      <c r="B22" s="106">
        <v>0.0</v>
      </c>
      <c r="C22" s="14">
        <v>0.0</v>
      </c>
      <c r="D22" s="14">
        <v>0.0</v>
      </c>
      <c r="E22" s="14">
        <v>0.0</v>
      </c>
      <c r="F22" s="14">
        <v>0.0</v>
      </c>
      <c r="G22" s="14">
        <v>1.5</v>
      </c>
      <c r="H22" s="14">
        <v>12.0</v>
      </c>
      <c r="I22" s="14">
        <v>2.0</v>
      </c>
      <c r="J22" s="14">
        <v>4.5</v>
      </c>
      <c r="K22" s="14">
        <v>6.75</v>
      </c>
      <c r="L22" s="14">
        <v>0.0</v>
      </c>
      <c r="M22" s="14">
        <v>6.0</v>
      </c>
      <c r="N22" s="14">
        <v>0.0</v>
      </c>
      <c r="O22" s="14">
        <v>0.0</v>
      </c>
      <c r="P22" s="14">
        <v>0.0</v>
      </c>
      <c r="Q22" s="14">
        <v>7.0</v>
      </c>
      <c r="R22" s="14">
        <v>10.75</v>
      </c>
      <c r="S22" s="14">
        <v>14.75</v>
      </c>
      <c r="T22" s="14">
        <v>5.25</v>
      </c>
      <c r="U22" s="14">
        <v>4.5</v>
      </c>
      <c r="V22" s="14">
        <v>9.5</v>
      </c>
      <c r="W22" s="14">
        <v>7.25</v>
      </c>
      <c r="X22" s="14">
        <v>6.5</v>
      </c>
      <c r="Y22" s="14">
        <v>4.25</v>
      </c>
      <c r="Z22" s="14">
        <v>9.5</v>
      </c>
      <c r="AA22" s="14">
        <v>0.0</v>
      </c>
      <c r="AB22" s="14">
        <v>0.0</v>
      </c>
      <c r="AC22" s="14">
        <v>0.0</v>
      </c>
      <c r="AD22" s="14">
        <v>9.0</v>
      </c>
      <c r="AE22" s="14">
        <v>2.0</v>
      </c>
      <c r="AF22" s="14">
        <v>13.0</v>
      </c>
      <c r="AG22" s="14">
        <v>18.0</v>
      </c>
      <c r="AH22" s="14">
        <v>7.25</v>
      </c>
      <c r="AI22" s="14">
        <v>0.0</v>
      </c>
    </row>
    <row r="23">
      <c r="A23" s="5" t="s">
        <v>107</v>
      </c>
      <c r="B23" s="14">
        <v>0.0</v>
      </c>
      <c r="C23" s="14">
        <v>0.0</v>
      </c>
      <c r="D23" s="14">
        <v>0.0</v>
      </c>
      <c r="E23" s="14">
        <v>0.0</v>
      </c>
      <c r="F23" s="14">
        <v>0.0</v>
      </c>
      <c r="G23" s="14">
        <v>1.0</v>
      </c>
      <c r="H23" s="14">
        <v>5.25</v>
      </c>
      <c r="I23" s="14">
        <v>9.75</v>
      </c>
      <c r="J23" s="14">
        <v>11.25</v>
      </c>
      <c r="K23" s="14">
        <v>9.0</v>
      </c>
      <c r="L23" s="14">
        <v>8.75</v>
      </c>
      <c r="M23" s="14">
        <v>4.75</v>
      </c>
      <c r="N23" s="14">
        <v>0.0</v>
      </c>
      <c r="O23" s="14">
        <v>6.5</v>
      </c>
      <c r="P23" s="14">
        <v>1.5</v>
      </c>
      <c r="Q23" s="14">
        <v>35.5</v>
      </c>
      <c r="R23" s="14">
        <v>7.0</v>
      </c>
      <c r="S23" s="14">
        <v>7.5</v>
      </c>
      <c r="T23" s="14">
        <v>6.25</v>
      </c>
      <c r="U23" s="14">
        <v>15.25</v>
      </c>
      <c r="V23" s="14">
        <v>8.5</v>
      </c>
      <c r="W23" s="14">
        <v>11.5</v>
      </c>
      <c r="X23" s="14">
        <v>12.25</v>
      </c>
      <c r="Y23" s="14">
        <v>4.25</v>
      </c>
      <c r="Z23" s="14">
        <v>16.5</v>
      </c>
      <c r="AA23" s="14">
        <v>0.0</v>
      </c>
      <c r="AB23" s="14">
        <v>0.0</v>
      </c>
      <c r="AC23" s="14">
        <v>0.0</v>
      </c>
      <c r="AD23" s="14">
        <v>3.5</v>
      </c>
      <c r="AE23" s="14">
        <v>0.0</v>
      </c>
      <c r="AF23" s="14">
        <v>10.25</v>
      </c>
      <c r="AG23" s="14">
        <v>1.75</v>
      </c>
      <c r="AH23" s="14">
        <v>7.25</v>
      </c>
      <c r="AI23" s="14">
        <v>2.75</v>
      </c>
    </row>
    <row r="24">
      <c r="A24" s="5" t="s">
        <v>108</v>
      </c>
      <c r="B24" s="14">
        <v>0.0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1.75</v>
      </c>
      <c r="I24" s="14">
        <v>2.25</v>
      </c>
      <c r="J24" s="14">
        <v>6.0</v>
      </c>
      <c r="K24" s="14">
        <v>3.0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1.5</v>
      </c>
      <c r="S24" s="14">
        <v>0.0</v>
      </c>
      <c r="T24" s="14">
        <v>0.0</v>
      </c>
      <c r="U24" s="14">
        <v>1.0</v>
      </c>
      <c r="V24" s="14">
        <v>3.0</v>
      </c>
      <c r="W24" s="14">
        <v>2.5</v>
      </c>
      <c r="X24" s="14">
        <v>2.75</v>
      </c>
      <c r="Y24" s="14">
        <v>0.0</v>
      </c>
      <c r="Z24" s="14">
        <v>5.25</v>
      </c>
      <c r="AA24" s="14">
        <v>0.0</v>
      </c>
      <c r="AB24" s="14">
        <v>0.0</v>
      </c>
      <c r="AC24" s="14">
        <v>0.0</v>
      </c>
      <c r="AD24" s="14">
        <v>0.0</v>
      </c>
      <c r="AE24" s="14">
        <v>0.0</v>
      </c>
      <c r="AF24" s="14">
        <v>0.0</v>
      </c>
      <c r="AG24" s="14">
        <v>0.0</v>
      </c>
      <c r="AH24" s="14">
        <v>0.0</v>
      </c>
      <c r="AI24" s="14">
        <v>0.0</v>
      </c>
    </row>
    <row r="25">
      <c r="A25" s="5" t="s">
        <v>125</v>
      </c>
      <c r="B25" s="14">
        <v>0.0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2.0</v>
      </c>
      <c r="I25" s="14">
        <v>6.5</v>
      </c>
      <c r="J25" s="14">
        <v>5.25</v>
      </c>
      <c r="K25" s="14">
        <v>0.5</v>
      </c>
      <c r="L25" s="14">
        <v>0.0</v>
      </c>
      <c r="M25" s="14">
        <v>0.0</v>
      </c>
      <c r="N25" s="14">
        <v>0.0</v>
      </c>
      <c r="O25" s="14">
        <v>0.0</v>
      </c>
      <c r="P25" s="14">
        <v>0.75</v>
      </c>
      <c r="Q25" s="14">
        <v>0.0</v>
      </c>
      <c r="R25" s="14">
        <v>0.5</v>
      </c>
      <c r="S25" s="14">
        <v>7.75</v>
      </c>
      <c r="T25" s="14">
        <v>4.25</v>
      </c>
      <c r="U25" s="14">
        <v>3.0</v>
      </c>
      <c r="V25" s="14">
        <v>5.5</v>
      </c>
      <c r="W25" s="14">
        <v>4.75</v>
      </c>
      <c r="X25" s="14">
        <v>0.0</v>
      </c>
      <c r="Y25" s="14">
        <v>9.25</v>
      </c>
      <c r="Z25" s="14">
        <v>1.5</v>
      </c>
      <c r="AA25" s="14">
        <v>0.0</v>
      </c>
      <c r="AB25" s="14">
        <v>0.0</v>
      </c>
      <c r="AC25" s="14">
        <v>0.0</v>
      </c>
      <c r="AD25" s="14">
        <v>0.0</v>
      </c>
      <c r="AE25" s="14">
        <v>0.0</v>
      </c>
      <c r="AF25" s="14">
        <v>0.0</v>
      </c>
      <c r="AG25" s="14">
        <v>4.25</v>
      </c>
      <c r="AH25" s="14">
        <v>2.0</v>
      </c>
      <c r="AI25" s="14">
        <v>0.0</v>
      </c>
    </row>
    <row r="26">
      <c r="A26" s="5" t="s">
        <v>110</v>
      </c>
      <c r="B26" s="14">
        <v>0.0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1.75</v>
      </c>
      <c r="I26" s="14">
        <v>0.0</v>
      </c>
      <c r="J26" s="14">
        <v>0.0</v>
      </c>
      <c r="K26" s="14">
        <v>1.5</v>
      </c>
      <c r="L26" s="14">
        <v>0.0</v>
      </c>
      <c r="M26" s="14">
        <v>0.0</v>
      </c>
      <c r="N26" s="14">
        <v>0.0</v>
      </c>
      <c r="O26" s="14">
        <v>0.0</v>
      </c>
      <c r="P26" s="14">
        <v>0.0</v>
      </c>
      <c r="Q26" s="14">
        <v>0.0</v>
      </c>
      <c r="R26" s="14">
        <v>0.5</v>
      </c>
      <c r="S26" s="14">
        <v>3.0</v>
      </c>
      <c r="T26" s="14">
        <v>5.5</v>
      </c>
      <c r="U26" s="14">
        <v>6.0</v>
      </c>
      <c r="V26" s="14">
        <v>5.0</v>
      </c>
      <c r="W26" s="14">
        <v>6.0</v>
      </c>
      <c r="X26" s="14">
        <v>6.0</v>
      </c>
      <c r="Y26" s="14">
        <v>2.0</v>
      </c>
      <c r="Z26" s="14">
        <v>0.0</v>
      </c>
      <c r="AA26" s="14">
        <v>0.0</v>
      </c>
      <c r="AB26" s="14">
        <v>0.0</v>
      </c>
      <c r="AC26" s="14">
        <v>0.0</v>
      </c>
      <c r="AD26" s="14">
        <v>0.5</v>
      </c>
      <c r="AE26" s="14">
        <v>5.25</v>
      </c>
      <c r="AF26" s="14">
        <v>7.5</v>
      </c>
      <c r="AG26" s="14">
        <v>1.75</v>
      </c>
      <c r="AH26" s="14">
        <v>0.0</v>
      </c>
      <c r="AI26" s="14">
        <v>1.25</v>
      </c>
    </row>
    <row r="27">
      <c r="A27" s="5" t="s">
        <v>111</v>
      </c>
      <c r="B27" s="14">
        <v>0.0</v>
      </c>
      <c r="C27" s="14">
        <v>0.0</v>
      </c>
      <c r="D27" s="14">
        <v>0.0</v>
      </c>
      <c r="E27" s="14">
        <v>0.0</v>
      </c>
      <c r="F27" s="14">
        <v>0.0</v>
      </c>
      <c r="G27" s="14">
        <v>2.0</v>
      </c>
      <c r="H27" s="14">
        <v>8.5</v>
      </c>
      <c r="I27" s="14">
        <v>2.5</v>
      </c>
      <c r="J27" s="14">
        <v>4.5</v>
      </c>
      <c r="K27" s="14">
        <v>4.25</v>
      </c>
      <c r="L27" s="14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4">
        <v>2.25</v>
      </c>
      <c r="S27" s="14">
        <v>7.25</v>
      </c>
      <c r="T27" s="14">
        <v>8.0</v>
      </c>
      <c r="U27" s="14">
        <v>5.75</v>
      </c>
      <c r="V27" s="14">
        <v>8.25</v>
      </c>
      <c r="W27" s="14">
        <v>9.25</v>
      </c>
      <c r="X27" s="14">
        <v>2.5</v>
      </c>
      <c r="Y27" s="14">
        <v>4.0</v>
      </c>
      <c r="Z27" s="14">
        <v>4.25</v>
      </c>
      <c r="AA27" s="14">
        <v>0.0</v>
      </c>
      <c r="AB27" s="14">
        <v>0.0</v>
      </c>
      <c r="AC27" s="14">
        <v>0.0</v>
      </c>
      <c r="AD27" s="14">
        <v>0.0</v>
      </c>
      <c r="AE27" s="14">
        <v>0.0</v>
      </c>
      <c r="AF27" s="14">
        <v>3.5</v>
      </c>
      <c r="AG27" s="14">
        <v>6.75</v>
      </c>
      <c r="AH27" s="14">
        <v>2.75</v>
      </c>
      <c r="AI27" s="14">
        <v>0.0</v>
      </c>
    </row>
    <row r="28">
      <c r="A28" s="5" t="s">
        <v>112</v>
      </c>
      <c r="B28" s="14">
        <v>0.0</v>
      </c>
      <c r="C28" s="14">
        <v>0.0</v>
      </c>
      <c r="D28" s="14">
        <v>0.0</v>
      </c>
      <c r="E28" s="14">
        <v>0.0</v>
      </c>
      <c r="F28" s="14">
        <v>0.0</v>
      </c>
      <c r="G28" s="14">
        <v>0.0</v>
      </c>
      <c r="H28" s="14">
        <v>3.75</v>
      </c>
      <c r="I28" s="14">
        <v>2.0</v>
      </c>
      <c r="J28" s="14">
        <v>7.0</v>
      </c>
      <c r="K28" s="14">
        <v>6.0</v>
      </c>
      <c r="L28" s="14">
        <v>0.0</v>
      </c>
      <c r="M28" s="14">
        <v>0.0</v>
      </c>
      <c r="N28" s="14">
        <v>0.0</v>
      </c>
      <c r="O28" s="14">
        <v>0.0</v>
      </c>
      <c r="P28" s="14">
        <v>0.0</v>
      </c>
      <c r="Q28" s="14">
        <v>0.0</v>
      </c>
      <c r="R28" s="14">
        <v>0.5</v>
      </c>
      <c r="S28" s="14">
        <v>3.0</v>
      </c>
      <c r="T28" s="14">
        <v>5.5</v>
      </c>
      <c r="U28" s="14">
        <v>5.75</v>
      </c>
      <c r="V28" s="14">
        <v>7.5</v>
      </c>
      <c r="W28" s="14">
        <v>11.0</v>
      </c>
      <c r="X28" s="14">
        <v>14.75</v>
      </c>
      <c r="Y28" s="14">
        <v>5.75</v>
      </c>
      <c r="Z28" s="14">
        <v>14.75</v>
      </c>
      <c r="AA28" s="14">
        <v>0.0</v>
      </c>
      <c r="AB28" s="14">
        <v>0.0</v>
      </c>
      <c r="AC28" s="14">
        <v>0.0</v>
      </c>
      <c r="AD28" s="14">
        <v>0.0</v>
      </c>
      <c r="AE28" s="14">
        <v>0.0</v>
      </c>
      <c r="AF28" s="14">
        <v>0.0</v>
      </c>
      <c r="AG28" s="14">
        <v>0.0</v>
      </c>
      <c r="AH28" s="14">
        <v>0.0</v>
      </c>
      <c r="AI28" s="14">
        <v>0.0</v>
      </c>
    </row>
    <row r="29">
      <c r="A29" s="5" t="s">
        <v>113</v>
      </c>
      <c r="B29" s="14">
        <v>0.0</v>
      </c>
      <c r="C29" s="14">
        <v>0.0</v>
      </c>
      <c r="D29" s="14">
        <v>0.0</v>
      </c>
      <c r="E29" s="14">
        <v>0.0</v>
      </c>
      <c r="F29" s="14">
        <v>0.0</v>
      </c>
      <c r="G29" s="14">
        <v>2.25</v>
      </c>
      <c r="H29" s="14">
        <v>4.75</v>
      </c>
      <c r="I29" s="14">
        <v>6.0</v>
      </c>
      <c r="J29" s="14">
        <v>4.0</v>
      </c>
      <c r="K29" s="14">
        <v>5.5</v>
      </c>
      <c r="L29" s="14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4">
        <v>5.25</v>
      </c>
      <c r="S29" s="14">
        <v>2.0</v>
      </c>
      <c r="T29" s="14">
        <v>5.75</v>
      </c>
      <c r="U29" s="14">
        <v>3.0</v>
      </c>
      <c r="V29" s="14">
        <v>5.25</v>
      </c>
      <c r="W29" s="14">
        <v>8.25</v>
      </c>
      <c r="X29" s="14">
        <v>13.5</v>
      </c>
      <c r="Y29" s="14">
        <v>7.25</v>
      </c>
      <c r="Z29" s="14">
        <v>11.25</v>
      </c>
      <c r="AA29" s="14">
        <v>0.0</v>
      </c>
      <c r="AB29" s="14">
        <v>0.0</v>
      </c>
      <c r="AC29" s="14">
        <v>0.0</v>
      </c>
      <c r="AD29" s="14">
        <v>0.0</v>
      </c>
      <c r="AE29" s="14">
        <v>0.0</v>
      </c>
      <c r="AF29" s="14">
        <v>0.0</v>
      </c>
      <c r="AG29" s="14">
        <v>4.25</v>
      </c>
      <c r="AH29" s="14">
        <v>0.0</v>
      </c>
      <c r="AI29" s="14">
        <v>0.0</v>
      </c>
    </row>
    <row r="30">
      <c r="A30" s="5" t="s">
        <v>114</v>
      </c>
      <c r="B30" s="14">
        <v>0.0</v>
      </c>
      <c r="C30" s="14">
        <v>0.0</v>
      </c>
      <c r="D30" s="14">
        <v>0.0</v>
      </c>
      <c r="E30" s="14">
        <v>0.0</v>
      </c>
      <c r="F30" s="14">
        <v>0.0</v>
      </c>
      <c r="G30" s="14">
        <v>0.0</v>
      </c>
      <c r="H30" s="14">
        <v>4.75</v>
      </c>
      <c r="I30" s="14">
        <v>2.75</v>
      </c>
      <c r="J30" s="14">
        <v>1.0</v>
      </c>
      <c r="K30" s="14">
        <v>0.5</v>
      </c>
      <c r="L30" s="14">
        <v>0.0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4">
        <v>3.5</v>
      </c>
      <c r="S30" s="14">
        <v>14.0</v>
      </c>
      <c r="T30" s="14">
        <v>10.75</v>
      </c>
      <c r="U30" s="14">
        <v>10.0</v>
      </c>
      <c r="V30" s="14">
        <v>10.0</v>
      </c>
      <c r="W30" s="14">
        <v>12.25</v>
      </c>
      <c r="X30" s="14">
        <v>2.5</v>
      </c>
      <c r="Y30" s="14">
        <v>8.0</v>
      </c>
      <c r="Z30" s="14">
        <v>3.5</v>
      </c>
      <c r="AA30" s="14">
        <v>0.0</v>
      </c>
      <c r="AB30" s="14">
        <v>0.0</v>
      </c>
      <c r="AC30" s="14">
        <v>0.0</v>
      </c>
      <c r="AD30" s="14">
        <v>0.0</v>
      </c>
      <c r="AE30" s="14">
        <v>0.0</v>
      </c>
      <c r="AF30" s="14">
        <v>4.0</v>
      </c>
      <c r="AG30" s="14">
        <v>6.75</v>
      </c>
      <c r="AH30" s="14">
        <v>3.0</v>
      </c>
      <c r="AI30" s="14">
        <v>1.0</v>
      </c>
    </row>
    <row r="31">
      <c r="A31" s="5" t="s">
        <v>115</v>
      </c>
      <c r="B31" s="14">
        <v>0.0</v>
      </c>
      <c r="C31" s="14">
        <v>0.0</v>
      </c>
      <c r="D31" s="14">
        <v>0.0</v>
      </c>
      <c r="E31" s="14">
        <v>0.0</v>
      </c>
      <c r="F31" s="14">
        <v>0.0</v>
      </c>
      <c r="G31" s="14">
        <v>3.0</v>
      </c>
      <c r="H31" s="14">
        <v>2.75</v>
      </c>
      <c r="I31" s="14">
        <v>3.25</v>
      </c>
      <c r="J31" s="14">
        <v>3.75</v>
      </c>
      <c r="K31" s="14">
        <v>0.5</v>
      </c>
      <c r="L31" s="14">
        <v>0.0</v>
      </c>
      <c r="M31" s="14">
        <v>0.0</v>
      </c>
      <c r="N31" s="14">
        <v>0.0</v>
      </c>
      <c r="O31" s="14">
        <v>0.0</v>
      </c>
      <c r="P31" s="14">
        <v>4.25</v>
      </c>
      <c r="Q31" s="14">
        <v>4.25</v>
      </c>
      <c r="R31" s="14">
        <v>1.25</v>
      </c>
      <c r="S31" s="14">
        <v>5.5</v>
      </c>
      <c r="T31" s="14">
        <v>0.75</v>
      </c>
      <c r="U31" s="14">
        <v>1.0</v>
      </c>
      <c r="V31" s="14">
        <v>3.0</v>
      </c>
      <c r="W31" s="14">
        <v>15.75</v>
      </c>
      <c r="X31" s="14">
        <v>10.0</v>
      </c>
      <c r="Y31" s="14">
        <v>5.0</v>
      </c>
      <c r="Z31" s="14">
        <v>8.0</v>
      </c>
      <c r="AA31" s="14">
        <v>0.0</v>
      </c>
      <c r="AB31" s="14">
        <v>1.25</v>
      </c>
      <c r="AC31" s="14">
        <v>0.0</v>
      </c>
      <c r="AD31" s="14">
        <v>0.0</v>
      </c>
      <c r="AE31" s="14">
        <v>10.0</v>
      </c>
      <c r="AF31" s="14">
        <v>1.75</v>
      </c>
      <c r="AG31" s="14">
        <v>2.25</v>
      </c>
      <c r="AH31" s="14">
        <v>4.0</v>
      </c>
      <c r="AI31" s="14">
        <v>1.0</v>
      </c>
    </row>
    <row r="32">
      <c r="A32" s="5" t="s">
        <v>116</v>
      </c>
      <c r="B32" s="14">
        <v>0.0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4">
        <v>0.0</v>
      </c>
      <c r="J32" s="14">
        <v>0.0</v>
      </c>
      <c r="K32" s="14">
        <v>0.0</v>
      </c>
      <c r="L32" s="14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3.0</v>
      </c>
      <c r="T32" s="14">
        <v>0.0</v>
      </c>
      <c r="U32" s="14">
        <v>0.0</v>
      </c>
      <c r="V32" s="14">
        <v>1.0</v>
      </c>
      <c r="W32" s="106">
        <v>0.0</v>
      </c>
      <c r="X32" s="106">
        <v>0.0</v>
      </c>
      <c r="Y32" s="106">
        <v>0.0</v>
      </c>
      <c r="Z32" s="106">
        <v>0.0</v>
      </c>
      <c r="AA32" s="106">
        <v>0.0</v>
      </c>
      <c r="AB32" s="106">
        <v>0.0</v>
      </c>
      <c r="AC32" s="106">
        <v>0.0</v>
      </c>
      <c r="AD32" s="106">
        <v>0.0</v>
      </c>
      <c r="AE32" s="106">
        <v>0.0</v>
      </c>
      <c r="AF32" s="106">
        <v>0.0</v>
      </c>
      <c r="AG32" s="106">
        <v>0.0</v>
      </c>
      <c r="AH32" s="106">
        <v>0.0</v>
      </c>
      <c r="AI32" s="106">
        <v>0.0</v>
      </c>
    </row>
    <row r="33">
      <c r="A33" s="5" t="s">
        <v>126</v>
      </c>
      <c r="B33" s="14">
        <f t="shared" ref="B33:AI33" si="2">SUM(B22:B32)</f>
        <v>0</v>
      </c>
      <c r="C33" s="14">
        <f t="shared" si="2"/>
        <v>0</v>
      </c>
      <c r="D33" s="14">
        <f t="shared" si="2"/>
        <v>0</v>
      </c>
      <c r="E33" s="14">
        <f t="shared" si="2"/>
        <v>0</v>
      </c>
      <c r="F33" s="14">
        <f t="shared" si="2"/>
        <v>0</v>
      </c>
      <c r="G33" s="14">
        <f t="shared" si="2"/>
        <v>9.75</v>
      </c>
      <c r="H33" s="14">
        <f t="shared" si="2"/>
        <v>47.25</v>
      </c>
      <c r="I33" s="14">
        <f t="shared" si="2"/>
        <v>37</v>
      </c>
      <c r="J33" s="14">
        <f t="shared" si="2"/>
        <v>47.25</v>
      </c>
      <c r="K33" s="14">
        <f t="shared" si="2"/>
        <v>37.5</v>
      </c>
      <c r="L33" s="14">
        <f t="shared" si="2"/>
        <v>8.75</v>
      </c>
      <c r="M33" s="14">
        <f t="shared" si="2"/>
        <v>10.75</v>
      </c>
      <c r="N33" s="14">
        <f t="shared" si="2"/>
        <v>0</v>
      </c>
      <c r="O33" s="14">
        <f t="shared" si="2"/>
        <v>6.5</v>
      </c>
      <c r="P33" s="14">
        <f t="shared" si="2"/>
        <v>6.5</v>
      </c>
      <c r="Q33" s="14">
        <f t="shared" si="2"/>
        <v>46.75</v>
      </c>
      <c r="R33" s="14">
        <f t="shared" si="2"/>
        <v>33</v>
      </c>
      <c r="S33" s="14">
        <f t="shared" si="2"/>
        <v>67.75</v>
      </c>
      <c r="T33" s="14">
        <f t="shared" si="2"/>
        <v>52</v>
      </c>
      <c r="U33" s="14">
        <f t="shared" si="2"/>
        <v>55.25</v>
      </c>
      <c r="V33" s="14">
        <f t="shared" si="2"/>
        <v>66.5</v>
      </c>
      <c r="W33" s="14">
        <f t="shared" si="2"/>
        <v>88.5</v>
      </c>
      <c r="X33" s="14">
        <f t="shared" si="2"/>
        <v>70.75</v>
      </c>
      <c r="Y33" s="14">
        <f t="shared" si="2"/>
        <v>49.75</v>
      </c>
      <c r="Z33" s="14">
        <f t="shared" si="2"/>
        <v>74.5</v>
      </c>
      <c r="AA33" s="14">
        <f t="shared" si="2"/>
        <v>0</v>
      </c>
      <c r="AB33" s="14">
        <f t="shared" si="2"/>
        <v>1.25</v>
      </c>
      <c r="AC33" s="14">
        <f t="shared" si="2"/>
        <v>0</v>
      </c>
      <c r="AD33" s="14">
        <f t="shared" si="2"/>
        <v>13</v>
      </c>
      <c r="AE33" s="14">
        <f t="shared" si="2"/>
        <v>17.25</v>
      </c>
      <c r="AF33" s="14">
        <f t="shared" si="2"/>
        <v>40</v>
      </c>
      <c r="AG33" s="14">
        <f t="shared" si="2"/>
        <v>45.75</v>
      </c>
      <c r="AH33" s="14">
        <f t="shared" si="2"/>
        <v>26.25</v>
      </c>
      <c r="AI33" s="14">
        <f t="shared" si="2"/>
        <v>6</v>
      </c>
    </row>
    <row r="34">
      <c r="A34" s="33" t="s">
        <v>127</v>
      </c>
      <c r="B34" s="22">
        <f>AVERAGE(G33:AI33)</f>
        <v>33.29310345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>
      <c r="A35" s="107" t="s">
        <v>128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4"/>
    </row>
    <row r="36">
      <c r="A36" s="108"/>
      <c r="B36" s="109" t="s">
        <v>129</v>
      </c>
      <c r="C36" s="3"/>
      <c r="D36" s="3"/>
      <c r="E36" s="3"/>
      <c r="F36" s="3"/>
      <c r="G36" s="3"/>
      <c r="H36" s="3"/>
      <c r="I36" s="3"/>
      <c r="J36" s="3"/>
      <c r="K36" s="4"/>
      <c r="L36" s="109" t="s">
        <v>130</v>
      </c>
      <c r="M36" s="3"/>
      <c r="N36" s="3"/>
      <c r="O36" s="3"/>
      <c r="P36" s="4"/>
      <c r="Q36" s="109" t="s">
        <v>131</v>
      </c>
      <c r="R36" s="3"/>
      <c r="S36" s="3"/>
      <c r="T36" s="3"/>
      <c r="U36" s="3"/>
      <c r="V36" s="3"/>
      <c r="W36" s="3"/>
      <c r="X36" s="3"/>
      <c r="Y36" s="3"/>
      <c r="Z36" s="4"/>
      <c r="AA36" s="109" t="s">
        <v>132</v>
      </c>
      <c r="AB36" s="3"/>
      <c r="AC36" s="3"/>
      <c r="AD36" s="4"/>
      <c r="AE36" s="109" t="s">
        <v>133</v>
      </c>
      <c r="AF36" s="3"/>
      <c r="AG36" s="3"/>
      <c r="AH36" s="3"/>
      <c r="AI36" s="4"/>
    </row>
    <row r="37">
      <c r="A37" s="110" t="s">
        <v>78</v>
      </c>
      <c r="B37" s="111" t="s">
        <v>6</v>
      </c>
      <c r="C37" s="112" t="s">
        <v>7</v>
      </c>
      <c r="D37" s="112" t="s">
        <v>8</v>
      </c>
      <c r="E37" s="112" t="s">
        <v>9</v>
      </c>
      <c r="F37" s="112" t="s">
        <v>10</v>
      </c>
      <c r="G37" s="112" t="s">
        <v>11</v>
      </c>
      <c r="H37" s="112" t="s">
        <v>12</v>
      </c>
      <c r="I37" s="112" t="s">
        <v>13</v>
      </c>
      <c r="J37" s="112" t="s">
        <v>14</v>
      </c>
      <c r="K37" s="112" t="s">
        <v>15</v>
      </c>
      <c r="L37" s="112" t="s">
        <v>6</v>
      </c>
      <c r="M37" s="112" t="s">
        <v>7</v>
      </c>
      <c r="N37" s="112" t="s">
        <v>8</v>
      </c>
      <c r="O37" s="112" t="s">
        <v>9</v>
      </c>
      <c r="P37" s="112" t="s">
        <v>10</v>
      </c>
      <c r="Q37" s="112" t="s">
        <v>6</v>
      </c>
      <c r="R37" s="112" t="s">
        <v>7</v>
      </c>
      <c r="S37" s="112" t="s">
        <v>8</v>
      </c>
      <c r="T37" s="112" t="s">
        <v>9</v>
      </c>
      <c r="U37" s="112" t="s">
        <v>10</v>
      </c>
      <c r="V37" s="112" t="s">
        <v>11</v>
      </c>
      <c r="W37" s="112" t="s">
        <v>12</v>
      </c>
      <c r="X37" s="112" t="s">
        <v>13</v>
      </c>
      <c r="Y37" s="112" t="s">
        <v>14</v>
      </c>
      <c r="Z37" s="112" t="s">
        <v>15</v>
      </c>
      <c r="AA37" s="112" t="s">
        <v>6</v>
      </c>
      <c r="AB37" s="112" t="s">
        <v>7</v>
      </c>
      <c r="AC37" s="112" t="s">
        <v>8</v>
      </c>
      <c r="AD37" s="112" t="s">
        <v>9</v>
      </c>
      <c r="AE37" s="112" t="s">
        <v>6</v>
      </c>
      <c r="AF37" s="112" t="s">
        <v>7</v>
      </c>
      <c r="AG37" s="112" t="s">
        <v>8</v>
      </c>
      <c r="AH37" s="112" t="s">
        <v>9</v>
      </c>
      <c r="AI37" s="112" t="s">
        <v>10</v>
      </c>
    </row>
    <row r="38">
      <c r="A38" s="113" t="s">
        <v>79</v>
      </c>
      <c r="B38" s="114">
        <v>1.0</v>
      </c>
      <c r="C38" s="114">
        <v>2.0</v>
      </c>
      <c r="D38" s="114">
        <v>3.0</v>
      </c>
      <c r="E38" s="114">
        <v>4.0</v>
      </c>
      <c r="F38" s="114">
        <v>5.0</v>
      </c>
      <c r="G38" s="114">
        <v>6.0</v>
      </c>
      <c r="H38" s="114">
        <v>7.0</v>
      </c>
      <c r="I38" s="114">
        <v>8.0</v>
      </c>
      <c r="J38" s="114">
        <v>9.0</v>
      </c>
      <c r="K38" s="114">
        <v>10.0</v>
      </c>
      <c r="L38" s="114">
        <v>11.0</v>
      </c>
      <c r="M38" s="114">
        <v>12.0</v>
      </c>
      <c r="N38" s="114">
        <v>13.0</v>
      </c>
      <c r="O38" s="114">
        <v>14.0</v>
      </c>
      <c r="P38" s="114">
        <v>15.0</v>
      </c>
      <c r="Q38" s="114">
        <v>16.0</v>
      </c>
      <c r="R38" s="114">
        <v>17.0</v>
      </c>
      <c r="S38" s="114">
        <v>18.0</v>
      </c>
      <c r="T38" s="114">
        <v>19.0</v>
      </c>
      <c r="U38" s="114">
        <v>20.0</v>
      </c>
      <c r="V38" s="114">
        <v>21.0</v>
      </c>
      <c r="W38" s="114">
        <v>21.0</v>
      </c>
      <c r="X38" s="114">
        <v>21.0</v>
      </c>
      <c r="Y38" s="113">
        <v>24.0</v>
      </c>
      <c r="Z38" s="113">
        <v>25.0</v>
      </c>
      <c r="AA38" s="113">
        <v>26.0</v>
      </c>
      <c r="AB38" s="113">
        <v>27.0</v>
      </c>
      <c r="AC38" s="113">
        <v>28.0</v>
      </c>
      <c r="AD38" s="113">
        <v>29.0</v>
      </c>
      <c r="AE38" s="113">
        <v>30.0</v>
      </c>
      <c r="AF38" s="113">
        <v>31.0</v>
      </c>
      <c r="AG38" s="113">
        <v>31.0</v>
      </c>
      <c r="AH38" s="113">
        <v>31.0</v>
      </c>
      <c r="AI38" s="113">
        <v>31.0</v>
      </c>
    </row>
    <row r="39">
      <c r="A39" s="115" t="s">
        <v>106</v>
      </c>
      <c r="B39" s="11">
        <f t="shared" ref="B39:AI39" si="3">B5-B22</f>
        <v>0</v>
      </c>
      <c r="C39" s="11">
        <f t="shared" si="3"/>
        <v>0</v>
      </c>
      <c r="D39" s="11">
        <f t="shared" si="3"/>
        <v>0</v>
      </c>
      <c r="E39" s="11">
        <f t="shared" si="3"/>
        <v>0</v>
      </c>
      <c r="F39" s="11">
        <f t="shared" si="3"/>
        <v>0</v>
      </c>
      <c r="G39" s="11">
        <f t="shared" si="3"/>
        <v>0</v>
      </c>
      <c r="H39" s="11">
        <f t="shared" si="3"/>
        <v>0</v>
      </c>
      <c r="I39" s="11">
        <f t="shared" si="3"/>
        <v>0</v>
      </c>
      <c r="J39" s="11">
        <f t="shared" si="3"/>
        <v>0</v>
      </c>
      <c r="K39" s="11">
        <f t="shared" si="3"/>
        <v>0</v>
      </c>
      <c r="L39" s="11">
        <f t="shared" si="3"/>
        <v>0</v>
      </c>
      <c r="M39" s="11">
        <f t="shared" si="3"/>
        <v>0</v>
      </c>
      <c r="N39" s="11">
        <f t="shared" si="3"/>
        <v>0</v>
      </c>
      <c r="O39" s="11">
        <f t="shared" si="3"/>
        <v>0</v>
      </c>
      <c r="P39" s="11">
        <f t="shared" si="3"/>
        <v>0</v>
      </c>
      <c r="Q39" s="11">
        <f t="shared" si="3"/>
        <v>0</v>
      </c>
      <c r="R39" s="11">
        <f t="shared" si="3"/>
        <v>0</v>
      </c>
      <c r="S39" s="11">
        <f t="shared" si="3"/>
        <v>0</v>
      </c>
      <c r="T39" s="11">
        <f t="shared" si="3"/>
        <v>0.5</v>
      </c>
      <c r="U39" s="11">
        <f t="shared" si="3"/>
        <v>2.5</v>
      </c>
      <c r="V39" s="11">
        <f t="shared" si="3"/>
        <v>-2</v>
      </c>
      <c r="W39" s="11">
        <f t="shared" si="3"/>
        <v>1.75</v>
      </c>
      <c r="X39" s="11">
        <f t="shared" si="3"/>
        <v>2</v>
      </c>
      <c r="Y39" s="11">
        <f t="shared" si="3"/>
        <v>5.75</v>
      </c>
      <c r="Z39" s="11">
        <f t="shared" si="3"/>
        <v>0</v>
      </c>
      <c r="AA39" s="11">
        <f t="shared" si="3"/>
        <v>0</v>
      </c>
      <c r="AB39" s="11">
        <f t="shared" si="3"/>
        <v>0</v>
      </c>
      <c r="AC39" s="11">
        <f t="shared" si="3"/>
        <v>0</v>
      </c>
      <c r="AD39" s="11">
        <f t="shared" si="3"/>
        <v>-9</v>
      </c>
      <c r="AE39" s="11">
        <f t="shared" si="3"/>
        <v>0</v>
      </c>
      <c r="AF39" s="11">
        <f t="shared" si="3"/>
        <v>-11</v>
      </c>
      <c r="AG39" s="11">
        <f t="shared" si="3"/>
        <v>-15</v>
      </c>
      <c r="AH39" s="11">
        <f t="shared" si="3"/>
        <v>-5.25</v>
      </c>
      <c r="AI39" s="11">
        <f t="shared" si="3"/>
        <v>2</v>
      </c>
    </row>
    <row r="40">
      <c r="A40" s="115" t="s">
        <v>107</v>
      </c>
      <c r="B40" s="11">
        <f t="shared" ref="B40:AI40" si="4">B6-B23</f>
        <v>0</v>
      </c>
      <c r="C40" s="11">
        <f t="shared" si="4"/>
        <v>0</v>
      </c>
      <c r="D40" s="11">
        <f t="shared" si="4"/>
        <v>0</v>
      </c>
      <c r="E40" s="11">
        <f t="shared" si="4"/>
        <v>0</v>
      </c>
      <c r="F40" s="11">
        <f t="shared" si="4"/>
        <v>0</v>
      </c>
      <c r="G40" s="11">
        <f t="shared" si="4"/>
        <v>0</v>
      </c>
      <c r="H40" s="11">
        <f t="shared" si="4"/>
        <v>0</v>
      </c>
      <c r="I40" s="11">
        <f t="shared" si="4"/>
        <v>0</v>
      </c>
      <c r="J40" s="11">
        <f t="shared" si="4"/>
        <v>0</v>
      </c>
      <c r="K40" s="11">
        <f t="shared" si="4"/>
        <v>0</v>
      </c>
      <c r="L40" s="11">
        <f t="shared" si="4"/>
        <v>0</v>
      </c>
      <c r="M40" s="11">
        <f t="shared" si="4"/>
        <v>0</v>
      </c>
      <c r="N40" s="11">
        <f t="shared" si="4"/>
        <v>0</v>
      </c>
      <c r="O40" s="11">
        <f t="shared" si="4"/>
        <v>0</v>
      </c>
      <c r="P40" s="11">
        <f t="shared" si="4"/>
        <v>0</v>
      </c>
      <c r="Q40" s="11">
        <f t="shared" si="4"/>
        <v>0</v>
      </c>
      <c r="R40" s="11">
        <f t="shared" si="4"/>
        <v>0</v>
      </c>
      <c r="S40" s="11">
        <f t="shared" si="4"/>
        <v>0</v>
      </c>
      <c r="T40" s="11">
        <f t="shared" si="4"/>
        <v>1.75</v>
      </c>
      <c r="U40" s="11">
        <f t="shared" si="4"/>
        <v>-8.25</v>
      </c>
      <c r="V40" s="11">
        <f t="shared" si="4"/>
        <v>-0.5</v>
      </c>
      <c r="W40" s="11">
        <f t="shared" si="4"/>
        <v>-4</v>
      </c>
      <c r="X40" s="11">
        <f t="shared" si="4"/>
        <v>-4.75</v>
      </c>
      <c r="Y40" s="11">
        <f t="shared" si="4"/>
        <v>2.75</v>
      </c>
      <c r="Z40" s="11">
        <f t="shared" si="4"/>
        <v>-8.5</v>
      </c>
      <c r="AA40" s="11">
        <f t="shared" si="4"/>
        <v>0</v>
      </c>
      <c r="AB40" s="11">
        <f t="shared" si="4"/>
        <v>0</v>
      </c>
      <c r="AC40" s="11">
        <f t="shared" si="4"/>
        <v>0</v>
      </c>
      <c r="AD40" s="11">
        <f t="shared" si="4"/>
        <v>-3.5</v>
      </c>
      <c r="AE40" s="11">
        <f t="shared" si="4"/>
        <v>3</v>
      </c>
      <c r="AF40" s="11">
        <f t="shared" si="4"/>
        <v>-7.25</v>
      </c>
      <c r="AG40" s="11">
        <f t="shared" si="4"/>
        <v>1.25</v>
      </c>
      <c r="AH40" s="11">
        <f t="shared" si="4"/>
        <v>-4.25</v>
      </c>
      <c r="AI40" s="11">
        <f t="shared" si="4"/>
        <v>0.25</v>
      </c>
    </row>
    <row r="41">
      <c r="A41" s="115" t="s">
        <v>108</v>
      </c>
      <c r="B41" s="11">
        <f t="shared" ref="B41:AI41" si="5">B7-B24</f>
        <v>0</v>
      </c>
      <c r="C41" s="11">
        <f t="shared" si="5"/>
        <v>0</v>
      </c>
      <c r="D41" s="11">
        <f t="shared" si="5"/>
        <v>0</v>
      </c>
      <c r="E41" s="11">
        <f t="shared" si="5"/>
        <v>0</v>
      </c>
      <c r="F41" s="11">
        <f t="shared" si="5"/>
        <v>0</v>
      </c>
      <c r="G41" s="11">
        <f t="shared" si="5"/>
        <v>0</v>
      </c>
      <c r="H41" s="11">
        <f t="shared" si="5"/>
        <v>0</v>
      </c>
      <c r="I41" s="11">
        <f t="shared" si="5"/>
        <v>0</v>
      </c>
      <c r="J41" s="11">
        <f t="shared" si="5"/>
        <v>0</v>
      </c>
      <c r="K41" s="11">
        <f t="shared" si="5"/>
        <v>0</v>
      </c>
      <c r="L41" s="11">
        <f t="shared" si="5"/>
        <v>0</v>
      </c>
      <c r="M41" s="11">
        <f t="shared" si="5"/>
        <v>0</v>
      </c>
      <c r="N41" s="11">
        <f t="shared" si="5"/>
        <v>0</v>
      </c>
      <c r="O41" s="11">
        <f t="shared" si="5"/>
        <v>0</v>
      </c>
      <c r="P41" s="11">
        <f t="shared" si="5"/>
        <v>0</v>
      </c>
      <c r="Q41" s="11">
        <f t="shared" si="5"/>
        <v>0</v>
      </c>
      <c r="R41" s="11">
        <f t="shared" si="5"/>
        <v>0</v>
      </c>
      <c r="S41" s="11">
        <f t="shared" si="5"/>
        <v>0</v>
      </c>
      <c r="T41" s="11">
        <f t="shared" si="5"/>
        <v>1</v>
      </c>
      <c r="U41" s="11">
        <f t="shared" si="5"/>
        <v>2</v>
      </c>
      <c r="V41" s="11">
        <f t="shared" si="5"/>
        <v>1</v>
      </c>
      <c r="W41" s="11">
        <f t="shared" si="5"/>
        <v>2.5</v>
      </c>
      <c r="X41" s="11">
        <f t="shared" si="5"/>
        <v>1.25</v>
      </c>
      <c r="Y41" s="11">
        <f t="shared" si="5"/>
        <v>3</v>
      </c>
      <c r="Z41" s="11">
        <f t="shared" si="5"/>
        <v>-3.25</v>
      </c>
      <c r="AA41" s="11">
        <f t="shared" si="5"/>
        <v>0</v>
      </c>
      <c r="AB41" s="11">
        <f t="shared" si="5"/>
        <v>0</v>
      </c>
      <c r="AC41" s="11">
        <f t="shared" si="5"/>
        <v>0</v>
      </c>
      <c r="AD41" s="11">
        <f t="shared" si="5"/>
        <v>0</v>
      </c>
      <c r="AE41" s="11">
        <f t="shared" si="5"/>
        <v>1</v>
      </c>
      <c r="AF41" s="11">
        <f t="shared" si="5"/>
        <v>2</v>
      </c>
      <c r="AG41" s="11">
        <f t="shared" si="5"/>
        <v>4</v>
      </c>
      <c r="AH41" s="11">
        <f t="shared" si="5"/>
        <v>3</v>
      </c>
      <c r="AI41" s="11">
        <f t="shared" si="5"/>
        <v>3</v>
      </c>
    </row>
    <row r="42">
      <c r="A42" s="115" t="s">
        <v>125</v>
      </c>
      <c r="B42" s="11">
        <f t="shared" ref="B42:AI42" si="6">B8-B25</f>
        <v>0</v>
      </c>
      <c r="C42" s="11">
        <f t="shared" si="6"/>
        <v>0</v>
      </c>
      <c r="D42" s="11">
        <f t="shared" si="6"/>
        <v>0</v>
      </c>
      <c r="E42" s="11">
        <f t="shared" si="6"/>
        <v>0</v>
      </c>
      <c r="F42" s="11">
        <f t="shared" si="6"/>
        <v>0</v>
      </c>
      <c r="G42" s="11">
        <f t="shared" si="6"/>
        <v>0</v>
      </c>
      <c r="H42" s="11">
        <f t="shared" si="6"/>
        <v>0</v>
      </c>
      <c r="I42" s="11">
        <f t="shared" si="6"/>
        <v>0</v>
      </c>
      <c r="J42" s="11">
        <f t="shared" si="6"/>
        <v>0</v>
      </c>
      <c r="K42" s="11">
        <f t="shared" si="6"/>
        <v>0</v>
      </c>
      <c r="L42" s="11">
        <f t="shared" si="6"/>
        <v>0</v>
      </c>
      <c r="M42" s="11">
        <f t="shared" si="6"/>
        <v>0</v>
      </c>
      <c r="N42" s="11">
        <f t="shared" si="6"/>
        <v>0</v>
      </c>
      <c r="O42" s="11">
        <f t="shared" si="6"/>
        <v>0</v>
      </c>
      <c r="P42" s="11">
        <f t="shared" si="6"/>
        <v>0</v>
      </c>
      <c r="Q42" s="11">
        <f t="shared" si="6"/>
        <v>0</v>
      </c>
      <c r="R42" s="11">
        <f t="shared" si="6"/>
        <v>0</v>
      </c>
      <c r="S42" s="11">
        <f t="shared" si="6"/>
        <v>0</v>
      </c>
      <c r="T42" s="11">
        <f t="shared" si="6"/>
        <v>1</v>
      </c>
      <c r="U42" s="11">
        <f t="shared" si="6"/>
        <v>3</v>
      </c>
      <c r="V42" s="11">
        <f t="shared" si="6"/>
        <v>3.5</v>
      </c>
      <c r="W42" s="11">
        <f t="shared" si="6"/>
        <v>4.25</v>
      </c>
      <c r="X42" s="11">
        <f t="shared" si="6"/>
        <v>3</v>
      </c>
      <c r="Y42" s="11">
        <f t="shared" si="6"/>
        <v>-5.25</v>
      </c>
      <c r="Z42" s="11">
        <f t="shared" si="6"/>
        <v>3.5</v>
      </c>
      <c r="AA42" s="11">
        <f t="shared" si="6"/>
        <v>0</v>
      </c>
      <c r="AB42" s="11">
        <f t="shared" si="6"/>
        <v>0</v>
      </c>
      <c r="AC42" s="11">
        <f t="shared" si="6"/>
        <v>0</v>
      </c>
      <c r="AD42" s="11">
        <f t="shared" si="6"/>
        <v>0</v>
      </c>
      <c r="AE42" s="11">
        <f t="shared" si="6"/>
        <v>0</v>
      </c>
      <c r="AF42" s="11">
        <f t="shared" si="6"/>
        <v>0</v>
      </c>
      <c r="AG42" s="11">
        <f t="shared" si="6"/>
        <v>-4.25</v>
      </c>
      <c r="AH42" s="11">
        <f t="shared" si="6"/>
        <v>-2</v>
      </c>
      <c r="AI42" s="11">
        <f t="shared" si="6"/>
        <v>0</v>
      </c>
    </row>
    <row r="43">
      <c r="A43" s="115" t="s">
        <v>110</v>
      </c>
      <c r="B43" s="11">
        <f t="shared" ref="B43:AI43" si="7">B9-B26</f>
        <v>0</v>
      </c>
      <c r="C43" s="11">
        <f t="shared" si="7"/>
        <v>0</v>
      </c>
      <c r="D43" s="11">
        <f t="shared" si="7"/>
        <v>0</v>
      </c>
      <c r="E43" s="11">
        <f t="shared" si="7"/>
        <v>0</v>
      </c>
      <c r="F43" s="11">
        <f t="shared" si="7"/>
        <v>0</v>
      </c>
      <c r="G43" s="11">
        <f t="shared" si="7"/>
        <v>0</v>
      </c>
      <c r="H43" s="11">
        <f t="shared" si="7"/>
        <v>0</v>
      </c>
      <c r="I43" s="11">
        <f t="shared" si="7"/>
        <v>0</v>
      </c>
      <c r="J43" s="11">
        <f t="shared" si="7"/>
        <v>0</v>
      </c>
      <c r="K43" s="11">
        <f t="shared" si="7"/>
        <v>0</v>
      </c>
      <c r="L43" s="11">
        <f t="shared" si="7"/>
        <v>0</v>
      </c>
      <c r="M43" s="11">
        <f t="shared" si="7"/>
        <v>0</v>
      </c>
      <c r="N43" s="11">
        <f t="shared" si="7"/>
        <v>0</v>
      </c>
      <c r="O43" s="11">
        <f t="shared" si="7"/>
        <v>0</v>
      </c>
      <c r="P43" s="11">
        <f t="shared" si="7"/>
        <v>0</v>
      </c>
      <c r="Q43" s="11">
        <f t="shared" si="7"/>
        <v>0</v>
      </c>
      <c r="R43" s="11">
        <f t="shared" si="7"/>
        <v>0</v>
      </c>
      <c r="S43" s="11">
        <f t="shared" si="7"/>
        <v>0</v>
      </c>
      <c r="T43" s="11">
        <f t="shared" si="7"/>
        <v>-4.5</v>
      </c>
      <c r="U43" s="11">
        <f t="shared" si="7"/>
        <v>-1</v>
      </c>
      <c r="V43" s="11">
        <f t="shared" si="7"/>
        <v>1</v>
      </c>
      <c r="W43" s="11">
        <f t="shared" si="7"/>
        <v>0</v>
      </c>
      <c r="X43" s="11">
        <f t="shared" si="7"/>
        <v>0</v>
      </c>
      <c r="Y43" s="11">
        <f t="shared" si="7"/>
        <v>5</v>
      </c>
      <c r="Z43" s="11">
        <f t="shared" si="7"/>
        <v>7</v>
      </c>
      <c r="AA43" s="11">
        <f t="shared" si="7"/>
        <v>0</v>
      </c>
      <c r="AB43" s="11">
        <f t="shared" si="7"/>
        <v>0</v>
      </c>
      <c r="AC43" s="11">
        <f t="shared" si="7"/>
        <v>0</v>
      </c>
      <c r="AD43" s="11">
        <f t="shared" si="7"/>
        <v>-0.5</v>
      </c>
      <c r="AE43" s="11">
        <f t="shared" si="7"/>
        <v>-3.25</v>
      </c>
      <c r="AF43" s="11">
        <f t="shared" si="7"/>
        <v>-5.5</v>
      </c>
      <c r="AG43" s="11">
        <f t="shared" si="7"/>
        <v>0.25</v>
      </c>
      <c r="AH43" s="11">
        <f t="shared" si="7"/>
        <v>2</v>
      </c>
      <c r="AI43" s="11">
        <f t="shared" si="7"/>
        <v>0.75</v>
      </c>
    </row>
    <row r="44">
      <c r="A44" s="115" t="s">
        <v>111</v>
      </c>
      <c r="B44" s="11">
        <f t="shared" ref="B44:AI44" si="8">B10-B27</f>
        <v>0</v>
      </c>
      <c r="C44" s="11">
        <f t="shared" si="8"/>
        <v>0</v>
      </c>
      <c r="D44" s="11">
        <f t="shared" si="8"/>
        <v>0</v>
      </c>
      <c r="E44" s="11">
        <f t="shared" si="8"/>
        <v>0</v>
      </c>
      <c r="F44" s="11">
        <f t="shared" si="8"/>
        <v>0</v>
      </c>
      <c r="G44" s="11">
        <f t="shared" si="8"/>
        <v>0</v>
      </c>
      <c r="H44" s="11">
        <f t="shared" si="8"/>
        <v>0</v>
      </c>
      <c r="I44" s="11">
        <f t="shared" si="8"/>
        <v>0</v>
      </c>
      <c r="J44" s="11">
        <f t="shared" si="8"/>
        <v>0</v>
      </c>
      <c r="K44" s="11">
        <f t="shared" si="8"/>
        <v>0</v>
      </c>
      <c r="L44" s="11">
        <f t="shared" si="8"/>
        <v>0</v>
      </c>
      <c r="M44" s="11">
        <f t="shared" si="8"/>
        <v>0</v>
      </c>
      <c r="N44" s="11">
        <f t="shared" si="8"/>
        <v>0</v>
      </c>
      <c r="O44" s="11">
        <f t="shared" si="8"/>
        <v>0</v>
      </c>
      <c r="P44" s="11">
        <f t="shared" si="8"/>
        <v>0</v>
      </c>
      <c r="Q44" s="11">
        <f t="shared" si="8"/>
        <v>0</v>
      </c>
      <c r="R44" s="11">
        <f t="shared" si="8"/>
        <v>0</v>
      </c>
      <c r="S44" s="11">
        <f t="shared" si="8"/>
        <v>0</v>
      </c>
      <c r="T44" s="11">
        <f t="shared" si="8"/>
        <v>1</v>
      </c>
      <c r="U44" s="11">
        <f t="shared" si="8"/>
        <v>3.25</v>
      </c>
      <c r="V44" s="11">
        <f t="shared" si="8"/>
        <v>-0.25</v>
      </c>
      <c r="W44" s="11">
        <f t="shared" si="8"/>
        <v>2.75</v>
      </c>
      <c r="X44" s="11">
        <f t="shared" si="8"/>
        <v>4.5</v>
      </c>
      <c r="Y44" s="11">
        <f t="shared" si="8"/>
        <v>8</v>
      </c>
      <c r="Z44" s="11">
        <f t="shared" si="8"/>
        <v>2.75</v>
      </c>
      <c r="AA44" s="11">
        <f t="shared" si="8"/>
        <v>0</v>
      </c>
      <c r="AB44" s="11">
        <f t="shared" si="8"/>
        <v>0</v>
      </c>
      <c r="AC44" s="11">
        <f t="shared" si="8"/>
        <v>0</v>
      </c>
      <c r="AD44" s="11">
        <f t="shared" si="8"/>
        <v>0</v>
      </c>
      <c r="AE44" s="11">
        <f t="shared" si="8"/>
        <v>4</v>
      </c>
      <c r="AF44" s="11">
        <f t="shared" si="8"/>
        <v>2.5</v>
      </c>
      <c r="AG44" s="11">
        <f t="shared" si="8"/>
        <v>4.25</v>
      </c>
      <c r="AH44" s="11">
        <f t="shared" si="8"/>
        <v>1.25</v>
      </c>
      <c r="AI44" s="11">
        <f t="shared" si="8"/>
        <v>7</v>
      </c>
    </row>
    <row r="45">
      <c r="A45" s="115" t="s">
        <v>112</v>
      </c>
      <c r="B45" s="11">
        <f t="shared" ref="B45:AI45" si="9">B11-B28</f>
        <v>0</v>
      </c>
      <c r="C45" s="11">
        <f t="shared" si="9"/>
        <v>0</v>
      </c>
      <c r="D45" s="11">
        <f t="shared" si="9"/>
        <v>0</v>
      </c>
      <c r="E45" s="11">
        <f t="shared" si="9"/>
        <v>0</v>
      </c>
      <c r="F45" s="11">
        <f t="shared" si="9"/>
        <v>0</v>
      </c>
      <c r="G45" s="11">
        <f t="shared" si="9"/>
        <v>0</v>
      </c>
      <c r="H45" s="11">
        <f t="shared" si="9"/>
        <v>0</v>
      </c>
      <c r="I45" s="11">
        <f t="shared" si="9"/>
        <v>0</v>
      </c>
      <c r="J45" s="11">
        <f t="shared" si="9"/>
        <v>0</v>
      </c>
      <c r="K45" s="11">
        <f t="shared" si="9"/>
        <v>0</v>
      </c>
      <c r="L45" s="11">
        <f t="shared" si="9"/>
        <v>0</v>
      </c>
      <c r="M45" s="11">
        <f t="shared" si="9"/>
        <v>0</v>
      </c>
      <c r="N45" s="11">
        <f t="shared" si="9"/>
        <v>0</v>
      </c>
      <c r="O45" s="11">
        <f t="shared" si="9"/>
        <v>0</v>
      </c>
      <c r="P45" s="11">
        <f t="shared" si="9"/>
        <v>0</v>
      </c>
      <c r="Q45" s="11">
        <f t="shared" si="9"/>
        <v>0</v>
      </c>
      <c r="R45" s="11">
        <f t="shared" si="9"/>
        <v>0</v>
      </c>
      <c r="S45" s="11">
        <f t="shared" si="9"/>
        <v>0</v>
      </c>
      <c r="T45" s="11">
        <f t="shared" si="9"/>
        <v>-4.5</v>
      </c>
      <c r="U45" s="11">
        <f t="shared" si="9"/>
        <v>-2.75</v>
      </c>
      <c r="V45" s="11">
        <f t="shared" si="9"/>
        <v>-3.5</v>
      </c>
      <c r="W45" s="11">
        <f t="shared" si="9"/>
        <v>-6</v>
      </c>
      <c r="X45" s="11">
        <f t="shared" si="9"/>
        <v>-10.75</v>
      </c>
      <c r="Y45" s="11">
        <f t="shared" si="9"/>
        <v>-2.75</v>
      </c>
      <c r="Z45" s="11">
        <f t="shared" si="9"/>
        <v>-12.75</v>
      </c>
      <c r="AA45" s="11">
        <f t="shared" si="9"/>
        <v>0</v>
      </c>
      <c r="AB45" s="11">
        <f t="shared" si="9"/>
        <v>0</v>
      </c>
      <c r="AC45" s="11">
        <f t="shared" si="9"/>
        <v>0</v>
      </c>
      <c r="AD45" s="11">
        <f t="shared" si="9"/>
        <v>0</v>
      </c>
      <c r="AE45" s="11">
        <f t="shared" si="9"/>
        <v>1</v>
      </c>
      <c r="AF45" s="11">
        <f t="shared" si="9"/>
        <v>2</v>
      </c>
      <c r="AG45" s="11">
        <f t="shared" si="9"/>
        <v>4</v>
      </c>
      <c r="AH45" s="11">
        <f t="shared" si="9"/>
        <v>3</v>
      </c>
      <c r="AI45" s="11">
        <f t="shared" si="9"/>
        <v>3</v>
      </c>
    </row>
    <row r="46">
      <c r="A46" s="115" t="s">
        <v>113</v>
      </c>
      <c r="B46" s="11">
        <f t="shared" ref="B46:AI46" si="10">B12-B29</f>
        <v>0</v>
      </c>
      <c r="C46" s="11">
        <f t="shared" si="10"/>
        <v>0</v>
      </c>
      <c r="D46" s="11">
        <f t="shared" si="10"/>
        <v>0</v>
      </c>
      <c r="E46" s="11">
        <f t="shared" si="10"/>
        <v>0</v>
      </c>
      <c r="F46" s="11">
        <f t="shared" si="10"/>
        <v>0</v>
      </c>
      <c r="G46" s="11">
        <f t="shared" si="10"/>
        <v>0</v>
      </c>
      <c r="H46" s="11">
        <f t="shared" si="10"/>
        <v>0</v>
      </c>
      <c r="I46" s="11">
        <f t="shared" si="10"/>
        <v>0</v>
      </c>
      <c r="J46" s="11">
        <f t="shared" si="10"/>
        <v>0</v>
      </c>
      <c r="K46" s="11">
        <f t="shared" si="10"/>
        <v>0</v>
      </c>
      <c r="L46" s="11">
        <f t="shared" si="10"/>
        <v>0</v>
      </c>
      <c r="M46" s="11">
        <f t="shared" si="10"/>
        <v>0</v>
      </c>
      <c r="N46" s="11">
        <f t="shared" si="10"/>
        <v>0</v>
      </c>
      <c r="O46" s="11">
        <f t="shared" si="10"/>
        <v>0</v>
      </c>
      <c r="P46" s="11">
        <f t="shared" si="10"/>
        <v>0</v>
      </c>
      <c r="Q46" s="11">
        <f t="shared" si="10"/>
        <v>0</v>
      </c>
      <c r="R46" s="11">
        <f t="shared" si="10"/>
        <v>0</v>
      </c>
      <c r="S46" s="11">
        <f t="shared" si="10"/>
        <v>0</v>
      </c>
      <c r="T46" s="11">
        <f t="shared" si="10"/>
        <v>1</v>
      </c>
      <c r="U46" s="11">
        <f t="shared" si="10"/>
        <v>3</v>
      </c>
      <c r="V46" s="11">
        <f t="shared" si="10"/>
        <v>0.75</v>
      </c>
      <c r="W46" s="11">
        <f t="shared" si="10"/>
        <v>-2.25</v>
      </c>
      <c r="X46" s="11">
        <f t="shared" si="10"/>
        <v>-7.5</v>
      </c>
      <c r="Y46" s="11">
        <f t="shared" si="10"/>
        <v>-1.25</v>
      </c>
      <c r="Z46" s="11">
        <f t="shared" si="10"/>
        <v>-4.25</v>
      </c>
      <c r="AA46" s="11">
        <f t="shared" si="10"/>
        <v>0</v>
      </c>
      <c r="AB46" s="11">
        <f t="shared" si="10"/>
        <v>0</v>
      </c>
      <c r="AC46" s="11">
        <f t="shared" si="10"/>
        <v>0</v>
      </c>
      <c r="AD46" s="11">
        <f t="shared" si="10"/>
        <v>0</v>
      </c>
      <c r="AE46" s="11">
        <f t="shared" si="10"/>
        <v>2</v>
      </c>
      <c r="AF46" s="11">
        <f t="shared" si="10"/>
        <v>2</v>
      </c>
      <c r="AG46" s="11">
        <f t="shared" si="10"/>
        <v>-0.25</v>
      </c>
      <c r="AH46" s="11">
        <f t="shared" si="10"/>
        <v>2</v>
      </c>
      <c r="AI46" s="11">
        <f t="shared" si="10"/>
        <v>2</v>
      </c>
    </row>
    <row r="47">
      <c r="A47" s="115" t="s">
        <v>114</v>
      </c>
      <c r="B47" s="11">
        <f t="shared" ref="B47:AI47" si="11">B13-B30</f>
        <v>0</v>
      </c>
      <c r="C47" s="11">
        <f t="shared" si="11"/>
        <v>0</v>
      </c>
      <c r="D47" s="11">
        <f t="shared" si="11"/>
        <v>0</v>
      </c>
      <c r="E47" s="11">
        <f t="shared" si="11"/>
        <v>0</v>
      </c>
      <c r="F47" s="11">
        <f t="shared" si="11"/>
        <v>0</v>
      </c>
      <c r="G47" s="11">
        <f t="shared" si="11"/>
        <v>0</v>
      </c>
      <c r="H47" s="11">
        <f t="shared" si="11"/>
        <v>0</v>
      </c>
      <c r="I47" s="11">
        <f t="shared" si="11"/>
        <v>0</v>
      </c>
      <c r="J47" s="11">
        <f t="shared" si="11"/>
        <v>0</v>
      </c>
      <c r="K47" s="11">
        <f t="shared" si="11"/>
        <v>0</v>
      </c>
      <c r="L47" s="11">
        <f t="shared" si="11"/>
        <v>0</v>
      </c>
      <c r="M47" s="11">
        <f t="shared" si="11"/>
        <v>0</v>
      </c>
      <c r="N47" s="11">
        <f t="shared" si="11"/>
        <v>0</v>
      </c>
      <c r="O47" s="11">
        <f t="shared" si="11"/>
        <v>0</v>
      </c>
      <c r="P47" s="11">
        <f t="shared" si="11"/>
        <v>0</v>
      </c>
      <c r="Q47" s="11">
        <f t="shared" si="11"/>
        <v>0</v>
      </c>
      <c r="R47" s="11">
        <f t="shared" si="11"/>
        <v>0</v>
      </c>
      <c r="S47" s="11">
        <f t="shared" si="11"/>
        <v>0</v>
      </c>
      <c r="T47" s="11">
        <f t="shared" si="11"/>
        <v>1</v>
      </c>
      <c r="U47" s="11">
        <f t="shared" si="11"/>
        <v>1</v>
      </c>
      <c r="V47" s="11">
        <f t="shared" si="11"/>
        <v>-3</v>
      </c>
      <c r="W47" s="11">
        <f t="shared" si="11"/>
        <v>2.75</v>
      </c>
      <c r="X47" s="11">
        <f t="shared" si="11"/>
        <v>2.5</v>
      </c>
      <c r="Y47" s="11">
        <f t="shared" si="11"/>
        <v>2</v>
      </c>
      <c r="Z47" s="11">
        <f t="shared" si="11"/>
        <v>1.5</v>
      </c>
      <c r="AA47" s="11">
        <f t="shared" si="11"/>
        <v>0</v>
      </c>
      <c r="AB47" s="11">
        <f t="shared" si="11"/>
        <v>0</v>
      </c>
      <c r="AC47" s="11">
        <f t="shared" si="11"/>
        <v>0</v>
      </c>
      <c r="AD47" s="11">
        <f t="shared" si="11"/>
        <v>0</v>
      </c>
      <c r="AE47" s="11">
        <f t="shared" si="11"/>
        <v>4</v>
      </c>
      <c r="AF47" s="11">
        <f t="shared" si="11"/>
        <v>1</v>
      </c>
      <c r="AG47" s="11">
        <f t="shared" si="11"/>
        <v>1.25</v>
      </c>
      <c r="AH47" s="11">
        <f t="shared" si="11"/>
        <v>1</v>
      </c>
      <c r="AI47" s="11">
        <f t="shared" si="11"/>
        <v>4</v>
      </c>
    </row>
    <row r="48">
      <c r="A48" s="115" t="s">
        <v>115</v>
      </c>
      <c r="B48" s="11">
        <f t="shared" ref="B48:AI48" si="12">B14-B31</f>
        <v>0</v>
      </c>
      <c r="C48" s="11">
        <f t="shared" si="12"/>
        <v>0</v>
      </c>
      <c r="D48" s="11">
        <f t="shared" si="12"/>
        <v>0</v>
      </c>
      <c r="E48" s="11">
        <f t="shared" si="12"/>
        <v>0</v>
      </c>
      <c r="F48" s="11">
        <f t="shared" si="12"/>
        <v>0</v>
      </c>
      <c r="G48" s="11">
        <f t="shared" si="12"/>
        <v>0</v>
      </c>
      <c r="H48" s="11">
        <f t="shared" si="12"/>
        <v>0</v>
      </c>
      <c r="I48" s="11">
        <f t="shared" si="12"/>
        <v>0</v>
      </c>
      <c r="J48" s="11">
        <f t="shared" si="12"/>
        <v>0</v>
      </c>
      <c r="K48" s="11">
        <f t="shared" si="12"/>
        <v>0</v>
      </c>
      <c r="L48" s="11">
        <f t="shared" si="12"/>
        <v>0</v>
      </c>
      <c r="M48" s="11">
        <f t="shared" si="12"/>
        <v>0</v>
      </c>
      <c r="N48" s="11">
        <f t="shared" si="12"/>
        <v>0</v>
      </c>
      <c r="O48" s="11">
        <f t="shared" si="12"/>
        <v>0</v>
      </c>
      <c r="P48" s="11">
        <f t="shared" si="12"/>
        <v>0</v>
      </c>
      <c r="Q48" s="11">
        <f t="shared" si="12"/>
        <v>0</v>
      </c>
      <c r="R48" s="11">
        <f t="shared" si="12"/>
        <v>0</v>
      </c>
      <c r="S48" s="11">
        <f t="shared" si="12"/>
        <v>0</v>
      </c>
      <c r="T48" s="11">
        <f t="shared" si="12"/>
        <v>1</v>
      </c>
      <c r="U48" s="11">
        <f t="shared" si="12"/>
        <v>3</v>
      </c>
      <c r="V48" s="11">
        <f t="shared" si="12"/>
        <v>2</v>
      </c>
      <c r="W48" s="11">
        <f t="shared" si="12"/>
        <v>-7.75</v>
      </c>
      <c r="X48" s="11">
        <f t="shared" si="12"/>
        <v>-7</v>
      </c>
      <c r="Y48" s="11">
        <f t="shared" si="12"/>
        <v>-1</v>
      </c>
      <c r="Z48" s="11">
        <f t="shared" si="12"/>
        <v>-3</v>
      </c>
      <c r="AA48" s="11">
        <f t="shared" si="12"/>
        <v>0</v>
      </c>
      <c r="AB48" s="11">
        <f t="shared" si="12"/>
        <v>-1.25</v>
      </c>
      <c r="AC48" s="11">
        <f t="shared" si="12"/>
        <v>0</v>
      </c>
      <c r="AD48" s="11">
        <f t="shared" si="12"/>
        <v>0</v>
      </c>
      <c r="AE48" s="11">
        <f t="shared" si="12"/>
        <v>-10</v>
      </c>
      <c r="AF48" s="11">
        <f t="shared" si="12"/>
        <v>-1.75</v>
      </c>
      <c r="AG48" s="11">
        <f t="shared" si="12"/>
        <v>-2.25</v>
      </c>
      <c r="AH48" s="11">
        <f t="shared" si="12"/>
        <v>-4</v>
      </c>
      <c r="AI48" s="11">
        <f t="shared" si="12"/>
        <v>-1</v>
      </c>
    </row>
    <row r="49">
      <c r="A49" s="115" t="s">
        <v>116</v>
      </c>
      <c r="B49" s="11">
        <f t="shared" ref="B49:AI49" si="13">B15-B32</f>
        <v>0</v>
      </c>
      <c r="C49" s="11">
        <f t="shared" si="13"/>
        <v>0</v>
      </c>
      <c r="D49" s="11">
        <f t="shared" si="13"/>
        <v>0</v>
      </c>
      <c r="E49" s="11">
        <f t="shared" si="13"/>
        <v>0</v>
      </c>
      <c r="F49" s="11">
        <f t="shared" si="13"/>
        <v>0</v>
      </c>
      <c r="G49" s="11">
        <f t="shared" si="13"/>
        <v>0</v>
      </c>
      <c r="H49" s="11">
        <f t="shared" si="13"/>
        <v>0</v>
      </c>
      <c r="I49" s="11">
        <f t="shared" si="13"/>
        <v>0</v>
      </c>
      <c r="J49" s="11">
        <f t="shared" si="13"/>
        <v>0</v>
      </c>
      <c r="K49" s="11">
        <f t="shared" si="13"/>
        <v>0</v>
      </c>
      <c r="L49" s="11">
        <f t="shared" si="13"/>
        <v>0</v>
      </c>
      <c r="M49" s="11">
        <f t="shared" si="13"/>
        <v>0</v>
      </c>
      <c r="N49" s="11">
        <f t="shared" si="13"/>
        <v>0</v>
      </c>
      <c r="O49" s="11">
        <f t="shared" si="13"/>
        <v>0</v>
      </c>
      <c r="P49" s="11">
        <f t="shared" si="13"/>
        <v>0</v>
      </c>
      <c r="Q49" s="11">
        <f t="shared" si="13"/>
        <v>0</v>
      </c>
      <c r="R49" s="11">
        <f t="shared" si="13"/>
        <v>0</v>
      </c>
      <c r="S49" s="11">
        <f t="shared" si="13"/>
        <v>0</v>
      </c>
      <c r="T49" s="11">
        <f t="shared" si="13"/>
        <v>0</v>
      </c>
      <c r="U49" s="11">
        <f t="shared" si="13"/>
        <v>4</v>
      </c>
      <c r="V49" s="11">
        <f t="shared" si="13"/>
        <v>4</v>
      </c>
      <c r="W49" s="11">
        <f t="shared" si="13"/>
        <v>5</v>
      </c>
      <c r="X49" s="11">
        <f t="shared" si="13"/>
        <v>5</v>
      </c>
      <c r="Y49" s="11">
        <f t="shared" si="13"/>
        <v>5</v>
      </c>
      <c r="Z49" s="11">
        <f t="shared" si="13"/>
        <v>6</v>
      </c>
      <c r="AA49" s="11">
        <f t="shared" si="13"/>
        <v>0</v>
      </c>
      <c r="AB49" s="11">
        <f t="shared" si="13"/>
        <v>0</v>
      </c>
      <c r="AC49" s="11">
        <f t="shared" si="13"/>
        <v>0</v>
      </c>
      <c r="AD49" s="11">
        <f t="shared" si="13"/>
        <v>0</v>
      </c>
      <c r="AE49" s="11">
        <f t="shared" si="13"/>
        <v>2</v>
      </c>
      <c r="AF49" s="11">
        <f t="shared" si="13"/>
        <v>2</v>
      </c>
      <c r="AG49" s="11">
        <f t="shared" si="13"/>
        <v>2</v>
      </c>
      <c r="AH49" s="11">
        <f t="shared" si="13"/>
        <v>2</v>
      </c>
      <c r="AI49" s="11">
        <f t="shared" si="13"/>
        <v>2</v>
      </c>
    </row>
    <row r="50">
      <c r="A50" s="5" t="s">
        <v>134</v>
      </c>
      <c r="B50" s="11">
        <f t="shared" ref="B50:AI50" si="14">SUM(B39:B49)</f>
        <v>0</v>
      </c>
      <c r="C50" s="11">
        <f t="shared" si="14"/>
        <v>0</v>
      </c>
      <c r="D50" s="11">
        <f t="shared" si="14"/>
        <v>0</v>
      </c>
      <c r="E50" s="11">
        <f t="shared" si="14"/>
        <v>0</v>
      </c>
      <c r="F50" s="11">
        <f t="shared" si="14"/>
        <v>0</v>
      </c>
      <c r="G50" s="11">
        <f t="shared" si="14"/>
        <v>0</v>
      </c>
      <c r="H50" s="11">
        <f t="shared" si="14"/>
        <v>0</v>
      </c>
      <c r="I50" s="11">
        <f t="shared" si="14"/>
        <v>0</v>
      </c>
      <c r="J50" s="11">
        <f t="shared" si="14"/>
        <v>0</v>
      </c>
      <c r="K50" s="11">
        <f t="shared" si="14"/>
        <v>0</v>
      </c>
      <c r="L50" s="11">
        <f t="shared" si="14"/>
        <v>0</v>
      </c>
      <c r="M50" s="11">
        <f t="shared" si="14"/>
        <v>0</v>
      </c>
      <c r="N50" s="11">
        <f t="shared" si="14"/>
        <v>0</v>
      </c>
      <c r="O50" s="11">
        <f t="shared" si="14"/>
        <v>0</v>
      </c>
      <c r="P50" s="11">
        <f t="shared" si="14"/>
        <v>0</v>
      </c>
      <c r="Q50" s="11">
        <f t="shared" si="14"/>
        <v>0</v>
      </c>
      <c r="R50" s="11">
        <f t="shared" si="14"/>
        <v>0</v>
      </c>
      <c r="S50" s="11">
        <f t="shared" si="14"/>
        <v>0</v>
      </c>
      <c r="T50" s="11">
        <f t="shared" si="14"/>
        <v>-0.75</v>
      </c>
      <c r="U50" s="11">
        <f t="shared" si="14"/>
        <v>9.75</v>
      </c>
      <c r="V50" s="11">
        <f t="shared" si="14"/>
        <v>3</v>
      </c>
      <c r="W50" s="11">
        <f t="shared" si="14"/>
        <v>-1</v>
      </c>
      <c r="X50" s="11">
        <f t="shared" si="14"/>
        <v>-11.75</v>
      </c>
      <c r="Y50" s="11">
        <f t="shared" si="14"/>
        <v>21.25</v>
      </c>
      <c r="Z50" s="11">
        <f t="shared" si="14"/>
        <v>-11</v>
      </c>
      <c r="AA50" s="11">
        <f t="shared" si="14"/>
        <v>0</v>
      </c>
      <c r="AB50" s="11">
        <f t="shared" si="14"/>
        <v>-1.25</v>
      </c>
      <c r="AC50" s="11">
        <f t="shared" si="14"/>
        <v>0</v>
      </c>
      <c r="AD50" s="11">
        <f t="shared" si="14"/>
        <v>-13</v>
      </c>
      <c r="AE50" s="11">
        <f t="shared" si="14"/>
        <v>3.75</v>
      </c>
      <c r="AF50" s="11">
        <f t="shared" si="14"/>
        <v>-14</v>
      </c>
      <c r="AG50" s="11">
        <f t="shared" si="14"/>
        <v>-4.75</v>
      </c>
      <c r="AH50" s="11">
        <f t="shared" si="14"/>
        <v>-1.25</v>
      </c>
      <c r="AI50" s="11">
        <f t="shared" si="14"/>
        <v>23</v>
      </c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33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</row>
  </sheetData>
  <mergeCells count="18">
    <mergeCell ref="A1:AI1"/>
    <mergeCell ref="B2:K2"/>
    <mergeCell ref="L2:P2"/>
    <mergeCell ref="Q2:Z2"/>
    <mergeCell ref="AA2:AD2"/>
    <mergeCell ref="AE2:AI2"/>
    <mergeCell ref="A18:AI18"/>
    <mergeCell ref="L36:P36"/>
    <mergeCell ref="Q36:Z36"/>
    <mergeCell ref="AA36:AD36"/>
    <mergeCell ref="AE36:AI36"/>
    <mergeCell ref="B19:K19"/>
    <mergeCell ref="L19:P19"/>
    <mergeCell ref="Q19:Z19"/>
    <mergeCell ref="AA19:AD19"/>
    <mergeCell ref="AE19:AI19"/>
    <mergeCell ref="A35:AI35"/>
    <mergeCell ref="B36:K36"/>
  </mergeCells>
  <conditionalFormatting sqref="B39:AI50">
    <cfRule type="cellIs" dxfId="1" priority="1" operator="lessThan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2" max="22" width="15.63"/>
    <col customWidth="1" min="23" max="23" width="14.13"/>
    <col customWidth="1" min="24" max="35" width="13.25"/>
  </cols>
  <sheetData>
    <row r="1">
      <c r="A1" s="42" t="s">
        <v>135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>
      <c r="A2" s="77"/>
      <c r="B2" s="98" t="str">
        <f>'Projected Hours'!B1</f>
        <v>Projected Hours
Autumn Term</v>
      </c>
      <c r="C2" s="3"/>
      <c r="D2" s="3"/>
      <c r="E2" s="3"/>
      <c r="F2" s="3"/>
      <c r="G2" s="3"/>
      <c r="H2" s="3"/>
      <c r="I2" s="3"/>
      <c r="J2" s="3"/>
      <c r="K2" s="4"/>
      <c r="L2" s="98" t="str">
        <f>'Projected Hours'!L1</f>
        <v>Projected Hours
Winter Break</v>
      </c>
      <c r="M2" s="3"/>
      <c r="N2" s="3"/>
      <c r="O2" s="3"/>
      <c r="P2" s="4"/>
      <c r="Q2" s="98" t="str">
        <f>'Projected Hours'!Q1</f>
        <v>Projected Hours
Spring Term</v>
      </c>
      <c r="R2" s="3"/>
      <c r="S2" s="3"/>
      <c r="T2" s="3"/>
      <c r="U2" s="3"/>
      <c r="V2" s="3"/>
      <c r="W2" s="3"/>
      <c r="X2" s="3"/>
      <c r="Y2" s="3"/>
      <c r="Z2" s="4"/>
      <c r="AA2" s="43" t="s">
        <v>76</v>
      </c>
      <c r="AB2" s="3"/>
      <c r="AC2" s="3"/>
      <c r="AD2" s="4"/>
      <c r="AE2" s="43" t="s">
        <v>77</v>
      </c>
      <c r="AF2" s="3"/>
      <c r="AG2" s="3"/>
      <c r="AH2" s="3"/>
      <c r="AI2" s="4"/>
    </row>
    <row r="3">
      <c r="A3" s="78" t="s">
        <v>78</v>
      </c>
      <c r="B3" s="99" t="str">
        <f>'Projected Hours'!B2</f>
        <v>Week 1</v>
      </c>
      <c r="C3" s="99" t="str">
        <f>'Projected Hours'!C2</f>
        <v>Week 2</v>
      </c>
      <c r="D3" s="99" t="str">
        <f>'Projected Hours'!D2</f>
        <v>Week 3</v>
      </c>
      <c r="E3" s="99" t="str">
        <f>'Projected Hours'!E2</f>
        <v>Week 4</v>
      </c>
      <c r="F3" s="99" t="str">
        <f>'Projected Hours'!F2</f>
        <v>Week 5</v>
      </c>
      <c r="G3" s="99" t="str">
        <f>'Projected Hours'!G2</f>
        <v>Week 6</v>
      </c>
      <c r="H3" s="99" t="str">
        <f>'Projected Hours'!H2</f>
        <v>Week 7</v>
      </c>
      <c r="I3" s="99" t="str">
        <f>'Projected Hours'!I2</f>
        <v>Week 8</v>
      </c>
      <c r="J3" s="99" t="str">
        <f>'Projected Hours'!J2</f>
        <v>Week 9</v>
      </c>
      <c r="K3" s="99" t="str">
        <f>'Projected Hours'!K2</f>
        <v>Week 10</v>
      </c>
      <c r="L3" s="99" t="str">
        <f>'Projected Hours'!L2</f>
        <v>Week 1</v>
      </c>
      <c r="M3" s="99" t="str">
        <f>'Projected Hours'!M2</f>
        <v>Week 2</v>
      </c>
      <c r="N3" s="99" t="str">
        <f>'Projected Hours'!N2</f>
        <v>Week 3</v>
      </c>
      <c r="O3" s="99" t="str">
        <f>'Projected Hours'!O2</f>
        <v>Week 4</v>
      </c>
      <c r="P3" s="99" t="str">
        <f>'Projected Hours'!P2</f>
        <v>Week 5</v>
      </c>
      <c r="Q3" s="99" t="str">
        <f>'Projected Hours'!Q2</f>
        <v>Week 1</v>
      </c>
      <c r="R3" s="99" t="str">
        <f>'Projected Hours'!R2</f>
        <v>Week 2</v>
      </c>
      <c r="S3" s="99" t="str">
        <f>'Projected Hours'!S2</f>
        <v>Week 3</v>
      </c>
      <c r="T3" s="99" t="str">
        <f>'Projected Hours'!T2</f>
        <v>Week 4</v>
      </c>
      <c r="U3" s="99" t="str">
        <f>'Projected Hours'!U2</f>
        <v>Week 5</v>
      </c>
      <c r="V3" s="99" t="str">
        <f>'Projected Hours'!V2</f>
        <v>Week 6</v>
      </c>
      <c r="W3" s="99" t="str">
        <f>'Projected Hours'!W2</f>
        <v>Week 7</v>
      </c>
      <c r="X3" s="99" t="str">
        <f>'Projected Hours'!X2</f>
        <v>Week 8</v>
      </c>
      <c r="Y3" s="99" t="str">
        <f>'Projected Hours'!Y2</f>
        <v>Week 9</v>
      </c>
      <c r="Z3" s="99" t="str">
        <f>'Projected Hours'!Z2</f>
        <v>Week 10</v>
      </c>
      <c r="AA3" s="99" t="str">
        <f>'Projected Hours'!AA2</f>
        <v>Week 1</v>
      </c>
      <c r="AB3" s="99" t="str">
        <f>'Projected Hours'!AB2</f>
        <v>Week 2</v>
      </c>
      <c r="AC3" s="99" t="str">
        <f>'Projected Hours'!AC2</f>
        <v>Week 3</v>
      </c>
      <c r="AD3" s="99" t="str">
        <f>'Projected Hours'!AD2</f>
        <v>Week 4</v>
      </c>
      <c r="AE3" s="99" t="str">
        <f>'Projected Hours'!AE2</f>
        <v>Week 1</v>
      </c>
      <c r="AF3" s="99" t="str">
        <f>'Projected Hours'!AF2</f>
        <v>Week 2</v>
      </c>
      <c r="AG3" s="99" t="str">
        <f>'Projected Hours'!AG2</f>
        <v>Week 3</v>
      </c>
      <c r="AH3" s="99" t="str">
        <f>'Projected Hours'!AH2</f>
        <v>Week 4</v>
      </c>
      <c r="AI3" s="99" t="str">
        <f>'Projected Hours'!AI2</f>
        <v>Week 5</v>
      </c>
    </row>
    <row r="4">
      <c r="A4" s="116" t="s">
        <v>79</v>
      </c>
      <c r="B4" s="100">
        <f>'Projected Hours'!B3</f>
        <v>1</v>
      </c>
      <c r="C4" s="100">
        <f>'Projected Hours'!C3</f>
        <v>2</v>
      </c>
      <c r="D4" s="100">
        <f>'Projected Hours'!D3</f>
        <v>3</v>
      </c>
      <c r="E4" s="100">
        <f>'Projected Hours'!E3</f>
        <v>4</v>
      </c>
      <c r="F4" s="100">
        <f>'Projected Hours'!F3</f>
        <v>5</v>
      </c>
      <c r="G4" s="100">
        <f>'Projected Hours'!G3</f>
        <v>6</v>
      </c>
      <c r="H4" s="100">
        <f>'Projected Hours'!H3</f>
        <v>7</v>
      </c>
      <c r="I4" s="100">
        <f>'Projected Hours'!I3</f>
        <v>8</v>
      </c>
      <c r="J4" s="100">
        <f>'Projected Hours'!J3</f>
        <v>9</v>
      </c>
      <c r="K4" s="100">
        <f>'Projected Hours'!K3</f>
        <v>10</v>
      </c>
      <c r="L4" s="100">
        <f>'Projected Hours'!L3</f>
        <v>11</v>
      </c>
      <c r="M4" s="100">
        <f>'Projected Hours'!M3</f>
        <v>12</v>
      </c>
      <c r="N4" s="100">
        <f>'Projected Hours'!N3</f>
        <v>13</v>
      </c>
      <c r="O4" s="100">
        <f>'Projected Hours'!O3</f>
        <v>14</v>
      </c>
      <c r="P4" s="100">
        <f>'Projected Hours'!P3</f>
        <v>15</v>
      </c>
      <c r="Q4" s="100">
        <f>'Projected Hours'!Q3</f>
        <v>16</v>
      </c>
      <c r="R4" s="100">
        <f>'Projected Hours'!R3</f>
        <v>17</v>
      </c>
      <c r="S4" s="100">
        <f>'Projected Hours'!S3</f>
        <v>18</v>
      </c>
      <c r="T4" s="100">
        <f>'Projected Hours'!T3</f>
        <v>19</v>
      </c>
      <c r="U4" s="100">
        <f>'Projected Hours'!U3</f>
        <v>20</v>
      </c>
      <c r="V4" s="100">
        <f>'Projected Hours'!V3</f>
        <v>21</v>
      </c>
      <c r="W4" s="100">
        <f>'Projected Hours'!W3</f>
        <v>22</v>
      </c>
      <c r="X4" s="100">
        <f>'Projected Hours'!X3</f>
        <v>23</v>
      </c>
      <c r="Y4" s="100">
        <f>'Projected Hours'!Y3</f>
        <v>24</v>
      </c>
      <c r="Z4" s="100">
        <f>'Projected Hours'!Z3</f>
        <v>25</v>
      </c>
      <c r="AA4" s="100">
        <f>'Projected Hours'!AA3</f>
        <v>26</v>
      </c>
      <c r="AB4" s="100">
        <f>'Projected Hours'!AB3</f>
        <v>27</v>
      </c>
      <c r="AC4" s="100">
        <f>'Projected Hours'!AC3</f>
        <v>28</v>
      </c>
      <c r="AD4" s="100">
        <f>'Projected Hours'!AD3</f>
        <v>29</v>
      </c>
      <c r="AE4" s="100">
        <f>'Projected Hours'!AE3</f>
        <v>30</v>
      </c>
      <c r="AF4" s="100">
        <f>'Projected Hours'!AF3</f>
        <v>31</v>
      </c>
      <c r="AG4" s="100">
        <f>'Projected Hours'!AG3</f>
        <v>32</v>
      </c>
      <c r="AH4" s="100">
        <f>'Projected Hours'!AH3</f>
        <v>33</v>
      </c>
      <c r="AI4" s="100">
        <f>'Projected Hours'!AI3</f>
        <v>34</v>
      </c>
    </row>
    <row r="5">
      <c r="A5" s="66" t="str">
        <f>'Projected Hours'!A7</f>
        <v>Project Manager Total</v>
      </c>
      <c r="B5" s="11">
        <f>'Projected Hours'!B7</f>
        <v>0</v>
      </c>
      <c r="C5" s="11">
        <f>'Projected Hours'!C7</f>
        <v>0</v>
      </c>
      <c r="D5" s="11">
        <f>'Projected Hours'!D7</f>
        <v>0</v>
      </c>
      <c r="E5" s="11">
        <f>'Projected Hours'!E7</f>
        <v>0</v>
      </c>
      <c r="F5" s="11">
        <f>'Projected Hours'!F7</f>
        <v>0</v>
      </c>
      <c r="G5" s="11">
        <f>'Projected Hours'!G7</f>
        <v>1.5</v>
      </c>
      <c r="H5" s="11">
        <f>'Projected Hours'!H7</f>
        <v>12</v>
      </c>
      <c r="I5" s="11">
        <f>'Projected Hours'!I7</f>
        <v>2</v>
      </c>
      <c r="J5" s="11">
        <f>'Projected Hours'!J7</f>
        <v>4.5</v>
      </c>
      <c r="K5" s="11">
        <f>'Projected Hours'!K7</f>
        <v>6.75</v>
      </c>
      <c r="L5" s="11">
        <f>'Projected Hours'!L7</f>
        <v>0</v>
      </c>
      <c r="M5" s="11">
        <f>'Projected Hours'!M7</f>
        <v>6</v>
      </c>
      <c r="N5" s="11">
        <f>'Projected Hours'!N7</f>
        <v>0</v>
      </c>
      <c r="O5" s="11">
        <f>'Projected Hours'!O7</f>
        <v>0</v>
      </c>
      <c r="P5" s="11">
        <f>'Projected Hours'!P7</f>
        <v>0</v>
      </c>
      <c r="Q5" s="11">
        <f>'Projected Hours'!Q7</f>
        <v>0</v>
      </c>
      <c r="R5" s="11">
        <f>'Projected Hours'!R7</f>
        <v>2.75</v>
      </c>
      <c r="S5" s="11">
        <f>'Projected Hours'!S7</f>
        <v>7.75</v>
      </c>
      <c r="T5" s="11">
        <f>'Projected Hours'!T7</f>
        <v>2.75</v>
      </c>
      <c r="U5" s="11">
        <f>'Projected Hours'!U7</f>
        <v>2</v>
      </c>
      <c r="V5" s="11">
        <f>'Projected Hours'!V7</f>
        <v>2.5</v>
      </c>
      <c r="W5" s="11">
        <f>'Projected Hours'!W7</f>
        <v>3</v>
      </c>
      <c r="X5" s="11">
        <f>'Projected Hours'!X7</f>
        <v>2.5</v>
      </c>
      <c r="Y5" s="11">
        <f>'Projected Hours'!Y7</f>
        <v>3</v>
      </c>
      <c r="Z5" s="11">
        <f>'Projected Hours'!Z7</f>
        <v>2.5</v>
      </c>
      <c r="AA5" s="11">
        <f>'Projected Hours'!AA7</f>
        <v>0</v>
      </c>
      <c r="AB5" s="11">
        <f>'Projected Hours'!AB7</f>
        <v>0</v>
      </c>
      <c r="AC5" s="11">
        <f>'Projected Hours'!AC7</f>
        <v>0</v>
      </c>
      <c r="AD5" s="11">
        <f>'Projected Hours'!AD7</f>
        <v>0</v>
      </c>
      <c r="AE5" s="11">
        <f>'Projected Hours'!AE7</f>
        <v>2</v>
      </c>
      <c r="AF5" s="11">
        <f>'Projected Hours'!AF7</f>
        <v>2</v>
      </c>
      <c r="AG5" s="11">
        <f>'Projected Hours'!AG7</f>
        <v>3</v>
      </c>
      <c r="AH5" s="11">
        <f>'Projected Hours'!AH7</f>
        <v>2</v>
      </c>
      <c r="AI5" s="11">
        <f>'Projected Hours'!AI7</f>
        <v>2</v>
      </c>
    </row>
    <row r="6">
      <c r="A6" s="66" t="str">
        <f>'Projected Hours'!A17</f>
        <v>Documentation Total</v>
      </c>
      <c r="B6" s="11">
        <f>'Projected Hours'!B17</f>
        <v>0</v>
      </c>
      <c r="C6" s="11">
        <f>'Projected Hours'!C17</f>
        <v>0</v>
      </c>
      <c r="D6" s="11">
        <f>'Projected Hours'!D17</f>
        <v>0</v>
      </c>
      <c r="E6" s="11">
        <f>'Projected Hours'!E17</f>
        <v>0</v>
      </c>
      <c r="F6" s="11">
        <f>'Projected Hours'!F17</f>
        <v>0</v>
      </c>
      <c r="G6" s="11">
        <f>'Projected Hours'!G17</f>
        <v>4.25</v>
      </c>
      <c r="H6" s="11">
        <f>'Projected Hours'!H17</f>
        <v>10.5</v>
      </c>
      <c r="I6" s="11">
        <f>'Projected Hours'!I17</f>
        <v>8.5</v>
      </c>
      <c r="J6" s="11">
        <f>'Projected Hours'!J17</f>
        <v>8.5</v>
      </c>
      <c r="K6" s="11">
        <f>'Projected Hours'!K17</f>
        <v>9.75</v>
      </c>
      <c r="L6" s="11">
        <f>'Projected Hours'!L17</f>
        <v>0</v>
      </c>
      <c r="M6" s="11">
        <f>'Projected Hours'!M17</f>
        <v>0</v>
      </c>
      <c r="N6" s="11">
        <f>'Projected Hours'!N17</f>
        <v>0</v>
      </c>
      <c r="O6" s="11">
        <f>'Projected Hours'!O17</f>
        <v>0</v>
      </c>
      <c r="P6" s="11">
        <f>'Projected Hours'!P17</f>
        <v>0</v>
      </c>
      <c r="Q6" s="11">
        <f>'Projected Hours'!Q17</f>
        <v>0</v>
      </c>
      <c r="R6" s="11">
        <f>'Projected Hours'!R17</f>
        <v>7.5</v>
      </c>
      <c r="S6" s="11">
        <f>'Projected Hours'!S17</f>
        <v>0</v>
      </c>
      <c r="T6" s="11">
        <f>'Projected Hours'!T17</f>
        <v>4.75</v>
      </c>
      <c r="U6" s="11">
        <f>'Projected Hours'!U17</f>
        <v>4</v>
      </c>
      <c r="V6" s="11">
        <f>'Projected Hours'!V17</f>
        <v>5</v>
      </c>
      <c r="W6" s="11">
        <f>'Projected Hours'!W17</f>
        <v>5</v>
      </c>
      <c r="X6" s="11">
        <f>'Projected Hours'!X17</f>
        <v>5</v>
      </c>
      <c r="Y6" s="11">
        <f>'Projected Hours'!Y17</f>
        <v>4</v>
      </c>
      <c r="Z6" s="11">
        <f>'Projected Hours'!Z17</f>
        <v>4</v>
      </c>
      <c r="AA6" s="11">
        <f>'Projected Hours'!AA17</f>
        <v>0</v>
      </c>
      <c r="AB6" s="11">
        <f>'Projected Hours'!AB17</f>
        <v>0</v>
      </c>
      <c r="AC6" s="11">
        <f>'Projected Hours'!AC17</f>
        <v>0</v>
      </c>
      <c r="AD6" s="11">
        <f>'Projected Hours'!AD17</f>
        <v>0</v>
      </c>
      <c r="AE6" s="11">
        <f>'Projected Hours'!AE17</f>
        <v>4</v>
      </c>
      <c r="AF6" s="11">
        <f>'Projected Hours'!AF17</f>
        <v>4</v>
      </c>
      <c r="AG6" s="11">
        <f>'Projected Hours'!AG17</f>
        <v>8</v>
      </c>
      <c r="AH6" s="11">
        <f>'Projected Hours'!AH17</f>
        <v>4</v>
      </c>
      <c r="AI6" s="11">
        <f>'Projected Hours'!AI17</f>
        <v>4</v>
      </c>
    </row>
    <row r="7">
      <c r="A7" s="66" t="str">
        <f>'Projected Hours'!A44</f>
        <v>Media Total</v>
      </c>
      <c r="B7" s="11">
        <f>'Projected Hours'!B44</f>
        <v>0</v>
      </c>
      <c r="C7" s="11">
        <f>'Projected Hours'!C44</f>
        <v>0</v>
      </c>
      <c r="D7" s="11">
        <f>'Projected Hours'!D44</f>
        <v>0</v>
      </c>
      <c r="E7" s="11">
        <f>'Projected Hours'!E44</f>
        <v>0</v>
      </c>
      <c r="F7" s="11">
        <f>'Projected Hours'!F44</f>
        <v>0</v>
      </c>
      <c r="G7" s="11">
        <f>'Projected Hours'!G44</f>
        <v>3</v>
      </c>
      <c r="H7" s="11">
        <f>'Projected Hours'!H44</f>
        <v>2.75</v>
      </c>
      <c r="I7" s="11">
        <f>'Projected Hours'!I44</f>
        <v>4.75</v>
      </c>
      <c r="J7" s="11">
        <f>'Projected Hours'!J44</f>
        <v>3.75</v>
      </c>
      <c r="K7" s="11">
        <f>'Projected Hours'!K44</f>
        <v>0.5</v>
      </c>
      <c r="L7" s="11">
        <f>'Projected Hours'!L44</f>
        <v>0</v>
      </c>
      <c r="M7" s="11">
        <f>'Projected Hours'!M44</f>
        <v>0</v>
      </c>
      <c r="N7" s="11">
        <f>'Projected Hours'!N44</f>
        <v>0</v>
      </c>
      <c r="O7" s="11">
        <f>'Projected Hours'!O44</f>
        <v>0</v>
      </c>
      <c r="P7" s="11">
        <f>'Projected Hours'!P44</f>
        <v>4.25</v>
      </c>
      <c r="Q7" s="11">
        <f>'Projected Hours'!Q44</f>
        <v>4.25</v>
      </c>
      <c r="R7" s="11">
        <f>'Projected Hours'!R44</f>
        <v>1.25</v>
      </c>
      <c r="S7" s="11">
        <f>'Projected Hours'!S44</f>
        <v>0.75</v>
      </c>
      <c r="T7" s="11">
        <f>'Projected Hours'!T44</f>
        <v>1.75</v>
      </c>
      <c r="U7" s="11">
        <f>'Projected Hours'!U44</f>
        <v>2</v>
      </c>
      <c r="V7" s="11">
        <f>'Projected Hours'!V44</f>
        <v>4</v>
      </c>
      <c r="W7" s="11">
        <f>'Projected Hours'!W44</f>
        <v>6</v>
      </c>
      <c r="X7" s="11">
        <f>'Projected Hours'!X44</f>
        <v>0</v>
      </c>
      <c r="Y7" s="11">
        <f>'Projected Hours'!Y44</f>
        <v>0</v>
      </c>
      <c r="Z7" s="11">
        <f>'Projected Hours'!Z44</f>
        <v>0</v>
      </c>
      <c r="AA7" s="11">
        <f>'Projected Hours'!AA44</f>
        <v>0</v>
      </c>
      <c r="AB7" s="11">
        <f>'Projected Hours'!AB44</f>
        <v>0</v>
      </c>
      <c r="AC7" s="11">
        <f>'Projected Hours'!AC44</f>
        <v>0</v>
      </c>
      <c r="AD7" s="11">
        <f>'Projected Hours'!AD44</f>
        <v>0</v>
      </c>
      <c r="AE7" s="11">
        <f>'Projected Hours'!AE44</f>
        <v>0</v>
      </c>
      <c r="AF7" s="11">
        <f>'Projected Hours'!AF44</f>
        <v>0</v>
      </c>
      <c r="AG7" s="11">
        <f>'Projected Hours'!AG44</f>
        <v>0</v>
      </c>
      <c r="AH7" s="11">
        <f>'Projected Hours'!AH44</f>
        <v>0</v>
      </c>
      <c r="AI7" s="11">
        <f>'Projected Hours'!AI44</f>
        <v>0</v>
      </c>
    </row>
    <row r="8">
      <c r="A8" s="66" t="str">
        <f>'Projected Hours'!A39</f>
        <v>Marketing Total</v>
      </c>
      <c r="B8" s="11">
        <f>'Projected Hours'!B39</f>
        <v>0</v>
      </c>
      <c r="C8" s="11">
        <f>'Projected Hours'!C39</f>
        <v>0</v>
      </c>
      <c r="D8" s="11">
        <f>'Projected Hours'!D39</f>
        <v>0</v>
      </c>
      <c r="E8" s="11">
        <f>'Projected Hours'!E39</f>
        <v>0</v>
      </c>
      <c r="F8" s="11">
        <f>'Projected Hours'!F39</f>
        <v>0</v>
      </c>
      <c r="G8" s="11">
        <f>'Projected Hours'!G39</f>
        <v>0</v>
      </c>
      <c r="H8" s="11">
        <f>'Projected Hours'!H39</f>
        <v>3.25</v>
      </c>
      <c r="I8" s="11">
        <f>'Projected Hours'!I39</f>
        <v>6.25</v>
      </c>
      <c r="J8" s="11">
        <f>'Projected Hours'!J39</f>
        <v>5.25</v>
      </c>
      <c r="K8" s="11">
        <f>'Projected Hours'!K39</f>
        <v>0.5</v>
      </c>
      <c r="L8" s="11">
        <f>'Projected Hours'!L39</f>
        <v>0</v>
      </c>
      <c r="M8" s="11">
        <f>'Projected Hours'!M39</f>
        <v>0</v>
      </c>
      <c r="N8" s="11">
        <f>'Projected Hours'!N39</f>
        <v>0</v>
      </c>
      <c r="O8" s="11">
        <f>'Projected Hours'!O39</f>
        <v>0</v>
      </c>
      <c r="P8" s="11">
        <f>'Projected Hours'!P39</f>
        <v>0.75</v>
      </c>
      <c r="Q8" s="11">
        <f>'Projected Hours'!Q39</f>
        <v>0</v>
      </c>
      <c r="R8" s="11">
        <f>'Projected Hours'!R39</f>
        <v>0.5</v>
      </c>
      <c r="S8" s="11">
        <f>'Projected Hours'!S39</f>
        <v>4.75</v>
      </c>
      <c r="T8" s="11">
        <f>'Projected Hours'!T39</f>
        <v>5.25</v>
      </c>
      <c r="U8" s="11">
        <f>'Projected Hours'!U39</f>
        <v>3</v>
      </c>
      <c r="V8" s="11">
        <f>'Projected Hours'!V39</f>
        <v>5</v>
      </c>
      <c r="W8" s="11">
        <f>'Projected Hours'!W39</f>
        <v>7</v>
      </c>
      <c r="X8" s="11">
        <f>'Projected Hours'!X39</f>
        <v>0</v>
      </c>
      <c r="Y8" s="11">
        <f>'Projected Hours'!Y39</f>
        <v>0</v>
      </c>
      <c r="Z8" s="11">
        <f>'Projected Hours'!Z39</f>
        <v>0</v>
      </c>
      <c r="AA8" s="11">
        <f>'Projected Hours'!AA39</f>
        <v>0</v>
      </c>
      <c r="AB8" s="11">
        <f>'Projected Hours'!AB39</f>
        <v>0</v>
      </c>
      <c r="AC8" s="11">
        <f>'Projected Hours'!AC39</f>
        <v>0</v>
      </c>
      <c r="AD8" s="11">
        <f>'Projected Hours'!AD39</f>
        <v>0</v>
      </c>
      <c r="AE8" s="11">
        <f>'Projected Hours'!AE39</f>
        <v>0</v>
      </c>
      <c r="AF8" s="11">
        <f>'Projected Hours'!AF39</f>
        <v>0</v>
      </c>
      <c r="AG8" s="11">
        <f>'Projected Hours'!AG39</f>
        <v>0</v>
      </c>
      <c r="AH8" s="11">
        <f>'Projected Hours'!AH39</f>
        <v>0</v>
      </c>
      <c r="AI8" s="11">
        <f>'Projected Hours'!AI39</f>
        <v>0</v>
      </c>
    </row>
    <row r="9">
      <c r="A9" s="66" t="str">
        <f>'Projected Hours'!A12</f>
        <v>Finance Total</v>
      </c>
      <c r="B9" s="11">
        <f>'Projected Hours'!B12</f>
        <v>0</v>
      </c>
      <c r="C9" s="11">
        <f>'Projected Hours'!C12</f>
        <v>0</v>
      </c>
      <c r="D9" s="11">
        <f>'Projected Hours'!D12</f>
        <v>0</v>
      </c>
      <c r="E9" s="11">
        <f>'Projected Hours'!E12</f>
        <v>0</v>
      </c>
      <c r="F9" s="11">
        <f>'Projected Hours'!F12</f>
        <v>0</v>
      </c>
      <c r="G9" s="11">
        <f>'Projected Hours'!G12</f>
        <v>0</v>
      </c>
      <c r="H9" s="11">
        <f>'Projected Hours'!H12</f>
        <v>6.25</v>
      </c>
      <c r="I9" s="11">
        <f>'Projected Hours'!I12</f>
        <v>1.5</v>
      </c>
      <c r="J9" s="11">
        <f>'Projected Hours'!J12</f>
        <v>1</v>
      </c>
      <c r="K9" s="11">
        <f>'Projected Hours'!K12</f>
        <v>0.5</v>
      </c>
      <c r="L9" s="11">
        <f>'Projected Hours'!L12</f>
        <v>0</v>
      </c>
      <c r="M9" s="11">
        <f>'Projected Hours'!M12</f>
        <v>0</v>
      </c>
      <c r="N9" s="11">
        <f>'Projected Hours'!N12</f>
        <v>0</v>
      </c>
      <c r="O9" s="11">
        <f>'Projected Hours'!O12</f>
        <v>0</v>
      </c>
      <c r="P9" s="11">
        <f>'Projected Hours'!P12</f>
        <v>0</v>
      </c>
      <c r="Q9" s="11">
        <f>'Projected Hours'!Q12</f>
        <v>0</v>
      </c>
      <c r="R9" s="11">
        <f>'Projected Hours'!R12</f>
        <v>3.5</v>
      </c>
      <c r="S9" s="11">
        <f>'Projected Hours'!S12</f>
        <v>8.5</v>
      </c>
      <c r="T9" s="11">
        <f>'Projected Hours'!T12</f>
        <v>10</v>
      </c>
      <c r="U9" s="11">
        <f>'Projected Hours'!U12</f>
        <v>10</v>
      </c>
      <c r="V9" s="11">
        <f>'Projected Hours'!V12</f>
        <v>4</v>
      </c>
      <c r="W9" s="11">
        <f>'Projected Hours'!W12</f>
        <v>16</v>
      </c>
      <c r="X9" s="11">
        <f>'Projected Hours'!X12</f>
        <v>4</v>
      </c>
      <c r="Y9" s="11">
        <f>'Projected Hours'!Y12</f>
        <v>12</v>
      </c>
      <c r="Z9" s="11">
        <f>'Projected Hours'!Z12</f>
        <v>0</v>
      </c>
      <c r="AA9" s="11">
        <f>'Projected Hours'!AA12</f>
        <v>0</v>
      </c>
      <c r="AB9" s="11">
        <f>'Projected Hours'!AB12</f>
        <v>0</v>
      </c>
      <c r="AC9" s="11">
        <f>'Projected Hours'!AC12</f>
        <v>0</v>
      </c>
      <c r="AD9" s="11">
        <f>'Projected Hours'!AD12</f>
        <v>0</v>
      </c>
      <c r="AE9" s="11">
        <f>'Projected Hours'!AE12</f>
        <v>6</v>
      </c>
      <c r="AF9" s="11">
        <f>'Projected Hours'!AF12</f>
        <v>9</v>
      </c>
      <c r="AG9" s="11">
        <f>'Projected Hours'!AG12</f>
        <v>15</v>
      </c>
      <c r="AH9" s="11">
        <f>'Projected Hours'!AH12</f>
        <v>6</v>
      </c>
      <c r="AI9" s="11">
        <f>'Projected Hours'!AI12</f>
        <v>10</v>
      </c>
    </row>
    <row r="10">
      <c r="A10" s="66" t="str">
        <f>'Projected Hours'!A22</f>
        <v>QA Total</v>
      </c>
      <c r="B10" s="11">
        <f>'Projected Hours'!B22</f>
        <v>0</v>
      </c>
      <c r="C10" s="11">
        <f>'Projected Hours'!C22</f>
        <v>0</v>
      </c>
      <c r="D10" s="11">
        <f>'Projected Hours'!D22</f>
        <v>0</v>
      </c>
      <c r="E10" s="11">
        <f>'Projected Hours'!E22</f>
        <v>0</v>
      </c>
      <c r="F10" s="11">
        <f>'Projected Hours'!F22</f>
        <v>0</v>
      </c>
      <c r="G10" s="11">
        <f>'Projected Hours'!G22</f>
        <v>0</v>
      </c>
      <c r="H10" s="11">
        <f>'Projected Hours'!H22</f>
        <v>5.5</v>
      </c>
      <c r="I10" s="11">
        <f>'Projected Hours'!I22</f>
        <v>4.25</v>
      </c>
      <c r="J10" s="11">
        <f>'Projected Hours'!J22</f>
        <v>13</v>
      </c>
      <c r="K10" s="11">
        <f>'Projected Hours'!K22</f>
        <v>9</v>
      </c>
      <c r="L10" s="11">
        <f>'Projected Hours'!L22</f>
        <v>0</v>
      </c>
      <c r="M10" s="11">
        <f>'Projected Hours'!M22</f>
        <v>0</v>
      </c>
      <c r="N10" s="11">
        <f>'Projected Hours'!N22</f>
        <v>0</v>
      </c>
      <c r="O10" s="11">
        <f>'Projected Hours'!O22</f>
        <v>0</v>
      </c>
      <c r="P10" s="11">
        <f>'Projected Hours'!P22</f>
        <v>0</v>
      </c>
      <c r="Q10" s="11">
        <f>'Projected Hours'!Q22</f>
        <v>0</v>
      </c>
      <c r="R10" s="11">
        <f>'Projected Hours'!R22</f>
        <v>2</v>
      </c>
      <c r="S10" s="11">
        <f>'Projected Hours'!S22</f>
        <v>3</v>
      </c>
      <c r="T10" s="11">
        <f>'Projected Hours'!T22</f>
        <v>2</v>
      </c>
      <c r="U10" s="11">
        <f>'Projected Hours'!U22</f>
        <v>6</v>
      </c>
      <c r="V10" s="11">
        <f>'Projected Hours'!V22</f>
        <v>8</v>
      </c>
      <c r="W10" s="11">
        <f>'Projected Hours'!W22</f>
        <v>10</v>
      </c>
      <c r="X10" s="11">
        <f>'Projected Hours'!X22</f>
        <v>8</v>
      </c>
      <c r="Y10" s="11">
        <f>'Projected Hours'!Y22</f>
        <v>6</v>
      </c>
      <c r="Z10" s="11">
        <f>'Projected Hours'!Z22</f>
        <v>4</v>
      </c>
      <c r="AA10" s="11">
        <f>'Projected Hours'!AA22</f>
        <v>0</v>
      </c>
      <c r="AB10" s="11">
        <f>'Projected Hours'!AB22</f>
        <v>0</v>
      </c>
      <c r="AC10" s="11">
        <f>'Projected Hours'!AC22</f>
        <v>0</v>
      </c>
      <c r="AD10" s="11">
        <f>'Projected Hours'!AD22</f>
        <v>0</v>
      </c>
      <c r="AE10" s="11">
        <f>'Projected Hours'!AE22</f>
        <v>2</v>
      </c>
      <c r="AF10" s="11">
        <f>'Projected Hours'!AF22</f>
        <v>4</v>
      </c>
      <c r="AG10" s="11">
        <f>'Projected Hours'!AG22</f>
        <v>8</v>
      </c>
      <c r="AH10" s="11">
        <f>'Projected Hours'!AH22</f>
        <v>6</v>
      </c>
      <c r="AI10" s="11">
        <f>'Projected Hours'!AI22</f>
        <v>6</v>
      </c>
    </row>
    <row r="11">
      <c r="A11" s="66" t="str">
        <f>'Projected Hours'!A34</f>
        <v>Software Total</v>
      </c>
      <c r="B11" s="11">
        <f>'Projected Hours'!B34</f>
        <v>0</v>
      </c>
      <c r="C11" s="11">
        <f>'Projected Hours'!C34</f>
        <v>0</v>
      </c>
      <c r="D11" s="11">
        <f>'Projected Hours'!D34</f>
        <v>0</v>
      </c>
      <c r="E11" s="11">
        <f>'Projected Hours'!E34</f>
        <v>0</v>
      </c>
      <c r="F11" s="11">
        <f>'Projected Hours'!F34</f>
        <v>0</v>
      </c>
      <c r="G11" s="11">
        <f>'Projected Hours'!G34</f>
        <v>1</v>
      </c>
      <c r="H11" s="11">
        <f>'Projected Hours'!H34</f>
        <v>7</v>
      </c>
      <c r="I11" s="11">
        <f>'Projected Hours'!I34</f>
        <v>9.75</v>
      </c>
      <c r="J11" s="11">
        <f>'Projected Hours'!J34</f>
        <v>11.25</v>
      </c>
      <c r="K11" s="11">
        <f>'Projected Hours'!K34</f>
        <v>10.5</v>
      </c>
      <c r="L11" s="11">
        <f>'Projected Hours'!L34</f>
        <v>8.75</v>
      </c>
      <c r="M11" s="11">
        <f>'Projected Hours'!M34</f>
        <v>4.75</v>
      </c>
      <c r="N11" s="11">
        <f>'Projected Hours'!N34</f>
        <v>0</v>
      </c>
      <c r="O11" s="11">
        <f>'Projected Hours'!O34</f>
        <v>6.5</v>
      </c>
      <c r="P11" s="11">
        <f>'Projected Hours'!P34</f>
        <v>1.5</v>
      </c>
      <c r="Q11" s="11">
        <f>'Projected Hours'!Q34</f>
        <v>42.5</v>
      </c>
      <c r="R11" s="11">
        <f>'Projected Hours'!R34</f>
        <v>15.5</v>
      </c>
      <c r="S11" s="11">
        <f>'Projected Hours'!S34</f>
        <v>43</v>
      </c>
      <c r="T11" s="11">
        <f>'Projected Hours'!T34</f>
        <v>24.75</v>
      </c>
      <c r="U11" s="11">
        <f>'Projected Hours'!U34</f>
        <v>38</v>
      </c>
      <c r="V11" s="11">
        <f>'Projected Hours'!V34</f>
        <v>41</v>
      </c>
      <c r="W11" s="11">
        <f>'Projected Hours'!W34</f>
        <v>40.5</v>
      </c>
      <c r="X11" s="11">
        <f>'Projected Hours'!X34</f>
        <v>39.5</v>
      </c>
      <c r="Y11" s="11">
        <f>'Projected Hours'!Y34</f>
        <v>46</v>
      </c>
      <c r="Z11" s="11">
        <f>'Projected Hours'!Z34</f>
        <v>53</v>
      </c>
      <c r="AA11" s="11">
        <f>'Projected Hours'!AA34</f>
        <v>0</v>
      </c>
      <c r="AB11" s="11">
        <f>'Projected Hours'!AB34</f>
        <v>0</v>
      </c>
      <c r="AC11" s="11">
        <f>'Projected Hours'!AC34</f>
        <v>0</v>
      </c>
      <c r="AD11" s="11">
        <f>'Projected Hours'!AD34</f>
        <v>0</v>
      </c>
      <c r="AE11" s="11">
        <f>'Projected Hours'!AE34</f>
        <v>7</v>
      </c>
      <c r="AF11" s="11">
        <f>'Projected Hours'!AF34</f>
        <v>7</v>
      </c>
      <c r="AG11" s="11">
        <f>'Projected Hours'!AG34</f>
        <v>7</v>
      </c>
      <c r="AH11" s="11">
        <f>'Projected Hours'!AH34</f>
        <v>7</v>
      </c>
      <c r="AI11" s="11">
        <f>'Projected Hours'!AI34</f>
        <v>7</v>
      </c>
    </row>
    <row r="12">
      <c r="A12" s="5" t="s">
        <v>118</v>
      </c>
      <c r="B12" s="11">
        <f t="shared" ref="B12:AI12" si="1">SUM(B5:B11)</f>
        <v>0</v>
      </c>
      <c r="C12" s="11">
        <f t="shared" si="1"/>
        <v>0</v>
      </c>
      <c r="D12" s="11">
        <f t="shared" si="1"/>
        <v>0</v>
      </c>
      <c r="E12" s="11">
        <f t="shared" si="1"/>
        <v>0</v>
      </c>
      <c r="F12" s="11">
        <f t="shared" si="1"/>
        <v>0</v>
      </c>
      <c r="G12" s="11">
        <f t="shared" si="1"/>
        <v>9.75</v>
      </c>
      <c r="H12" s="11">
        <f t="shared" si="1"/>
        <v>47.25</v>
      </c>
      <c r="I12" s="11">
        <f t="shared" si="1"/>
        <v>37</v>
      </c>
      <c r="J12" s="11">
        <f t="shared" si="1"/>
        <v>47.25</v>
      </c>
      <c r="K12" s="11">
        <f t="shared" si="1"/>
        <v>37.5</v>
      </c>
      <c r="L12" s="11">
        <f t="shared" si="1"/>
        <v>8.75</v>
      </c>
      <c r="M12" s="11">
        <f t="shared" si="1"/>
        <v>10.75</v>
      </c>
      <c r="N12" s="11">
        <f t="shared" si="1"/>
        <v>0</v>
      </c>
      <c r="O12" s="11">
        <f t="shared" si="1"/>
        <v>6.5</v>
      </c>
      <c r="P12" s="11">
        <f t="shared" si="1"/>
        <v>6.5</v>
      </c>
      <c r="Q12" s="11">
        <f t="shared" si="1"/>
        <v>46.75</v>
      </c>
      <c r="R12" s="11">
        <f t="shared" si="1"/>
        <v>33</v>
      </c>
      <c r="S12" s="11">
        <f t="shared" si="1"/>
        <v>67.75</v>
      </c>
      <c r="T12" s="11">
        <f t="shared" si="1"/>
        <v>51.25</v>
      </c>
      <c r="U12" s="11">
        <f t="shared" si="1"/>
        <v>65</v>
      </c>
      <c r="V12" s="11">
        <f t="shared" si="1"/>
        <v>69.5</v>
      </c>
      <c r="W12" s="11">
        <f t="shared" si="1"/>
        <v>87.5</v>
      </c>
      <c r="X12" s="11">
        <f t="shared" si="1"/>
        <v>59</v>
      </c>
      <c r="Y12" s="11">
        <f t="shared" si="1"/>
        <v>71</v>
      </c>
      <c r="Z12" s="11">
        <f t="shared" si="1"/>
        <v>63.5</v>
      </c>
      <c r="AA12" s="11">
        <f t="shared" si="1"/>
        <v>0</v>
      </c>
      <c r="AB12" s="11">
        <f t="shared" si="1"/>
        <v>0</v>
      </c>
      <c r="AC12" s="11">
        <f t="shared" si="1"/>
        <v>0</v>
      </c>
      <c r="AD12" s="11">
        <f t="shared" si="1"/>
        <v>0</v>
      </c>
      <c r="AE12" s="11">
        <f t="shared" si="1"/>
        <v>21</v>
      </c>
      <c r="AF12" s="11">
        <f t="shared" si="1"/>
        <v>26</v>
      </c>
      <c r="AG12" s="11">
        <f t="shared" si="1"/>
        <v>41</v>
      </c>
      <c r="AH12" s="11">
        <f t="shared" si="1"/>
        <v>25</v>
      </c>
      <c r="AI12" s="11">
        <f t="shared" si="1"/>
        <v>29</v>
      </c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>
      <c r="A14" s="101" t="s">
        <v>136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4"/>
    </row>
    <row r="15">
      <c r="A15" s="79"/>
      <c r="B15" s="103" t="s">
        <v>120</v>
      </c>
      <c r="C15" s="3"/>
      <c r="D15" s="3"/>
      <c r="E15" s="3"/>
      <c r="F15" s="3"/>
      <c r="G15" s="3"/>
      <c r="H15" s="3"/>
      <c r="I15" s="3"/>
      <c r="J15" s="3"/>
      <c r="K15" s="4"/>
      <c r="L15" s="103" t="s">
        <v>121</v>
      </c>
      <c r="M15" s="3"/>
      <c r="N15" s="3"/>
      <c r="O15" s="3"/>
      <c r="P15" s="4"/>
      <c r="Q15" s="103" t="s">
        <v>122</v>
      </c>
      <c r="R15" s="3"/>
      <c r="S15" s="3"/>
      <c r="T15" s="3"/>
      <c r="U15" s="3"/>
      <c r="V15" s="3"/>
      <c r="W15" s="3"/>
      <c r="X15" s="3"/>
      <c r="Y15" s="3"/>
      <c r="Z15" s="4"/>
      <c r="AA15" s="103" t="s">
        <v>123</v>
      </c>
      <c r="AB15" s="3"/>
      <c r="AC15" s="3"/>
      <c r="AD15" s="4"/>
      <c r="AE15" s="103" t="s">
        <v>124</v>
      </c>
      <c r="AF15" s="3"/>
      <c r="AG15" s="3"/>
      <c r="AH15" s="3"/>
      <c r="AI15" s="4"/>
    </row>
    <row r="16">
      <c r="A16" s="81" t="s">
        <v>78</v>
      </c>
      <c r="B16" s="104" t="str">
        <f>'Projected Hours'!B2</f>
        <v>Week 1</v>
      </c>
      <c r="C16" s="104" t="str">
        <f>'Projected Hours'!C2</f>
        <v>Week 2</v>
      </c>
      <c r="D16" s="104" t="str">
        <f>'Projected Hours'!D2</f>
        <v>Week 3</v>
      </c>
      <c r="E16" s="104" t="str">
        <f>'Projected Hours'!E2</f>
        <v>Week 4</v>
      </c>
      <c r="F16" s="104" t="str">
        <f>'Projected Hours'!F2</f>
        <v>Week 5</v>
      </c>
      <c r="G16" s="104" t="str">
        <f>'Projected Hours'!G2</f>
        <v>Week 6</v>
      </c>
      <c r="H16" s="104" t="str">
        <f>'Projected Hours'!H2</f>
        <v>Week 7</v>
      </c>
      <c r="I16" s="104" t="str">
        <f>'Projected Hours'!I2</f>
        <v>Week 8</v>
      </c>
      <c r="J16" s="104" t="str">
        <f>'Projected Hours'!J2</f>
        <v>Week 9</v>
      </c>
      <c r="K16" s="104" t="str">
        <f>'Projected Hours'!K2</f>
        <v>Week 10</v>
      </c>
      <c r="L16" s="104" t="str">
        <f>'Projected Hours'!L2</f>
        <v>Week 1</v>
      </c>
      <c r="M16" s="104" t="str">
        <f>'Projected Hours'!M2</f>
        <v>Week 2</v>
      </c>
      <c r="N16" s="104" t="str">
        <f>'Projected Hours'!N2</f>
        <v>Week 3</v>
      </c>
      <c r="O16" s="104" t="str">
        <f>'Projected Hours'!O2</f>
        <v>Week 4</v>
      </c>
      <c r="P16" s="104" t="str">
        <f>'Projected Hours'!P2</f>
        <v>Week 5</v>
      </c>
      <c r="Q16" s="104" t="str">
        <f>'Projected Hours'!Q2</f>
        <v>Week 1</v>
      </c>
      <c r="R16" s="104" t="str">
        <f>'Projected Hours'!R2</f>
        <v>Week 2</v>
      </c>
      <c r="S16" s="104" t="str">
        <f>'Projected Hours'!S2</f>
        <v>Week 3</v>
      </c>
      <c r="T16" s="104" t="str">
        <f>'Projected Hours'!T2</f>
        <v>Week 4</v>
      </c>
      <c r="U16" s="104" t="str">
        <f>'Projected Hours'!U2</f>
        <v>Week 5</v>
      </c>
      <c r="V16" s="104" t="str">
        <f>'Projected Hours'!V2</f>
        <v>Week 6</v>
      </c>
      <c r="W16" s="104" t="str">
        <f>'Projected Hours'!W2</f>
        <v>Week 7</v>
      </c>
      <c r="X16" s="104" t="str">
        <f>'Projected Hours'!X2</f>
        <v>Week 8</v>
      </c>
      <c r="Y16" s="104" t="str">
        <f>'Projected Hours'!Y2</f>
        <v>Week 9</v>
      </c>
      <c r="Z16" s="104" t="str">
        <f>'Projected Hours'!Z2</f>
        <v>Week 10</v>
      </c>
      <c r="AA16" s="104" t="str">
        <f>'Projected Hours'!AA2</f>
        <v>Week 1</v>
      </c>
      <c r="AB16" s="104" t="str">
        <f>'Projected Hours'!AB2</f>
        <v>Week 2</v>
      </c>
      <c r="AC16" s="104" t="str">
        <f>'Projected Hours'!AC2</f>
        <v>Week 3</v>
      </c>
      <c r="AD16" s="104" t="str">
        <f>'Projected Hours'!AD2</f>
        <v>Week 4</v>
      </c>
      <c r="AE16" s="104" t="str">
        <f>'Projected Hours'!AE2</f>
        <v>Week 1</v>
      </c>
      <c r="AF16" s="104" t="str">
        <f>'Projected Hours'!AF2</f>
        <v>Week 2</v>
      </c>
      <c r="AG16" s="104" t="str">
        <f>'Projected Hours'!AG2</f>
        <v>Week 3</v>
      </c>
      <c r="AH16" s="104" t="str">
        <f>'Projected Hours'!AH2</f>
        <v>Week 4</v>
      </c>
      <c r="AI16" s="104" t="str">
        <f>'Projected Hours'!AI2</f>
        <v>Week 5</v>
      </c>
    </row>
    <row r="17">
      <c r="A17" s="117" t="s">
        <v>79</v>
      </c>
      <c r="B17" s="105">
        <f>'Projected Hours'!B3</f>
        <v>1</v>
      </c>
      <c r="C17" s="105">
        <f>'Projected Hours'!C3</f>
        <v>2</v>
      </c>
      <c r="D17" s="105">
        <f>'Projected Hours'!D3</f>
        <v>3</v>
      </c>
      <c r="E17" s="105">
        <f>'Projected Hours'!E3</f>
        <v>4</v>
      </c>
      <c r="F17" s="105">
        <f>'Projected Hours'!F3</f>
        <v>5</v>
      </c>
      <c r="G17" s="105">
        <f>'Projected Hours'!G3</f>
        <v>6</v>
      </c>
      <c r="H17" s="105">
        <f>'Projected Hours'!H3</f>
        <v>7</v>
      </c>
      <c r="I17" s="105">
        <f>'Projected Hours'!I3</f>
        <v>8</v>
      </c>
      <c r="J17" s="105">
        <f>'Projected Hours'!J3</f>
        <v>9</v>
      </c>
      <c r="K17" s="105">
        <f>'Projected Hours'!K3</f>
        <v>10</v>
      </c>
      <c r="L17" s="105">
        <f>'Projected Hours'!L3</f>
        <v>11</v>
      </c>
      <c r="M17" s="105">
        <f>'Projected Hours'!M3</f>
        <v>12</v>
      </c>
      <c r="N17" s="105">
        <f>'Projected Hours'!N3</f>
        <v>13</v>
      </c>
      <c r="O17" s="105">
        <f>'Projected Hours'!O3</f>
        <v>14</v>
      </c>
      <c r="P17" s="105">
        <f>'Projected Hours'!P3</f>
        <v>15</v>
      </c>
      <c r="Q17" s="105">
        <f>'Projected Hours'!Q3</f>
        <v>16</v>
      </c>
      <c r="R17" s="105">
        <f>'Projected Hours'!R3</f>
        <v>17</v>
      </c>
      <c r="S17" s="105">
        <f>'Projected Hours'!S3</f>
        <v>18</v>
      </c>
      <c r="T17" s="105">
        <f>'Projected Hours'!T3</f>
        <v>19</v>
      </c>
      <c r="U17" s="105">
        <f>'Projected Hours'!U3</f>
        <v>20</v>
      </c>
      <c r="V17" s="105">
        <f>'Projected Hours'!V3</f>
        <v>21</v>
      </c>
      <c r="W17" s="105">
        <f>'Projected Hours'!W3</f>
        <v>22</v>
      </c>
      <c r="X17" s="105">
        <f>'Projected Hours'!X3</f>
        <v>23</v>
      </c>
      <c r="Y17" s="105">
        <f>'Projected Hours'!Y3</f>
        <v>24</v>
      </c>
      <c r="Z17" s="105">
        <f>'Projected Hours'!Z3</f>
        <v>25</v>
      </c>
      <c r="AA17" s="105">
        <f>'Projected Hours'!AA3</f>
        <v>26</v>
      </c>
      <c r="AB17" s="105">
        <f>'Projected Hours'!AB3</f>
        <v>27</v>
      </c>
      <c r="AC17" s="105">
        <f>'Projected Hours'!AC3</f>
        <v>28</v>
      </c>
      <c r="AD17" s="105">
        <f>'Projected Hours'!AD3</f>
        <v>29</v>
      </c>
      <c r="AE17" s="105">
        <f>'Projected Hours'!AE3</f>
        <v>30</v>
      </c>
      <c r="AF17" s="105">
        <f>'Projected Hours'!AF3</f>
        <v>31</v>
      </c>
      <c r="AG17" s="105">
        <f>'Projected Hours'!AG3</f>
        <v>32</v>
      </c>
      <c r="AH17" s="105">
        <f>'Projected Hours'!AH3</f>
        <v>33</v>
      </c>
      <c r="AI17" s="105">
        <f>'Projected Hours'!AI3</f>
        <v>34</v>
      </c>
    </row>
    <row r="18">
      <c r="A18" s="66" t="s">
        <v>82</v>
      </c>
      <c r="B18" s="11">
        <v>0.0</v>
      </c>
      <c r="C18" s="11">
        <v>0.0</v>
      </c>
      <c r="D18" s="11">
        <v>0.0</v>
      </c>
      <c r="E18" s="11">
        <v>0.0</v>
      </c>
      <c r="F18" s="11">
        <v>0.0</v>
      </c>
      <c r="G18" s="14">
        <v>1.5</v>
      </c>
      <c r="H18" s="14">
        <v>12.0</v>
      </c>
      <c r="I18" s="14">
        <v>2.0</v>
      </c>
      <c r="J18" s="14">
        <v>4.5</v>
      </c>
      <c r="K18" s="14">
        <v>6.75</v>
      </c>
      <c r="L18" s="14">
        <v>0.0</v>
      </c>
      <c r="M18" s="14">
        <v>6.0</v>
      </c>
      <c r="N18" s="14">
        <v>0.0</v>
      </c>
      <c r="O18" s="14">
        <v>0.0</v>
      </c>
      <c r="P18" s="14">
        <v>0.0</v>
      </c>
      <c r="Q18" s="14">
        <v>0.0</v>
      </c>
      <c r="R18" s="14">
        <v>2.75</v>
      </c>
      <c r="S18" s="14">
        <v>7.75</v>
      </c>
      <c r="T18" s="14">
        <v>4.25</v>
      </c>
      <c r="U18" s="14">
        <v>4.5</v>
      </c>
      <c r="V18" s="14">
        <v>7.5</v>
      </c>
      <c r="W18" s="14">
        <v>6.25</v>
      </c>
      <c r="X18" s="14">
        <v>0.5</v>
      </c>
      <c r="Y18" s="14">
        <v>4.25</v>
      </c>
      <c r="Z18" s="14">
        <v>0.5</v>
      </c>
      <c r="AA18" s="14">
        <v>0.0</v>
      </c>
      <c r="AB18" s="14">
        <v>0.0</v>
      </c>
      <c r="AC18" s="14">
        <v>0.0</v>
      </c>
      <c r="AD18" s="14">
        <v>0.0</v>
      </c>
      <c r="AE18" s="14">
        <v>0.0</v>
      </c>
      <c r="AF18" s="14">
        <v>4.0</v>
      </c>
      <c r="AG18" s="14">
        <v>5.5</v>
      </c>
      <c r="AH18" s="14">
        <v>0.0</v>
      </c>
      <c r="AI18" s="14">
        <v>0.0</v>
      </c>
    </row>
    <row r="19">
      <c r="A19" s="66" t="s">
        <v>89</v>
      </c>
      <c r="B19" s="11">
        <v>0.0</v>
      </c>
      <c r="C19" s="11">
        <v>0.0</v>
      </c>
      <c r="D19" s="11">
        <v>0.0</v>
      </c>
      <c r="E19" s="11">
        <v>0.0</v>
      </c>
      <c r="F19" s="11">
        <v>0.0</v>
      </c>
      <c r="G19" s="14">
        <v>4.25</v>
      </c>
      <c r="H19" s="14">
        <v>10.5</v>
      </c>
      <c r="I19" s="14">
        <v>8.5</v>
      </c>
      <c r="J19" s="14">
        <v>8.5</v>
      </c>
      <c r="K19" s="14">
        <v>9.75</v>
      </c>
      <c r="L19" s="14">
        <v>0.0</v>
      </c>
      <c r="M19" s="14">
        <v>0.0</v>
      </c>
      <c r="N19" s="14">
        <v>0.0</v>
      </c>
      <c r="O19" s="14">
        <v>0.0</v>
      </c>
      <c r="P19" s="14">
        <v>0.0</v>
      </c>
      <c r="Q19" s="14">
        <v>0.0</v>
      </c>
      <c r="R19" s="14">
        <v>7.5</v>
      </c>
      <c r="S19" s="14">
        <v>0.0</v>
      </c>
      <c r="T19" s="14">
        <v>7.25</v>
      </c>
      <c r="U19" s="14">
        <v>1.0</v>
      </c>
      <c r="V19" s="14">
        <v>5.75</v>
      </c>
      <c r="W19" s="14">
        <v>3.25</v>
      </c>
      <c r="X19" s="14">
        <v>0.5</v>
      </c>
      <c r="Y19" s="14">
        <v>0.5</v>
      </c>
      <c r="Z19" s="14">
        <v>2.0</v>
      </c>
      <c r="AA19" s="14">
        <v>0.0</v>
      </c>
      <c r="AB19" s="14">
        <v>0.0</v>
      </c>
      <c r="AC19" s="14">
        <v>0.0</v>
      </c>
      <c r="AD19" s="14">
        <v>0.0</v>
      </c>
      <c r="AE19" s="14">
        <v>0.0</v>
      </c>
      <c r="AF19" s="14">
        <v>0.0</v>
      </c>
      <c r="AG19" s="14">
        <v>1.0</v>
      </c>
      <c r="AH19" s="14">
        <v>0.0</v>
      </c>
      <c r="AI19" s="14">
        <v>0.0</v>
      </c>
    </row>
    <row r="20">
      <c r="A20" s="66" t="s">
        <v>104</v>
      </c>
      <c r="B20" s="11">
        <v>0.0</v>
      </c>
      <c r="C20" s="11">
        <v>0.0</v>
      </c>
      <c r="D20" s="11">
        <v>0.0</v>
      </c>
      <c r="E20" s="11">
        <v>0.0</v>
      </c>
      <c r="F20" s="11">
        <v>0.0</v>
      </c>
      <c r="G20" s="14">
        <v>3.0</v>
      </c>
      <c r="H20" s="14">
        <v>2.75</v>
      </c>
      <c r="I20" s="14">
        <v>4.75</v>
      </c>
      <c r="J20" s="14">
        <v>3.75</v>
      </c>
      <c r="K20" s="14">
        <v>0.5</v>
      </c>
      <c r="L20" s="14">
        <v>0.0</v>
      </c>
      <c r="M20" s="14">
        <v>0.0</v>
      </c>
      <c r="N20" s="14">
        <v>0.0</v>
      </c>
      <c r="O20" s="14">
        <v>0.0</v>
      </c>
      <c r="P20" s="14">
        <v>4.25</v>
      </c>
      <c r="Q20" s="14">
        <v>4.25</v>
      </c>
      <c r="R20" s="14">
        <v>1.25</v>
      </c>
      <c r="S20" s="14">
        <v>0.75</v>
      </c>
      <c r="T20" s="14">
        <v>0.75</v>
      </c>
      <c r="U20" s="14">
        <v>1.0</v>
      </c>
      <c r="V20" s="14">
        <v>3.0</v>
      </c>
      <c r="W20" s="14">
        <v>18.5</v>
      </c>
      <c r="X20" s="14">
        <v>11.75</v>
      </c>
      <c r="Y20" s="14">
        <v>14.25</v>
      </c>
      <c r="Z20" s="14">
        <v>9.5</v>
      </c>
      <c r="AA20" s="14">
        <v>0.0</v>
      </c>
      <c r="AB20" s="14">
        <v>1.25</v>
      </c>
      <c r="AC20" s="14">
        <v>0.0</v>
      </c>
      <c r="AD20" s="14">
        <v>0.0</v>
      </c>
      <c r="AE20" s="14">
        <v>10.0</v>
      </c>
      <c r="AF20" s="14">
        <v>1.75</v>
      </c>
      <c r="AG20" s="14">
        <v>2.25</v>
      </c>
      <c r="AH20" s="14">
        <v>4.0</v>
      </c>
      <c r="AI20" s="14">
        <v>1.0</v>
      </c>
    </row>
    <row r="21">
      <c r="A21" s="66" t="s">
        <v>102</v>
      </c>
      <c r="B21" s="11">
        <v>0.0</v>
      </c>
      <c r="C21" s="11">
        <v>0.0</v>
      </c>
      <c r="D21" s="11">
        <v>0.0</v>
      </c>
      <c r="E21" s="11">
        <v>0.0</v>
      </c>
      <c r="F21" s="11">
        <v>0.0</v>
      </c>
      <c r="G21" s="14">
        <v>0.0</v>
      </c>
      <c r="H21" s="14">
        <v>3.25</v>
      </c>
      <c r="I21" s="14">
        <v>6.25</v>
      </c>
      <c r="J21" s="14">
        <v>5.25</v>
      </c>
      <c r="K21" s="14">
        <v>0.5</v>
      </c>
      <c r="L21" s="14">
        <v>0.0</v>
      </c>
      <c r="M21" s="14">
        <v>0.0</v>
      </c>
      <c r="N21" s="14">
        <v>0.0</v>
      </c>
      <c r="O21" s="14">
        <v>0.0</v>
      </c>
      <c r="P21" s="14">
        <v>0.75</v>
      </c>
      <c r="Q21" s="14">
        <v>0.0</v>
      </c>
      <c r="R21" s="14">
        <v>0.5</v>
      </c>
      <c r="S21" s="14">
        <v>4.75</v>
      </c>
      <c r="T21" s="14">
        <v>3.0</v>
      </c>
      <c r="U21" s="14">
        <v>2.0</v>
      </c>
      <c r="V21" s="14">
        <v>5.5</v>
      </c>
      <c r="W21" s="14">
        <v>2.0</v>
      </c>
      <c r="X21" s="14">
        <v>0.0</v>
      </c>
      <c r="Y21" s="14">
        <v>0.0</v>
      </c>
      <c r="Z21" s="14">
        <v>0.0</v>
      </c>
      <c r="AA21" s="14">
        <v>0.0</v>
      </c>
      <c r="AB21" s="14">
        <v>0.0</v>
      </c>
      <c r="AC21" s="14">
        <v>0.0</v>
      </c>
      <c r="AD21" s="14">
        <v>0.0</v>
      </c>
      <c r="AE21" s="14">
        <v>0.0</v>
      </c>
      <c r="AF21" s="14">
        <v>0.0</v>
      </c>
      <c r="AG21" s="14">
        <v>0.0</v>
      </c>
      <c r="AH21" s="14">
        <v>0.0</v>
      </c>
      <c r="AI21" s="14">
        <v>0.0</v>
      </c>
    </row>
    <row r="22">
      <c r="A22" s="66" t="s">
        <v>86</v>
      </c>
      <c r="B22" s="11">
        <v>0.0</v>
      </c>
      <c r="C22" s="11">
        <v>0.0</v>
      </c>
      <c r="D22" s="11">
        <v>0.0</v>
      </c>
      <c r="E22" s="11">
        <v>0.0</v>
      </c>
      <c r="F22" s="11">
        <v>0.0</v>
      </c>
      <c r="G22" s="14">
        <v>0.0</v>
      </c>
      <c r="H22" s="14">
        <v>6.25</v>
      </c>
      <c r="I22" s="14">
        <v>1.5</v>
      </c>
      <c r="J22" s="14">
        <v>1.0</v>
      </c>
      <c r="K22" s="14">
        <v>0.5</v>
      </c>
      <c r="L22" s="14">
        <v>0.0</v>
      </c>
      <c r="M22" s="14">
        <v>0.0</v>
      </c>
      <c r="N22" s="14">
        <v>0.0</v>
      </c>
      <c r="O22" s="14">
        <v>0.0</v>
      </c>
      <c r="P22" s="14">
        <v>0.0</v>
      </c>
      <c r="Q22" s="14">
        <v>0.0</v>
      </c>
      <c r="R22" s="14">
        <v>3.5</v>
      </c>
      <c r="S22" s="14">
        <v>8.5</v>
      </c>
      <c r="T22" s="14">
        <v>14.5</v>
      </c>
      <c r="U22" s="14">
        <v>10.0</v>
      </c>
      <c r="V22" s="14">
        <v>7.75</v>
      </c>
      <c r="W22" s="14">
        <v>16.5</v>
      </c>
      <c r="X22" s="14">
        <v>1.0</v>
      </c>
      <c r="Y22" s="14">
        <v>6.75</v>
      </c>
      <c r="Z22" s="14">
        <v>1.0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0.5</v>
      </c>
      <c r="AG22" s="14">
        <v>7.0</v>
      </c>
      <c r="AH22" s="14">
        <v>0.25</v>
      </c>
      <c r="AI22" s="14">
        <v>1.0</v>
      </c>
    </row>
    <row r="23">
      <c r="A23" s="66" t="s">
        <v>93</v>
      </c>
      <c r="B23" s="11">
        <v>0.0</v>
      </c>
      <c r="C23" s="11">
        <v>0.0</v>
      </c>
      <c r="D23" s="11">
        <v>0.0</v>
      </c>
      <c r="E23" s="11">
        <v>0.0</v>
      </c>
      <c r="F23" s="11">
        <v>0.0</v>
      </c>
      <c r="G23" s="14">
        <v>0.0</v>
      </c>
      <c r="H23" s="14">
        <v>5.5</v>
      </c>
      <c r="I23" s="14">
        <v>4.25</v>
      </c>
      <c r="J23" s="14">
        <v>13.0</v>
      </c>
      <c r="K23" s="14">
        <v>9.0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2.0</v>
      </c>
      <c r="S23" s="14">
        <v>3.0</v>
      </c>
      <c r="T23" s="14">
        <v>5.5</v>
      </c>
      <c r="U23" s="14">
        <v>6.75</v>
      </c>
      <c r="V23" s="14">
        <v>10.5</v>
      </c>
      <c r="W23" s="14">
        <v>13.5</v>
      </c>
      <c r="X23" s="14">
        <v>6.25</v>
      </c>
      <c r="Y23" s="14">
        <v>0.0</v>
      </c>
      <c r="Z23" s="14">
        <v>26.5</v>
      </c>
      <c r="AA23" s="14">
        <v>0.0</v>
      </c>
      <c r="AB23" s="14">
        <v>0.0</v>
      </c>
      <c r="AC23" s="14">
        <v>0.0</v>
      </c>
      <c r="AD23" s="14">
        <v>0.0</v>
      </c>
      <c r="AE23" s="14">
        <v>0.0</v>
      </c>
      <c r="AF23" s="14">
        <v>0.0</v>
      </c>
      <c r="AG23" s="14">
        <v>0.0</v>
      </c>
      <c r="AH23" s="14">
        <v>0.0</v>
      </c>
      <c r="AI23" s="14">
        <v>0.0</v>
      </c>
    </row>
    <row r="24">
      <c r="A24" s="66" t="s">
        <v>100</v>
      </c>
      <c r="B24" s="11">
        <v>0.0</v>
      </c>
      <c r="C24" s="11">
        <v>0.0</v>
      </c>
      <c r="D24" s="11">
        <v>0.0</v>
      </c>
      <c r="E24" s="11">
        <v>0.0</v>
      </c>
      <c r="F24" s="11">
        <v>0.0</v>
      </c>
      <c r="G24" s="14">
        <v>1.0</v>
      </c>
      <c r="H24" s="14">
        <v>7.0</v>
      </c>
      <c r="I24" s="14">
        <v>9.75</v>
      </c>
      <c r="J24" s="14">
        <v>11.25</v>
      </c>
      <c r="K24" s="14">
        <v>10.5</v>
      </c>
      <c r="L24" s="14">
        <v>8.75</v>
      </c>
      <c r="M24" s="14">
        <v>4.75</v>
      </c>
      <c r="N24" s="14">
        <v>0.0</v>
      </c>
      <c r="O24" s="14">
        <v>6.5</v>
      </c>
      <c r="P24" s="14">
        <v>1.5</v>
      </c>
      <c r="Q24" s="14">
        <v>42.5</v>
      </c>
      <c r="R24" s="14">
        <v>15.5</v>
      </c>
      <c r="S24" s="14">
        <v>43.0</v>
      </c>
      <c r="T24" s="14">
        <v>16.75</v>
      </c>
      <c r="U24" s="14">
        <v>30.0</v>
      </c>
      <c r="V24" s="14">
        <v>26.5</v>
      </c>
      <c r="W24" s="14">
        <v>28.5</v>
      </c>
      <c r="X24" s="14">
        <v>48.75</v>
      </c>
      <c r="Y24" s="14">
        <v>24.0</v>
      </c>
      <c r="Z24" s="14">
        <v>35.0</v>
      </c>
      <c r="AA24" s="14">
        <v>0.0</v>
      </c>
      <c r="AB24" s="14">
        <v>0.0</v>
      </c>
      <c r="AC24" s="14">
        <v>0.0</v>
      </c>
      <c r="AD24" s="14">
        <v>13.0</v>
      </c>
      <c r="AE24" s="14">
        <v>7.25</v>
      </c>
      <c r="AF24" s="14">
        <v>33.75</v>
      </c>
      <c r="AG24" s="14">
        <v>30.0</v>
      </c>
      <c r="AH24" s="14">
        <v>22.0</v>
      </c>
      <c r="AI24" s="14">
        <v>4.0</v>
      </c>
    </row>
    <row r="25">
      <c r="A25" s="5" t="s">
        <v>126</v>
      </c>
      <c r="B25" s="11">
        <f t="shared" ref="B25:AI25" si="2">SUM(B18:B24)</f>
        <v>0</v>
      </c>
      <c r="C25" s="11">
        <f t="shared" si="2"/>
        <v>0</v>
      </c>
      <c r="D25" s="11">
        <f t="shared" si="2"/>
        <v>0</v>
      </c>
      <c r="E25" s="11">
        <f t="shared" si="2"/>
        <v>0</v>
      </c>
      <c r="F25" s="11">
        <f t="shared" si="2"/>
        <v>0</v>
      </c>
      <c r="G25" s="11">
        <f t="shared" si="2"/>
        <v>9.75</v>
      </c>
      <c r="H25" s="11">
        <f t="shared" si="2"/>
        <v>47.25</v>
      </c>
      <c r="I25" s="11">
        <f t="shared" si="2"/>
        <v>37</v>
      </c>
      <c r="J25" s="11">
        <f t="shared" si="2"/>
        <v>47.25</v>
      </c>
      <c r="K25" s="11">
        <f t="shared" si="2"/>
        <v>37.5</v>
      </c>
      <c r="L25" s="11">
        <f t="shared" si="2"/>
        <v>8.75</v>
      </c>
      <c r="M25" s="11">
        <f t="shared" si="2"/>
        <v>10.75</v>
      </c>
      <c r="N25" s="11">
        <f t="shared" si="2"/>
        <v>0</v>
      </c>
      <c r="O25" s="11">
        <f t="shared" si="2"/>
        <v>6.5</v>
      </c>
      <c r="P25" s="11">
        <f t="shared" si="2"/>
        <v>6.5</v>
      </c>
      <c r="Q25" s="11">
        <f t="shared" si="2"/>
        <v>46.75</v>
      </c>
      <c r="R25" s="11">
        <f t="shared" si="2"/>
        <v>33</v>
      </c>
      <c r="S25" s="11">
        <f t="shared" si="2"/>
        <v>67.75</v>
      </c>
      <c r="T25" s="11">
        <f t="shared" si="2"/>
        <v>52</v>
      </c>
      <c r="U25" s="11">
        <f t="shared" si="2"/>
        <v>55.25</v>
      </c>
      <c r="V25" s="11">
        <f t="shared" si="2"/>
        <v>66.5</v>
      </c>
      <c r="W25" s="11">
        <f t="shared" si="2"/>
        <v>88.5</v>
      </c>
      <c r="X25" s="11">
        <f t="shared" si="2"/>
        <v>68.75</v>
      </c>
      <c r="Y25" s="11">
        <f t="shared" si="2"/>
        <v>49.75</v>
      </c>
      <c r="Z25" s="11">
        <f t="shared" si="2"/>
        <v>74.5</v>
      </c>
      <c r="AA25" s="11">
        <f t="shared" si="2"/>
        <v>0</v>
      </c>
      <c r="AB25" s="11">
        <f t="shared" si="2"/>
        <v>1.25</v>
      </c>
      <c r="AC25" s="11">
        <f t="shared" si="2"/>
        <v>0</v>
      </c>
      <c r="AD25" s="11">
        <f t="shared" si="2"/>
        <v>13</v>
      </c>
      <c r="AE25" s="11">
        <f t="shared" si="2"/>
        <v>17.25</v>
      </c>
      <c r="AF25" s="11">
        <f t="shared" si="2"/>
        <v>40</v>
      </c>
      <c r="AG25" s="11">
        <f t="shared" si="2"/>
        <v>45.75</v>
      </c>
      <c r="AH25" s="11">
        <f t="shared" si="2"/>
        <v>26.25</v>
      </c>
      <c r="AI25" s="11">
        <f t="shared" si="2"/>
        <v>6</v>
      </c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>
      <c r="A27" s="107" t="s">
        <v>128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/>
    </row>
    <row r="28">
      <c r="A28" s="108"/>
      <c r="B28" s="109" t="s">
        <v>129</v>
      </c>
      <c r="C28" s="3"/>
      <c r="D28" s="3"/>
      <c r="E28" s="3"/>
      <c r="F28" s="3"/>
      <c r="G28" s="3"/>
      <c r="H28" s="3"/>
      <c r="I28" s="3"/>
      <c r="J28" s="3"/>
      <c r="K28" s="4"/>
      <c r="L28" s="109" t="s">
        <v>130</v>
      </c>
      <c r="M28" s="3"/>
      <c r="N28" s="3"/>
      <c r="O28" s="3"/>
      <c r="P28" s="4"/>
      <c r="Q28" s="109" t="s">
        <v>131</v>
      </c>
      <c r="R28" s="3"/>
      <c r="S28" s="3"/>
      <c r="T28" s="3"/>
      <c r="U28" s="3"/>
      <c r="V28" s="3"/>
      <c r="W28" s="3"/>
      <c r="X28" s="3"/>
      <c r="Y28" s="3"/>
      <c r="Z28" s="4"/>
      <c r="AA28" s="109" t="s">
        <v>132</v>
      </c>
      <c r="AB28" s="3"/>
      <c r="AC28" s="3"/>
      <c r="AD28" s="4"/>
      <c r="AE28" s="109" t="s">
        <v>133</v>
      </c>
      <c r="AF28" s="3"/>
      <c r="AG28" s="3"/>
      <c r="AH28" s="3"/>
      <c r="AI28" s="4"/>
    </row>
    <row r="29">
      <c r="A29" s="110" t="s">
        <v>78</v>
      </c>
      <c r="B29" s="112" t="str">
        <f>'Projected Hours'!B2</f>
        <v>Week 1</v>
      </c>
      <c r="C29" s="112" t="str">
        <f>'Projected Hours'!C2</f>
        <v>Week 2</v>
      </c>
      <c r="D29" s="112" t="str">
        <f>'Projected Hours'!D2</f>
        <v>Week 3</v>
      </c>
      <c r="E29" s="112" t="str">
        <f>'Projected Hours'!E2</f>
        <v>Week 4</v>
      </c>
      <c r="F29" s="112" t="str">
        <f>'Projected Hours'!F2</f>
        <v>Week 5</v>
      </c>
      <c r="G29" s="112" t="str">
        <f>'Projected Hours'!G2</f>
        <v>Week 6</v>
      </c>
      <c r="H29" s="112" t="str">
        <f>'Projected Hours'!H2</f>
        <v>Week 7</v>
      </c>
      <c r="I29" s="112" t="str">
        <f>'Projected Hours'!I2</f>
        <v>Week 8</v>
      </c>
      <c r="J29" s="112" t="str">
        <f>'Projected Hours'!J2</f>
        <v>Week 9</v>
      </c>
      <c r="K29" s="112" t="str">
        <f>'Projected Hours'!K2</f>
        <v>Week 10</v>
      </c>
      <c r="L29" s="112" t="str">
        <f>'Projected Hours'!L2</f>
        <v>Week 1</v>
      </c>
      <c r="M29" s="112" t="str">
        <f>'Projected Hours'!M2</f>
        <v>Week 2</v>
      </c>
      <c r="N29" s="112" t="str">
        <f>'Projected Hours'!N2</f>
        <v>Week 3</v>
      </c>
      <c r="O29" s="112" t="str">
        <f>'Projected Hours'!O2</f>
        <v>Week 4</v>
      </c>
      <c r="P29" s="112" t="str">
        <f>'Projected Hours'!P2</f>
        <v>Week 5</v>
      </c>
      <c r="Q29" s="112" t="str">
        <f>'Projected Hours'!Q2</f>
        <v>Week 1</v>
      </c>
      <c r="R29" s="112" t="str">
        <f>'Projected Hours'!R2</f>
        <v>Week 2</v>
      </c>
      <c r="S29" s="112" t="str">
        <f>'Projected Hours'!S2</f>
        <v>Week 3</v>
      </c>
      <c r="T29" s="112" t="str">
        <f>'Projected Hours'!T2</f>
        <v>Week 4</v>
      </c>
      <c r="U29" s="112" t="str">
        <f>'Projected Hours'!U2</f>
        <v>Week 5</v>
      </c>
      <c r="V29" s="112" t="str">
        <f>'Projected Hours'!V2</f>
        <v>Week 6</v>
      </c>
      <c r="W29" s="112" t="str">
        <f>'Projected Hours'!W2</f>
        <v>Week 7</v>
      </c>
      <c r="X29" s="112" t="str">
        <f>'Projected Hours'!X2</f>
        <v>Week 8</v>
      </c>
      <c r="Y29" s="112" t="str">
        <f>'Projected Hours'!Y2</f>
        <v>Week 9</v>
      </c>
      <c r="Z29" s="112" t="str">
        <f>'Projected Hours'!Z2</f>
        <v>Week 10</v>
      </c>
      <c r="AA29" s="112" t="str">
        <f>'Projected Hours'!AA2</f>
        <v>Week 1</v>
      </c>
      <c r="AB29" s="112" t="str">
        <f>'Projected Hours'!AB2</f>
        <v>Week 2</v>
      </c>
      <c r="AC29" s="112" t="str">
        <f>'Projected Hours'!AC2</f>
        <v>Week 3</v>
      </c>
      <c r="AD29" s="112" t="str">
        <f>'Projected Hours'!AD2</f>
        <v>Week 4</v>
      </c>
      <c r="AE29" s="112" t="str">
        <f>'Projected Hours'!AE2</f>
        <v>Week 1</v>
      </c>
      <c r="AF29" s="112" t="str">
        <f>'Projected Hours'!AF2</f>
        <v>Week 2</v>
      </c>
      <c r="AG29" s="112" t="str">
        <f>'Projected Hours'!AG2</f>
        <v>Week 3</v>
      </c>
      <c r="AH29" s="112" t="str">
        <f>'Projected Hours'!AH2</f>
        <v>Week 4</v>
      </c>
      <c r="AI29" s="112" t="str">
        <f>'Projected Hours'!AI2</f>
        <v>Week 5</v>
      </c>
    </row>
    <row r="30">
      <c r="A30" s="114" t="s">
        <v>79</v>
      </c>
      <c r="B30" s="118">
        <f>'Projected Hours'!B3</f>
        <v>1</v>
      </c>
      <c r="C30" s="118">
        <f>'Projected Hours'!C3</f>
        <v>2</v>
      </c>
      <c r="D30" s="118">
        <f>'Projected Hours'!D3</f>
        <v>3</v>
      </c>
      <c r="E30" s="118">
        <f>'Projected Hours'!E3</f>
        <v>4</v>
      </c>
      <c r="F30" s="118">
        <f>'Projected Hours'!F3</f>
        <v>5</v>
      </c>
      <c r="G30" s="118">
        <f>'Projected Hours'!G3</f>
        <v>6</v>
      </c>
      <c r="H30" s="118">
        <f>'Projected Hours'!H3</f>
        <v>7</v>
      </c>
      <c r="I30" s="118">
        <f>'Projected Hours'!I3</f>
        <v>8</v>
      </c>
      <c r="J30" s="118">
        <f>'Projected Hours'!J3</f>
        <v>9</v>
      </c>
      <c r="K30" s="118">
        <f>'Projected Hours'!K3</f>
        <v>10</v>
      </c>
      <c r="L30" s="118">
        <f>'Projected Hours'!L3</f>
        <v>11</v>
      </c>
      <c r="M30" s="118">
        <f>'Projected Hours'!M3</f>
        <v>12</v>
      </c>
      <c r="N30" s="118">
        <f>'Projected Hours'!N3</f>
        <v>13</v>
      </c>
      <c r="O30" s="118">
        <f>'Projected Hours'!O3</f>
        <v>14</v>
      </c>
      <c r="P30" s="118">
        <f>'Projected Hours'!P3</f>
        <v>15</v>
      </c>
      <c r="Q30" s="118">
        <f>'Projected Hours'!Q3</f>
        <v>16</v>
      </c>
      <c r="R30" s="118">
        <f>'Projected Hours'!R3</f>
        <v>17</v>
      </c>
      <c r="S30" s="118">
        <f>'Projected Hours'!S3</f>
        <v>18</v>
      </c>
      <c r="T30" s="118">
        <f>'Projected Hours'!T3</f>
        <v>19</v>
      </c>
      <c r="U30" s="118">
        <f>'Projected Hours'!U3</f>
        <v>20</v>
      </c>
      <c r="V30" s="118">
        <f>'Projected Hours'!V3</f>
        <v>21</v>
      </c>
      <c r="W30" s="118">
        <f>'Projected Hours'!W3</f>
        <v>22</v>
      </c>
      <c r="X30" s="118">
        <f>'Projected Hours'!X3</f>
        <v>23</v>
      </c>
      <c r="Y30" s="118">
        <f>'Projected Hours'!Y3</f>
        <v>24</v>
      </c>
      <c r="Z30" s="118">
        <f>'Projected Hours'!Z3</f>
        <v>25</v>
      </c>
      <c r="AA30" s="118">
        <f>'Projected Hours'!AA3</f>
        <v>26</v>
      </c>
      <c r="AB30" s="118">
        <f>'Projected Hours'!AB3</f>
        <v>27</v>
      </c>
      <c r="AC30" s="118">
        <f>'Projected Hours'!AC3</f>
        <v>28</v>
      </c>
      <c r="AD30" s="118">
        <f>'Projected Hours'!AD3</f>
        <v>29</v>
      </c>
      <c r="AE30" s="118">
        <f>'Projected Hours'!AE3</f>
        <v>30</v>
      </c>
      <c r="AF30" s="118">
        <f>'Projected Hours'!AF3</f>
        <v>31</v>
      </c>
      <c r="AG30" s="118">
        <f>'Projected Hours'!AG3</f>
        <v>32</v>
      </c>
      <c r="AH30" s="118">
        <f>'Projected Hours'!AH3</f>
        <v>33</v>
      </c>
      <c r="AI30" s="118">
        <f>'Projected Hours'!AI3</f>
        <v>34</v>
      </c>
    </row>
    <row r="31">
      <c r="A31" s="5" t="s">
        <v>137</v>
      </c>
      <c r="B31" s="11">
        <f t="shared" ref="B31:AI31" si="3">B5-B18</f>
        <v>0</v>
      </c>
      <c r="C31" s="11">
        <f t="shared" si="3"/>
        <v>0</v>
      </c>
      <c r="D31" s="11">
        <f t="shared" si="3"/>
        <v>0</v>
      </c>
      <c r="E31" s="11">
        <f t="shared" si="3"/>
        <v>0</v>
      </c>
      <c r="F31" s="11">
        <f t="shared" si="3"/>
        <v>0</v>
      </c>
      <c r="G31" s="11">
        <f t="shared" si="3"/>
        <v>0</v>
      </c>
      <c r="H31" s="11">
        <f t="shared" si="3"/>
        <v>0</v>
      </c>
      <c r="I31" s="11">
        <f t="shared" si="3"/>
        <v>0</v>
      </c>
      <c r="J31" s="11">
        <f t="shared" si="3"/>
        <v>0</v>
      </c>
      <c r="K31" s="11">
        <f t="shared" si="3"/>
        <v>0</v>
      </c>
      <c r="L31" s="11">
        <f t="shared" si="3"/>
        <v>0</v>
      </c>
      <c r="M31" s="11">
        <f t="shared" si="3"/>
        <v>0</v>
      </c>
      <c r="N31" s="11">
        <f t="shared" si="3"/>
        <v>0</v>
      </c>
      <c r="O31" s="11">
        <f t="shared" si="3"/>
        <v>0</v>
      </c>
      <c r="P31" s="11">
        <f t="shared" si="3"/>
        <v>0</v>
      </c>
      <c r="Q31" s="11">
        <f t="shared" si="3"/>
        <v>0</v>
      </c>
      <c r="R31" s="11">
        <f t="shared" si="3"/>
        <v>0</v>
      </c>
      <c r="S31" s="11">
        <f t="shared" si="3"/>
        <v>0</v>
      </c>
      <c r="T31" s="11">
        <f t="shared" si="3"/>
        <v>-1.5</v>
      </c>
      <c r="U31" s="11">
        <f t="shared" si="3"/>
        <v>-2.5</v>
      </c>
      <c r="V31" s="11">
        <f t="shared" si="3"/>
        <v>-5</v>
      </c>
      <c r="W31" s="11">
        <f t="shared" si="3"/>
        <v>-3.25</v>
      </c>
      <c r="X31" s="11">
        <f t="shared" si="3"/>
        <v>2</v>
      </c>
      <c r="Y31" s="11">
        <f t="shared" si="3"/>
        <v>-1.25</v>
      </c>
      <c r="Z31" s="11">
        <f t="shared" si="3"/>
        <v>2</v>
      </c>
      <c r="AA31" s="11">
        <f t="shared" si="3"/>
        <v>0</v>
      </c>
      <c r="AB31" s="11">
        <f t="shared" si="3"/>
        <v>0</v>
      </c>
      <c r="AC31" s="11">
        <f t="shared" si="3"/>
        <v>0</v>
      </c>
      <c r="AD31" s="11">
        <f t="shared" si="3"/>
        <v>0</v>
      </c>
      <c r="AE31" s="11">
        <f t="shared" si="3"/>
        <v>2</v>
      </c>
      <c r="AF31" s="11">
        <f t="shared" si="3"/>
        <v>-2</v>
      </c>
      <c r="AG31" s="11">
        <f t="shared" si="3"/>
        <v>-2.5</v>
      </c>
      <c r="AH31" s="11">
        <f t="shared" si="3"/>
        <v>2</v>
      </c>
      <c r="AI31" s="11">
        <f t="shared" si="3"/>
        <v>2</v>
      </c>
    </row>
    <row r="32">
      <c r="A32" s="5" t="s">
        <v>138</v>
      </c>
      <c r="B32" s="11">
        <f t="shared" ref="B32:AI32" si="4">B6-B19</f>
        <v>0</v>
      </c>
      <c r="C32" s="11">
        <f t="shared" si="4"/>
        <v>0</v>
      </c>
      <c r="D32" s="11">
        <f t="shared" si="4"/>
        <v>0</v>
      </c>
      <c r="E32" s="11">
        <f t="shared" si="4"/>
        <v>0</v>
      </c>
      <c r="F32" s="11">
        <f t="shared" si="4"/>
        <v>0</v>
      </c>
      <c r="G32" s="11">
        <f t="shared" si="4"/>
        <v>0</v>
      </c>
      <c r="H32" s="11">
        <f t="shared" si="4"/>
        <v>0</v>
      </c>
      <c r="I32" s="11">
        <f t="shared" si="4"/>
        <v>0</v>
      </c>
      <c r="J32" s="11">
        <f t="shared" si="4"/>
        <v>0</v>
      </c>
      <c r="K32" s="11">
        <f t="shared" si="4"/>
        <v>0</v>
      </c>
      <c r="L32" s="11">
        <f t="shared" si="4"/>
        <v>0</v>
      </c>
      <c r="M32" s="11">
        <f t="shared" si="4"/>
        <v>0</v>
      </c>
      <c r="N32" s="11">
        <f t="shared" si="4"/>
        <v>0</v>
      </c>
      <c r="O32" s="11">
        <f t="shared" si="4"/>
        <v>0</v>
      </c>
      <c r="P32" s="11">
        <f t="shared" si="4"/>
        <v>0</v>
      </c>
      <c r="Q32" s="11">
        <f t="shared" si="4"/>
        <v>0</v>
      </c>
      <c r="R32" s="11">
        <f t="shared" si="4"/>
        <v>0</v>
      </c>
      <c r="S32" s="11">
        <f t="shared" si="4"/>
        <v>0</v>
      </c>
      <c r="T32" s="11">
        <f t="shared" si="4"/>
        <v>-2.5</v>
      </c>
      <c r="U32" s="11">
        <f t="shared" si="4"/>
        <v>3</v>
      </c>
      <c r="V32" s="11">
        <f t="shared" si="4"/>
        <v>-0.75</v>
      </c>
      <c r="W32" s="11">
        <f t="shared" si="4"/>
        <v>1.75</v>
      </c>
      <c r="X32" s="11">
        <f t="shared" si="4"/>
        <v>4.5</v>
      </c>
      <c r="Y32" s="11">
        <f t="shared" si="4"/>
        <v>3.5</v>
      </c>
      <c r="Z32" s="11">
        <f t="shared" si="4"/>
        <v>2</v>
      </c>
      <c r="AA32" s="11">
        <f t="shared" si="4"/>
        <v>0</v>
      </c>
      <c r="AB32" s="11">
        <f t="shared" si="4"/>
        <v>0</v>
      </c>
      <c r="AC32" s="11">
        <f t="shared" si="4"/>
        <v>0</v>
      </c>
      <c r="AD32" s="11">
        <f t="shared" si="4"/>
        <v>0</v>
      </c>
      <c r="AE32" s="11">
        <f t="shared" si="4"/>
        <v>4</v>
      </c>
      <c r="AF32" s="11">
        <f t="shared" si="4"/>
        <v>4</v>
      </c>
      <c r="AG32" s="11">
        <f t="shared" si="4"/>
        <v>7</v>
      </c>
      <c r="AH32" s="11">
        <f t="shared" si="4"/>
        <v>4</v>
      </c>
      <c r="AI32" s="11">
        <f t="shared" si="4"/>
        <v>4</v>
      </c>
    </row>
    <row r="33">
      <c r="A33" s="5" t="s">
        <v>139</v>
      </c>
      <c r="B33" s="11">
        <f t="shared" ref="B33:AI33" si="5">B7-B20</f>
        <v>0</v>
      </c>
      <c r="C33" s="11">
        <f t="shared" si="5"/>
        <v>0</v>
      </c>
      <c r="D33" s="11">
        <f t="shared" si="5"/>
        <v>0</v>
      </c>
      <c r="E33" s="11">
        <f t="shared" si="5"/>
        <v>0</v>
      </c>
      <c r="F33" s="11">
        <f t="shared" si="5"/>
        <v>0</v>
      </c>
      <c r="G33" s="11">
        <f t="shared" si="5"/>
        <v>0</v>
      </c>
      <c r="H33" s="11">
        <f t="shared" si="5"/>
        <v>0</v>
      </c>
      <c r="I33" s="11">
        <f t="shared" si="5"/>
        <v>0</v>
      </c>
      <c r="J33" s="11">
        <f t="shared" si="5"/>
        <v>0</v>
      </c>
      <c r="K33" s="11">
        <f t="shared" si="5"/>
        <v>0</v>
      </c>
      <c r="L33" s="11">
        <f t="shared" si="5"/>
        <v>0</v>
      </c>
      <c r="M33" s="11">
        <f t="shared" si="5"/>
        <v>0</v>
      </c>
      <c r="N33" s="11">
        <f t="shared" si="5"/>
        <v>0</v>
      </c>
      <c r="O33" s="11">
        <f t="shared" si="5"/>
        <v>0</v>
      </c>
      <c r="P33" s="11">
        <f t="shared" si="5"/>
        <v>0</v>
      </c>
      <c r="Q33" s="11">
        <f t="shared" si="5"/>
        <v>0</v>
      </c>
      <c r="R33" s="11">
        <f t="shared" si="5"/>
        <v>0</v>
      </c>
      <c r="S33" s="11">
        <f t="shared" si="5"/>
        <v>0</v>
      </c>
      <c r="T33" s="11">
        <f t="shared" si="5"/>
        <v>1</v>
      </c>
      <c r="U33" s="11">
        <f t="shared" si="5"/>
        <v>1</v>
      </c>
      <c r="V33" s="11">
        <f t="shared" si="5"/>
        <v>1</v>
      </c>
      <c r="W33" s="11">
        <f t="shared" si="5"/>
        <v>-12.5</v>
      </c>
      <c r="X33" s="11">
        <f t="shared" si="5"/>
        <v>-11.75</v>
      </c>
      <c r="Y33" s="11">
        <f t="shared" si="5"/>
        <v>-14.25</v>
      </c>
      <c r="Z33" s="11">
        <f t="shared" si="5"/>
        <v>-9.5</v>
      </c>
      <c r="AA33" s="11">
        <f t="shared" si="5"/>
        <v>0</v>
      </c>
      <c r="AB33" s="11">
        <f t="shared" si="5"/>
        <v>-1.25</v>
      </c>
      <c r="AC33" s="11">
        <f t="shared" si="5"/>
        <v>0</v>
      </c>
      <c r="AD33" s="11">
        <f t="shared" si="5"/>
        <v>0</v>
      </c>
      <c r="AE33" s="11">
        <f t="shared" si="5"/>
        <v>-10</v>
      </c>
      <c r="AF33" s="11">
        <f t="shared" si="5"/>
        <v>-1.75</v>
      </c>
      <c r="AG33" s="11">
        <f t="shared" si="5"/>
        <v>-2.25</v>
      </c>
      <c r="AH33" s="11">
        <f t="shared" si="5"/>
        <v>-4</v>
      </c>
      <c r="AI33" s="11">
        <f t="shared" si="5"/>
        <v>-1</v>
      </c>
    </row>
    <row r="34">
      <c r="A34" s="5" t="s">
        <v>140</v>
      </c>
      <c r="B34" s="11">
        <f t="shared" ref="B34:AI34" si="6">B8-B21</f>
        <v>0</v>
      </c>
      <c r="C34" s="11">
        <f t="shared" si="6"/>
        <v>0</v>
      </c>
      <c r="D34" s="11">
        <f t="shared" si="6"/>
        <v>0</v>
      </c>
      <c r="E34" s="11">
        <f t="shared" si="6"/>
        <v>0</v>
      </c>
      <c r="F34" s="11">
        <f t="shared" si="6"/>
        <v>0</v>
      </c>
      <c r="G34" s="11">
        <f t="shared" si="6"/>
        <v>0</v>
      </c>
      <c r="H34" s="11">
        <f t="shared" si="6"/>
        <v>0</v>
      </c>
      <c r="I34" s="11">
        <f t="shared" si="6"/>
        <v>0</v>
      </c>
      <c r="J34" s="11">
        <f t="shared" si="6"/>
        <v>0</v>
      </c>
      <c r="K34" s="11">
        <f t="shared" si="6"/>
        <v>0</v>
      </c>
      <c r="L34" s="11">
        <f t="shared" si="6"/>
        <v>0</v>
      </c>
      <c r="M34" s="11">
        <f t="shared" si="6"/>
        <v>0</v>
      </c>
      <c r="N34" s="11">
        <f t="shared" si="6"/>
        <v>0</v>
      </c>
      <c r="O34" s="11">
        <f t="shared" si="6"/>
        <v>0</v>
      </c>
      <c r="P34" s="11">
        <f t="shared" si="6"/>
        <v>0</v>
      </c>
      <c r="Q34" s="11">
        <f t="shared" si="6"/>
        <v>0</v>
      </c>
      <c r="R34" s="11">
        <f t="shared" si="6"/>
        <v>0</v>
      </c>
      <c r="S34" s="11">
        <f t="shared" si="6"/>
        <v>0</v>
      </c>
      <c r="T34" s="11">
        <f t="shared" si="6"/>
        <v>2.25</v>
      </c>
      <c r="U34" s="11">
        <f t="shared" si="6"/>
        <v>1</v>
      </c>
      <c r="V34" s="11">
        <f t="shared" si="6"/>
        <v>-0.5</v>
      </c>
      <c r="W34" s="11">
        <f t="shared" si="6"/>
        <v>5</v>
      </c>
      <c r="X34" s="11">
        <f t="shared" si="6"/>
        <v>0</v>
      </c>
      <c r="Y34" s="11">
        <f t="shared" si="6"/>
        <v>0</v>
      </c>
      <c r="Z34" s="11">
        <f t="shared" si="6"/>
        <v>0</v>
      </c>
      <c r="AA34" s="11">
        <f t="shared" si="6"/>
        <v>0</v>
      </c>
      <c r="AB34" s="11">
        <f t="shared" si="6"/>
        <v>0</v>
      </c>
      <c r="AC34" s="11">
        <f t="shared" si="6"/>
        <v>0</v>
      </c>
      <c r="AD34" s="11">
        <f t="shared" si="6"/>
        <v>0</v>
      </c>
      <c r="AE34" s="11">
        <f t="shared" si="6"/>
        <v>0</v>
      </c>
      <c r="AF34" s="11">
        <f t="shared" si="6"/>
        <v>0</v>
      </c>
      <c r="AG34" s="11">
        <f t="shared" si="6"/>
        <v>0</v>
      </c>
      <c r="AH34" s="11">
        <f t="shared" si="6"/>
        <v>0</v>
      </c>
      <c r="AI34" s="11">
        <f t="shared" si="6"/>
        <v>0</v>
      </c>
    </row>
    <row r="35">
      <c r="A35" s="5" t="s">
        <v>141</v>
      </c>
      <c r="B35" s="11">
        <f t="shared" ref="B35:AI35" si="7">B9-B22</f>
        <v>0</v>
      </c>
      <c r="C35" s="11">
        <f t="shared" si="7"/>
        <v>0</v>
      </c>
      <c r="D35" s="11">
        <f t="shared" si="7"/>
        <v>0</v>
      </c>
      <c r="E35" s="11">
        <f t="shared" si="7"/>
        <v>0</v>
      </c>
      <c r="F35" s="11">
        <f t="shared" si="7"/>
        <v>0</v>
      </c>
      <c r="G35" s="11">
        <f t="shared" si="7"/>
        <v>0</v>
      </c>
      <c r="H35" s="11">
        <f t="shared" si="7"/>
        <v>0</v>
      </c>
      <c r="I35" s="11">
        <f t="shared" si="7"/>
        <v>0</v>
      </c>
      <c r="J35" s="11">
        <f t="shared" si="7"/>
        <v>0</v>
      </c>
      <c r="K35" s="11">
        <f t="shared" si="7"/>
        <v>0</v>
      </c>
      <c r="L35" s="11">
        <f t="shared" si="7"/>
        <v>0</v>
      </c>
      <c r="M35" s="11">
        <f t="shared" si="7"/>
        <v>0</v>
      </c>
      <c r="N35" s="11">
        <f t="shared" si="7"/>
        <v>0</v>
      </c>
      <c r="O35" s="11">
        <f t="shared" si="7"/>
        <v>0</v>
      </c>
      <c r="P35" s="11">
        <f t="shared" si="7"/>
        <v>0</v>
      </c>
      <c r="Q35" s="11">
        <f t="shared" si="7"/>
        <v>0</v>
      </c>
      <c r="R35" s="11">
        <f t="shared" si="7"/>
        <v>0</v>
      </c>
      <c r="S35" s="11">
        <f t="shared" si="7"/>
        <v>0</v>
      </c>
      <c r="T35" s="11">
        <f t="shared" si="7"/>
        <v>-4.5</v>
      </c>
      <c r="U35" s="11">
        <f t="shared" si="7"/>
        <v>0</v>
      </c>
      <c r="V35" s="11">
        <f t="shared" si="7"/>
        <v>-3.75</v>
      </c>
      <c r="W35" s="11">
        <f t="shared" si="7"/>
        <v>-0.5</v>
      </c>
      <c r="X35" s="11">
        <f t="shared" si="7"/>
        <v>3</v>
      </c>
      <c r="Y35" s="11">
        <f t="shared" si="7"/>
        <v>5.25</v>
      </c>
      <c r="Z35" s="11">
        <f t="shared" si="7"/>
        <v>-1</v>
      </c>
      <c r="AA35" s="11">
        <f t="shared" si="7"/>
        <v>0</v>
      </c>
      <c r="AB35" s="11">
        <f t="shared" si="7"/>
        <v>0</v>
      </c>
      <c r="AC35" s="11">
        <f t="shared" si="7"/>
        <v>0</v>
      </c>
      <c r="AD35" s="11">
        <f t="shared" si="7"/>
        <v>0</v>
      </c>
      <c r="AE35" s="11">
        <f t="shared" si="7"/>
        <v>6</v>
      </c>
      <c r="AF35" s="11">
        <f t="shared" si="7"/>
        <v>8.5</v>
      </c>
      <c r="AG35" s="11">
        <f t="shared" si="7"/>
        <v>8</v>
      </c>
      <c r="AH35" s="11">
        <f t="shared" si="7"/>
        <v>5.75</v>
      </c>
      <c r="AI35" s="11">
        <f t="shared" si="7"/>
        <v>9</v>
      </c>
    </row>
    <row r="36">
      <c r="A36" s="5" t="s">
        <v>142</v>
      </c>
      <c r="B36" s="11">
        <f t="shared" ref="B36:AI36" si="8">B10-B23</f>
        <v>0</v>
      </c>
      <c r="C36" s="11">
        <f t="shared" si="8"/>
        <v>0</v>
      </c>
      <c r="D36" s="11">
        <f t="shared" si="8"/>
        <v>0</v>
      </c>
      <c r="E36" s="11">
        <f t="shared" si="8"/>
        <v>0</v>
      </c>
      <c r="F36" s="11">
        <f t="shared" si="8"/>
        <v>0</v>
      </c>
      <c r="G36" s="11">
        <f t="shared" si="8"/>
        <v>0</v>
      </c>
      <c r="H36" s="11">
        <f t="shared" si="8"/>
        <v>0</v>
      </c>
      <c r="I36" s="11">
        <f t="shared" si="8"/>
        <v>0</v>
      </c>
      <c r="J36" s="11">
        <f t="shared" si="8"/>
        <v>0</v>
      </c>
      <c r="K36" s="11">
        <f t="shared" si="8"/>
        <v>0</v>
      </c>
      <c r="L36" s="11">
        <f t="shared" si="8"/>
        <v>0</v>
      </c>
      <c r="M36" s="11">
        <f t="shared" si="8"/>
        <v>0</v>
      </c>
      <c r="N36" s="11">
        <f t="shared" si="8"/>
        <v>0</v>
      </c>
      <c r="O36" s="11">
        <f t="shared" si="8"/>
        <v>0</v>
      </c>
      <c r="P36" s="11">
        <f t="shared" si="8"/>
        <v>0</v>
      </c>
      <c r="Q36" s="11">
        <f t="shared" si="8"/>
        <v>0</v>
      </c>
      <c r="R36" s="11">
        <f t="shared" si="8"/>
        <v>0</v>
      </c>
      <c r="S36" s="11">
        <f t="shared" si="8"/>
        <v>0</v>
      </c>
      <c r="T36" s="11">
        <f t="shared" si="8"/>
        <v>-3.5</v>
      </c>
      <c r="U36" s="11">
        <f t="shared" si="8"/>
        <v>-0.75</v>
      </c>
      <c r="V36" s="11">
        <f t="shared" si="8"/>
        <v>-2.5</v>
      </c>
      <c r="W36" s="11">
        <f t="shared" si="8"/>
        <v>-3.5</v>
      </c>
      <c r="X36" s="11">
        <f t="shared" si="8"/>
        <v>1.75</v>
      </c>
      <c r="Y36" s="11">
        <f t="shared" si="8"/>
        <v>6</v>
      </c>
      <c r="Z36" s="11">
        <f t="shared" si="8"/>
        <v>-22.5</v>
      </c>
      <c r="AA36" s="11">
        <f t="shared" si="8"/>
        <v>0</v>
      </c>
      <c r="AB36" s="11">
        <f t="shared" si="8"/>
        <v>0</v>
      </c>
      <c r="AC36" s="11">
        <f t="shared" si="8"/>
        <v>0</v>
      </c>
      <c r="AD36" s="11">
        <f t="shared" si="8"/>
        <v>0</v>
      </c>
      <c r="AE36" s="11">
        <f t="shared" si="8"/>
        <v>2</v>
      </c>
      <c r="AF36" s="11">
        <f t="shared" si="8"/>
        <v>4</v>
      </c>
      <c r="AG36" s="11">
        <f t="shared" si="8"/>
        <v>8</v>
      </c>
      <c r="AH36" s="11">
        <f t="shared" si="8"/>
        <v>6</v>
      </c>
      <c r="AI36" s="11">
        <f t="shared" si="8"/>
        <v>6</v>
      </c>
    </row>
    <row r="37">
      <c r="A37" s="5" t="s">
        <v>143</v>
      </c>
      <c r="B37" s="11">
        <f t="shared" ref="B37:AI37" si="9">B11-B24</f>
        <v>0</v>
      </c>
      <c r="C37" s="11">
        <f t="shared" si="9"/>
        <v>0</v>
      </c>
      <c r="D37" s="11">
        <f t="shared" si="9"/>
        <v>0</v>
      </c>
      <c r="E37" s="11">
        <f t="shared" si="9"/>
        <v>0</v>
      </c>
      <c r="F37" s="11">
        <f t="shared" si="9"/>
        <v>0</v>
      </c>
      <c r="G37" s="11">
        <f t="shared" si="9"/>
        <v>0</v>
      </c>
      <c r="H37" s="11">
        <f t="shared" si="9"/>
        <v>0</v>
      </c>
      <c r="I37" s="11">
        <f t="shared" si="9"/>
        <v>0</v>
      </c>
      <c r="J37" s="11">
        <f t="shared" si="9"/>
        <v>0</v>
      </c>
      <c r="K37" s="11">
        <f t="shared" si="9"/>
        <v>0</v>
      </c>
      <c r="L37" s="11">
        <f t="shared" si="9"/>
        <v>0</v>
      </c>
      <c r="M37" s="11">
        <f t="shared" si="9"/>
        <v>0</v>
      </c>
      <c r="N37" s="11">
        <f t="shared" si="9"/>
        <v>0</v>
      </c>
      <c r="O37" s="11">
        <f t="shared" si="9"/>
        <v>0</v>
      </c>
      <c r="P37" s="11">
        <f t="shared" si="9"/>
        <v>0</v>
      </c>
      <c r="Q37" s="11">
        <f t="shared" si="9"/>
        <v>0</v>
      </c>
      <c r="R37" s="11">
        <f t="shared" si="9"/>
        <v>0</v>
      </c>
      <c r="S37" s="11">
        <f t="shared" si="9"/>
        <v>0</v>
      </c>
      <c r="T37" s="11">
        <f t="shared" si="9"/>
        <v>8</v>
      </c>
      <c r="U37" s="11">
        <f t="shared" si="9"/>
        <v>8</v>
      </c>
      <c r="V37" s="11">
        <f t="shared" si="9"/>
        <v>14.5</v>
      </c>
      <c r="W37" s="11">
        <f t="shared" si="9"/>
        <v>12</v>
      </c>
      <c r="X37" s="11">
        <f t="shared" si="9"/>
        <v>-9.25</v>
      </c>
      <c r="Y37" s="11">
        <f t="shared" si="9"/>
        <v>22</v>
      </c>
      <c r="Z37" s="11">
        <f t="shared" si="9"/>
        <v>18</v>
      </c>
      <c r="AA37" s="11">
        <f t="shared" si="9"/>
        <v>0</v>
      </c>
      <c r="AB37" s="11">
        <f t="shared" si="9"/>
        <v>0</v>
      </c>
      <c r="AC37" s="11">
        <f t="shared" si="9"/>
        <v>0</v>
      </c>
      <c r="AD37" s="11">
        <f t="shared" si="9"/>
        <v>-13</v>
      </c>
      <c r="AE37" s="11">
        <f t="shared" si="9"/>
        <v>-0.25</v>
      </c>
      <c r="AF37" s="11">
        <f t="shared" si="9"/>
        <v>-26.75</v>
      </c>
      <c r="AG37" s="11">
        <f t="shared" si="9"/>
        <v>-23</v>
      </c>
      <c r="AH37" s="11">
        <f t="shared" si="9"/>
        <v>-15</v>
      </c>
      <c r="AI37" s="11">
        <f t="shared" si="9"/>
        <v>3</v>
      </c>
    </row>
    <row r="38">
      <c r="A38" s="5" t="s">
        <v>134</v>
      </c>
      <c r="B38" s="11">
        <f t="shared" ref="B38:AI38" si="10">SUM(B31:B37)</f>
        <v>0</v>
      </c>
      <c r="C38" s="11">
        <f t="shared" si="10"/>
        <v>0</v>
      </c>
      <c r="D38" s="11">
        <f t="shared" si="10"/>
        <v>0</v>
      </c>
      <c r="E38" s="11">
        <f t="shared" si="10"/>
        <v>0</v>
      </c>
      <c r="F38" s="11">
        <f t="shared" si="10"/>
        <v>0</v>
      </c>
      <c r="G38" s="11">
        <f t="shared" si="10"/>
        <v>0</v>
      </c>
      <c r="H38" s="11">
        <f t="shared" si="10"/>
        <v>0</v>
      </c>
      <c r="I38" s="11">
        <f t="shared" si="10"/>
        <v>0</v>
      </c>
      <c r="J38" s="11">
        <f t="shared" si="10"/>
        <v>0</v>
      </c>
      <c r="K38" s="11">
        <f t="shared" si="10"/>
        <v>0</v>
      </c>
      <c r="L38" s="11">
        <f t="shared" si="10"/>
        <v>0</v>
      </c>
      <c r="M38" s="11">
        <f t="shared" si="10"/>
        <v>0</v>
      </c>
      <c r="N38" s="11">
        <f t="shared" si="10"/>
        <v>0</v>
      </c>
      <c r="O38" s="11">
        <f t="shared" si="10"/>
        <v>0</v>
      </c>
      <c r="P38" s="11">
        <f t="shared" si="10"/>
        <v>0</v>
      </c>
      <c r="Q38" s="11">
        <f t="shared" si="10"/>
        <v>0</v>
      </c>
      <c r="R38" s="11">
        <f t="shared" si="10"/>
        <v>0</v>
      </c>
      <c r="S38" s="11">
        <f t="shared" si="10"/>
        <v>0</v>
      </c>
      <c r="T38" s="11">
        <f t="shared" si="10"/>
        <v>-0.75</v>
      </c>
      <c r="U38" s="11">
        <f t="shared" si="10"/>
        <v>9.75</v>
      </c>
      <c r="V38" s="11">
        <f t="shared" si="10"/>
        <v>3</v>
      </c>
      <c r="W38" s="11">
        <f t="shared" si="10"/>
        <v>-1</v>
      </c>
      <c r="X38" s="11">
        <f t="shared" si="10"/>
        <v>-9.75</v>
      </c>
      <c r="Y38" s="11">
        <f t="shared" si="10"/>
        <v>21.25</v>
      </c>
      <c r="Z38" s="11">
        <f t="shared" si="10"/>
        <v>-11</v>
      </c>
      <c r="AA38" s="11">
        <f t="shared" si="10"/>
        <v>0</v>
      </c>
      <c r="AB38" s="11">
        <f t="shared" si="10"/>
        <v>-1.25</v>
      </c>
      <c r="AC38" s="11">
        <f t="shared" si="10"/>
        <v>0</v>
      </c>
      <c r="AD38" s="11">
        <f t="shared" si="10"/>
        <v>-13</v>
      </c>
      <c r="AE38" s="11">
        <f t="shared" si="10"/>
        <v>3.75</v>
      </c>
      <c r="AF38" s="11">
        <f t="shared" si="10"/>
        <v>-14</v>
      </c>
      <c r="AG38" s="11">
        <f t="shared" si="10"/>
        <v>-4.75</v>
      </c>
      <c r="AH38" s="11">
        <f t="shared" si="10"/>
        <v>-1.25</v>
      </c>
      <c r="AI38" s="11">
        <f t="shared" si="10"/>
        <v>23</v>
      </c>
    </row>
    <row r="39">
      <c r="A39" s="119" t="s">
        <v>144</v>
      </c>
      <c r="B39" s="120">
        <f>SUM(B38:AI38)</f>
        <v>4</v>
      </c>
      <c r="C39" s="22"/>
      <c r="D39" s="22"/>
      <c r="E39" s="22"/>
      <c r="F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>
      <c r="A43" s="33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>
      <c r="A45" s="22"/>
      <c r="B45" s="33"/>
      <c r="C45" s="33"/>
      <c r="D45" s="33"/>
      <c r="E45" s="33"/>
      <c r="F45" s="33"/>
      <c r="G45" s="22"/>
      <c r="H45" s="22"/>
      <c r="I45" s="22"/>
      <c r="J45" s="22"/>
      <c r="K45" s="22"/>
      <c r="L45" s="22"/>
      <c r="M45" s="22"/>
      <c r="N45" s="33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>
      <c r="A46" s="22"/>
      <c r="B46" s="33"/>
      <c r="C46" s="33"/>
      <c r="D46" s="33"/>
      <c r="E46" s="33"/>
      <c r="F46" s="33"/>
      <c r="G46" s="33"/>
      <c r="H46" s="22"/>
      <c r="I46" s="22"/>
      <c r="J46" s="22"/>
      <c r="K46" s="22"/>
      <c r="L46" s="33"/>
      <c r="M46" s="33"/>
      <c r="N46" s="33"/>
      <c r="O46" s="33"/>
      <c r="P46" s="33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>
      <c r="A47" s="22"/>
      <c r="B47" s="33"/>
      <c r="C47" s="33"/>
      <c r="D47" s="33"/>
      <c r="E47" s="33"/>
      <c r="F47" s="33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>
      <c r="A48" s="22"/>
      <c r="B48" s="33"/>
      <c r="C48" s="33"/>
      <c r="D48" s="33"/>
      <c r="E48" s="33"/>
      <c r="F48" s="33"/>
      <c r="G48" s="33"/>
      <c r="H48" s="22"/>
      <c r="I48" s="33"/>
      <c r="J48" s="33"/>
      <c r="K48" s="22"/>
      <c r="L48" s="33"/>
      <c r="M48" s="33"/>
      <c r="N48" s="33"/>
      <c r="O48" s="33"/>
      <c r="P48" s="33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>
      <c r="A49" s="22"/>
      <c r="B49" s="33"/>
      <c r="C49" s="33"/>
      <c r="D49" s="33"/>
      <c r="E49" s="33"/>
      <c r="F49" s="33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</row>
    <row r="50">
      <c r="A50" s="22"/>
      <c r="B50" s="33"/>
      <c r="C50" s="33"/>
      <c r="D50" s="33"/>
      <c r="E50" s="33"/>
      <c r="F50" s="33"/>
      <c r="G50" s="33"/>
      <c r="H50" s="22"/>
      <c r="I50" s="22"/>
      <c r="J50" s="22"/>
      <c r="K50" s="22"/>
      <c r="L50" s="33"/>
      <c r="M50" s="33"/>
      <c r="N50" s="33"/>
      <c r="O50" s="33"/>
      <c r="P50" s="33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>
      <c r="A51" s="22"/>
      <c r="B51" s="33"/>
      <c r="C51" s="33"/>
      <c r="D51" s="33"/>
      <c r="E51" s="33"/>
      <c r="F51" s="3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>
      <c r="A52" s="22"/>
      <c r="B52" s="33"/>
      <c r="C52" s="33"/>
      <c r="D52" s="33"/>
      <c r="E52" s="33"/>
      <c r="F52" s="3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>
      <c r="A53" s="22"/>
      <c r="B53" s="33"/>
      <c r="C53" s="33"/>
      <c r="D53" s="33"/>
      <c r="E53" s="33"/>
      <c r="F53" s="3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>
      <c r="A54" s="2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</row>
    <row r="1002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</row>
    <row r="1003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</row>
    <row r="1004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</row>
    <row r="100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</row>
    <row r="1006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</row>
    <row r="1007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</row>
    <row r="1008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</row>
    <row r="1013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</row>
    <row r="1014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</row>
    <row r="101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</row>
  </sheetData>
  <mergeCells count="18">
    <mergeCell ref="A1:AI1"/>
    <mergeCell ref="B2:K2"/>
    <mergeCell ref="L2:P2"/>
    <mergeCell ref="Q2:Z2"/>
    <mergeCell ref="AA2:AD2"/>
    <mergeCell ref="AE2:AI2"/>
    <mergeCell ref="A14:AI14"/>
    <mergeCell ref="L28:P28"/>
    <mergeCell ref="Q28:Z28"/>
    <mergeCell ref="AA28:AD28"/>
    <mergeCell ref="AE28:AI28"/>
    <mergeCell ref="B15:K15"/>
    <mergeCell ref="L15:P15"/>
    <mergeCell ref="Q15:Z15"/>
    <mergeCell ref="AA15:AD15"/>
    <mergeCell ref="AE15:AI15"/>
    <mergeCell ref="A27:AI27"/>
    <mergeCell ref="B28:K28"/>
  </mergeCells>
  <conditionalFormatting sqref="B31:AI38">
    <cfRule type="cellIs" dxfId="1" priority="1" operator="less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6.38"/>
    <col customWidth="1" min="4" max="4" width="16.38"/>
  </cols>
  <sheetData>
    <row r="1">
      <c r="A1" s="23"/>
      <c r="B1" s="23"/>
      <c r="C1" s="23"/>
      <c r="D1" s="23"/>
      <c r="E1" s="23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23"/>
      <c r="B2" s="121" t="s">
        <v>145</v>
      </c>
      <c r="C2" s="3"/>
      <c r="D2" s="3"/>
      <c r="E2" s="4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>
      <c r="A3" s="23"/>
      <c r="B3" s="122" t="s">
        <v>146</v>
      </c>
      <c r="C3" s="4"/>
      <c r="D3" s="122" t="s">
        <v>147</v>
      </c>
      <c r="E3" s="4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>
      <c r="A4" s="123"/>
      <c r="B4" s="124" t="s">
        <v>23</v>
      </c>
      <c r="C4" s="125">
        <f>SUM('Actual Cash Flow'!B11:AI11)</f>
        <v>12043.75</v>
      </c>
      <c r="D4" s="124" t="s">
        <v>23</v>
      </c>
      <c r="E4" s="125">
        <f>SUM('Cash Flow Forecast'!B11:AI11)</f>
        <v>12093.75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123"/>
      <c r="B5" s="124" t="s">
        <v>24</v>
      </c>
      <c r="C5" s="125">
        <f>SUM('Actual Cash Flow'!B12:AI12)</f>
        <v>3825.983323</v>
      </c>
      <c r="D5" s="124" t="s">
        <v>24</v>
      </c>
      <c r="E5" s="125">
        <f>SUM('Cash Flow Forecast'!B12:AI12)</f>
        <v>3825.983323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>
      <c r="A6" s="123"/>
      <c r="B6" s="124" t="s">
        <v>25</v>
      </c>
      <c r="C6" s="125">
        <f>SUM('Actual Cash Flow'!B13:AI13)</f>
        <v>0</v>
      </c>
      <c r="D6" s="124" t="s">
        <v>25</v>
      </c>
      <c r="E6" s="125">
        <f>SUM('Cash Flow Forecast'!B13:AI13)</f>
        <v>1120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>
      <c r="A7" s="123"/>
      <c r="B7" s="124" t="s">
        <v>26</v>
      </c>
      <c r="C7" s="125">
        <f>SUM('Actual Cash Flow'!B14:AI14)</f>
        <v>654</v>
      </c>
      <c r="D7" s="124" t="s">
        <v>26</v>
      </c>
      <c r="E7" s="125">
        <f>SUM('Cash Flow Forecast'!B14:AI14)</f>
        <v>1100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>
      <c r="A8" s="123"/>
      <c r="B8" s="124" t="s">
        <v>28</v>
      </c>
      <c r="C8" s="125">
        <f>SUM('Actual Cash Flow'!B16:AI16)</f>
        <v>20878.84615</v>
      </c>
      <c r="D8" s="124" t="s">
        <v>28</v>
      </c>
      <c r="E8" s="125">
        <f>SUM('Cash Flow Forecast'!B16:AI16)</f>
        <v>20878.84615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>
      <c r="A9" s="123"/>
      <c r="B9" s="124" t="s">
        <v>30</v>
      </c>
      <c r="C9" s="125">
        <f>SUM('Actual Cash Flow'!B18:AI18)</f>
        <v>1250</v>
      </c>
      <c r="D9" s="124" t="s">
        <v>30</v>
      </c>
      <c r="E9" s="125">
        <f>SUM('Cash Flow Forecast'!B18:AI18)</f>
        <v>1250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>
      <c r="A10" s="123"/>
      <c r="B10" s="124" t="s">
        <v>32</v>
      </c>
      <c r="C10" s="125">
        <f>SUM('Actual Cash Flow'!B20:AI20)</f>
        <v>2500</v>
      </c>
      <c r="D10" s="124" t="s">
        <v>32</v>
      </c>
      <c r="E10" s="125">
        <f>SUM('Cash Flow Forecast'!B20:AI20)</f>
        <v>2500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>
      <c r="A11" s="23"/>
      <c r="B11" s="126" t="s">
        <v>65</v>
      </c>
      <c r="C11" s="127">
        <f>SUM(C4:C10)</f>
        <v>41152.57948</v>
      </c>
      <c r="D11" s="126" t="s">
        <v>65</v>
      </c>
      <c r="E11" s="127">
        <f>SUM(E4:E10)</f>
        <v>42768.57948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</sheetData>
  <mergeCells count="3">
    <mergeCell ref="B2:E2"/>
    <mergeCell ref="B3:C3"/>
    <mergeCell ref="D3:E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28.75"/>
  </cols>
  <sheetData>
    <row r="1">
      <c r="A1" s="128" t="s">
        <v>148</v>
      </c>
      <c r="D1" s="129"/>
      <c r="E1" s="130" t="s">
        <v>149</v>
      </c>
      <c r="F1" s="131">
        <v>12.5</v>
      </c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>
      <c r="A2" s="132" t="s">
        <v>150</v>
      </c>
      <c r="C2" s="129"/>
      <c r="D2" s="129"/>
      <c r="E2" s="130" t="s">
        <v>151</v>
      </c>
      <c r="F2" s="130">
        <v>33.5</v>
      </c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>
      <c r="A3" s="129"/>
      <c r="B3" s="130" t="s">
        <v>19</v>
      </c>
      <c r="C3" s="133">
        <f>SUM('Actual Cash Flow'!B6:AI6)</f>
        <v>600</v>
      </c>
      <c r="D3" s="129"/>
      <c r="E3" s="130" t="s">
        <v>152</v>
      </c>
      <c r="F3" s="133">
        <f>F1*F2</f>
        <v>418.75</v>
      </c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>
      <c r="A4" s="132" t="s">
        <v>153</v>
      </c>
      <c r="C4" s="129"/>
      <c r="D4" s="129"/>
      <c r="E4" s="130" t="s">
        <v>22</v>
      </c>
      <c r="F4" s="129">
        <f>SUM('Actual Cash Flow'!B10:AI10)</f>
        <v>963.5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>
      <c r="A5" s="134"/>
      <c r="B5" s="135" t="s">
        <v>154</v>
      </c>
      <c r="C5" s="136">
        <f>F3</f>
        <v>418.75</v>
      </c>
      <c r="D5" s="129"/>
      <c r="E5" s="130" t="s">
        <v>155</v>
      </c>
      <c r="F5" s="129">
        <f>F4-F2</f>
        <v>930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</row>
    <row r="6">
      <c r="A6" s="132" t="s">
        <v>156</v>
      </c>
      <c r="C6" s="133">
        <f>C3-C5</f>
        <v>181.25</v>
      </c>
      <c r="D6" s="129"/>
      <c r="E6" s="130" t="s">
        <v>157</v>
      </c>
      <c r="F6" s="133">
        <f>F1*F5</f>
        <v>11625</v>
      </c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</row>
    <row r="7">
      <c r="A7" s="132" t="s">
        <v>158</v>
      </c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</row>
    <row r="8">
      <c r="A8" s="129"/>
      <c r="B8" s="130" t="s">
        <v>27</v>
      </c>
      <c r="C8" s="133">
        <f>SUM('Actual Cash Flow'!B16:AI16)</f>
        <v>20878.84615</v>
      </c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</row>
    <row r="9">
      <c r="A9" s="129"/>
      <c r="B9" s="130" t="s">
        <v>29</v>
      </c>
      <c r="C9" s="133">
        <f>SUM('Actual Cash Flow'!B18:AI18)</f>
        <v>1250</v>
      </c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</row>
    <row r="10">
      <c r="A10" s="129"/>
      <c r="B10" s="130" t="s">
        <v>31</v>
      </c>
      <c r="C10" s="133">
        <f>SUM('Actual Cash Flow'!B20:AI20)</f>
        <v>2500</v>
      </c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</row>
    <row r="11">
      <c r="A11" s="129"/>
      <c r="B11" s="130" t="s">
        <v>26</v>
      </c>
      <c r="C11" s="133">
        <f>SUM('Actual Cash Flow'!B14:AI14)</f>
        <v>654</v>
      </c>
      <c r="D11" s="129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</row>
    <row r="12">
      <c r="A12" s="134"/>
      <c r="B12" s="135" t="s">
        <v>159</v>
      </c>
      <c r="C12" s="136">
        <f>F6</f>
        <v>11625</v>
      </c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</row>
    <row r="13">
      <c r="A13" s="132" t="s">
        <v>160</v>
      </c>
      <c r="C13" s="133">
        <f>C6-SUM(C8:C12)</f>
        <v>-36726.59615</v>
      </c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</row>
    <row r="14">
      <c r="A14" s="137"/>
      <c r="B14" s="135" t="s">
        <v>161</v>
      </c>
      <c r="C14" s="136">
        <f>SUM('Actual Cash Flow'!B12:AI12)</f>
        <v>3825.983323</v>
      </c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</row>
    <row r="15">
      <c r="A15" s="132" t="s">
        <v>162</v>
      </c>
      <c r="B15" s="129"/>
      <c r="C15" s="133">
        <f>C13-C14</f>
        <v>-40552.57948</v>
      </c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</row>
    <row r="16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</row>
    <row r="17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</row>
    <row r="18">
      <c r="A18" s="129"/>
      <c r="B18" s="129"/>
      <c r="C18" s="129"/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</row>
    <row r="19">
      <c r="A19" s="129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</row>
    <row r="20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</row>
    <row r="21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</row>
    <row r="22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</row>
    <row r="23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</row>
    <row r="24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</row>
    <row r="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</row>
    <row r="26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</row>
    <row r="27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</row>
    <row r="28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</row>
    <row r="29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</row>
    <row r="30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</row>
    <row r="3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</row>
    <row r="32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</row>
    <row r="33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</row>
    <row r="34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</row>
    <row r="3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</row>
    <row r="36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</row>
    <row r="37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</row>
    <row r="42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</row>
    <row r="44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</row>
    <row r="4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</row>
    <row r="46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</row>
    <row r="47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</row>
    <row r="48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</row>
    <row r="49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</row>
    <row r="50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</row>
    <row r="5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</row>
    <row r="52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</row>
    <row r="53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</row>
    <row r="54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</row>
    <row r="5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</row>
    <row r="56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</row>
    <row r="57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</row>
    <row r="58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</row>
    <row r="59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</row>
    <row r="60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</row>
    <row r="6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</row>
    <row r="62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</row>
    <row r="63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</row>
    <row r="64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</row>
    <row r="6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</row>
    <row r="66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</row>
    <row r="67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</row>
    <row r="68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</row>
    <row r="69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</row>
    <row r="70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</row>
    <row r="7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</row>
    <row r="72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</row>
    <row r="73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</row>
    <row r="74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</row>
    <row r="7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</row>
    <row r="76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</row>
    <row r="77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</row>
    <row r="78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</row>
    <row r="79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</row>
    <row r="80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</row>
    <row r="8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</row>
    <row r="82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</row>
    <row r="83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</row>
    <row r="84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</row>
    <row r="8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</row>
    <row r="86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</row>
    <row r="87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</row>
    <row r="88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</row>
    <row r="89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</row>
    <row r="90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</row>
    <row r="9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</row>
    <row r="92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</row>
    <row r="93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</row>
    <row r="94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</row>
    <row r="9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</row>
    <row r="96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</row>
    <row r="97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</row>
    <row r="98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</row>
    <row r="99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</row>
    <row r="100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</row>
    <row r="10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</row>
    <row r="102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</row>
    <row r="103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</row>
    <row r="104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</row>
    <row r="10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</row>
    <row r="106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</row>
    <row r="107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</row>
    <row r="108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</row>
    <row r="109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</row>
    <row r="110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</row>
    <row r="11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</row>
    <row r="112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</row>
    <row r="113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</row>
    <row r="114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</row>
    <row r="115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</row>
    <row r="116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</row>
    <row r="117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</row>
    <row r="118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</row>
    <row r="119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</row>
    <row r="120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</row>
    <row r="12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</row>
    <row r="122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</row>
    <row r="123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</row>
    <row r="124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</row>
    <row r="125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</row>
    <row r="126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</row>
    <row r="127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</row>
    <row r="128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</row>
    <row r="129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</row>
    <row r="130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</row>
    <row r="13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</row>
    <row r="132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</row>
    <row r="133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</row>
    <row r="134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</row>
    <row r="135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</row>
    <row r="136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</row>
    <row r="137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</row>
    <row r="138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</row>
    <row r="139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</row>
    <row r="140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</row>
    <row r="14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</row>
    <row r="142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</row>
    <row r="143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</row>
    <row r="144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</row>
    <row r="145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</row>
    <row r="146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</row>
    <row r="147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</row>
    <row r="148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</row>
    <row r="149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</row>
    <row r="150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</row>
    <row r="15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</row>
    <row r="152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</row>
    <row r="153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</row>
    <row r="154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</row>
    <row r="15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</row>
    <row r="156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</row>
    <row r="157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</row>
    <row r="158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</row>
    <row r="159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</row>
    <row r="160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</row>
    <row r="16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</row>
    <row r="162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</row>
    <row r="163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</row>
    <row r="164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</row>
    <row r="165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</row>
    <row r="166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</row>
    <row r="167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</row>
    <row r="168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</row>
    <row r="169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</row>
    <row r="170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</row>
    <row r="17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</row>
    <row r="172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</row>
    <row r="173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</row>
    <row r="174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</row>
    <row r="175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</row>
    <row r="176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</row>
    <row r="177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</row>
    <row r="178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</row>
    <row r="179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</row>
    <row r="180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</row>
    <row r="18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</row>
    <row r="182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</row>
    <row r="183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</row>
    <row r="184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</row>
    <row r="185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</row>
    <row r="186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</row>
    <row r="187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</row>
    <row r="188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</row>
    <row r="189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</row>
    <row r="190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</row>
    <row r="19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</row>
    <row r="192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</row>
    <row r="193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</row>
    <row r="194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</row>
    <row r="19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</row>
    <row r="196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</row>
    <row r="197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</row>
    <row r="198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</row>
    <row r="199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</row>
    <row r="200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</row>
    <row r="20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</row>
    <row r="202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</row>
    <row r="203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</row>
    <row r="204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</row>
    <row r="205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</row>
    <row r="206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</row>
    <row r="207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</row>
    <row r="208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</row>
    <row r="209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</row>
    <row r="210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</row>
    <row r="21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</row>
    <row r="212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</row>
    <row r="213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</row>
    <row r="214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</row>
    <row r="2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</row>
    <row r="216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</row>
    <row r="217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</row>
    <row r="218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</row>
    <row r="219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</row>
    <row r="220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</row>
    <row r="22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</row>
    <row r="222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</row>
    <row r="223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</row>
    <row r="224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</row>
    <row r="22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</row>
    <row r="226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</row>
    <row r="227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</row>
    <row r="228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</row>
    <row r="229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</row>
    <row r="230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</row>
    <row r="23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</row>
    <row r="232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</row>
    <row r="233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</row>
    <row r="234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</row>
    <row r="23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</row>
    <row r="236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</row>
    <row r="237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</row>
    <row r="238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</row>
    <row r="239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</row>
    <row r="240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</row>
    <row r="24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</row>
    <row r="242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</row>
    <row r="243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</row>
    <row r="244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</row>
    <row r="245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</row>
    <row r="246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</row>
    <row r="247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</row>
    <row r="248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</row>
    <row r="249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</row>
    <row r="250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</row>
    <row r="25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</row>
    <row r="252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</row>
    <row r="253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</row>
    <row r="254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</row>
    <row r="255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</row>
    <row r="256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</row>
    <row r="257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</row>
    <row r="258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</row>
    <row r="259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</row>
    <row r="260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</row>
    <row r="26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</row>
    <row r="262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</row>
    <row r="263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</row>
    <row r="264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</row>
    <row r="265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</row>
    <row r="266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</row>
    <row r="267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</row>
    <row r="268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</row>
    <row r="269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</row>
    <row r="270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</row>
    <row r="27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</row>
    <row r="272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</row>
    <row r="273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</row>
    <row r="274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</row>
    <row r="27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</row>
    <row r="276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</row>
    <row r="277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</row>
    <row r="278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</row>
    <row r="279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</row>
    <row r="280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</row>
    <row r="28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</row>
    <row r="282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</row>
    <row r="283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</row>
    <row r="284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</row>
    <row r="28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</row>
    <row r="286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</row>
    <row r="287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</row>
    <row r="288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</row>
    <row r="289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</row>
    <row r="290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</row>
    <row r="29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</row>
    <row r="292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</row>
    <row r="293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</row>
    <row r="294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</row>
    <row r="295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</row>
    <row r="296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</row>
    <row r="297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</row>
    <row r="298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</row>
    <row r="299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</row>
    <row r="300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</row>
    <row r="30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</row>
    <row r="302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</row>
    <row r="303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</row>
    <row r="304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</row>
    <row r="30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</row>
    <row r="306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</row>
    <row r="307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</row>
    <row r="308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</row>
    <row r="309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</row>
    <row r="310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</row>
    <row r="31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</row>
    <row r="312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</row>
    <row r="313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</row>
    <row r="314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</row>
    <row r="315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</row>
    <row r="316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</row>
    <row r="317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</row>
    <row r="318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</row>
    <row r="319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</row>
    <row r="320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</row>
    <row r="32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</row>
    <row r="322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</row>
    <row r="323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</row>
    <row r="324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</row>
    <row r="325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</row>
    <row r="326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</row>
    <row r="327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</row>
    <row r="328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</row>
    <row r="329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</row>
    <row r="330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</row>
    <row r="33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</row>
    <row r="332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</row>
    <row r="333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</row>
    <row r="334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</row>
    <row r="335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</row>
    <row r="336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</row>
    <row r="337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</row>
    <row r="338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</row>
    <row r="339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</row>
    <row r="340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</row>
    <row r="34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</row>
    <row r="342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</row>
    <row r="343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</row>
    <row r="344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</row>
    <row r="345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</row>
    <row r="346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</row>
    <row r="347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</row>
    <row r="348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</row>
    <row r="349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</row>
    <row r="350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</row>
    <row r="35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</row>
    <row r="352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</row>
    <row r="353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</row>
    <row r="354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</row>
    <row r="35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</row>
    <row r="356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</row>
    <row r="357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</row>
    <row r="358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</row>
    <row r="359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</row>
    <row r="360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</row>
    <row r="36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</row>
    <row r="362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</row>
    <row r="36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</row>
    <row r="364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</row>
    <row r="365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</row>
    <row r="366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</row>
    <row r="367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</row>
    <row r="368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</row>
    <row r="369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</row>
    <row r="370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</row>
    <row r="37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</row>
    <row r="372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</row>
    <row r="373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</row>
    <row r="374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</row>
    <row r="375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</row>
    <row r="376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</row>
    <row r="377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</row>
    <row r="378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</row>
    <row r="379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</row>
    <row r="380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</row>
    <row r="38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</row>
    <row r="382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</row>
    <row r="383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</row>
    <row r="384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</row>
    <row r="385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</row>
    <row r="386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</row>
    <row r="387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</row>
    <row r="388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</row>
    <row r="389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</row>
    <row r="390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</row>
    <row r="39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</row>
    <row r="392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</row>
    <row r="393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</row>
    <row r="394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</row>
    <row r="395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</row>
    <row r="396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</row>
    <row r="397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</row>
    <row r="398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</row>
    <row r="399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</row>
    <row r="400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</row>
    <row r="40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</row>
    <row r="402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</row>
    <row r="403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</row>
    <row r="404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</row>
    <row r="405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</row>
    <row r="406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</row>
    <row r="407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</row>
    <row r="408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</row>
    <row r="409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</row>
    <row r="410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</row>
    <row r="41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</row>
    <row r="412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</row>
    <row r="413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</row>
    <row r="414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</row>
    <row r="415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</row>
    <row r="416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</row>
    <row r="417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</row>
    <row r="418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</row>
    <row r="419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</row>
    <row r="420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</row>
    <row r="42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</row>
    <row r="424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</row>
    <row r="425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</row>
    <row r="426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</row>
    <row r="427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</row>
    <row r="428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</row>
    <row r="429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</row>
    <row r="430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</row>
    <row r="43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</row>
    <row r="432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</row>
    <row r="433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</row>
    <row r="434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</row>
    <row r="435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</row>
    <row r="436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</row>
    <row r="437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</row>
    <row r="438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</row>
    <row r="439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</row>
    <row r="440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</row>
    <row r="44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</row>
    <row r="442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</row>
    <row r="443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</row>
    <row r="444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</row>
    <row r="445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</row>
    <row r="446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</row>
    <row r="447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</row>
    <row r="448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</row>
    <row r="449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</row>
    <row r="450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</row>
    <row r="45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</row>
    <row r="452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</row>
    <row r="453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</row>
    <row r="454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</row>
    <row r="455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</row>
    <row r="456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</row>
    <row r="457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</row>
    <row r="458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</row>
    <row r="459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</row>
    <row r="460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</row>
    <row r="46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</row>
    <row r="462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</row>
    <row r="463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</row>
    <row r="464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</row>
    <row r="465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</row>
    <row r="466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</row>
    <row r="467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</row>
    <row r="468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</row>
    <row r="469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</row>
    <row r="470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</row>
    <row r="47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</row>
    <row r="472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</row>
    <row r="473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</row>
    <row r="474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</row>
    <row r="475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</row>
    <row r="476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</row>
    <row r="477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</row>
    <row r="478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</row>
    <row r="479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</row>
    <row r="480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</row>
    <row r="48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</row>
    <row r="482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</row>
    <row r="483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</row>
    <row r="484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</row>
    <row r="48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</row>
    <row r="486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</row>
    <row r="487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</row>
    <row r="488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</row>
    <row r="489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</row>
    <row r="490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</row>
    <row r="49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</row>
    <row r="492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</row>
    <row r="493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</row>
    <row r="494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</row>
    <row r="495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</row>
    <row r="496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</row>
    <row r="497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</row>
    <row r="498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</row>
    <row r="499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</row>
    <row r="500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</row>
    <row r="50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</row>
    <row r="502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</row>
    <row r="503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</row>
    <row r="504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</row>
    <row r="505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</row>
    <row r="506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</row>
    <row r="507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</row>
    <row r="508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</row>
    <row r="509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</row>
    <row r="510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</row>
    <row r="51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</row>
    <row r="512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</row>
    <row r="513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</row>
    <row r="514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</row>
    <row r="515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</row>
    <row r="516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</row>
    <row r="517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</row>
    <row r="518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</row>
    <row r="519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</row>
    <row r="520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</row>
    <row r="52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</row>
    <row r="522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</row>
    <row r="523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</row>
    <row r="524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</row>
    <row r="525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</row>
    <row r="526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</row>
    <row r="527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</row>
    <row r="528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</row>
    <row r="529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</row>
    <row r="530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</row>
    <row r="53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</row>
    <row r="532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</row>
    <row r="533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</row>
    <row r="534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</row>
    <row r="535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</row>
    <row r="536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</row>
    <row r="537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</row>
    <row r="538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</row>
    <row r="539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</row>
    <row r="540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</row>
    <row r="54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</row>
    <row r="542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</row>
    <row r="543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</row>
    <row r="544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</row>
    <row r="545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</row>
    <row r="546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</row>
    <row r="547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</row>
    <row r="548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</row>
    <row r="549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</row>
    <row r="550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</row>
    <row r="55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</row>
    <row r="552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</row>
    <row r="553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</row>
    <row r="554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</row>
    <row r="55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</row>
    <row r="556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</row>
    <row r="557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</row>
    <row r="558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</row>
    <row r="559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</row>
    <row r="560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</row>
    <row r="56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</row>
    <row r="562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</row>
    <row r="563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</row>
    <row r="564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</row>
    <row r="565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</row>
    <row r="566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</row>
    <row r="567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</row>
    <row r="568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</row>
    <row r="569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</row>
    <row r="570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</row>
    <row r="57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</row>
    <row r="57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</row>
    <row r="573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</row>
    <row r="574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</row>
    <row r="575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</row>
    <row r="576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</row>
    <row r="577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</row>
    <row r="578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</row>
    <row r="579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</row>
    <row r="580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</row>
    <row r="58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</row>
    <row r="58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</row>
    <row r="583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</row>
    <row r="584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</row>
    <row r="58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</row>
    <row r="586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</row>
    <row r="587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</row>
    <row r="588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</row>
    <row r="589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</row>
    <row r="590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</row>
    <row r="59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</row>
    <row r="59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</row>
    <row r="593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</row>
    <row r="594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</row>
    <row r="595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</row>
    <row r="596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</row>
    <row r="597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</row>
    <row r="598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</row>
    <row r="599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</row>
    <row r="600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</row>
    <row r="60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</row>
    <row r="60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</row>
    <row r="603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</row>
    <row r="604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</row>
    <row r="605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</row>
    <row r="606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</row>
    <row r="607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</row>
    <row r="608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</row>
    <row r="609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</row>
    <row r="610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</row>
    <row r="61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</row>
    <row r="612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</row>
    <row r="61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</row>
    <row r="614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</row>
    <row r="615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</row>
    <row r="616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</row>
    <row r="617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</row>
    <row r="618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</row>
    <row r="619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</row>
    <row r="620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</row>
    <row r="62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</row>
    <row r="622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</row>
    <row r="623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</row>
    <row r="624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</row>
    <row r="625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</row>
    <row r="626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</row>
    <row r="627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</row>
    <row r="628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</row>
    <row r="629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</row>
    <row r="630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</row>
    <row r="63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</row>
    <row r="632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</row>
    <row r="633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</row>
    <row r="634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</row>
    <row r="635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</row>
    <row r="636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</row>
    <row r="637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</row>
    <row r="638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</row>
    <row r="639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</row>
    <row r="640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</row>
    <row r="64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</row>
    <row r="642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</row>
    <row r="643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</row>
    <row r="644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</row>
    <row r="645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</row>
    <row r="646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</row>
    <row r="647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</row>
    <row r="648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</row>
    <row r="649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</row>
    <row r="650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</row>
    <row r="65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</row>
    <row r="652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</row>
    <row r="653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</row>
    <row r="654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</row>
    <row r="655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</row>
    <row r="656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</row>
    <row r="657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</row>
    <row r="658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</row>
    <row r="659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</row>
    <row r="660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</row>
    <row r="66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</row>
    <row r="662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</row>
    <row r="663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</row>
    <row r="664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</row>
    <row r="665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</row>
    <row r="666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</row>
    <row r="667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</row>
    <row r="668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</row>
    <row r="669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</row>
    <row r="670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</row>
    <row r="67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</row>
    <row r="672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</row>
    <row r="673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</row>
    <row r="674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</row>
    <row r="675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</row>
    <row r="676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</row>
    <row r="677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</row>
    <row r="678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</row>
    <row r="679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</row>
    <row r="680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</row>
    <row r="68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</row>
    <row r="682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</row>
    <row r="683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</row>
    <row r="684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</row>
    <row r="685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</row>
    <row r="686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</row>
    <row r="687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</row>
    <row r="688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</row>
    <row r="689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</row>
    <row r="690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</row>
    <row r="69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</row>
    <row r="692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</row>
    <row r="693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</row>
    <row r="694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</row>
    <row r="695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</row>
    <row r="696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</row>
    <row r="697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</row>
    <row r="698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</row>
    <row r="699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</row>
    <row r="700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</row>
    <row r="70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</row>
    <row r="702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</row>
    <row r="703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</row>
    <row r="704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</row>
    <row r="705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</row>
    <row r="706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</row>
    <row r="707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</row>
    <row r="708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</row>
    <row r="709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</row>
    <row r="710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</row>
    <row r="71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</row>
    <row r="712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</row>
    <row r="713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</row>
    <row r="714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</row>
    <row r="715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</row>
    <row r="716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</row>
    <row r="717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</row>
    <row r="718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</row>
    <row r="719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</row>
    <row r="720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</row>
    <row r="72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</row>
    <row r="722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</row>
    <row r="723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</row>
    <row r="724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</row>
    <row r="725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</row>
    <row r="726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</row>
    <row r="727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</row>
    <row r="728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</row>
    <row r="729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</row>
    <row r="730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</row>
    <row r="73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</row>
    <row r="732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</row>
    <row r="733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</row>
    <row r="734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</row>
    <row r="73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</row>
    <row r="736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</row>
    <row r="737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</row>
    <row r="738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</row>
    <row r="739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</row>
    <row r="740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</row>
    <row r="74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</row>
    <row r="742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</row>
    <row r="743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</row>
    <row r="744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</row>
    <row r="74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</row>
    <row r="746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</row>
    <row r="747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</row>
    <row r="748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</row>
    <row r="749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</row>
    <row r="750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</row>
    <row r="75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</row>
    <row r="752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</row>
    <row r="753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</row>
    <row r="754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</row>
    <row r="75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</row>
    <row r="756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</row>
    <row r="757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</row>
    <row r="758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</row>
    <row r="759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</row>
    <row r="760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</row>
    <row r="76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</row>
    <row r="762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</row>
    <row r="763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</row>
    <row r="764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</row>
    <row r="76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</row>
    <row r="766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</row>
    <row r="767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</row>
    <row r="768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</row>
    <row r="769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</row>
    <row r="770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</row>
    <row r="77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</row>
    <row r="772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</row>
    <row r="773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</row>
    <row r="774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</row>
    <row r="775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</row>
    <row r="776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</row>
    <row r="777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</row>
    <row r="778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</row>
    <row r="779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</row>
    <row r="780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</row>
    <row r="78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</row>
    <row r="782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</row>
    <row r="783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</row>
    <row r="784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</row>
    <row r="785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</row>
    <row r="786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</row>
    <row r="787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</row>
    <row r="788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</row>
    <row r="789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</row>
    <row r="790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</row>
    <row r="79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</row>
    <row r="792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</row>
    <row r="793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</row>
    <row r="794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</row>
    <row r="795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</row>
    <row r="796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</row>
    <row r="797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</row>
    <row r="798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</row>
    <row r="799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</row>
    <row r="800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</row>
    <row r="80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</row>
    <row r="802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</row>
    <row r="803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</row>
    <row r="804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</row>
    <row r="805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</row>
    <row r="806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</row>
    <row r="807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</row>
    <row r="808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</row>
    <row r="809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</row>
    <row r="810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</row>
    <row r="81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</row>
    <row r="812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</row>
    <row r="813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</row>
    <row r="814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</row>
    <row r="815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</row>
    <row r="816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</row>
    <row r="817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</row>
    <row r="818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</row>
    <row r="819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</row>
    <row r="820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</row>
    <row r="82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</row>
    <row r="822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</row>
    <row r="823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</row>
    <row r="824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</row>
    <row r="825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</row>
    <row r="826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</row>
    <row r="827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</row>
    <row r="828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</row>
    <row r="829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</row>
    <row r="830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</row>
    <row r="83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</row>
    <row r="832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</row>
    <row r="833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</row>
    <row r="834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</row>
    <row r="835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</row>
    <row r="836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</row>
    <row r="837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</row>
    <row r="838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</row>
    <row r="839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</row>
    <row r="840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</row>
    <row r="84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</row>
    <row r="842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</row>
    <row r="84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</row>
    <row r="844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</row>
    <row r="845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</row>
    <row r="846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</row>
    <row r="847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</row>
    <row r="848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</row>
    <row r="849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</row>
    <row r="850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</row>
    <row r="85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</row>
    <row r="852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</row>
    <row r="853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</row>
    <row r="854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</row>
    <row r="855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</row>
    <row r="856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</row>
    <row r="857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</row>
    <row r="858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</row>
    <row r="859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</row>
    <row r="860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</row>
    <row r="86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</row>
    <row r="862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</row>
    <row r="863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</row>
    <row r="864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</row>
    <row r="865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</row>
    <row r="866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</row>
    <row r="867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</row>
    <row r="868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</row>
    <row r="869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</row>
    <row r="870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</row>
    <row r="87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</row>
    <row r="872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</row>
    <row r="873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</row>
    <row r="874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</row>
    <row r="875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</row>
    <row r="876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</row>
    <row r="877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</row>
    <row r="878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</row>
    <row r="879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</row>
    <row r="880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</row>
    <row r="88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</row>
    <row r="882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</row>
    <row r="88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</row>
    <row r="884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</row>
    <row r="885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</row>
    <row r="886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</row>
    <row r="887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</row>
    <row r="888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</row>
    <row r="889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</row>
    <row r="890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</row>
    <row r="89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</row>
    <row r="892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</row>
    <row r="893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</row>
    <row r="894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</row>
    <row r="895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</row>
    <row r="896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</row>
    <row r="897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</row>
    <row r="898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</row>
    <row r="899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</row>
    <row r="900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</row>
    <row r="90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</row>
    <row r="902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</row>
    <row r="903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</row>
    <row r="904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</row>
    <row r="905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</row>
    <row r="906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</row>
    <row r="907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</row>
    <row r="908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</row>
    <row r="909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</row>
    <row r="910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</row>
    <row r="91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</row>
    <row r="912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</row>
    <row r="913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</row>
    <row r="914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</row>
    <row r="915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</row>
    <row r="916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</row>
    <row r="917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</row>
    <row r="918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</row>
    <row r="919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</row>
    <row r="920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</row>
    <row r="92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</row>
    <row r="922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</row>
    <row r="923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</row>
    <row r="924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</row>
    <row r="925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</row>
    <row r="926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</row>
    <row r="927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</row>
    <row r="928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</row>
    <row r="929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</row>
    <row r="930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</row>
    <row r="93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</row>
    <row r="932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</row>
    <row r="933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</row>
    <row r="934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</row>
    <row r="935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</row>
    <row r="936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</row>
    <row r="937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</row>
    <row r="938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</row>
    <row r="939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</row>
    <row r="940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</row>
    <row r="94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</row>
    <row r="942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</row>
    <row r="943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</row>
    <row r="944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</row>
    <row r="945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</row>
    <row r="946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</row>
    <row r="947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</row>
    <row r="948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</row>
    <row r="949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</row>
    <row r="950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</row>
    <row r="95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</row>
    <row r="952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</row>
    <row r="953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</row>
    <row r="954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</row>
    <row r="955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</row>
    <row r="956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</row>
    <row r="957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</row>
    <row r="958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</row>
    <row r="959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</row>
    <row r="960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</row>
    <row r="96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</row>
    <row r="962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</row>
    <row r="96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</row>
    <row r="964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</row>
    <row r="965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</row>
    <row r="966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</row>
    <row r="967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</row>
    <row r="968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</row>
    <row r="969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</row>
    <row r="970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</row>
    <row r="97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</row>
    <row r="972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</row>
    <row r="973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</row>
    <row r="974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</row>
    <row r="975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</row>
    <row r="976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</row>
    <row r="977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</row>
    <row r="978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</row>
    <row r="979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</row>
    <row r="980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</row>
    <row r="98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</row>
    <row r="982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</row>
    <row r="983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</row>
    <row r="984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</row>
    <row r="985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</row>
    <row r="986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</row>
    <row r="987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</row>
    <row r="988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</row>
    <row r="989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</row>
    <row r="990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</row>
    <row r="99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</row>
    <row r="992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</row>
    <row r="993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</row>
    <row r="994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</row>
    <row r="995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</row>
    <row r="996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</row>
    <row r="997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</row>
    <row r="998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</row>
    <row r="999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</row>
    <row r="1000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</row>
  </sheetData>
  <mergeCells count="6">
    <mergeCell ref="A1:C1"/>
    <mergeCell ref="A2:B2"/>
    <mergeCell ref="A4:B4"/>
    <mergeCell ref="A6:B6"/>
    <mergeCell ref="A7:B7"/>
    <mergeCell ref="A13:B1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38"/>
    <col customWidth="1" min="2" max="2" width="15.38"/>
    <col customWidth="1" min="3" max="3" width="9.88"/>
    <col customWidth="1" min="5" max="5" width="24.75"/>
  </cols>
  <sheetData>
    <row r="1">
      <c r="A1" s="128" t="s">
        <v>163</v>
      </c>
      <c r="E1" s="138" t="s">
        <v>149</v>
      </c>
      <c r="F1" s="139">
        <v>12.5</v>
      </c>
    </row>
    <row r="2">
      <c r="A2" s="132" t="s">
        <v>150</v>
      </c>
      <c r="C2" s="129"/>
      <c r="E2" s="138" t="s">
        <v>164</v>
      </c>
      <c r="F2" s="138">
        <v>5.0</v>
      </c>
    </row>
    <row r="3">
      <c r="A3" s="129"/>
      <c r="B3" s="130" t="s">
        <v>165</v>
      </c>
      <c r="C3" s="133">
        <f>Sales!J8</f>
        <v>126706.9719</v>
      </c>
      <c r="E3" s="138" t="s">
        <v>166</v>
      </c>
      <c r="F3" s="138">
        <v>33.0</v>
      </c>
    </row>
    <row r="4">
      <c r="A4" s="132" t="s">
        <v>153</v>
      </c>
      <c r="C4" s="129"/>
      <c r="E4" s="138" t="s">
        <v>167</v>
      </c>
      <c r="F4" s="138">
        <v>362.0</v>
      </c>
      <c r="G4" s="138" t="s">
        <v>168</v>
      </c>
      <c r="H4" s="140" t="s">
        <v>169</v>
      </c>
    </row>
    <row r="5">
      <c r="A5" s="134"/>
      <c r="B5" s="135" t="s">
        <v>170</v>
      </c>
      <c r="C5" s="136">
        <f>F2*F1*Sales!J9</f>
        <v>1000</v>
      </c>
      <c r="E5" s="138" t="s">
        <v>171</v>
      </c>
      <c r="F5" s="138">
        <v>0.81</v>
      </c>
      <c r="G5" s="138" t="s">
        <v>172</v>
      </c>
      <c r="I5" s="140" t="s">
        <v>173</v>
      </c>
    </row>
    <row r="6">
      <c r="A6" s="132" t="s">
        <v>156</v>
      </c>
      <c r="C6" s="133">
        <f>C3-C5</f>
        <v>125706.9719</v>
      </c>
    </row>
    <row r="7">
      <c r="A7" s="132" t="s">
        <v>158</v>
      </c>
      <c r="C7" s="129"/>
    </row>
    <row r="8">
      <c r="A8" s="129"/>
      <c r="B8" s="130" t="s">
        <v>27</v>
      </c>
      <c r="C8" s="133">
        <f>52*'Cash Flow Forecast'!B15</f>
        <v>32900</v>
      </c>
    </row>
    <row r="9">
      <c r="A9" s="129"/>
      <c r="B9" s="130" t="s">
        <v>29</v>
      </c>
      <c r="C9" s="133">
        <f>52*'Cash Flow Forecast'!B17</f>
        <v>2600</v>
      </c>
    </row>
    <row r="10">
      <c r="A10" s="129"/>
      <c r="B10" s="130" t="s">
        <v>31</v>
      </c>
      <c r="C10" s="133">
        <f>52*'Cash Flow Forecast'!B19</f>
        <v>5200</v>
      </c>
    </row>
    <row r="11">
      <c r="A11" s="129"/>
      <c r="B11" s="130" t="s">
        <v>174</v>
      </c>
      <c r="C11" s="133">
        <f>12*F4*F5</f>
        <v>3518.64</v>
      </c>
    </row>
    <row r="12">
      <c r="A12" s="134"/>
      <c r="B12" s="135" t="s">
        <v>159</v>
      </c>
      <c r="C12" s="136">
        <f>52*F3*F1</f>
        <v>21450</v>
      </c>
    </row>
    <row r="13">
      <c r="A13" s="132" t="s">
        <v>160</v>
      </c>
      <c r="C13" s="133">
        <f>C6-SUM(C8:C12)</f>
        <v>60038.33191</v>
      </c>
    </row>
    <row r="14">
      <c r="A14" s="137"/>
      <c r="B14" s="135" t="s">
        <v>161</v>
      </c>
      <c r="C14" s="136">
        <f>52*'Cash Flow Forecast'!B12</f>
        <v>5461.403645</v>
      </c>
    </row>
    <row r="15">
      <c r="A15" s="132" t="s">
        <v>162</v>
      </c>
      <c r="B15" s="129"/>
      <c r="C15" s="133">
        <f>C13-C14</f>
        <v>54576.92826</v>
      </c>
    </row>
  </sheetData>
  <mergeCells count="6">
    <mergeCell ref="A1:C1"/>
    <mergeCell ref="A2:B2"/>
    <mergeCell ref="A4:B4"/>
    <mergeCell ref="A6:B6"/>
    <mergeCell ref="A7:B7"/>
    <mergeCell ref="A13:B13"/>
  </mergeCells>
  <hyperlinks>
    <hyperlink r:id="rId1" ref="H4"/>
    <hyperlink r:id="rId2" ref="I5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56.75"/>
    <col customWidth="1" min="3" max="3" width="16.88"/>
    <col customWidth="1" min="4" max="4" width="11.25"/>
    <col customWidth="1" min="5" max="5" width="15.5"/>
    <col customWidth="1" min="6" max="6" width="15.0"/>
    <col customWidth="1" min="7" max="7" width="16.88"/>
    <col customWidth="1" min="8" max="8" width="14.63"/>
    <col customWidth="1" min="9" max="9" width="20.38"/>
    <col customWidth="1" min="10" max="10" width="10.25"/>
    <col customWidth="1" min="11" max="12" width="9.63"/>
    <col customWidth="1" min="13" max="13" width="9.13"/>
    <col customWidth="1" min="14" max="14" width="12.63"/>
    <col customWidth="1" min="15" max="15" width="9.75"/>
    <col customWidth="1" min="16" max="16" width="11.13"/>
    <col customWidth="1" min="17" max="17" width="9.63"/>
    <col customWidth="1" min="18" max="18" width="17.13"/>
    <col customWidth="1" min="19" max="19" width="13.75"/>
    <col customWidth="1" min="20" max="20" width="15.0"/>
    <col customWidth="1" min="21" max="21" width="13.75"/>
    <col customWidth="1" min="22" max="22" width="17.63"/>
    <col customWidth="1" min="23" max="23" width="16.38"/>
    <col customWidth="1" min="24" max="24" width="14.0"/>
    <col customWidth="1" min="32" max="33" width="15.88"/>
  </cols>
  <sheetData>
    <row r="1">
      <c r="A1" s="141" t="s">
        <v>175</v>
      </c>
      <c r="B1" s="142" t="s">
        <v>176</v>
      </c>
      <c r="C1" s="142" t="s">
        <v>177</v>
      </c>
      <c r="D1" s="143" t="s">
        <v>178</v>
      </c>
      <c r="E1" s="144" t="s">
        <v>179</v>
      </c>
      <c r="F1" s="145" t="s">
        <v>180</v>
      </c>
      <c r="G1" s="146" t="s">
        <v>181</v>
      </c>
      <c r="H1" s="147" t="s">
        <v>182</v>
      </c>
      <c r="I1" s="148"/>
      <c r="J1" s="149">
        <v>2023.0</v>
      </c>
      <c r="K1" s="3"/>
      <c r="L1" s="3"/>
      <c r="M1" s="3"/>
      <c r="N1" s="3"/>
      <c r="O1" s="4"/>
      <c r="P1" s="149">
        <v>2024.0</v>
      </c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150">
        <v>2025.0</v>
      </c>
      <c r="AC1" s="3"/>
      <c r="AD1" s="3"/>
      <c r="AE1" s="3"/>
      <c r="AF1" s="3"/>
      <c r="AG1" s="4"/>
    </row>
    <row r="2">
      <c r="A2" s="151">
        <v>1.0</v>
      </c>
      <c r="B2" s="152" t="s">
        <v>183</v>
      </c>
      <c r="C2" s="152">
        <v>8040.0</v>
      </c>
      <c r="D2" s="153">
        <f t="shared" ref="D2:D61" si="1">C2/$C$62</f>
        <v>0.006937822783</v>
      </c>
      <c r="E2" s="154">
        <f t="shared" ref="E2:E61" si="2">$D2*$E$62</f>
        <v>1977.279493</v>
      </c>
      <c r="F2" s="152"/>
      <c r="G2" s="155"/>
      <c r="H2" s="16"/>
      <c r="I2" s="156"/>
      <c r="J2" s="157" t="s">
        <v>184</v>
      </c>
      <c r="K2" s="157" t="s">
        <v>185</v>
      </c>
      <c r="L2" s="157" t="s">
        <v>186</v>
      </c>
      <c r="M2" s="157" t="s">
        <v>187</v>
      </c>
      <c r="N2" s="157" t="s">
        <v>188</v>
      </c>
      <c r="O2" s="157" t="s">
        <v>189</v>
      </c>
      <c r="P2" s="157" t="s">
        <v>190</v>
      </c>
      <c r="Q2" s="157" t="s">
        <v>191</v>
      </c>
      <c r="R2" s="157" t="s">
        <v>192</v>
      </c>
      <c r="S2" s="157" t="s">
        <v>193</v>
      </c>
      <c r="T2" s="157" t="s">
        <v>194</v>
      </c>
      <c r="U2" s="157" t="s">
        <v>195</v>
      </c>
      <c r="V2" s="157" t="s">
        <v>184</v>
      </c>
      <c r="W2" s="157" t="s">
        <v>185</v>
      </c>
      <c r="X2" s="157" t="s">
        <v>186</v>
      </c>
      <c r="Y2" s="157" t="s">
        <v>187</v>
      </c>
      <c r="Z2" s="157" t="s">
        <v>188</v>
      </c>
      <c r="AA2" s="157" t="s">
        <v>189</v>
      </c>
      <c r="AB2" s="157" t="s">
        <v>190</v>
      </c>
      <c r="AC2" s="157" t="s">
        <v>191</v>
      </c>
      <c r="AD2" s="157" t="s">
        <v>192</v>
      </c>
      <c r="AE2" s="157" t="s">
        <v>193</v>
      </c>
      <c r="AF2" s="157" t="s">
        <v>194</v>
      </c>
      <c r="AG2" s="157" t="s">
        <v>195</v>
      </c>
    </row>
    <row r="3">
      <c r="A3" s="151">
        <v>2.0</v>
      </c>
      <c r="B3" s="152" t="s">
        <v>196</v>
      </c>
      <c r="C3" s="152">
        <v>3055.0</v>
      </c>
      <c r="D3" s="158">
        <f t="shared" si="1"/>
        <v>0.002636200075</v>
      </c>
      <c r="E3" s="154">
        <f t="shared" si="2"/>
        <v>751.3170214</v>
      </c>
      <c r="F3" s="152"/>
      <c r="G3" s="155"/>
      <c r="H3" s="16"/>
      <c r="I3" s="157" t="s">
        <v>197</v>
      </c>
      <c r="J3" s="152" t="s">
        <v>198</v>
      </c>
      <c r="K3" s="152"/>
      <c r="L3" s="152"/>
      <c r="M3" s="152" t="s">
        <v>199</v>
      </c>
      <c r="N3" s="152" t="s">
        <v>200</v>
      </c>
      <c r="O3" s="152" t="s">
        <v>201</v>
      </c>
      <c r="P3" s="152" t="s">
        <v>202</v>
      </c>
      <c r="Q3" s="152" t="s">
        <v>203</v>
      </c>
      <c r="R3" s="152" t="s">
        <v>204</v>
      </c>
      <c r="S3" s="152" t="s">
        <v>205</v>
      </c>
      <c r="T3" s="152" t="s">
        <v>206</v>
      </c>
      <c r="U3" s="152" t="s">
        <v>207</v>
      </c>
      <c r="V3" s="14" t="s">
        <v>208</v>
      </c>
      <c r="W3" s="14" t="s">
        <v>209</v>
      </c>
      <c r="X3" s="14" t="s">
        <v>210</v>
      </c>
      <c r="Y3" s="14" t="s">
        <v>211</v>
      </c>
      <c r="Z3" s="14" t="s">
        <v>212</v>
      </c>
      <c r="AA3" s="14" t="s">
        <v>213</v>
      </c>
      <c r="AB3" s="14" t="s">
        <v>214</v>
      </c>
      <c r="AC3" s="14" t="s">
        <v>215</v>
      </c>
      <c r="AD3" s="14" t="s">
        <v>216</v>
      </c>
      <c r="AE3" s="14" t="s">
        <v>217</v>
      </c>
      <c r="AF3" s="14" t="s">
        <v>218</v>
      </c>
      <c r="AG3" s="14" t="s">
        <v>219</v>
      </c>
    </row>
    <row r="4">
      <c r="A4" s="151">
        <v>3.0</v>
      </c>
      <c r="B4" s="152" t="s">
        <v>220</v>
      </c>
      <c r="C4" s="152">
        <v>16795.0</v>
      </c>
      <c r="D4" s="159">
        <f t="shared" si="1"/>
        <v>0.01449262856</v>
      </c>
      <c r="E4" s="154">
        <f t="shared" si="2"/>
        <v>4130.399141</v>
      </c>
      <c r="F4" s="160"/>
      <c r="G4" s="161">
        <f t="shared" ref="G4:G5" si="3">C4*$C$63</f>
        <v>4130.399141</v>
      </c>
      <c r="H4" s="155"/>
      <c r="I4" s="157" t="s">
        <v>221</v>
      </c>
      <c r="J4" s="154">
        <f>F61</f>
        <v>5099.364464</v>
      </c>
      <c r="K4" s="154">
        <v>0.0</v>
      </c>
      <c r="L4" s="154">
        <v>0.0</v>
      </c>
      <c r="M4" s="154">
        <f>F6</f>
        <v>9283.868268</v>
      </c>
      <c r="N4" s="154">
        <f>F9</f>
        <v>8241.123858</v>
      </c>
      <c r="O4" s="154">
        <f>F58</f>
        <v>8462.461115</v>
      </c>
      <c r="P4" s="154">
        <f>F14</f>
        <v>6771.690404</v>
      </c>
      <c r="Q4" s="154">
        <f>F23</f>
        <v>9135.080445</v>
      </c>
      <c r="R4" s="154">
        <f>F33</f>
        <v>9060.071708</v>
      </c>
      <c r="S4" s="154">
        <f t="shared" ref="S4:S5" si="4">F39</f>
        <v>6830.713672</v>
      </c>
      <c r="T4" s="154">
        <f>F41</f>
        <v>9590.051473</v>
      </c>
      <c r="U4" s="154">
        <f>F10</f>
        <v>6872.521821</v>
      </c>
      <c r="V4" s="8">
        <f>G5</f>
        <v>4563.236443</v>
      </c>
      <c r="W4" s="8">
        <f>G15</f>
        <v>5234.626121</v>
      </c>
      <c r="X4" s="8">
        <f>G20</f>
        <v>4541.102717</v>
      </c>
      <c r="Y4" s="8">
        <f>G30</f>
        <v>4570.614351</v>
      </c>
      <c r="Z4" s="8">
        <f>G36</f>
        <v>6689.303758</v>
      </c>
      <c r="AA4" s="8">
        <f t="shared" ref="AA4:AA5" si="5">G42</f>
        <v>4376.329426</v>
      </c>
      <c r="AB4" s="8">
        <f t="shared" ref="AB4:AB5" si="6">G45</f>
        <v>5870.355909</v>
      </c>
      <c r="AC4" s="8">
        <f t="shared" ref="AC4:AC5" si="7">G49</f>
        <v>5261.678453</v>
      </c>
      <c r="AD4" s="8">
        <f>G52</f>
        <v>6012.995474</v>
      </c>
      <c r="AE4" s="8">
        <f>G55</f>
        <v>5278.893573</v>
      </c>
      <c r="AF4" s="8">
        <f>G53</f>
        <v>4073.835175</v>
      </c>
      <c r="AG4" s="8">
        <f>G16</f>
        <v>3991.448529</v>
      </c>
    </row>
    <row r="5">
      <c r="A5" s="151">
        <v>4.0</v>
      </c>
      <c r="B5" s="152" t="s">
        <v>222</v>
      </c>
      <c r="C5" s="152">
        <v>18555.0</v>
      </c>
      <c r="D5" s="162">
        <f t="shared" si="1"/>
        <v>0.01601135594</v>
      </c>
      <c r="E5" s="154">
        <f t="shared" si="2"/>
        <v>4563.236443</v>
      </c>
      <c r="F5" s="160"/>
      <c r="G5" s="161">
        <f t="shared" si="3"/>
        <v>4563.236443</v>
      </c>
      <c r="H5" s="16"/>
      <c r="I5" s="157" t="s">
        <v>223</v>
      </c>
      <c r="J5" s="154">
        <v>0.0</v>
      </c>
      <c r="K5" s="154">
        <v>0.0</v>
      </c>
      <c r="L5" s="154">
        <v>0.0</v>
      </c>
      <c r="M5" s="154">
        <v>0.0</v>
      </c>
      <c r="N5" s="154">
        <v>0.0</v>
      </c>
      <c r="O5" s="154">
        <v>0.0</v>
      </c>
      <c r="P5" s="154">
        <f>F21</f>
        <v>7439.391128</v>
      </c>
      <c r="Q5" s="154">
        <f>F27</f>
        <v>7402.501586</v>
      </c>
      <c r="R5" s="154">
        <f>F37</f>
        <v>7177.475375</v>
      </c>
      <c r="S5" s="154">
        <f t="shared" si="4"/>
        <v>8800.615257</v>
      </c>
      <c r="T5" s="154">
        <f>F57</f>
        <v>6913.100318</v>
      </c>
      <c r="U5" s="154">
        <f>F12</f>
        <v>9626.941016</v>
      </c>
      <c r="V5" s="8">
        <f>G8</f>
        <v>4364.032912</v>
      </c>
      <c r="W5" s="8">
        <f>G17</f>
        <v>4666.527162</v>
      </c>
      <c r="X5" s="8">
        <f>G24</f>
        <v>4680.053328</v>
      </c>
      <c r="Y5" s="8">
        <f>G34</f>
        <v>4319.76546</v>
      </c>
      <c r="Z5" s="8">
        <f>G38</f>
        <v>4509.13178</v>
      </c>
      <c r="AA5" s="8">
        <f t="shared" si="5"/>
        <v>4649.312042</v>
      </c>
      <c r="AB5" s="8">
        <f t="shared" si="6"/>
        <v>4913.687099</v>
      </c>
      <c r="AC5" s="8">
        <f t="shared" si="7"/>
        <v>4388.62594</v>
      </c>
      <c r="AD5" s="8">
        <f>G54</f>
        <v>4774.736488</v>
      </c>
      <c r="AE5" s="8">
        <f>G59</f>
        <v>4410.759666</v>
      </c>
      <c r="AF5" s="8">
        <f>G4</f>
        <v>4130.399141</v>
      </c>
      <c r="AG5" s="8">
        <f>G28</f>
        <v>3594.271119</v>
      </c>
    </row>
    <row r="6">
      <c r="A6" s="151">
        <v>5.0</v>
      </c>
      <c r="B6" s="152" t="s">
        <v>224</v>
      </c>
      <c r="C6" s="152">
        <v>37750.0</v>
      </c>
      <c r="D6" s="163">
        <f t="shared" si="1"/>
        <v>0.03257497638</v>
      </c>
      <c r="E6" s="154">
        <f t="shared" si="2"/>
        <v>9283.868268</v>
      </c>
      <c r="F6" s="154">
        <f>E6</f>
        <v>9283.868268</v>
      </c>
      <c r="G6" s="155"/>
      <c r="H6" s="16"/>
      <c r="I6" s="157" t="s">
        <v>225</v>
      </c>
      <c r="J6" s="154">
        <f t="shared" ref="J6:AG6" si="8">SUM(J4+J5)</f>
        <v>5099.364464</v>
      </c>
      <c r="K6" s="154">
        <f t="shared" si="8"/>
        <v>0</v>
      </c>
      <c r="L6" s="154">
        <f t="shared" si="8"/>
        <v>0</v>
      </c>
      <c r="M6" s="154">
        <f t="shared" si="8"/>
        <v>9283.868268</v>
      </c>
      <c r="N6" s="154">
        <f t="shared" si="8"/>
        <v>8241.123858</v>
      </c>
      <c r="O6" s="154">
        <f t="shared" si="8"/>
        <v>8462.461115</v>
      </c>
      <c r="P6" s="154">
        <f t="shared" si="8"/>
        <v>14211.08153</v>
      </c>
      <c r="Q6" s="154">
        <f t="shared" si="8"/>
        <v>16537.58203</v>
      </c>
      <c r="R6" s="154">
        <f t="shared" si="8"/>
        <v>16237.54708</v>
      </c>
      <c r="S6" s="154">
        <f t="shared" si="8"/>
        <v>15631.32893</v>
      </c>
      <c r="T6" s="154">
        <f t="shared" si="8"/>
        <v>16503.15179</v>
      </c>
      <c r="U6" s="154">
        <f t="shared" si="8"/>
        <v>16499.46284</v>
      </c>
      <c r="V6" s="154">
        <f t="shared" si="8"/>
        <v>8927.269354</v>
      </c>
      <c r="W6" s="154">
        <f t="shared" si="8"/>
        <v>9901.153284</v>
      </c>
      <c r="X6" s="154">
        <f t="shared" si="8"/>
        <v>9221.156045</v>
      </c>
      <c r="Y6" s="154">
        <f t="shared" si="8"/>
        <v>8890.379811</v>
      </c>
      <c r="Z6" s="154">
        <f t="shared" si="8"/>
        <v>11198.43554</v>
      </c>
      <c r="AA6" s="154">
        <f t="shared" si="8"/>
        <v>9025.641468</v>
      </c>
      <c r="AB6" s="154">
        <f t="shared" si="8"/>
        <v>10784.04301</v>
      </c>
      <c r="AC6" s="154">
        <f t="shared" si="8"/>
        <v>9650.304393</v>
      </c>
      <c r="AD6" s="154">
        <f t="shared" si="8"/>
        <v>10787.73196</v>
      </c>
      <c r="AE6" s="154">
        <f t="shared" si="8"/>
        <v>9689.653238</v>
      </c>
      <c r="AF6" s="154">
        <f t="shared" si="8"/>
        <v>8204.234315</v>
      </c>
      <c r="AG6" s="154">
        <f t="shared" si="8"/>
        <v>7585.719648</v>
      </c>
    </row>
    <row r="7">
      <c r="A7" s="151">
        <v>6.0</v>
      </c>
      <c r="B7" s="152" t="s">
        <v>226</v>
      </c>
      <c r="C7" s="152">
        <v>2465.0</v>
      </c>
      <c r="D7" s="164">
        <f t="shared" si="1"/>
        <v>0.002127081239</v>
      </c>
      <c r="E7" s="154">
        <f t="shared" si="2"/>
        <v>606.2181531</v>
      </c>
      <c r="F7" s="152"/>
      <c r="G7" s="155"/>
      <c r="H7" s="16"/>
      <c r="I7" s="152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4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>
      <c r="A8" s="151">
        <v>7.0</v>
      </c>
      <c r="B8" s="152" t="s">
        <v>227</v>
      </c>
      <c r="C8" s="152">
        <v>17745.0</v>
      </c>
      <c r="D8" s="165">
        <f t="shared" si="1"/>
        <v>0.01531239618</v>
      </c>
      <c r="E8" s="154">
        <f t="shared" si="2"/>
        <v>4364.032912</v>
      </c>
      <c r="F8" s="160"/>
      <c r="G8" s="161">
        <f>C8*$C$63</f>
        <v>4364.032912</v>
      </c>
      <c r="H8" s="16"/>
      <c r="I8" s="157" t="s">
        <v>228</v>
      </c>
      <c r="J8" s="154">
        <f>SUM(J6:U6)</f>
        <v>126706.9719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8">
        <f>SUM(V6:AG6)</f>
        <v>113865.7221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>
      <c r="A9" s="151">
        <v>8.0</v>
      </c>
      <c r="B9" s="152" t="s">
        <v>229</v>
      </c>
      <c r="C9" s="152">
        <v>33510.0</v>
      </c>
      <c r="D9" s="166">
        <f t="shared" si="1"/>
        <v>0.02891622406</v>
      </c>
      <c r="E9" s="154">
        <f t="shared" si="2"/>
        <v>8241.123858</v>
      </c>
      <c r="F9" s="154">
        <f t="shared" ref="F9:F10" si="9">E9</f>
        <v>8241.123858</v>
      </c>
      <c r="G9" s="155"/>
      <c r="H9" s="16"/>
      <c r="I9" s="167" t="s">
        <v>230</v>
      </c>
      <c r="J9" s="168">
        <v>16.0</v>
      </c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>
      <c r="A10" s="151">
        <v>9.0</v>
      </c>
      <c r="B10" s="152" t="s">
        <v>231</v>
      </c>
      <c r="C10" s="152">
        <v>27945.0</v>
      </c>
      <c r="D10" s="170">
        <f t="shared" si="1"/>
        <v>0.02411411165</v>
      </c>
      <c r="E10" s="154">
        <f t="shared" si="2"/>
        <v>6872.521821</v>
      </c>
      <c r="F10" s="154">
        <f t="shared" si="9"/>
        <v>6872.521821</v>
      </c>
      <c r="G10" s="155"/>
      <c r="H10" s="155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>
      <c r="A11" s="151">
        <v>10.0</v>
      </c>
      <c r="B11" s="152" t="s">
        <v>232</v>
      </c>
      <c r="C11" s="152">
        <v>14210.0</v>
      </c>
      <c r="D11" s="171">
        <f t="shared" si="1"/>
        <v>0.01226199773</v>
      </c>
      <c r="E11" s="154">
        <f t="shared" si="2"/>
        <v>3494.669353</v>
      </c>
      <c r="F11" s="172"/>
      <c r="G11" s="155"/>
      <c r="H11" s="161">
        <f>C11*C63</f>
        <v>3494.669353</v>
      </c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>
      <c r="A12" s="151">
        <v>11.0</v>
      </c>
      <c r="B12" s="152" t="s">
        <v>233</v>
      </c>
      <c r="C12" s="152">
        <v>39145.0</v>
      </c>
      <c r="D12" s="173">
        <f t="shared" si="1"/>
        <v>0.03377874041</v>
      </c>
      <c r="E12" s="154">
        <f t="shared" si="2"/>
        <v>9626.941016</v>
      </c>
      <c r="F12" s="154">
        <f>E12</f>
        <v>9626.941016</v>
      </c>
      <c r="G12" s="155"/>
      <c r="H12" s="155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>
      <c r="A13" s="151">
        <v>12.0</v>
      </c>
      <c r="B13" s="152" t="s">
        <v>234</v>
      </c>
      <c r="C13" s="152">
        <v>9280.0</v>
      </c>
      <c r="D13" s="174">
        <f t="shared" si="1"/>
        <v>0.008007835253</v>
      </c>
      <c r="E13" s="154">
        <f t="shared" si="2"/>
        <v>2282.233047</v>
      </c>
      <c r="F13" s="172"/>
      <c r="G13" s="155"/>
      <c r="H13" s="161">
        <f>E13</f>
        <v>2282.233047</v>
      </c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>
      <c r="A14" s="151">
        <v>13.0</v>
      </c>
      <c r="B14" s="152" t="s">
        <v>235</v>
      </c>
      <c r="C14" s="152">
        <v>27535.0</v>
      </c>
      <c r="D14" s="175">
        <f t="shared" si="1"/>
        <v>0.02376031721</v>
      </c>
      <c r="E14" s="154">
        <f t="shared" si="2"/>
        <v>6771.690404</v>
      </c>
      <c r="F14" s="154">
        <f>E14</f>
        <v>6771.690404</v>
      </c>
      <c r="G14" s="155"/>
      <c r="H14" s="155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>
      <c r="A15" s="151">
        <v>14.0</v>
      </c>
      <c r="B15" s="152" t="s">
        <v>236</v>
      </c>
      <c r="C15" s="152">
        <v>21285.0</v>
      </c>
      <c r="D15" s="176">
        <f t="shared" si="1"/>
        <v>0.0183671092</v>
      </c>
      <c r="E15" s="154">
        <f t="shared" si="2"/>
        <v>5234.626121</v>
      </c>
      <c r="F15" s="160"/>
      <c r="G15" s="161">
        <f t="shared" ref="G15:G17" si="10">C15*$C$63</f>
        <v>5234.626121</v>
      </c>
      <c r="H15" s="155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>
      <c r="A16" s="151">
        <v>15.0</v>
      </c>
      <c r="B16" s="152" t="s">
        <v>237</v>
      </c>
      <c r="C16" s="152">
        <v>16230.0</v>
      </c>
      <c r="D16" s="177">
        <f t="shared" si="1"/>
        <v>0.01400508256</v>
      </c>
      <c r="E16" s="154">
        <f t="shared" si="2"/>
        <v>3991.448529</v>
      </c>
      <c r="F16" s="160"/>
      <c r="G16" s="161">
        <f t="shared" si="10"/>
        <v>3991.448529</v>
      </c>
      <c r="H16" s="155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>
      <c r="A17" s="151">
        <v>16.0</v>
      </c>
      <c r="B17" s="152" t="s">
        <v>238</v>
      </c>
      <c r="C17" s="152">
        <v>18975.0</v>
      </c>
      <c r="D17" s="178">
        <f t="shared" si="1"/>
        <v>0.01637377952</v>
      </c>
      <c r="E17" s="154">
        <f t="shared" si="2"/>
        <v>4666.527162</v>
      </c>
      <c r="F17" s="160"/>
      <c r="G17" s="161">
        <f t="shared" si="10"/>
        <v>4666.527162</v>
      </c>
      <c r="H17" s="155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>
      <c r="A18" s="151">
        <v>17.0</v>
      </c>
      <c r="B18" s="152" t="s">
        <v>239</v>
      </c>
      <c r="C18" s="152">
        <v>14575.0</v>
      </c>
      <c r="D18" s="179">
        <f t="shared" si="1"/>
        <v>0.01257696108</v>
      </c>
      <c r="E18" s="154">
        <f t="shared" si="2"/>
        <v>3584.433907</v>
      </c>
      <c r="F18" s="172"/>
      <c r="G18" s="155"/>
      <c r="H18" s="161">
        <f t="shared" ref="H18:H19" si="11">E18</f>
        <v>3584.433907</v>
      </c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>
      <c r="A19" s="151">
        <v>18.0</v>
      </c>
      <c r="B19" s="152" t="s">
        <v>240</v>
      </c>
      <c r="C19" s="152">
        <v>14870.0</v>
      </c>
      <c r="D19" s="180">
        <f t="shared" si="1"/>
        <v>0.0128315205</v>
      </c>
      <c r="E19" s="154">
        <f t="shared" si="2"/>
        <v>3656.983341</v>
      </c>
      <c r="F19" s="172"/>
      <c r="G19" s="155"/>
      <c r="H19" s="161">
        <f t="shared" si="11"/>
        <v>3656.983341</v>
      </c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>
      <c r="A20" s="151">
        <v>19.0</v>
      </c>
      <c r="B20" s="152" t="s">
        <v>241</v>
      </c>
      <c r="C20" s="152">
        <v>18465.0</v>
      </c>
      <c r="D20" s="181">
        <f t="shared" si="1"/>
        <v>0.01593369374</v>
      </c>
      <c r="E20" s="154">
        <f t="shared" si="2"/>
        <v>4541.102717</v>
      </c>
      <c r="F20" s="160"/>
      <c r="G20" s="161">
        <f>C20*$C$63</f>
        <v>4541.102717</v>
      </c>
      <c r="H20" s="155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>
      <c r="A21" s="151">
        <v>20.0</v>
      </c>
      <c r="B21" s="152" t="s">
        <v>242</v>
      </c>
      <c r="C21" s="152">
        <v>30250.0</v>
      </c>
      <c r="D21" s="182">
        <f t="shared" si="1"/>
        <v>0.02610312677</v>
      </c>
      <c r="E21" s="154">
        <f t="shared" si="2"/>
        <v>7439.391128</v>
      </c>
      <c r="F21" s="154">
        <f>E21</f>
        <v>7439.391128</v>
      </c>
      <c r="G21" s="155"/>
      <c r="H21" s="155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>
      <c r="A22" s="151">
        <v>21.0</v>
      </c>
      <c r="B22" s="152" t="s">
        <v>243</v>
      </c>
      <c r="C22" s="152"/>
      <c r="D22" s="183">
        <f t="shared" si="1"/>
        <v>0</v>
      </c>
      <c r="E22" s="154">
        <f t="shared" si="2"/>
        <v>0</v>
      </c>
      <c r="F22" s="152"/>
      <c r="G22" s="155"/>
      <c r="H22" s="155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>
      <c r="A23" s="151">
        <v>22.0</v>
      </c>
      <c r="B23" s="152" t="s">
        <v>244</v>
      </c>
      <c r="C23" s="152">
        <v>37145.0</v>
      </c>
      <c r="D23" s="184">
        <f t="shared" si="1"/>
        <v>0.03205291384</v>
      </c>
      <c r="E23" s="154">
        <f t="shared" si="2"/>
        <v>9135.080445</v>
      </c>
      <c r="F23" s="154">
        <f>E23</f>
        <v>9135.080445</v>
      </c>
      <c r="G23" s="155"/>
      <c r="H23" s="155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>
      <c r="A24" s="151">
        <v>23.0</v>
      </c>
      <c r="B24" s="152" t="s">
        <v>245</v>
      </c>
      <c r="C24" s="152">
        <v>19030.0</v>
      </c>
      <c r="D24" s="185">
        <f t="shared" si="1"/>
        <v>0.01642123975</v>
      </c>
      <c r="E24" s="154">
        <f t="shared" si="2"/>
        <v>4680.053328</v>
      </c>
      <c r="F24" s="160"/>
      <c r="G24" s="161">
        <f>C24*$C$63</f>
        <v>4680.053328</v>
      </c>
      <c r="H24" s="155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>
      <c r="A25" s="151">
        <v>24.0</v>
      </c>
      <c r="B25" s="152" t="s">
        <v>246</v>
      </c>
      <c r="C25" s="152">
        <v>7485.0</v>
      </c>
      <c r="D25" s="186">
        <f t="shared" si="1"/>
        <v>0.006458905912</v>
      </c>
      <c r="E25" s="154">
        <f t="shared" si="2"/>
        <v>1840.788185</v>
      </c>
      <c r="F25" s="172"/>
      <c r="G25" s="155"/>
      <c r="H25" s="161">
        <f t="shared" ref="H25:H26" si="12">E25</f>
        <v>1840.788185</v>
      </c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>
      <c r="A26" s="151">
        <v>25.0</v>
      </c>
      <c r="B26" s="152" t="s">
        <v>247</v>
      </c>
      <c r="C26" s="152">
        <v>11200.0</v>
      </c>
      <c r="D26" s="187">
        <f t="shared" si="1"/>
        <v>0.009664628753</v>
      </c>
      <c r="E26" s="154">
        <f t="shared" si="2"/>
        <v>2754.419195</v>
      </c>
      <c r="F26" s="172"/>
      <c r="G26" s="155"/>
      <c r="H26" s="161">
        <f t="shared" si="12"/>
        <v>2754.419195</v>
      </c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>
      <c r="A27" s="151">
        <v>26.0</v>
      </c>
      <c r="B27" s="152" t="s">
        <v>248</v>
      </c>
      <c r="C27" s="152">
        <v>30100.0</v>
      </c>
      <c r="D27" s="188">
        <f t="shared" si="1"/>
        <v>0.02597368977</v>
      </c>
      <c r="E27" s="154">
        <f t="shared" si="2"/>
        <v>7402.501586</v>
      </c>
      <c r="F27" s="154">
        <f>E27</f>
        <v>7402.501586</v>
      </c>
      <c r="G27" s="155"/>
      <c r="H27" s="155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>
      <c r="A28" s="151">
        <v>27.0</v>
      </c>
      <c r="B28" s="152" t="s">
        <v>249</v>
      </c>
      <c r="C28" s="152">
        <v>14615.0</v>
      </c>
      <c r="D28" s="179">
        <f t="shared" si="1"/>
        <v>0.01261147761</v>
      </c>
      <c r="E28" s="154">
        <f t="shared" si="2"/>
        <v>3594.271119</v>
      </c>
      <c r="F28" s="160"/>
      <c r="G28" s="161">
        <f>C28*$C$63</f>
        <v>3594.271119</v>
      </c>
      <c r="H28" s="155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>
      <c r="A29" s="151">
        <v>28.0</v>
      </c>
      <c r="B29" s="152" t="s">
        <v>250</v>
      </c>
      <c r="C29" s="152">
        <v>11505.0</v>
      </c>
      <c r="D29" s="189">
        <f t="shared" si="1"/>
        <v>0.009927817304</v>
      </c>
      <c r="E29" s="154">
        <f t="shared" si="2"/>
        <v>2829.427932</v>
      </c>
      <c r="F29" s="172"/>
      <c r="G29" s="155"/>
      <c r="H29" s="161">
        <f>E29</f>
        <v>2829.427932</v>
      </c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>
      <c r="A30" s="151">
        <v>29.0</v>
      </c>
      <c r="B30" s="152" t="s">
        <v>251</v>
      </c>
      <c r="C30" s="152">
        <v>18585.0</v>
      </c>
      <c r="D30" s="162">
        <f t="shared" si="1"/>
        <v>0.01603724334</v>
      </c>
      <c r="E30" s="154">
        <f t="shared" si="2"/>
        <v>4570.614351</v>
      </c>
      <c r="F30" s="160"/>
      <c r="G30" s="161">
        <f>C30*$C$63</f>
        <v>4570.614351</v>
      </c>
      <c r="H30" s="155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>
      <c r="A31" s="151">
        <v>30.0</v>
      </c>
      <c r="B31" s="152" t="s">
        <v>252</v>
      </c>
      <c r="C31" s="152"/>
      <c r="D31" s="183">
        <f t="shared" si="1"/>
        <v>0</v>
      </c>
      <c r="E31" s="154">
        <f t="shared" si="2"/>
        <v>0</v>
      </c>
      <c r="F31" s="152"/>
      <c r="G31" s="155"/>
      <c r="H31" s="155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>
      <c r="A32" s="151">
        <v>31.0</v>
      </c>
      <c r="B32" s="152" t="s">
        <v>253</v>
      </c>
      <c r="C32" s="152">
        <v>13500.0</v>
      </c>
      <c r="D32" s="190">
        <f t="shared" si="1"/>
        <v>0.0116493293</v>
      </c>
      <c r="E32" s="154">
        <f t="shared" si="2"/>
        <v>3320.058851</v>
      </c>
      <c r="F32" s="172"/>
      <c r="G32" s="155"/>
      <c r="H32" s="161">
        <f>E32</f>
        <v>3320.058851</v>
      </c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>
      <c r="A33" s="151">
        <v>32.0</v>
      </c>
      <c r="B33" s="152" t="s">
        <v>254</v>
      </c>
      <c r="C33" s="152">
        <v>36840.0</v>
      </c>
      <c r="D33" s="191">
        <f t="shared" si="1"/>
        <v>0.03178972529</v>
      </c>
      <c r="E33" s="154">
        <f t="shared" si="2"/>
        <v>9060.071708</v>
      </c>
      <c r="F33" s="154">
        <f>E33</f>
        <v>9060.071708</v>
      </c>
      <c r="G33" s="155"/>
      <c r="H33" s="155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>
      <c r="A34" s="151">
        <v>33.0</v>
      </c>
      <c r="B34" s="152" t="s">
        <v>255</v>
      </c>
      <c r="C34" s="152">
        <v>17565.0</v>
      </c>
      <c r="D34" s="192">
        <f t="shared" si="1"/>
        <v>0.01515707179</v>
      </c>
      <c r="E34" s="154">
        <f t="shared" si="2"/>
        <v>4319.76546</v>
      </c>
      <c r="F34" s="160"/>
      <c r="G34" s="161">
        <f>C34*$C$63</f>
        <v>4319.76546</v>
      </c>
      <c r="H34" s="155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>
      <c r="A35" s="151">
        <v>34.0</v>
      </c>
      <c r="B35" s="152" t="s">
        <v>256</v>
      </c>
      <c r="C35" s="152">
        <v>5685.0</v>
      </c>
      <c r="D35" s="193">
        <f t="shared" si="1"/>
        <v>0.004905662005</v>
      </c>
      <c r="E35" s="154">
        <f t="shared" si="2"/>
        <v>1398.113672</v>
      </c>
      <c r="F35" s="172"/>
      <c r="G35" s="155"/>
      <c r="H35" s="161">
        <f>E35</f>
        <v>1398.113672</v>
      </c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>
      <c r="A36" s="151">
        <v>35.0</v>
      </c>
      <c r="B36" s="152" t="s">
        <v>257</v>
      </c>
      <c r="C36" s="152">
        <v>27200.0</v>
      </c>
      <c r="D36" s="194">
        <f t="shared" si="1"/>
        <v>0.02347124126</v>
      </c>
      <c r="E36" s="154">
        <f t="shared" si="2"/>
        <v>6689.303758</v>
      </c>
      <c r="F36" s="160"/>
      <c r="G36" s="161">
        <f>C36*$C$63</f>
        <v>6689.303758</v>
      </c>
      <c r="H36" s="155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>
      <c r="A37" s="151">
        <v>36.0</v>
      </c>
      <c r="B37" s="152" t="s">
        <v>258</v>
      </c>
      <c r="C37" s="152">
        <v>29185.0</v>
      </c>
      <c r="D37" s="195">
        <f t="shared" si="1"/>
        <v>0.02518412412</v>
      </c>
      <c r="E37" s="154">
        <f t="shared" si="2"/>
        <v>7177.475375</v>
      </c>
      <c r="F37" s="154">
        <f>E37</f>
        <v>7177.475375</v>
      </c>
      <c r="G37" s="155"/>
      <c r="H37" s="155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>
      <c r="A38" s="151">
        <v>37.0</v>
      </c>
      <c r="B38" s="152" t="s">
        <v>259</v>
      </c>
      <c r="C38" s="152">
        <v>18335.0</v>
      </c>
      <c r="D38" s="196">
        <f t="shared" si="1"/>
        <v>0.01582151502</v>
      </c>
      <c r="E38" s="154">
        <f t="shared" si="2"/>
        <v>4509.13178</v>
      </c>
      <c r="F38" s="160"/>
      <c r="G38" s="161">
        <f>C38*$C$63</f>
        <v>4509.13178</v>
      </c>
      <c r="H38" s="155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>
      <c r="A39" s="151">
        <v>38.0</v>
      </c>
      <c r="B39" s="152" t="s">
        <v>260</v>
      </c>
      <c r="C39" s="152">
        <v>27775.0</v>
      </c>
      <c r="D39" s="197">
        <f t="shared" si="1"/>
        <v>0.02396741639</v>
      </c>
      <c r="E39" s="154">
        <f t="shared" si="2"/>
        <v>6830.713672</v>
      </c>
      <c r="F39" s="154">
        <f t="shared" ref="F39:F41" si="13">E39</f>
        <v>6830.713672</v>
      </c>
      <c r="G39" s="155"/>
      <c r="H39" s="155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>
      <c r="A40" s="151">
        <v>39.0</v>
      </c>
      <c r="B40" s="152" t="s">
        <v>261</v>
      </c>
      <c r="C40" s="152">
        <v>35785.0</v>
      </c>
      <c r="D40" s="198">
        <f t="shared" si="1"/>
        <v>0.03087935178</v>
      </c>
      <c r="E40" s="154">
        <f t="shared" si="2"/>
        <v>8800.615257</v>
      </c>
      <c r="F40" s="154">
        <f t="shared" si="13"/>
        <v>8800.615257</v>
      </c>
      <c r="G40" s="155"/>
      <c r="H40" s="155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>
      <c r="A41" s="151">
        <v>40.0</v>
      </c>
      <c r="B41" s="152" t="s">
        <v>262</v>
      </c>
      <c r="C41" s="152">
        <v>38995.0</v>
      </c>
      <c r="D41" s="199">
        <f t="shared" si="1"/>
        <v>0.03364930341</v>
      </c>
      <c r="E41" s="154">
        <f t="shared" si="2"/>
        <v>9590.051473</v>
      </c>
      <c r="F41" s="154">
        <f t="shared" si="13"/>
        <v>9590.051473</v>
      </c>
      <c r="G41" s="155"/>
      <c r="H41" s="155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>
      <c r="A42" s="151">
        <v>41.0</v>
      </c>
      <c r="B42" s="152" t="s">
        <v>263</v>
      </c>
      <c r="C42" s="152">
        <v>17795.0</v>
      </c>
      <c r="D42" s="165">
        <f t="shared" si="1"/>
        <v>0.01535554184</v>
      </c>
      <c r="E42" s="154">
        <f t="shared" si="2"/>
        <v>4376.329426</v>
      </c>
      <c r="F42" s="160"/>
      <c r="G42" s="161">
        <f t="shared" ref="G42:G43" si="14">C42*$C$63</f>
        <v>4376.329426</v>
      </c>
      <c r="H42" s="155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>
      <c r="A43" s="151">
        <v>42.0</v>
      </c>
      <c r="B43" s="152" t="s">
        <v>264</v>
      </c>
      <c r="C43" s="152">
        <v>18905.0</v>
      </c>
      <c r="D43" s="178">
        <f t="shared" si="1"/>
        <v>0.01631337559</v>
      </c>
      <c r="E43" s="154">
        <f t="shared" si="2"/>
        <v>4649.312042</v>
      </c>
      <c r="F43" s="160"/>
      <c r="G43" s="161">
        <f t="shared" si="14"/>
        <v>4649.312042</v>
      </c>
      <c r="H43" s="155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>
      <c r="A44" s="151">
        <v>43.0</v>
      </c>
      <c r="B44" s="152" t="s">
        <v>265</v>
      </c>
      <c r="C44" s="152">
        <v>5915.0</v>
      </c>
      <c r="D44" s="200">
        <f t="shared" si="1"/>
        <v>0.00510413206</v>
      </c>
      <c r="E44" s="154">
        <f t="shared" si="2"/>
        <v>1454.677637</v>
      </c>
      <c r="F44" s="172"/>
      <c r="G44" s="155"/>
      <c r="H44" s="161">
        <f>E44</f>
        <v>1454.677637</v>
      </c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>
      <c r="A45" s="151">
        <v>44.0</v>
      </c>
      <c r="B45" s="152" t="s">
        <v>266</v>
      </c>
      <c r="C45" s="152">
        <v>23870.0</v>
      </c>
      <c r="D45" s="201">
        <f t="shared" si="1"/>
        <v>0.02059774003</v>
      </c>
      <c r="E45" s="154">
        <f t="shared" si="2"/>
        <v>5870.355909</v>
      </c>
      <c r="F45" s="160"/>
      <c r="G45" s="161">
        <f t="shared" ref="G45:G46" si="15">C45*$C$63</f>
        <v>5870.355909</v>
      </c>
      <c r="H45" s="155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>
      <c r="A46" s="151">
        <v>45.0</v>
      </c>
      <c r="B46" s="152" t="s">
        <v>267</v>
      </c>
      <c r="C46" s="152">
        <v>19980.0</v>
      </c>
      <c r="D46" s="202">
        <f t="shared" si="1"/>
        <v>0.01724100736</v>
      </c>
      <c r="E46" s="154">
        <f t="shared" si="2"/>
        <v>4913.687099</v>
      </c>
      <c r="F46" s="160"/>
      <c r="G46" s="161">
        <f t="shared" si="15"/>
        <v>4913.687099</v>
      </c>
      <c r="H46" s="155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>
      <c r="A47" s="151">
        <v>46.0</v>
      </c>
      <c r="B47" s="152" t="s">
        <v>268</v>
      </c>
      <c r="C47" s="152">
        <v>12430.0</v>
      </c>
      <c r="D47" s="203">
        <f t="shared" si="1"/>
        <v>0.01072601209</v>
      </c>
      <c r="E47" s="154">
        <f t="shared" si="2"/>
        <v>3056.913445</v>
      </c>
      <c r="F47" s="172"/>
      <c r="G47" s="155"/>
      <c r="H47" s="161">
        <f t="shared" ref="H47:H48" si="16">E47</f>
        <v>3056.913445</v>
      </c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>
      <c r="A48" s="151">
        <v>47.0</v>
      </c>
      <c r="B48" s="152" t="s">
        <v>269</v>
      </c>
      <c r="C48" s="152">
        <v>12295.0</v>
      </c>
      <c r="D48" s="204">
        <f t="shared" si="1"/>
        <v>0.0106095188</v>
      </c>
      <c r="E48" s="154">
        <f t="shared" si="2"/>
        <v>3023.712857</v>
      </c>
      <c r="F48" s="172"/>
      <c r="G48" s="155"/>
      <c r="H48" s="161">
        <f t="shared" si="16"/>
        <v>3023.712857</v>
      </c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>
      <c r="A49" s="151">
        <v>48.0</v>
      </c>
      <c r="B49" s="152" t="s">
        <v>270</v>
      </c>
      <c r="C49" s="152">
        <v>21395.0</v>
      </c>
      <c r="D49" s="176">
        <f t="shared" si="1"/>
        <v>0.01846202966</v>
      </c>
      <c r="E49" s="154">
        <f t="shared" si="2"/>
        <v>5261.678453</v>
      </c>
      <c r="F49" s="160"/>
      <c r="G49" s="161">
        <f t="shared" ref="G49:G50" si="17">C49*$C$63</f>
        <v>5261.678453</v>
      </c>
      <c r="H49" s="155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>
      <c r="A50" s="151">
        <v>49.0</v>
      </c>
      <c r="B50" s="152" t="s">
        <v>271</v>
      </c>
      <c r="C50" s="152">
        <v>17845.0</v>
      </c>
      <c r="D50" s="165">
        <f t="shared" si="1"/>
        <v>0.01539868751</v>
      </c>
      <c r="E50" s="154">
        <f t="shared" si="2"/>
        <v>4388.62594</v>
      </c>
      <c r="F50" s="160"/>
      <c r="G50" s="161">
        <f t="shared" si="17"/>
        <v>4388.62594</v>
      </c>
      <c r="H50" s="155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>
      <c r="A51" s="151">
        <v>50.0</v>
      </c>
      <c r="B51" s="152" t="s">
        <v>272</v>
      </c>
      <c r="C51" s="152">
        <v>14410.0</v>
      </c>
      <c r="D51" s="205">
        <f t="shared" si="1"/>
        <v>0.01243458039</v>
      </c>
      <c r="E51" s="154">
        <f t="shared" si="2"/>
        <v>3543.85541</v>
      </c>
      <c r="F51" s="172"/>
      <c r="G51" s="155"/>
      <c r="H51" s="161">
        <f>E51</f>
        <v>3543.85541</v>
      </c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>
      <c r="A52" s="151">
        <v>51.0</v>
      </c>
      <c r="B52" s="152" t="s">
        <v>273</v>
      </c>
      <c r="C52" s="152">
        <v>24450.0</v>
      </c>
      <c r="D52" s="206">
        <f t="shared" si="1"/>
        <v>0.02109822973</v>
      </c>
      <c r="E52" s="154">
        <f t="shared" si="2"/>
        <v>6012.995474</v>
      </c>
      <c r="F52" s="160"/>
      <c r="G52" s="161">
        <f t="shared" ref="G52:G55" si="18">C52*$C$63</f>
        <v>6012.995474</v>
      </c>
      <c r="H52" s="155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>
      <c r="A53" s="151">
        <v>52.0</v>
      </c>
      <c r="B53" s="152" t="s">
        <v>274</v>
      </c>
      <c r="C53" s="152">
        <v>16565.0</v>
      </c>
      <c r="D53" s="207">
        <f t="shared" si="1"/>
        <v>0.01429415851</v>
      </c>
      <c r="E53" s="154">
        <f t="shared" si="2"/>
        <v>4073.835175</v>
      </c>
      <c r="F53" s="160"/>
      <c r="G53" s="161">
        <f t="shared" si="18"/>
        <v>4073.835175</v>
      </c>
      <c r="H53" s="155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>
      <c r="A54" s="151">
        <v>53.0</v>
      </c>
      <c r="B54" s="152" t="s">
        <v>275</v>
      </c>
      <c r="C54" s="152">
        <v>19415.0</v>
      </c>
      <c r="D54" s="208">
        <f t="shared" si="1"/>
        <v>0.01675346136</v>
      </c>
      <c r="E54" s="154">
        <f t="shared" si="2"/>
        <v>4774.736488</v>
      </c>
      <c r="F54" s="160"/>
      <c r="G54" s="161">
        <f t="shared" si="18"/>
        <v>4774.736488</v>
      </c>
      <c r="H54" s="155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>
      <c r="A55" s="151">
        <v>54.0</v>
      </c>
      <c r="B55" s="152" t="s">
        <v>276</v>
      </c>
      <c r="C55" s="152">
        <v>21465.0</v>
      </c>
      <c r="D55" s="176">
        <f t="shared" si="1"/>
        <v>0.01852243359</v>
      </c>
      <c r="E55" s="154">
        <f t="shared" si="2"/>
        <v>5278.893573</v>
      </c>
      <c r="F55" s="160"/>
      <c r="G55" s="161">
        <f t="shared" si="18"/>
        <v>5278.893573</v>
      </c>
      <c r="H55" s="155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>
      <c r="A56" s="151">
        <v>55.0</v>
      </c>
      <c r="B56" s="152" t="s">
        <v>277</v>
      </c>
      <c r="C56" s="152">
        <v>11500.0</v>
      </c>
      <c r="D56" s="189">
        <f t="shared" si="1"/>
        <v>0.009923502738</v>
      </c>
      <c r="E56" s="154">
        <f t="shared" si="2"/>
        <v>2828.19828</v>
      </c>
      <c r="F56" s="172"/>
      <c r="G56" s="155"/>
      <c r="H56" s="161">
        <f>E56</f>
        <v>2828.19828</v>
      </c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>
      <c r="A57" s="151">
        <v>56.0</v>
      </c>
      <c r="B57" s="152" t="s">
        <v>278</v>
      </c>
      <c r="C57" s="152">
        <v>28110.0</v>
      </c>
      <c r="D57" s="209">
        <f t="shared" si="1"/>
        <v>0.02425649234</v>
      </c>
      <c r="E57" s="154">
        <f t="shared" si="2"/>
        <v>6913.100318</v>
      </c>
      <c r="F57" s="154">
        <f t="shared" ref="F57:F58" si="19">E57</f>
        <v>6913.100318</v>
      </c>
      <c r="G57" s="155"/>
      <c r="H57" s="155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>
      <c r="A58" s="151">
        <v>57.0</v>
      </c>
      <c r="B58" s="152" t="s">
        <v>279</v>
      </c>
      <c r="C58" s="152">
        <v>34410.0</v>
      </c>
      <c r="D58" s="210">
        <f t="shared" si="1"/>
        <v>0.02969284602</v>
      </c>
      <c r="E58" s="154">
        <f t="shared" si="2"/>
        <v>8462.461115</v>
      </c>
      <c r="F58" s="154">
        <f t="shared" si="19"/>
        <v>8462.461115</v>
      </c>
      <c r="G58" s="155"/>
      <c r="H58" s="155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>
      <c r="A59" s="151">
        <v>58.0</v>
      </c>
      <c r="B59" s="152" t="s">
        <v>280</v>
      </c>
      <c r="C59" s="152">
        <v>17935.0</v>
      </c>
      <c r="D59" s="211">
        <f t="shared" si="1"/>
        <v>0.0154763497</v>
      </c>
      <c r="E59" s="154">
        <f t="shared" si="2"/>
        <v>4410.759666</v>
      </c>
      <c r="F59" s="160"/>
      <c r="G59" s="161">
        <f>C59*$C$63</f>
        <v>4410.759666</v>
      </c>
      <c r="H59" s="155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>
      <c r="A60" s="151">
        <v>59.0</v>
      </c>
      <c r="B60" s="152" t="s">
        <v>281</v>
      </c>
      <c r="C60" s="152">
        <v>8230.0</v>
      </c>
      <c r="D60" s="212">
        <f t="shared" si="1"/>
        <v>0.007101776307</v>
      </c>
      <c r="E60" s="154">
        <f t="shared" si="2"/>
        <v>2024.006247</v>
      </c>
      <c r="F60" s="172"/>
      <c r="G60" s="155"/>
      <c r="H60" s="161">
        <f>E60</f>
        <v>2024.006247</v>
      </c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>
      <c r="A61" s="151">
        <v>60.0</v>
      </c>
      <c r="B61" s="152" t="s">
        <v>282</v>
      </c>
      <c r="C61" s="152">
        <v>20735.0</v>
      </c>
      <c r="D61" s="213">
        <f t="shared" si="1"/>
        <v>0.01789250689</v>
      </c>
      <c r="E61" s="154">
        <f t="shared" si="2"/>
        <v>5099.364464</v>
      </c>
      <c r="F61" s="154">
        <f>E61</f>
        <v>5099.364464</v>
      </c>
      <c r="G61" s="155"/>
      <c r="H61" s="155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>
      <c r="A62" s="214" t="s">
        <v>65</v>
      </c>
      <c r="B62" s="156"/>
      <c r="C62" s="152">
        <f>SUM(C2:C61)</f>
        <v>1158865</v>
      </c>
      <c r="D62" s="152"/>
      <c r="E62" s="215">
        <v>285000.0</v>
      </c>
      <c r="F62" s="154">
        <f t="shared" ref="F62:H62" si="20">SUM(F2:F61)</f>
        <v>126706.9719</v>
      </c>
      <c r="G62" s="154">
        <f t="shared" si="20"/>
        <v>113865.7221</v>
      </c>
      <c r="H62" s="161">
        <f t="shared" si="20"/>
        <v>41092.49136</v>
      </c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>
      <c r="A63" s="22"/>
      <c r="B63" s="14" t="s">
        <v>283</v>
      </c>
      <c r="C63" s="48">
        <f>E62/C62</f>
        <v>0.2459302852</v>
      </c>
      <c r="D63" s="22"/>
      <c r="E63" s="22"/>
      <c r="F63" s="33">
        <v>1.0</v>
      </c>
      <c r="G63" s="33">
        <v>2.0</v>
      </c>
      <c r="H63" s="33">
        <v>3.0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>
      <c r="A86" s="22"/>
      <c r="B86" s="22"/>
      <c r="E86" s="3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</row>
  </sheetData>
  <mergeCells count="5">
    <mergeCell ref="I1:I2"/>
    <mergeCell ref="J1:O1"/>
    <mergeCell ref="P1:AA1"/>
    <mergeCell ref="AB1:AG1"/>
    <mergeCell ref="A62:B62"/>
  </mergeCells>
  <hyperlinks>
    <hyperlink r:id="rId1" ref="B1"/>
    <hyperlink r:id="rId2" ref="C1"/>
  </hyperlinks>
  <drawing r:id="rId3"/>
</worksheet>
</file>